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debra\Desktop\CP\Material\Practise\"/>
    </mc:Choice>
  </mc:AlternateContent>
  <xr:revisionPtr revIDLastSave="0" documentId="13_ncr:1_{AA3AFB7A-B3FD-49FB-9C40-11109987B6CA}" xr6:coauthVersionLast="47" xr6:coauthVersionMax="47" xr10:uidLastSave="{00000000-0000-0000-0000-000000000000}"/>
  <bookViews>
    <workbookView xWindow="-108" yWindow="-108" windowWidth="23256" windowHeight="14616" tabRatio="672" activeTab="5" xr2:uid="{00000000-000D-0000-FFFF-FFFF00000000}"/>
  </bookViews>
  <sheets>
    <sheet name="Info" sheetId="1" r:id="rId1"/>
    <sheet name="General Category" sheetId="2" r:id="rId2"/>
    <sheet name="General Level" sheetId="3" r:id="rId3"/>
    <sheet name="IOI Category" sheetId="4" r:id="rId4"/>
    <sheet name="IOI Level" sheetId="5" r:id="rId5"/>
    <sheet name="IOI Contest" sheetId="6" r:id="rId6"/>
    <sheet name="Submissions" sheetId="9" r:id="rId7"/>
    <sheet name="Categories"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782" i="6" l="1"/>
  <c r="A1781" i="6"/>
  <c r="A1780" i="6"/>
  <c r="D1779" i="6"/>
  <c r="A1779" i="6"/>
  <c r="A1778" i="6"/>
  <c r="A1777" i="6"/>
  <c r="A1776" i="6"/>
  <c r="A1775" i="6"/>
  <c r="A1774" i="6"/>
  <c r="A1773" i="6"/>
  <c r="A1772" i="6"/>
  <c r="D1771" i="6"/>
  <c r="A1771" i="6"/>
  <c r="A1770" i="6"/>
  <c r="A1769" i="6"/>
  <c r="A1768" i="6"/>
  <c r="A1767" i="6"/>
  <c r="A1766" i="6"/>
  <c r="D1765" i="6"/>
  <c r="A1765" i="6"/>
  <c r="A1764" i="6"/>
  <c r="D1763" i="6"/>
  <c r="A1763" i="6"/>
  <c r="A1762" i="6"/>
  <c r="A1761" i="6"/>
  <c r="A1760" i="6"/>
  <c r="A1759" i="6"/>
  <c r="A1758" i="6"/>
  <c r="D1757" i="6"/>
  <c r="A1757" i="6"/>
  <c r="A1756" i="6"/>
  <c r="A1755" i="6"/>
  <c r="D1754" i="6"/>
  <c r="A1754" i="6"/>
  <c r="D1753" i="6"/>
  <c r="A1753" i="6"/>
  <c r="D1752" i="6"/>
  <c r="A1752" i="6"/>
  <c r="D1751" i="6"/>
  <c r="A1751" i="6"/>
  <c r="D1750" i="6"/>
  <c r="A1750" i="6"/>
  <c r="A1749" i="6"/>
  <c r="A1748" i="6"/>
  <c r="A1747" i="6"/>
  <c r="A1746" i="6"/>
  <c r="D1745" i="6"/>
  <c r="A1745" i="6"/>
  <c r="A1744" i="6"/>
  <c r="A1743" i="6"/>
  <c r="A1742" i="6"/>
  <c r="D1741" i="6"/>
  <c r="A1741" i="6"/>
  <c r="D1740" i="6"/>
  <c r="A1740" i="6"/>
  <c r="A1739" i="6"/>
  <c r="D1738" i="6"/>
  <c r="A1738" i="6"/>
  <c r="A1737" i="6"/>
  <c r="A1736" i="6"/>
  <c r="A1735" i="6"/>
  <c r="A1734" i="6"/>
  <c r="D1733" i="6"/>
  <c r="A1733" i="6"/>
  <c r="A1732" i="6"/>
  <c r="A1731" i="6"/>
  <c r="A1730" i="6"/>
  <c r="A1729" i="6"/>
  <c r="A1728" i="6"/>
  <c r="A1727" i="6"/>
  <c r="D1726" i="6"/>
  <c r="A1726" i="6"/>
  <c r="A1725" i="6"/>
  <c r="A1724" i="6"/>
  <c r="A1723" i="6"/>
  <c r="A1722" i="6"/>
  <c r="A1721" i="6"/>
  <c r="D1720" i="6"/>
  <c r="A1720" i="6"/>
  <c r="A1719" i="6"/>
  <c r="A1718" i="6"/>
  <c r="A1717" i="6"/>
  <c r="A1716" i="6"/>
  <c r="D1715" i="6"/>
  <c r="A1715" i="6"/>
  <c r="A1714" i="6"/>
  <c r="A1713" i="6"/>
  <c r="A1712" i="6"/>
  <c r="D1711" i="6"/>
  <c r="A1711" i="6"/>
  <c r="D1710" i="6"/>
  <c r="A1710" i="6"/>
  <c r="A1709" i="6"/>
  <c r="A1708" i="6"/>
  <c r="D1707" i="6"/>
  <c r="A1707" i="6"/>
  <c r="A1706" i="6"/>
  <c r="A1705" i="6"/>
  <c r="A1704" i="6"/>
  <c r="A1703" i="6"/>
  <c r="D1702" i="6"/>
  <c r="A1702" i="6"/>
  <c r="D1701" i="6"/>
  <c r="A1701" i="6"/>
  <c r="A1700" i="6"/>
  <c r="A1699" i="6"/>
  <c r="A1698" i="6"/>
  <c r="A1697" i="6"/>
  <c r="A1696" i="6"/>
  <c r="A1695" i="6"/>
  <c r="D1694" i="6"/>
  <c r="A1694" i="6"/>
  <c r="D1693" i="6"/>
  <c r="A1693" i="6"/>
  <c r="D1692" i="6"/>
  <c r="A1692" i="6"/>
  <c r="D1691" i="6"/>
  <c r="A1691" i="6"/>
  <c r="D1690" i="6"/>
  <c r="A1690" i="6"/>
  <c r="D1689" i="6"/>
  <c r="A1689" i="6"/>
  <c r="D1688" i="6"/>
  <c r="A1688" i="6"/>
  <c r="A1687" i="6"/>
  <c r="D1686" i="6"/>
  <c r="A1686" i="6"/>
  <c r="A1685" i="6"/>
  <c r="A1684" i="6"/>
  <c r="D1683" i="6"/>
  <c r="A1683" i="6"/>
  <c r="A1682" i="6"/>
  <c r="A1681" i="6"/>
  <c r="A1680" i="6"/>
  <c r="A1679" i="6"/>
  <c r="A1678" i="6"/>
  <c r="A1677" i="6"/>
  <c r="A1676" i="6"/>
  <c r="A1675" i="6"/>
  <c r="D1674" i="6"/>
  <c r="A1674" i="6"/>
  <c r="D1673" i="6"/>
  <c r="A1673" i="6"/>
  <c r="A1672" i="6"/>
  <c r="D1671" i="6"/>
  <c r="A1671" i="6"/>
  <c r="A1670" i="6"/>
  <c r="A1669" i="6"/>
  <c r="D1668" i="6"/>
  <c r="A1668" i="6"/>
  <c r="A1667" i="6"/>
  <c r="D1666" i="6"/>
  <c r="A1666" i="6"/>
  <c r="D1665" i="6"/>
  <c r="A1665" i="6"/>
  <c r="D1664" i="6"/>
  <c r="A1664" i="6"/>
  <c r="D1663" i="6"/>
  <c r="A1663" i="6"/>
  <c r="D1662" i="6"/>
  <c r="A1662" i="6"/>
  <c r="A1661" i="6"/>
  <c r="A1660" i="6"/>
  <c r="A1659" i="6"/>
  <c r="A1658" i="6"/>
  <c r="A1657" i="6"/>
  <c r="D1656" i="6"/>
  <c r="A1656" i="6"/>
  <c r="A1655" i="6"/>
  <c r="D1654" i="6"/>
  <c r="A1654" i="6"/>
  <c r="A1653" i="6"/>
  <c r="A1652" i="6"/>
  <c r="A1651" i="6"/>
  <c r="A1650" i="6"/>
  <c r="A1649" i="6"/>
  <c r="A1648" i="6"/>
  <c r="A1647" i="6"/>
  <c r="A1646" i="6"/>
  <c r="A1645" i="6"/>
  <c r="A1644" i="6"/>
  <c r="D1643" i="6"/>
  <c r="A1643" i="6"/>
  <c r="D1642" i="6"/>
  <c r="A1642" i="6"/>
  <c r="A1641" i="6"/>
  <c r="A1640" i="6"/>
  <c r="A1639" i="6"/>
  <c r="A1638" i="6"/>
  <c r="A1637" i="6"/>
  <c r="A1636" i="6"/>
  <c r="A1635" i="6"/>
  <c r="A1634" i="6"/>
  <c r="A1633" i="6"/>
  <c r="A1632" i="6"/>
  <c r="D1631" i="6"/>
  <c r="A1631" i="6"/>
  <c r="D1630" i="6"/>
  <c r="A1630" i="6"/>
  <c r="D1629" i="6"/>
  <c r="A1629" i="6"/>
  <c r="D1628" i="6"/>
  <c r="A1628" i="6"/>
  <c r="D1627" i="6"/>
  <c r="A1627" i="6"/>
  <c r="D1626" i="6"/>
  <c r="A1626" i="6"/>
  <c r="D1625" i="6"/>
  <c r="A1625" i="6"/>
  <c r="D1624" i="6"/>
  <c r="A1624" i="6"/>
  <c r="D1623" i="6"/>
  <c r="A1623" i="6"/>
  <c r="D1622" i="6"/>
  <c r="A1622" i="6"/>
  <c r="D1621" i="6"/>
  <c r="A1621" i="6"/>
  <c r="D1620" i="6"/>
  <c r="A1620" i="6"/>
  <c r="D1619" i="6"/>
  <c r="A1619" i="6"/>
  <c r="D1618" i="6"/>
  <c r="A1618" i="6"/>
  <c r="D1617" i="6"/>
  <c r="A1617" i="6"/>
  <c r="D1616" i="6"/>
  <c r="A1616" i="6"/>
  <c r="D1615" i="6"/>
  <c r="A1615" i="6"/>
  <c r="D1614" i="6"/>
  <c r="A1614" i="6"/>
  <c r="D1613" i="6"/>
  <c r="A1613" i="6"/>
  <c r="D1612" i="6"/>
  <c r="A1612" i="6"/>
  <c r="D1611" i="6"/>
  <c r="A1611" i="6"/>
  <c r="D1610" i="6"/>
  <c r="A1610" i="6"/>
  <c r="D1609" i="6"/>
  <c r="A1609" i="6"/>
  <c r="D1608" i="6"/>
  <c r="A1608" i="6"/>
  <c r="D1607" i="6"/>
  <c r="A1607" i="6"/>
  <c r="D1606" i="6"/>
  <c r="A1606" i="6"/>
  <c r="D1605" i="6"/>
  <c r="A1605" i="6"/>
  <c r="D1604" i="6"/>
  <c r="A1604" i="6"/>
  <c r="D1603" i="6"/>
  <c r="A1603" i="6"/>
  <c r="D1602" i="6"/>
  <c r="A1602" i="6"/>
  <c r="D1601" i="6"/>
  <c r="A1601" i="6"/>
  <c r="A1600" i="6"/>
  <c r="D1599" i="6"/>
  <c r="A1599" i="6"/>
  <c r="A1598" i="6"/>
  <c r="D1597" i="6"/>
  <c r="A1597" i="6"/>
  <c r="D1596" i="6"/>
  <c r="A1596" i="6"/>
  <c r="A1595" i="6"/>
  <c r="D1594" i="6"/>
  <c r="A1594" i="6"/>
  <c r="A1593" i="6"/>
  <c r="D1592" i="6"/>
  <c r="A1592" i="6"/>
  <c r="D1591" i="6"/>
  <c r="A1591" i="6"/>
  <c r="D1590" i="6"/>
  <c r="A1590" i="6"/>
  <c r="D1589" i="6"/>
  <c r="A1589" i="6"/>
  <c r="A1588" i="6"/>
  <c r="A1587" i="6"/>
  <c r="D1586" i="6"/>
  <c r="A1586" i="6"/>
  <c r="A1585" i="6"/>
  <c r="D1584" i="6"/>
  <c r="A1584" i="6"/>
  <c r="D1583" i="6"/>
  <c r="A1583" i="6"/>
  <c r="D1582" i="6"/>
  <c r="A1582" i="6"/>
  <c r="D1581" i="6"/>
  <c r="A1581" i="6"/>
  <c r="A1580" i="6"/>
  <c r="D1579" i="6"/>
  <c r="A1579" i="6"/>
  <c r="D1578" i="6"/>
  <c r="A1578" i="6"/>
  <c r="D1577" i="6"/>
  <c r="A1577" i="6"/>
  <c r="D1576" i="6"/>
  <c r="A1576" i="6"/>
  <c r="D1575" i="6"/>
  <c r="A1575" i="6"/>
  <c r="D1574" i="6"/>
  <c r="A1574" i="6"/>
  <c r="D1573" i="6"/>
  <c r="A1573" i="6"/>
  <c r="D1572" i="6"/>
  <c r="A1572" i="6"/>
  <c r="D1571" i="6"/>
  <c r="A1571" i="6"/>
  <c r="D1570" i="6"/>
  <c r="A1570" i="6"/>
  <c r="D1569" i="6"/>
  <c r="A1569" i="6"/>
  <c r="D1568" i="6"/>
  <c r="A1568" i="6"/>
  <c r="D1567" i="6"/>
  <c r="A1567" i="6"/>
  <c r="D1566" i="6"/>
  <c r="A1566" i="6"/>
  <c r="D1565" i="6"/>
  <c r="A1565" i="6"/>
  <c r="D1564" i="6"/>
  <c r="A1564" i="6"/>
  <c r="D1563" i="6"/>
  <c r="A1563" i="6"/>
  <c r="D1562" i="6"/>
  <c r="A1562" i="6"/>
  <c r="D1561" i="6"/>
  <c r="A1561" i="6"/>
  <c r="D1560" i="6"/>
  <c r="A1560" i="6"/>
  <c r="D1559" i="6"/>
  <c r="A1559" i="6"/>
  <c r="D1558" i="6"/>
  <c r="A1558" i="6"/>
  <c r="D1557" i="6"/>
  <c r="A1557" i="6"/>
  <c r="D1556" i="6"/>
  <c r="A1556" i="6"/>
  <c r="D1555" i="6"/>
  <c r="A1555" i="6"/>
  <c r="D1554" i="6"/>
  <c r="A1554" i="6"/>
  <c r="D1553" i="6"/>
  <c r="A1553" i="6"/>
  <c r="D1552" i="6"/>
  <c r="A1552" i="6"/>
  <c r="D1551" i="6"/>
  <c r="A1551" i="6"/>
  <c r="D1550" i="6"/>
  <c r="A1550" i="6"/>
  <c r="D1549" i="6"/>
  <c r="A1549" i="6"/>
  <c r="D1548" i="6"/>
  <c r="A1548" i="6"/>
  <c r="D1547" i="6"/>
  <c r="A1547" i="6"/>
  <c r="D1546" i="6"/>
  <c r="A1546" i="6"/>
  <c r="D1545" i="6"/>
  <c r="A1545" i="6"/>
  <c r="D1544" i="6"/>
  <c r="A1544" i="6"/>
  <c r="D1543" i="6"/>
  <c r="A1543" i="6"/>
  <c r="D1542" i="6"/>
  <c r="A1542" i="6"/>
  <c r="D1541" i="6"/>
  <c r="A1541" i="6"/>
  <c r="D1540" i="6"/>
  <c r="A1540" i="6"/>
  <c r="D1539" i="6"/>
  <c r="A1539" i="6"/>
  <c r="D1538" i="6"/>
  <c r="A1538" i="6"/>
  <c r="D1537" i="6"/>
  <c r="A1537" i="6"/>
  <c r="D1536" i="6"/>
  <c r="A1536" i="6"/>
  <c r="D1535" i="6"/>
  <c r="A1535" i="6"/>
  <c r="D1534" i="6"/>
  <c r="A1534" i="6"/>
  <c r="D1533" i="6"/>
  <c r="A1533" i="6"/>
  <c r="D1532" i="6"/>
  <c r="A1532" i="6"/>
  <c r="D1531" i="6"/>
  <c r="A1531" i="6"/>
  <c r="D1530" i="6"/>
  <c r="A1530" i="6"/>
  <c r="D1529" i="6"/>
  <c r="A1529" i="6"/>
  <c r="D1528" i="6"/>
  <c r="A1528" i="6"/>
  <c r="D1527" i="6"/>
  <c r="A1527" i="6"/>
  <c r="D1526" i="6"/>
  <c r="A1526" i="6"/>
  <c r="D1525" i="6"/>
  <c r="A1525" i="6"/>
  <c r="D1524" i="6"/>
  <c r="A1524" i="6"/>
  <c r="D1523" i="6"/>
  <c r="A1523" i="6"/>
  <c r="D1522" i="6"/>
  <c r="A1522" i="6"/>
  <c r="D1521" i="6"/>
  <c r="A1521" i="6"/>
  <c r="D1520" i="6"/>
  <c r="A1520" i="6"/>
  <c r="D1519" i="6"/>
  <c r="A1519" i="6"/>
  <c r="D1518" i="6"/>
  <c r="A1518" i="6"/>
  <c r="D1517" i="6"/>
  <c r="A1517" i="6"/>
  <c r="D1516" i="6"/>
  <c r="A1516" i="6"/>
  <c r="D1515" i="6"/>
  <c r="A1515" i="6"/>
  <c r="D1514" i="6"/>
  <c r="A1514" i="6"/>
  <c r="D1513" i="6"/>
  <c r="A1513" i="6"/>
  <c r="D1512" i="6"/>
  <c r="A1512" i="6"/>
  <c r="D1511" i="6"/>
  <c r="A1511" i="6"/>
  <c r="D1510" i="6"/>
  <c r="A1510" i="6"/>
  <c r="D1509" i="6"/>
  <c r="A1509" i="6"/>
  <c r="D1508" i="6"/>
  <c r="A1508" i="6"/>
  <c r="D1507" i="6"/>
  <c r="A1507" i="6"/>
  <c r="D1506" i="6"/>
  <c r="A1506" i="6"/>
  <c r="D1505" i="6"/>
  <c r="A1505" i="6"/>
  <c r="D1504" i="6"/>
  <c r="A1504" i="6"/>
  <c r="D1503" i="6"/>
  <c r="A1503" i="6"/>
  <c r="D1502" i="6"/>
  <c r="A1502" i="6"/>
  <c r="D1501" i="6"/>
  <c r="A1501" i="6"/>
  <c r="D1500" i="6"/>
  <c r="A1500" i="6"/>
  <c r="D1499" i="6"/>
  <c r="A1499" i="6"/>
  <c r="D1498" i="6"/>
  <c r="A1498" i="6"/>
  <c r="D1497" i="6"/>
  <c r="A1497" i="6"/>
  <c r="D1496" i="6"/>
  <c r="A1496" i="6"/>
  <c r="D1495" i="6"/>
  <c r="A1495" i="6"/>
  <c r="D1494" i="6"/>
  <c r="A1494" i="6"/>
  <c r="D1493" i="6"/>
  <c r="A1493" i="6"/>
  <c r="D1492" i="6"/>
  <c r="A1492" i="6"/>
  <c r="D1491" i="6"/>
  <c r="A1491" i="6"/>
  <c r="D1490" i="6"/>
  <c r="A1490" i="6"/>
  <c r="D1489" i="6"/>
  <c r="A1489" i="6"/>
  <c r="D1488" i="6"/>
  <c r="A1488" i="6"/>
  <c r="D1487" i="6"/>
  <c r="A1487" i="6"/>
  <c r="D1486" i="6"/>
  <c r="A1486" i="6"/>
  <c r="D1485" i="6"/>
  <c r="A1485" i="6"/>
  <c r="D1484" i="6"/>
  <c r="A1484" i="6"/>
  <c r="D1483" i="6"/>
  <c r="A1483" i="6"/>
  <c r="D1482" i="6"/>
  <c r="A1482" i="6"/>
  <c r="D1481" i="6"/>
  <c r="A1481" i="6"/>
  <c r="D1480" i="6"/>
  <c r="A1480" i="6"/>
  <c r="D1479" i="6"/>
  <c r="A1479" i="6"/>
  <c r="D1478" i="6"/>
  <c r="A1478" i="6"/>
  <c r="D1477" i="6"/>
  <c r="A1477" i="6"/>
  <c r="D1476" i="6"/>
  <c r="A1476" i="6"/>
  <c r="D1475" i="6"/>
  <c r="A1475" i="6"/>
  <c r="D1474" i="6"/>
  <c r="A1474" i="6"/>
  <c r="D1473" i="6"/>
  <c r="A1473" i="6"/>
  <c r="D1472" i="6"/>
  <c r="A1472" i="6"/>
  <c r="D1471" i="6"/>
  <c r="A1471" i="6"/>
  <c r="D1470" i="6"/>
  <c r="A1470" i="6"/>
  <c r="D1469" i="6"/>
  <c r="A1469" i="6"/>
  <c r="D1468" i="6"/>
  <c r="A1468" i="6"/>
  <c r="D1467" i="6"/>
  <c r="A1467" i="6"/>
  <c r="D1466" i="6"/>
  <c r="A1466" i="6"/>
  <c r="D1465" i="6"/>
  <c r="A1465" i="6"/>
  <c r="D1464" i="6"/>
  <c r="A1464" i="6"/>
  <c r="D1463" i="6"/>
  <c r="A1463" i="6"/>
  <c r="D1462" i="6"/>
  <c r="A1462" i="6"/>
  <c r="D1461" i="6"/>
  <c r="A1461" i="6"/>
  <c r="D1460" i="6"/>
  <c r="A1460" i="6"/>
  <c r="D1459" i="6"/>
  <c r="A1459" i="6"/>
  <c r="D1458" i="6"/>
  <c r="A1458" i="6"/>
  <c r="D1457" i="6"/>
  <c r="A1457" i="6"/>
  <c r="D1456" i="6"/>
  <c r="A1456" i="6"/>
  <c r="D1455" i="6"/>
  <c r="A1455" i="6"/>
  <c r="D1454" i="6"/>
  <c r="A1454" i="6"/>
  <c r="D1453"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D1381" i="6"/>
  <c r="A1381" i="6"/>
  <c r="D1380" i="6"/>
  <c r="A1380" i="6"/>
  <c r="A1379" i="6"/>
  <c r="D1378" i="6"/>
  <c r="A1378" i="6"/>
  <c r="D1377" i="6"/>
  <c r="A1377" i="6"/>
  <c r="D1376" i="6"/>
  <c r="A1376" i="6"/>
  <c r="D1375" i="6"/>
  <c r="A1375" i="6"/>
  <c r="D1374" i="6"/>
  <c r="A1374" i="6"/>
  <c r="D1373" i="6"/>
  <c r="A1373" i="6"/>
  <c r="D1372" i="6"/>
  <c r="A1372" i="6"/>
  <c r="D1371" i="6"/>
  <c r="A1371" i="6"/>
  <c r="D1370" i="6"/>
  <c r="A1370" i="6"/>
  <c r="D1369" i="6"/>
  <c r="A1369" i="6"/>
  <c r="D1368" i="6"/>
  <c r="A1368" i="6"/>
  <c r="D1367" i="6"/>
  <c r="A1367" i="6"/>
  <c r="D1366" i="6"/>
  <c r="A1366" i="6"/>
  <c r="D1365" i="6"/>
  <c r="A1365" i="6"/>
  <c r="D1364" i="6"/>
  <c r="A1364" i="6"/>
  <c r="D1363" i="6"/>
  <c r="A1363" i="6"/>
  <c r="D1362" i="6"/>
  <c r="A1362" i="6"/>
  <c r="D1361" i="6"/>
  <c r="A1361" i="6"/>
  <c r="D1360" i="6"/>
  <c r="A1360" i="6"/>
  <c r="D1359" i="6"/>
  <c r="A1359" i="6"/>
  <c r="D1358" i="6"/>
  <c r="A1358" i="6"/>
  <c r="D1357" i="6"/>
  <c r="A1357" i="6"/>
  <c r="D1356" i="6"/>
  <c r="A1356" i="6"/>
  <c r="D1355" i="6"/>
  <c r="A1355" i="6"/>
  <c r="D1354" i="6"/>
  <c r="A1354" i="6"/>
  <c r="A1353" i="6"/>
  <c r="D1352" i="6"/>
  <c r="A1352" i="6"/>
  <c r="D1351" i="6"/>
  <c r="A1351" i="6"/>
  <c r="D1350" i="6"/>
  <c r="A1350" i="6"/>
  <c r="D1349" i="6"/>
  <c r="A1349" i="6"/>
  <c r="D1348" i="6"/>
  <c r="A1348" i="6"/>
  <c r="D1347" i="6"/>
  <c r="A1347" i="6"/>
  <c r="D1346" i="6"/>
  <c r="A1346" i="6"/>
  <c r="D1345" i="6"/>
  <c r="A1345" i="6"/>
  <c r="D1344" i="6"/>
  <c r="A1344" i="6"/>
  <c r="D1343" i="6"/>
  <c r="A1343" i="6"/>
  <c r="D1342" i="6"/>
  <c r="A1342" i="6"/>
  <c r="D1341" i="6"/>
  <c r="A1341" i="6"/>
  <c r="D1340" i="6"/>
  <c r="A1340" i="6"/>
  <c r="A1339" i="6"/>
  <c r="D1338" i="6"/>
  <c r="A1338" i="6"/>
  <c r="D1337" i="6"/>
  <c r="A1337" i="6"/>
  <c r="D1336" i="6"/>
  <c r="A1336" i="6"/>
  <c r="D1335" i="6"/>
  <c r="A1335" i="6"/>
  <c r="D1334" i="6"/>
  <c r="A1334" i="6"/>
  <c r="D1333" i="6"/>
  <c r="A1333" i="6"/>
  <c r="D1332" i="6"/>
  <c r="A1332" i="6"/>
  <c r="D1331" i="6"/>
  <c r="A1331" i="6"/>
  <c r="D1330" i="6"/>
  <c r="A1330" i="6"/>
  <c r="D1329" i="6"/>
  <c r="A1329" i="6"/>
  <c r="D1328" i="6"/>
  <c r="A1328" i="6"/>
  <c r="D1327" i="6"/>
  <c r="A1327" i="6"/>
  <c r="D1326" i="6"/>
  <c r="A1326" i="6"/>
  <c r="D1325" i="6"/>
  <c r="A1325" i="6"/>
  <c r="A1324" i="6"/>
  <c r="A1323" i="6"/>
  <c r="A1322" i="6"/>
  <c r="A1321" i="6"/>
  <c r="A1320" i="6"/>
  <c r="A1319" i="6"/>
  <c r="A1318" i="6"/>
  <c r="D1317" i="6"/>
  <c r="A1317" i="6"/>
  <c r="D1316" i="6"/>
  <c r="A1316" i="6"/>
  <c r="D1315" i="6"/>
  <c r="A1315" i="6"/>
  <c r="D1314" i="6"/>
  <c r="A1314" i="6"/>
  <c r="D1313" i="6"/>
  <c r="A1313" i="6"/>
  <c r="D1312" i="6"/>
  <c r="A1312" i="6"/>
  <c r="D1311" i="6"/>
  <c r="A1311" i="6"/>
  <c r="D1310" i="6"/>
  <c r="A1310" i="6"/>
  <c r="D1309" i="6"/>
  <c r="A1309" i="6"/>
  <c r="D1308" i="6"/>
  <c r="A1308" i="6"/>
  <c r="D1307" i="6"/>
  <c r="A1307" i="6"/>
  <c r="D1306" i="6"/>
  <c r="A1306" i="6"/>
  <c r="D1305" i="6"/>
  <c r="A1305" i="6"/>
  <c r="A1304" i="6"/>
  <c r="D1303" i="6"/>
  <c r="A1303" i="6"/>
  <c r="D1302" i="6"/>
  <c r="A1302" i="6"/>
  <c r="D1301" i="6"/>
  <c r="A1301" i="6"/>
  <c r="D1300" i="6"/>
  <c r="A1300" i="6"/>
  <c r="D1299" i="6"/>
  <c r="A1299" i="6"/>
  <c r="D1298" i="6"/>
  <c r="A1298" i="6"/>
  <c r="D1297" i="6"/>
  <c r="A1297" i="6"/>
  <c r="D1296" i="6"/>
  <c r="A1296" i="6"/>
  <c r="D1295" i="6"/>
  <c r="A1295" i="6"/>
  <c r="D1294" i="6"/>
  <c r="A1294" i="6"/>
  <c r="D1293" i="6"/>
  <c r="A1293" i="6"/>
  <c r="A1292" i="6"/>
  <c r="A1291" i="6"/>
  <c r="D1290" i="6"/>
  <c r="A1290" i="6"/>
  <c r="A1289" i="6"/>
  <c r="D1288" i="6"/>
  <c r="A1288" i="6"/>
  <c r="A1287" i="6"/>
  <c r="A1286" i="6"/>
  <c r="D1285" i="6"/>
  <c r="A1285" i="6"/>
  <c r="A1284" i="6"/>
  <c r="A1283" i="6"/>
  <c r="A1282" i="6"/>
  <c r="D1281" i="6"/>
  <c r="A1281" i="6"/>
  <c r="D1280" i="6"/>
  <c r="A1280" i="6"/>
  <c r="D1279" i="6"/>
  <c r="A1279" i="6"/>
  <c r="D1278" i="6"/>
  <c r="A1278" i="6"/>
  <c r="A1277" i="6"/>
  <c r="D1276" i="6"/>
  <c r="A1276" i="6"/>
  <c r="D1275" i="6"/>
  <c r="A1275" i="6"/>
  <c r="D1274" i="6"/>
  <c r="A1274" i="6"/>
  <c r="D1273" i="6"/>
  <c r="A1273" i="6"/>
  <c r="D1272" i="6"/>
  <c r="A1272" i="6"/>
  <c r="D1271" i="6"/>
  <c r="A1271" i="6"/>
  <c r="D1270" i="6"/>
  <c r="A1270" i="6"/>
  <c r="D1269" i="6"/>
  <c r="A1269" i="6"/>
  <c r="D1268" i="6"/>
  <c r="A1268" i="6"/>
  <c r="D1267" i="6"/>
  <c r="A1267" i="6"/>
  <c r="D1266" i="6"/>
  <c r="A1266" i="6"/>
  <c r="D1265" i="6"/>
  <c r="A1265" i="6"/>
  <c r="D1264" i="6"/>
  <c r="A1264" i="6"/>
  <c r="D1263" i="6"/>
  <c r="A1263" i="6"/>
  <c r="D1262" i="6"/>
  <c r="A1262" i="6"/>
  <c r="D1261" i="6"/>
  <c r="A1261" i="6"/>
  <c r="D1260" i="6"/>
  <c r="A1260" i="6"/>
  <c r="D1259" i="6"/>
  <c r="A1259" i="6"/>
  <c r="D1258" i="6"/>
  <c r="A1258" i="6"/>
  <c r="A1257" i="6"/>
  <c r="A1256" i="6"/>
  <c r="A1255" i="6"/>
  <c r="A1254" i="6"/>
  <c r="A1253" i="6"/>
  <c r="A1252" i="6"/>
  <c r="A1251" i="6"/>
  <c r="A1250" i="6"/>
  <c r="A1249" i="6"/>
  <c r="A1248" i="6"/>
  <c r="A1247" i="6"/>
  <c r="A1246" i="6"/>
  <c r="A1245" i="6"/>
  <c r="A1244" i="6"/>
  <c r="A1243" i="6"/>
  <c r="D1242" i="6"/>
  <c r="A1242" i="6"/>
  <c r="A1241" i="6"/>
  <c r="A1240" i="6"/>
  <c r="A1239" i="6"/>
  <c r="A1238" i="6"/>
  <c r="D1237"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D1208" i="6"/>
  <c r="A1208" i="6"/>
  <c r="D1207" i="6"/>
  <c r="A1207" i="6"/>
  <c r="D1206" i="6"/>
  <c r="A1206" i="6"/>
  <c r="D1205" i="6"/>
  <c r="A1205" i="6"/>
  <c r="D1204" i="6"/>
  <c r="A1204" i="6"/>
  <c r="D1203" i="6"/>
  <c r="A1203" i="6"/>
  <c r="D1202" i="6"/>
  <c r="A1202" i="6"/>
  <c r="A1201" i="6"/>
  <c r="D1200" i="6"/>
  <c r="A1200" i="6"/>
  <c r="D1199" i="6"/>
  <c r="A1199" i="6"/>
  <c r="D1198" i="6"/>
  <c r="A1198" i="6"/>
  <c r="D1197" i="6"/>
  <c r="A1197" i="6"/>
  <c r="D1196" i="6"/>
  <c r="A1196" i="6"/>
  <c r="D1195" i="6"/>
  <c r="A1195" i="6"/>
  <c r="A1194" i="6"/>
  <c r="A1193" i="6"/>
  <c r="A1192" i="6"/>
  <c r="D1191" i="6"/>
  <c r="A1191" i="6"/>
  <c r="D1190" i="6"/>
  <c r="A1190" i="6"/>
  <c r="A1189" i="6"/>
  <c r="A1188" i="6"/>
  <c r="D1187" i="6"/>
  <c r="A1187" i="6"/>
  <c r="D1186" i="6"/>
  <c r="A1186" i="6"/>
  <c r="D1185" i="6"/>
  <c r="A1185" i="6"/>
  <c r="A1184" i="6"/>
  <c r="D1183" i="6"/>
  <c r="A1183" i="6"/>
  <c r="D1182" i="6"/>
  <c r="A1182" i="6"/>
  <c r="D1181" i="6"/>
  <c r="A1181" i="6"/>
  <c r="D1180" i="6"/>
  <c r="A1180" i="6"/>
  <c r="D1179" i="6"/>
  <c r="A1179" i="6"/>
  <c r="A1178" i="6"/>
  <c r="D1177" i="6"/>
  <c r="A1177" i="6"/>
  <c r="A1176" i="6"/>
  <c r="D1175" i="6"/>
  <c r="A1175" i="6"/>
  <c r="A1174" i="6"/>
  <c r="D1173" i="6"/>
  <c r="A1173" i="6"/>
  <c r="D1172" i="6"/>
  <c r="A1172" i="6"/>
  <c r="D1171" i="6"/>
  <c r="A1171" i="6"/>
  <c r="D1170" i="6"/>
  <c r="A1170" i="6"/>
  <c r="D1169" i="6"/>
  <c r="A1169" i="6"/>
  <c r="D1168" i="6"/>
  <c r="A1168" i="6"/>
  <c r="A1167" i="6"/>
  <c r="A1166" i="6"/>
  <c r="D1165" i="6"/>
  <c r="A1165" i="6"/>
  <c r="D1164" i="6"/>
  <c r="A1164" i="6"/>
  <c r="A1163" i="6"/>
  <c r="A1162" i="6"/>
  <c r="D1161" i="6"/>
  <c r="A1161" i="6"/>
  <c r="A1160" i="6"/>
  <c r="D1159" i="6"/>
  <c r="A1159" i="6"/>
  <c r="A1158" i="6"/>
  <c r="D1157" i="6"/>
  <c r="A1157" i="6"/>
  <c r="A1156" i="6"/>
  <c r="D1155" i="6"/>
  <c r="A1155" i="6"/>
  <c r="A1154" i="6"/>
  <c r="A1153" i="6"/>
  <c r="A1152" i="6"/>
  <c r="A1151" i="6"/>
  <c r="A1150" i="6"/>
  <c r="A1149" i="6"/>
  <c r="A1148" i="6"/>
  <c r="A1147" i="6"/>
  <c r="A1146" i="6"/>
  <c r="A1145" i="6"/>
  <c r="D1144" i="6"/>
  <c r="A1144" i="6"/>
  <c r="A1143" i="6"/>
  <c r="D1142" i="6"/>
  <c r="A1142" i="6"/>
  <c r="A1141" i="6"/>
  <c r="A1140" i="6"/>
  <c r="D1139" i="6"/>
  <c r="A1139" i="6"/>
  <c r="A1138" i="6"/>
  <c r="D1137" i="6"/>
  <c r="A1137" i="6"/>
  <c r="A1136" i="6"/>
  <c r="D1135" i="6"/>
  <c r="A1135" i="6"/>
  <c r="A1134" i="6"/>
  <c r="A1133" i="6"/>
  <c r="A1132" i="6"/>
  <c r="D1131" i="6"/>
  <c r="A1131" i="6"/>
  <c r="D1130" i="6"/>
  <c r="A1130" i="6"/>
  <c r="D1129" i="6"/>
  <c r="A1129" i="6"/>
  <c r="A1128" i="6"/>
  <c r="D1127" i="6"/>
  <c r="A1127" i="6"/>
  <c r="D1126" i="6"/>
  <c r="A1126" i="6"/>
  <c r="A1125" i="6"/>
  <c r="D1124" i="6"/>
  <c r="A1124" i="6"/>
  <c r="D1123" i="6"/>
  <c r="A1123" i="6"/>
  <c r="D1122" i="6"/>
  <c r="A1122" i="6"/>
  <c r="D1121" i="6"/>
  <c r="A1121" i="6"/>
  <c r="A1120" i="6"/>
  <c r="D1119" i="6"/>
  <c r="A1119" i="6"/>
  <c r="D1118" i="6"/>
  <c r="A1118" i="6"/>
  <c r="D1117" i="6"/>
  <c r="A1117" i="6"/>
  <c r="A1116" i="6"/>
  <c r="D1115" i="6"/>
  <c r="A1115" i="6"/>
  <c r="D1114" i="6"/>
  <c r="A1114" i="6"/>
  <c r="A1113" i="6"/>
  <c r="A1112" i="6"/>
  <c r="A1111" i="6"/>
  <c r="A1110" i="6"/>
  <c r="A1109" i="6"/>
  <c r="A1108" i="6"/>
  <c r="A1107" i="6"/>
  <c r="A1106" i="6"/>
  <c r="A1105" i="6"/>
  <c r="A1104" i="6"/>
  <c r="A1103" i="6"/>
  <c r="D1102" i="6"/>
  <c r="A1102" i="6"/>
  <c r="A1101" i="6"/>
  <c r="D1100" i="6"/>
  <c r="A1100" i="6"/>
  <c r="A1099" i="6"/>
  <c r="D1098" i="6"/>
  <c r="A1098" i="6"/>
  <c r="D1097" i="6"/>
  <c r="A1097" i="6"/>
  <c r="D1096" i="6"/>
  <c r="A1096" i="6"/>
  <c r="D1095" i="6"/>
  <c r="A1095" i="6"/>
  <c r="D1094" i="6"/>
  <c r="A1094" i="6"/>
  <c r="D1093" i="6"/>
  <c r="A1093" i="6"/>
  <c r="A1092" i="6"/>
  <c r="A1091" i="6"/>
  <c r="A1090" i="6"/>
  <c r="A1089" i="6"/>
  <c r="D1088" i="6"/>
  <c r="A1088" i="6"/>
  <c r="A1087" i="6"/>
  <c r="A1086" i="6"/>
  <c r="A1085" i="6"/>
  <c r="D1084" i="6"/>
  <c r="A1084" i="6"/>
  <c r="A1083" i="6"/>
  <c r="A1082" i="6"/>
  <c r="D1081" i="6"/>
  <c r="A1081" i="6"/>
  <c r="D1080" i="6"/>
  <c r="A1080" i="6"/>
  <c r="A1079" i="6"/>
  <c r="A1078" i="6"/>
  <c r="A1077" i="6"/>
  <c r="A1076" i="6"/>
  <c r="D1075" i="6"/>
  <c r="A1075" i="6"/>
  <c r="D1074" i="6"/>
  <c r="A1074" i="6"/>
  <c r="A1073" i="6"/>
  <c r="A1072" i="6"/>
  <c r="A1071" i="6"/>
  <c r="A1070" i="6"/>
  <c r="D1069" i="6"/>
  <c r="A1069" i="6"/>
  <c r="D1068" i="6"/>
  <c r="A1068" i="6"/>
  <c r="D1067" i="6"/>
  <c r="A1067" i="6"/>
  <c r="A1066" i="6"/>
  <c r="D1065" i="6"/>
  <c r="A1065" i="6"/>
  <c r="A1064" i="6"/>
  <c r="D1063" i="6"/>
  <c r="A1063" i="6"/>
  <c r="D1062" i="6"/>
  <c r="A1062" i="6"/>
  <c r="D1061" i="6"/>
  <c r="A1061" i="6"/>
  <c r="D1060" i="6"/>
  <c r="A1060" i="6"/>
  <c r="D1059" i="6"/>
  <c r="A1059" i="6"/>
  <c r="D1058" i="6"/>
  <c r="A1058" i="6"/>
  <c r="D1057" i="6"/>
  <c r="A1057" i="6"/>
  <c r="D1056" i="6"/>
  <c r="A1056" i="6"/>
  <c r="D1055" i="6"/>
  <c r="A1055" i="6"/>
  <c r="D1054" i="6"/>
  <c r="A1054" i="6"/>
  <c r="D1053" i="6"/>
  <c r="A1053" i="6"/>
  <c r="D1052" i="6"/>
  <c r="A1052" i="6"/>
  <c r="D1051" i="6"/>
  <c r="A1051" i="6"/>
  <c r="D1050" i="6"/>
  <c r="A1050" i="6"/>
  <c r="D1049" i="6"/>
  <c r="A1049" i="6"/>
  <c r="D1048" i="6"/>
  <c r="A1048" i="6"/>
  <c r="D1047" i="6"/>
  <c r="A1047" i="6"/>
  <c r="D1046" i="6"/>
  <c r="A1046" i="6"/>
  <c r="D1045" i="6"/>
  <c r="A1045" i="6"/>
  <c r="D1044" i="6"/>
  <c r="A1044" i="6"/>
  <c r="D1043" i="6"/>
  <c r="A1043" i="6"/>
  <c r="A1042" i="6"/>
  <c r="A1041" i="6"/>
  <c r="D1040" i="6"/>
  <c r="A1040" i="6"/>
  <c r="D1039" i="6"/>
  <c r="A1039" i="6"/>
  <c r="D1038" i="6"/>
  <c r="A1038" i="6"/>
  <c r="A1037" i="6"/>
  <c r="D1036" i="6"/>
  <c r="A1036" i="6"/>
  <c r="D1035" i="6"/>
  <c r="A1035" i="6"/>
  <c r="D1034" i="6"/>
  <c r="A1034" i="6"/>
  <c r="D1033" i="6"/>
  <c r="A1033" i="6"/>
  <c r="D1032" i="6"/>
  <c r="A1032" i="6"/>
  <c r="D1031" i="6"/>
  <c r="A1031" i="6"/>
  <c r="D1030" i="6"/>
  <c r="A1030" i="6"/>
  <c r="D1029" i="6"/>
  <c r="A1029" i="6"/>
  <c r="D1028" i="6"/>
  <c r="A1028" i="6"/>
  <c r="D1027" i="6"/>
  <c r="A1027" i="6"/>
  <c r="D1026" i="6"/>
  <c r="A1026" i="6"/>
  <c r="D1025" i="6"/>
  <c r="A1025" i="6"/>
  <c r="D1024" i="6"/>
  <c r="A1024" i="6"/>
  <c r="D1023" i="6"/>
  <c r="A1023" i="6"/>
  <c r="D1022" i="6"/>
  <c r="A1022" i="6"/>
  <c r="D1021" i="6"/>
  <c r="A1021" i="6"/>
  <c r="D1020" i="6"/>
  <c r="A1020" i="6"/>
  <c r="D1019" i="6"/>
  <c r="A1019" i="6"/>
  <c r="D1018" i="6"/>
  <c r="A1018" i="6"/>
  <c r="D1017" i="6"/>
  <c r="A1017" i="6"/>
  <c r="D1016" i="6"/>
  <c r="A1016" i="6"/>
  <c r="D1015" i="6"/>
  <c r="A1015" i="6"/>
  <c r="D1014" i="6"/>
  <c r="A1014" i="6"/>
  <c r="D1013" i="6"/>
  <c r="A1013" i="6"/>
  <c r="D1012" i="6"/>
  <c r="A1012" i="6"/>
  <c r="D1011" i="6"/>
  <c r="A1011" i="6"/>
  <c r="D1010" i="6"/>
  <c r="A1010" i="6"/>
  <c r="D1009" i="6"/>
  <c r="A1009" i="6"/>
  <c r="D1008" i="6"/>
  <c r="A1008" i="6"/>
  <c r="D1007" i="6"/>
  <c r="A1007" i="6"/>
  <c r="D1006" i="6"/>
  <c r="A1006" i="6"/>
  <c r="D1005" i="6"/>
  <c r="A1005" i="6"/>
  <c r="D1004" i="6"/>
  <c r="A1004" i="6"/>
  <c r="D1003" i="6"/>
  <c r="A1003" i="6"/>
  <c r="D1002" i="6"/>
  <c r="A1002" i="6"/>
  <c r="D1001" i="6"/>
  <c r="A1001" i="6"/>
  <c r="D1000" i="6"/>
  <c r="A1000" i="6"/>
  <c r="D999" i="6"/>
  <c r="A999" i="6"/>
  <c r="D998" i="6"/>
  <c r="A998" i="6"/>
  <c r="D997" i="6"/>
  <c r="A997" i="6"/>
  <c r="D996" i="6"/>
  <c r="A996" i="6"/>
  <c r="D995" i="6"/>
  <c r="A995" i="6"/>
  <c r="D994" i="6"/>
  <c r="A994" i="6"/>
  <c r="D993" i="6"/>
  <c r="A993" i="6"/>
  <c r="D992" i="6"/>
  <c r="A992" i="6"/>
  <c r="D991" i="6"/>
  <c r="A991" i="6"/>
  <c r="D990" i="6"/>
  <c r="A990" i="6"/>
  <c r="D989" i="6"/>
  <c r="A989" i="6"/>
  <c r="D988" i="6"/>
  <c r="A988" i="6"/>
  <c r="D987" i="6"/>
  <c r="A987" i="6"/>
  <c r="D986" i="6"/>
  <c r="A986" i="6"/>
  <c r="D985" i="6"/>
  <c r="A985" i="6"/>
  <c r="D984" i="6"/>
  <c r="A984" i="6"/>
  <c r="D983" i="6"/>
  <c r="A983" i="6"/>
  <c r="D982" i="6"/>
  <c r="A982" i="6"/>
  <c r="D981" i="6"/>
  <c r="A981" i="6"/>
  <c r="D980" i="6"/>
  <c r="A980" i="6"/>
  <c r="D979" i="6"/>
  <c r="A979" i="6"/>
  <c r="D978" i="6"/>
  <c r="A978" i="6"/>
  <c r="D977" i="6"/>
  <c r="A977" i="6"/>
  <c r="D976" i="6"/>
  <c r="A976" i="6"/>
  <c r="D975" i="6"/>
  <c r="A975" i="6"/>
  <c r="D974" i="6"/>
  <c r="A974" i="6"/>
  <c r="D973" i="6"/>
  <c r="A973" i="6"/>
  <c r="D972" i="6"/>
  <c r="A972" i="6"/>
  <c r="D971" i="6"/>
  <c r="A971" i="6"/>
  <c r="D970" i="6"/>
  <c r="A970" i="6"/>
  <c r="D969" i="6"/>
  <c r="A969" i="6"/>
  <c r="D968" i="6"/>
  <c r="A968" i="6"/>
  <c r="D967" i="6"/>
  <c r="A967" i="6"/>
  <c r="D966" i="6"/>
  <c r="A966" i="6"/>
  <c r="D965" i="6"/>
  <c r="A965" i="6"/>
  <c r="D964" i="6"/>
  <c r="A964" i="6"/>
  <c r="D963" i="6"/>
  <c r="A963" i="6"/>
  <c r="D962" i="6"/>
  <c r="A962" i="6"/>
  <c r="D961" i="6"/>
  <c r="A961" i="6"/>
  <c r="D960" i="6"/>
  <c r="A960" i="6"/>
  <c r="D959" i="6"/>
  <c r="A959" i="6"/>
  <c r="D958" i="6"/>
  <c r="A958" i="6"/>
  <c r="D957" i="6"/>
  <c r="A957" i="6"/>
  <c r="D956" i="6"/>
  <c r="A956" i="6"/>
  <c r="D955" i="6"/>
  <c r="A955" i="6"/>
  <c r="D954" i="6"/>
  <c r="A954" i="6"/>
  <c r="D953" i="6"/>
  <c r="A953" i="6"/>
  <c r="D952" i="6"/>
  <c r="A952" i="6"/>
  <c r="D951" i="6"/>
  <c r="A951" i="6"/>
  <c r="D950" i="6"/>
  <c r="A950" i="6"/>
  <c r="D949" i="6"/>
  <c r="A949" i="6"/>
  <c r="D948" i="6"/>
  <c r="A948" i="6"/>
  <c r="D947" i="6"/>
  <c r="A947" i="6"/>
  <c r="D946" i="6"/>
  <c r="A946" i="6"/>
  <c r="D945" i="6"/>
  <c r="A945" i="6"/>
  <c r="D944" i="6"/>
  <c r="A944" i="6"/>
  <c r="D943" i="6"/>
  <c r="A943" i="6"/>
  <c r="D942" i="6"/>
  <c r="A942" i="6"/>
  <c r="D941" i="6"/>
  <c r="A941" i="6"/>
  <c r="D940" i="6"/>
  <c r="A940" i="6"/>
  <c r="D939" i="6"/>
  <c r="A939" i="6"/>
  <c r="D938" i="6"/>
  <c r="A938" i="6"/>
  <c r="D937" i="6"/>
  <c r="A937" i="6"/>
  <c r="D936" i="6"/>
  <c r="A936" i="6"/>
  <c r="D935" i="6"/>
  <c r="A935" i="6"/>
  <c r="D934" i="6"/>
  <c r="A934" i="6"/>
  <c r="D933" i="6"/>
  <c r="A933" i="6"/>
  <c r="A932" i="6"/>
  <c r="A931" i="6"/>
  <c r="A930" i="6"/>
  <c r="A929" i="6"/>
  <c r="A928" i="6"/>
  <c r="A927" i="6"/>
  <c r="A926" i="6"/>
  <c r="A925" i="6"/>
  <c r="D924" i="6"/>
  <c r="A924" i="6"/>
  <c r="D923" i="6"/>
  <c r="A923" i="6"/>
  <c r="D922" i="6"/>
  <c r="A922" i="6"/>
  <c r="D921" i="6"/>
  <c r="A921" i="6"/>
  <c r="D920" i="6"/>
  <c r="A920" i="6"/>
  <c r="D919" i="6"/>
  <c r="A919" i="6"/>
  <c r="D918" i="6"/>
  <c r="A918" i="6"/>
  <c r="D917" i="6"/>
  <c r="A917" i="6"/>
  <c r="D916" i="6"/>
  <c r="A916" i="6"/>
  <c r="D915" i="6"/>
  <c r="A915" i="6"/>
  <c r="D914" i="6"/>
  <c r="A914" i="6"/>
  <c r="D913" i="6"/>
  <c r="A913" i="6"/>
  <c r="D912" i="6"/>
  <c r="A912" i="6"/>
  <c r="D911" i="6"/>
  <c r="A911" i="6"/>
  <c r="D910" i="6"/>
  <c r="A910" i="6"/>
  <c r="D909" i="6"/>
  <c r="A909" i="6"/>
  <c r="D908" i="6"/>
  <c r="A908" i="6"/>
  <c r="D907" i="6"/>
  <c r="A907" i="6"/>
  <c r="D906" i="6"/>
  <c r="A906" i="6"/>
  <c r="D905" i="6"/>
  <c r="A905" i="6"/>
  <c r="D904" i="6"/>
  <c r="A904" i="6"/>
  <c r="D903" i="6"/>
  <c r="A903" i="6"/>
  <c r="D902" i="6"/>
  <c r="A902" i="6"/>
  <c r="D901" i="6"/>
  <c r="A901" i="6"/>
  <c r="D900" i="6"/>
  <c r="A900" i="6"/>
  <c r="D899" i="6"/>
  <c r="A899" i="6"/>
  <c r="D898" i="6"/>
  <c r="A898" i="6"/>
  <c r="D897" i="6"/>
  <c r="A897" i="6"/>
  <c r="D896" i="6"/>
  <c r="A896" i="6"/>
  <c r="D895" i="6"/>
  <c r="A895" i="6"/>
  <c r="D894" i="6"/>
  <c r="A894" i="6"/>
  <c r="D893" i="6"/>
  <c r="A893" i="6"/>
  <c r="D892" i="6"/>
  <c r="A892" i="6"/>
  <c r="D891" i="6"/>
  <c r="A891" i="6"/>
  <c r="D890" i="6"/>
  <c r="A890" i="6"/>
  <c r="D889" i="6"/>
  <c r="A889" i="6"/>
  <c r="D888" i="6"/>
  <c r="A888" i="6"/>
  <c r="A887" i="6"/>
  <c r="D886" i="6"/>
  <c r="A886" i="6"/>
  <c r="D885" i="6"/>
  <c r="A885" i="6"/>
  <c r="D884" i="6"/>
  <c r="A884" i="6"/>
  <c r="D883" i="6"/>
  <c r="A883" i="6"/>
  <c r="D882" i="6"/>
  <c r="A882" i="6"/>
  <c r="D881" i="6"/>
  <c r="A881" i="6"/>
  <c r="D880" i="6"/>
  <c r="A880" i="6"/>
  <c r="D879" i="6"/>
  <c r="A879" i="6"/>
  <c r="D878" i="6"/>
  <c r="A878" i="6"/>
  <c r="D877" i="6"/>
  <c r="A877" i="6"/>
  <c r="D876" i="6"/>
  <c r="A876" i="6"/>
  <c r="D875" i="6"/>
  <c r="A875" i="6"/>
  <c r="D874" i="6"/>
  <c r="A874" i="6"/>
  <c r="D873" i="6"/>
  <c r="A873" i="6"/>
  <c r="D872" i="6"/>
  <c r="A872" i="6"/>
  <c r="D871" i="6"/>
  <c r="A871" i="6"/>
  <c r="D870" i="6"/>
  <c r="A870" i="6"/>
  <c r="D869" i="6"/>
  <c r="A869" i="6"/>
  <c r="D868" i="6"/>
  <c r="A868" i="6"/>
  <c r="D867" i="6"/>
  <c r="A867" i="6"/>
  <c r="D866" i="6"/>
  <c r="A866" i="6"/>
  <c r="D865" i="6"/>
  <c r="A865" i="6"/>
  <c r="D864" i="6"/>
  <c r="A864" i="6"/>
  <c r="D863" i="6"/>
  <c r="A863" i="6"/>
  <c r="D862" i="6"/>
  <c r="A862" i="6"/>
  <c r="D861" i="6"/>
  <c r="A861" i="6"/>
  <c r="D860" i="6"/>
  <c r="A860" i="6"/>
  <c r="D859" i="6"/>
  <c r="A859" i="6"/>
  <c r="D858" i="6"/>
  <c r="A858" i="6"/>
  <c r="D857" i="6"/>
  <c r="A857" i="6"/>
  <c r="D856" i="6"/>
  <c r="A856" i="6"/>
  <c r="D855" i="6"/>
  <c r="A855" i="6"/>
  <c r="D854" i="6"/>
  <c r="A854" i="6"/>
  <c r="D853" i="6"/>
  <c r="A853" i="6"/>
  <c r="D852" i="6"/>
  <c r="A852" i="6"/>
  <c r="D851" i="6"/>
  <c r="A851" i="6"/>
  <c r="D850" i="6"/>
  <c r="A850" i="6"/>
  <c r="D849" i="6"/>
  <c r="A849" i="6"/>
  <c r="D848" i="6"/>
  <c r="A848" i="6"/>
  <c r="D847" i="6"/>
  <c r="A847" i="6"/>
  <c r="D846" i="6"/>
  <c r="A846" i="6"/>
  <c r="D845" i="6"/>
  <c r="A845" i="6"/>
  <c r="D844" i="6"/>
  <c r="A844" i="6"/>
  <c r="D843" i="6"/>
  <c r="A843" i="6"/>
  <c r="D842" i="6"/>
  <c r="A842" i="6"/>
  <c r="D841" i="6"/>
  <c r="A841" i="6"/>
  <c r="D840" i="6"/>
  <c r="A840" i="6"/>
  <c r="D839" i="6"/>
  <c r="A839" i="6"/>
  <c r="D838" i="6"/>
  <c r="A838" i="6"/>
  <c r="A837" i="6"/>
  <c r="D836" i="6"/>
  <c r="A836" i="6"/>
  <c r="D835" i="6"/>
  <c r="A835" i="6"/>
  <c r="D834" i="6"/>
  <c r="A834" i="6"/>
  <c r="D833" i="6"/>
  <c r="A833" i="6"/>
  <c r="D832" i="6"/>
  <c r="A832" i="6"/>
  <c r="A831" i="6"/>
  <c r="D830" i="6"/>
  <c r="A830" i="6"/>
  <c r="D829" i="6"/>
  <c r="A829" i="6"/>
  <c r="D828" i="6"/>
  <c r="A828" i="6"/>
  <c r="D827" i="6"/>
  <c r="A827" i="6"/>
  <c r="D826" i="6"/>
  <c r="A826" i="6"/>
  <c r="D825" i="6"/>
  <c r="A825" i="6"/>
  <c r="D824" i="6"/>
  <c r="A824" i="6"/>
  <c r="A823" i="6"/>
  <c r="D822" i="6"/>
  <c r="A822" i="6"/>
  <c r="D821" i="6"/>
  <c r="A821" i="6"/>
  <c r="D820" i="6"/>
  <c r="A820" i="6"/>
  <c r="D819" i="6"/>
  <c r="A819" i="6"/>
  <c r="D818" i="6"/>
  <c r="A818" i="6"/>
  <c r="D817" i="6"/>
  <c r="A817" i="6"/>
  <c r="D816" i="6"/>
  <c r="A816" i="6"/>
  <c r="D815" i="6"/>
  <c r="A815" i="6"/>
  <c r="D814" i="6"/>
  <c r="A814" i="6"/>
  <c r="D813" i="6"/>
  <c r="A813" i="6"/>
  <c r="A812" i="6"/>
  <c r="D811" i="6"/>
  <c r="A811" i="6"/>
  <c r="D810" i="6"/>
  <c r="A810" i="6"/>
  <c r="D809" i="6"/>
  <c r="A809" i="6"/>
  <c r="D808" i="6"/>
  <c r="A808" i="6"/>
  <c r="D807" i="6"/>
  <c r="A807" i="6"/>
  <c r="D806" i="6"/>
  <c r="A806" i="6"/>
  <c r="D805" i="6"/>
  <c r="A805" i="6"/>
  <c r="D804" i="6"/>
  <c r="A804" i="6"/>
  <c r="D803" i="6"/>
  <c r="A803" i="6"/>
  <c r="A802" i="6"/>
  <c r="D801" i="6"/>
  <c r="A801" i="6"/>
  <c r="D800" i="6"/>
  <c r="A800" i="6"/>
  <c r="D799" i="6"/>
  <c r="A799" i="6"/>
  <c r="D798" i="6"/>
  <c r="A798" i="6"/>
  <c r="D797" i="6"/>
  <c r="A797" i="6"/>
  <c r="D796" i="6"/>
  <c r="A796" i="6"/>
  <c r="D795" i="6"/>
  <c r="A795" i="6"/>
  <c r="D794" i="6"/>
  <c r="A794" i="6"/>
  <c r="D793" i="6"/>
  <c r="A793" i="6"/>
  <c r="D792" i="6"/>
  <c r="A792" i="6"/>
  <c r="D791" i="6"/>
  <c r="A791" i="6"/>
  <c r="D790" i="6"/>
  <c r="A790" i="6"/>
  <c r="A789" i="6"/>
  <c r="A788" i="6"/>
  <c r="A787" i="6"/>
  <c r="A786" i="6"/>
  <c r="A785" i="6"/>
  <c r="D784" i="6"/>
  <c r="A784" i="6"/>
  <c r="A783" i="6"/>
  <c r="A782" i="6"/>
  <c r="A781" i="6"/>
  <c r="A780" i="6"/>
  <c r="A779" i="6"/>
  <c r="A778" i="6"/>
  <c r="A777" i="6"/>
  <c r="A776" i="6"/>
  <c r="A775" i="6"/>
  <c r="A774" i="6"/>
  <c r="A773" i="6"/>
  <c r="A772" i="6"/>
  <c r="A771" i="6"/>
  <c r="A770" i="6"/>
  <c r="D769" i="6"/>
  <c r="A769" i="6"/>
  <c r="A768" i="6"/>
  <c r="A767" i="6"/>
  <c r="A766" i="6"/>
  <c r="A765" i="6"/>
  <c r="A764" i="6"/>
  <c r="A763" i="6"/>
  <c r="A762" i="6"/>
  <c r="D761" i="6"/>
  <c r="A761" i="6"/>
  <c r="D760" i="6"/>
  <c r="A760" i="6"/>
  <c r="A759" i="6"/>
  <c r="A758" i="6"/>
  <c r="A757" i="6"/>
  <c r="A756" i="6"/>
  <c r="A755" i="6"/>
  <c r="A754" i="6"/>
  <c r="A753" i="6"/>
  <c r="A752" i="6"/>
  <c r="A751" i="6"/>
  <c r="D750" i="6"/>
  <c r="A750" i="6"/>
  <c r="A749" i="6"/>
  <c r="A748" i="6"/>
  <c r="A747" i="6"/>
  <c r="A746" i="6"/>
  <c r="A745" i="6"/>
  <c r="A744" i="6"/>
  <c r="A743" i="6"/>
  <c r="D742" i="6"/>
  <c r="A742" i="6"/>
  <c r="A741" i="6"/>
  <c r="A740" i="6"/>
  <c r="A739" i="6"/>
  <c r="A738" i="6"/>
  <c r="A737" i="6"/>
  <c r="A736" i="6"/>
  <c r="D735" i="6"/>
  <c r="A735" i="6"/>
  <c r="A734" i="6"/>
  <c r="D733" i="6"/>
  <c r="A733" i="6"/>
  <c r="A732" i="6"/>
  <c r="A731" i="6"/>
  <c r="A730" i="6"/>
  <c r="A729" i="6"/>
  <c r="D728" i="6"/>
  <c r="A728" i="6"/>
  <c r="D727" i="6"/>
  <c r="A727" i="6"/>
  <c r="D726" i="6"/>
  <c r="A726" i="6"/>
  <c r="D725" i="6"/>
  <c r="A725" i="6"/>
  <c r="D724" i="6"/>
  <c r="A724" i="6"/>
  <c r="D723" i="6"/>
  <c r="A723" i="6"/>
  <c r="D722" i="6"/>
  <c r="D721" i="6"/>
  <c r="A721" i="6"/>
  <c r="A720" i="6"/>
  <c r="A719" i="6"/>
  <c r="A718" i="6"/>
  <c r="A717" i="6"/>
  <c r="D716" i="6"/>
  <c r="A716" i="6"/>
  <c r="D715" i="6"/>
  <c r="A715" i="6"/>
  <c r="A714" i="6"/>
  <c r="D713" i="6"/>
  <c r="A713" i="6"/>
  <c r="D712" i="6"/>
  <c r="A712" i="6"/>
  <c r="D711" i="6"/>
  <c r="A711" i="6"/>
  <c r="D710" i="6"/>
  <c r="A710" i="6"/>
  <c r="D709" i="6"/>
  <c r="A709" i="6"/>
  <c r="D708" i="6"/>
  <c r="A708" i="6"/>
  <c r="D707" i="6"/>
  <c r="A707" i="6"/>
  <c r="D706" i="6"/>
  <c r="A706" i="6"/>
  <c r="D705" i="6"/>
  <c r="A705" i="6"/>
  <c r="D704" i="6"/>
  <c r="A704" i="6"/>
  <c r="D703" i="6"/>
  <c r="A703" i="6"/>
  <c r="D702" i="6"/>
  <c r="A702" i="6"/>
  <c r="D701" i="6"/>
  <c r="A701" i="6"/>
  <c r="D700" i="6"/>
  <c r="A700" i="6"/>
  <c r="D699" i="6"/>
  <c r="A699" i="6"/>
  <c r="D698" i="6"/>
  <c r="A698" i="6"/>
  <c r="D697" i="6"/>
  <c r="A697" i="6"/>
  <c r="D696" i="6"/>
  <c r="A696" i="6"/>
  <c r="D695" i="6"/>
  <c r="A695" i="6"/>
  <c r="A694" i="6"/>
  <c r="D693" i="6"/>
  <c r="A693" i="6"/>
  <c r="D692" i="6"/>
  <c r="A692" i="6"/>
  <c r="D691" i="6"/>
  <c r="A691" i="6"/>
  <c r="D690" i="6"/>
  <c r="A690" i="6"/>
  <c r="D689" i="6"/>
  <c r="A689" i="6"/>
  <c r="D688" i="6"/>
  <c r="A688" i="6"/>
  <c r="D687" i="6"/>
  <c r="A687" i="6"/>
  <c r="D686" i="6"/>
  <c r="A686" i="6"/>
  <c r="D685" i="6"/>
  <c r="A685" i="6"/>
  <c r="D684" i="6"/>
  <c r="A684" i="6"/>
  <c r="D683" i="6"/>
  <c r="A683" i="6"/>
  <c r="D682" i="6"/>
  <c r="A682" i="6"/>
  <c r="D681" i="6"/>
  <c r="A681" i="6"/>
  <c r="D680" i="6"/>
  <c r="A680" i="6"/>
  <c r="D679" i="6"/>
  <c r="A679" i="6"/>
  <c r="D678" i="6"/>
  <c r="A678" i="6"/>
  <c r="D677" i="6"/>
  <c r="A677" i="6"/>
  <c r="D676" i="6"/>
  <c r="A676" i="6"/>
  <c r="D675" i="6"/>
  <c r="A675" i="6"/>
  <c r="D674" i="6"/>
  <c r="A674" i="6"/>
  <c r="D673" i="6"/>
  <c r="D669" i="6"/>
  <c r="D668" i="6"/>
  <c r="D664" i="6"/>
  <c r="A661" i="6"/>
  <c r="A660" i="6"/>
  <c r="D659" i="6"/>
  <c r="A659" i="6"/>
  <c r="A658" i="6"/>
  <c r="A657" i="6"/>
  <c r="D656" i="6"/>
  <c r="A656" i="6"/>
  <c r="D655" i="6"/>
  <c r="A655" i="6"/>
  <c r="D654" i="6"/>
  <c r="A654" i="6"/>
  <c r="A653" i="6"/>
  <c r="D652" i="6"/>
  <c r="A652" i="6"/>
  <c r="A651" i="6"/>
  <c r="D650" i="6"/>
  <c r="A650" i="6"/>
  <c r="A649" i="6"/>
  <c r="D648" i="6"/>
  <c r="A648" i="6"/>
  <c r="A647" i="6"/>
  <c r="A646" i="6"/>
  <c r="D645" i="6"/>
  <c r="A645" i="6"/>
  <c r="A644" i="6"/>
  <c r="A643" i="6"/>
  <c r="A642" i="6"/>
  <c r="D641" i="6"/>
  <c r="A641" i="6"/>
  <c r="A640" i="6"/>
  <c r="A639" i="6"/>
  <c r="A638" i="6"/>
  <c r="A637" i="6"/>
  <c r="A636" i="6"/>
  <c r="A635" i="6"/>
  <c r="A634" i="6"/>
  <c r="D633" i="6"/>
  <c r="A633" i="6"/>
  <c r="A632" i="6"/>
  <c r="D631" i="6"/>
  <c r="A631" i="6"/>
  <c r="A630" i="6"/>
  <c r="D629" i="6"/>
  <c r="A629" i="6"/>
  <c r="A628" i="6"/>
  <c r="A627" i="6"/>
  <c r="A626" i="6"/>
  <c r="A625" i="6"/>
  <c r="A624" i="6"/>
  <c r="D623" i="6"/>
  <c r="A623" i="6"/>
  <c r="D622" i="6"/>
  <c r="A622" i="6"/>
  <c r="D621" i="6"/>
  <c r="A621" i="6"/>
  <c r="D620" i="6"/>
  <c r="A620" i="6"/>
  <c r="A619" i="6"/>
  <c r="A618" i="6"/>
  <c r="A617" i="6"/>
  <c r="A616" i="6"/>
  <c r="D615" i="6"/>
  <c r="A615" i="6"/>
  <c r="D614" i="6"/>
  <c r="A614" i="6"/>
  <c r="D613" i="6"/>
  <c r="A613" i="6"/>
  <c r="D612" i="6"/>
  <c r="A612" i="6"/>
  <c r="D611" i="6"/>
  <c r="A611" i="6"/>
  <c r="A610" i="6"/>
  <c r="A609" i="6"/>
  <c r="D608" i="6"/>
  <c r="A608" i="6"/>
  <c r="D607" i="6"/>
  <c r="A607" i="6"/>
  <c r="A606" i="6"/>
  <c r="D605" i="6"/>
  <c r="A605" i="6"/>
  <c r="D604" i="6"/>
  <c r="A604" i="6"/>
  <c r="D603" i="6"/>
  <c r="A603" i="6"/>
  <c r="D602" i="6"/>
  <c r="A602" i="6"/>
  <c r="A601" i="6"/>
  <c r="A600" i="6"/>
  <c r="A599" i="6"/>
  <c r="D598" i="6"/>
  <c r="A598" i="6"/>
  <c r="D597" i="6"/>
  <c r="A597" i="6"/>
  <c r="D596" i="6"/>
  <c r="A596" i="6"/>
  <c r="D595" i="6"/>
  <c r="A595" i="6"/>
  <c r="D594" i="6"/>
  <c r="A594" i="6"/>
  <c r="D593" i="6"/>
  <c r="A593" i="6"/>
  <c r="D592" i="6"/>
  <c r="A592" i="6"/>
  <c r="D591" i="6"/>
  <c r="A591" i="6"/>
  <c r="A590" i="6"/>
  <c r="A589" i="6"/>
  <c r="D588" i="6"/>
  <c r="A588" i="6"/>
  <c r="D587" i="6"/>
  <c r="A587" i="6"/>
  <c r="D586" i="6"/>
  <c r="A586" i="6"/>
  <c r="A585" i="6"/>
  <c r="D584" i="6"/>
  <c r="A584" i="6"/>
  <c r="D583" i="6"/>
  <c r="A583" i="6"/>
  <c r="A582" i="6"/>
  <c r="A581" i="6"/>
  <c r="D580" i="6"/>
  <c r="A580" i="6"/>
  <c r="D579" i="6"/>
  <c r="A579" i="6"/>
  <c r="A578" i="6"/>
  <c r="D577" i="6"/>
  <c r="A577" i="6"/>
  <c r="A576" i="6"/>
  <c r="D575" i="6"/>
  <c r="A575" i="6"/>
  <c r="A574" i="6"/>
  <c r="A573" i="6"/>
  <c r="D572" i="6"/>
  <c r="A572" i="6"/>
  <c r="A571" i="6"/>
  <c r="D570" i="6"/>
  <c r="A570" i="6"/>
  <c r="D569" i="6"/>
  <c r="A569" i="6"/>
  <c r="D568" i="6"/>
  <c r="A568" i="6"/>
  <c r="D567" i="6"/>
  <c r="A567" i="6"/>
  <c r="A566" i="6"/>
  <c r="D565" i="6"/>
  <c r="A565" i="6"/>
  <c r="D564" i="6"/>
  <c r="A564" i="6"/>
  <c r="D563" i="6"/>
  <c r="A563" i="6"/>
  <c r="D562" i="6"/>
  <c r="A562" i="6"/>
  <c r="D561" i="6"/>
  <c r="A561" i="6"/>
  <c r="D560" i="6"/>
  <c r="A560" i="6"/>
  <c r="D559" i="6"/>
  <c r="A559" i="6"/>
  <c r="D558" i="6"/>
  <c r="A558" i="6"/>
  <c r="D557" i="6"/>
  <c r="A557" i="6"/>
  <c r="D556" i="6"/>
  <c r="A556" i="6"/>
  <c r="D555" i="6"/>
  <c r="A555" i="6"/>
  <c r="D554" i="6"/>
  <c r="A554" i="6"/>
  <c r="D553" i="6"/>
  <c r="A553" i="6"/>
  <c r="A552" i="6"/>
  <c r="D551" i="6"/>
  <c r="A551" i="6"/>
  <c r="D550" i="6"/>
  <c r="A550" i="6"/>
  <c r="D549" i="6"/>
  <c r="A549" i="6"/>
  <c r="D548" i="6"/>
  <c r="A548" i="6"/>
  <c r="D547" i="6"/>
  <c r="A547" i="6"/>
  <c r="D546" i="6"/>
  <c r="A546" i="6"/>
  <c r="A545" i="6"/>
  <c r="D544" i="6"/>
  <c r="A544" i="6"/>
  <c r="D543" i="6"/>
  <c r="A543" i="6"/>
  <c r="A542" i="6"/>
  <c r="A541" i="6"/>
  <c r="A540" i="6"/>
  <c r="A539" i="6"/>
  <c r="D538" i="6"/>
  <c r="A538" i="6"/>
  <c r="A537" i="6"/>
  <c r="D536" i="6"/>
  <c r="A536" i="6"/>
  <c r="D535" i="6"/>
  <c r="A535" i="6"/>
  <c r="D534" i="6"/>
  <c r="A534" i="6"/>
  <c r="A533" i="6"/>
  <c r="A532" i="6"/>
  <c r="D531" i="6"/>
  <c r="A531" i="6"/>
  <c r="A530" i="6"/>
  <c r="D529" i="6"/>
  <c r="A529" i="6"/>
  <c r="D528" i="6"/>
  <c r="A528" i="6"/>
  <c r="D527" i="6"/>
  <c r="A527" i="6"/>
  <c r="A526" i="6"/>
  <c r="A525" i="6"/>
  <c r="D524" i="6"/>
  <c r="A524" i="6"/>
  <c r="D523" i="6"/>
  <c r="A523" i="6"/>
  <c r="D522" i="6"/>
  <c r="A522" i="6"/>
  <c r="A521" i="6"/>
  <c r="D520" i="6"/>
  <c r="A520" i="6"/>
  <c r="D519" i="6"/>
  <c r="A519" i="6"/>
  <c r="D518" i="6"/>
  <c r="A518" i="6"/>
  <c r="D517" i="6"/>
  <c r="A517" i="6"/>
  <c r="D516" i="6"/>
  <c r="A516" i="6"/>
  <c r="A515" i="6"/>
  <c r="D514" i="6"/>
  <c r="A514" i="6"/>
  <c r="D513" i="6"/>
  <c r="A513" i="6"/>
  <c r="A512" i="6"/>
  <c r="D511" i="6"/>
  <c r="A511" i="6"/>
  <c r="D510" i="6"/>
  <c r="A510" i="6"/>
  <c r="D509" i="6"/>
  <c r="A509" i="6"/>
  <c r="D508" i="6"/>
  <c r="A508" i="6"/>
  <c r="D507" i="6"/>
  <c r="A507" i="6"/>
  <c r="A506" i="6"/>
  <c r="D505" i="6"/>
  <c r="A505" i="6"/>
  <c r="D504" i="6"/>
  <c r="A504" i="6"/>
  <c r="D503" i="6"/>
  <c r="A503" i="6"/>
  <c r="D502" i="6"/>
  <c r="A502" i="6"/>
  <c r="A501" i="6"/>
  <c r="D500" i="6"/>
  <c r="A500" i="6"/>
  <c r="D499" i="6"/>
  <c r="A499" i="6"/>
  <c r="A498" i="6"/>
  <c r="D497" i="6"/>
  <c r="A497" i="6"/>
  <c r="A496" i="6"/>
  <c r="A495" i="6"/>
  <c r="D494" i="6"/>
  <c r="A494" i="6"/>
  <c r="D493" i="6"/>
  <c r="A493" i="6"/>
  <c r="A492" i="6"/>
  <c r="D491" i="6"/>
  <c r="A491" i="6"/>
  <c r="D490" i="6"/>
  <c r="A490" i="6"/>
  <c r="D489" i="6"/>
  <c r="A489" i="6"/>
  <c r="D488" i="6"/>
  <c r="A488" i="6"/>
  <c r="D487" i="6"/>
  <c r="A487" i="6"/>
  <c r="D486" i="6"/>
  <c r="A486" i="6"/>
  <c r="D485" i="6"/>
  <c r="A485" i="6"/>
  <c r="D484" i="6"/>
  <c r="A484" i="6"/>
  <c r="D483" i="6"/>
  <c r="A483" i="6"/>
  <c r="D482" i="6"/>
  <c r="A482" i="6"/>
  <c r="D481" i="6"/>
  <c r="A481" i="6"/>
  <c r="D480" i="6"/>
  <c r="A480" i="6"/>
  <c r="D479" i="6"/>
  <c r="A479" i="6"/>
  <c r="D478" i="6"/>
  <c r="A478" i="6"/>
  <c r="D477" i="6"/>
  <c r="A477" i="6"/>
  <c r="D476" i="6"/>
  <c r="A476" i="6"/>
  <c r="D475" i="6"/>
  <c r="A475" i="6"/>
  <c r="D474" i="6"/>
  <c r="A474" i="6"/>
  <c r="D473" i="6"/>
  <c r="A473" i="6"/>
  <c r="D472" i="6"/>
  <c r="A472" i="6"/>
  <c r="D471" i="6"/>
  <c r="A471" i="6"/>
  <c r="D470" i="6"/>
  <c r="A470" i="6"/>
  <c r="D469" i="6"/>
  <c r="A469" i="6"/>
  <c r="D468" i="6"/>
  <c r="A468" i="6"/>
  <c r="D467" i="6"/>
  <c r="A467" i="6"/>
  <c r="D466" i="6"/>
  <c r="A466" i="6"/>
  <c r="D465" i="6"/>
  <c r="A465" i="6"/>
  <c r="D464" i="6"/>
  <c r="A464" i="6"/>
  <c r="D463" i="6"/>
  <c r="A463" i="6"/>
  <c r="D462" i="6"/>
  <c r="A462" i="6"/>
  <c r="D461" i="6"/>
  <c r="A461" i="6"/>
  <c r="D460" i="6"/>
  <c r="A460" i="6"/>
  <c r="D459" i="6"/>
  <c r="A459" i="6"/>
  <c r="D458" i="6"/>
  <c r="A458" i="6"/>
  <c r="D457" i="6"/>
  <c r="A457" i="6"/>
  <c r="D456" i="6"/>
  <c r="A456" i="6"/>
  <c r="D455" i="6"/>
  <c r="A455" i="6"/>
  <c r="D454" i="6"/>
  <c r="A454" i="6"/>
  <c r="D453" i="6"/>
  <c r="A453" i="6"/>
  <c r="D452" i="6"/>
  <c r="A452" i="6"/>
  <c r="D451" i="6"/>
  <c r="A451" i="6"/>
  <c r="D450" i="6"/>
  <c r="A450" i="6"/>
  <c r="D449" i="6"/>
  <c r="A449" i="6"/>
  <c r="D448" i="6"/>
  <c r="A448" i="6"/>
  <c r="A447" i="6"/>
  <c r="D446" i="6"/>
  <c r="A446" i="6"/>
  <c r="D445" i="6"/>
  <c r="A445" i="6"/>
  <c r="A444" i="6"/>
  <c r="D443" i="6"/>
  <c r="A443" i="6"/>
  <c r="D442" i="6"/>
  <c r="A442" i="6"/>
  <c r="D441" i="6"/>
  <c r="A441" i="6"/>
  <c r="D440" i="6"/>
  <c r="A440" i="6"/>
  <c r="A439" i="6"/>
  <c r="D438" i="6"/>
  <c r="A438" i="6"/>
  <c r="D437" i="6"/>
  <c r="A437" i="6"/>
  <c r="D436" i="6"/>
  <c r="A436" i="6"/>
  <c r="D435" i="6"/>
  <c r="A435" i="6"/>
  <c r="D434" i="6"/>
  <c r="A434" i="6"/>
  <c r="D433" i="6"/>
  <c r="A433" i="6"/>
  <c r="D432" i="6"/>
  <c r="A432" i="6"/>
  <c r="D431" i="6"/>
  <c r="A431" i="6"/>
  <c r="D430" i="6"/>
  <c r="A430" i="6"/>
  <c r="D429" i="6"/>
  <c r="A429" i="6"/>
  <c r="D428" i="6"/>
  <c r="A428" i="6"/>
  <c r="D427" i="6"/>
  <c r="A427" i="6"/>
  <c r="D426" i="6"/>
  <c r="A426" i="6"/>
  <c r="D425" i="6"/>
  <c r="A425" i="6"/>
  <c r="D424" i="6"/>
  <c r="A424" i="6"/>
  <c r="D423" i="6"/>
  <c r="A423" i="6"/>
  <c r="D422" i="6"/>
  <c r="A422" i="6"/>
  <c r="D421" i="6"/>
  <c r="A421" i="6"/>
  <c r="D420" i="6"/>
  <c r="A420" i="6"/>
  <c r="D419" i="6"/>
  <c r="A419" i="6"/>
  <c r="D418" i="6"/>
  <c r="A418" i="6"/>
  <c r="D417" i="6"/>
  <c r="A417" i="6"/>
  <c r="D416" i="6"/>
  <c r="A416" i="6"/>
  <c r="D415" i="6"/>
  <c r="A415" i="6"/>
  <c r="D414" i="6"/>
  <c r="A414" i="6"/>
  <c r="D413" i="6"/>
  <c r="A413" i="6"/>
  <c r="D412" i="6"/>
  <c r="A412" i="6"/>
  <c r="D411" i="6"/>
  <c r="A411" i="6"/>
  <c r="D410" i="6"/>
  <c r="A410" i="6"/>
  <c r="D409" i="6"/>
  <c r="A409" i="6"/>
  <c r="D408" i="6"/>
  <c r="A408" i="6"/>
  <c r="D407" i="6"/>
  <c r="A407" i="6"/>
  <c r="D406" i="6"/>
  <c r="A406" i="6"/>
  <c r="D405" i="6"/>
  <c r="A405" i="6"/>
  <c r="D404" i="6"/>
  <c r="A404" i="6"/>
  <c r="D403" i="6"/>
  <c r="A403" i="6"/>
  <c r="D402" i="6"/>
  <c r="A402" i="6"/>
  <c r="D401" i="6"/>
  <c r="A401" i="6"/>
  <c r="D400" i="6"/>
  <c r="A400" i="6"/>
  <c r="D399" i="6"/>
  <c r="A399" i="6"/>
  <c r="D398" i="6"/>
  <c r="A398" i="6"/>
  <c r="D397" i="6"/>
  <c r="A397" i="6"/>
  <c r="D396" i="6"/>
  <c r="A396" i="6"/>
  <c r="D395" i="6"/>
  <c r="A395" i="6"/>
  <c r="D394" i="6"/>
  <c r="A394" i="6"/>
  <c r="D393" i="6"/>
  <c r="A393" i="6"/>
  <c r="D392" i="6"/>
  <c r="A392" i="6"/>
  <c r="D391" i="6"/>
  <c r="A391" i="6"/>
  <c r="D390" i="6"/>
  <c r="A390" i="6"/>
  <c r="D389" i="6"/>
  <c r="A389" i="6"/>
  <c r="D388" i="6"/>
  <c r="A388" i="6"/>
  <c r="D387" i="6"/>
  <c r="A387" i="6"/>
  <c r="D386" i="6"/>
  <c r="A386" i="6"/>
  <c r="D385" i="6"/>
  <c r="A385" i="6"/>
  <c r="D384" i="6"/>
  <c r="A384" i="6"/>
  <c r="D383" i="6"/>
  <c r="A383" i="6"/>
  <c r="D382" i="6"/>
  <c r="A382" i="6"/>
  <c r="D381" i="6"/>
  <c r="A381" i="6"/>
  <c r="D380" i="6"/>
  <c r="A380" i="6"/>
  <c r="D379" i="6"/>
  <c r="A379" i="6"/>
  <c r="D378" i="6"/>
  <c r="A378" i="6"/>
  <c r="D377" i="6"/>
  <c r="A377" i="6"/>
  <c r="D376" i="6"/>
  <c r="A376" i="6"/>
  <c r="D375" i="6"/>
  <c r="A375" i="6"/>
  <c r="D374" i="6"/>
  <c r="A374" i="6"/>
  <c r="D373" i="6"/>
  <c r="A373" i="6"/>
  <c r="D372" i="6"/>
  <c r="A372" i="6"/>
  <c r="D371" i="6"/>
  <c r="A371" i="6"/>
  <c r="D370" i="6"/>
  <c r="A370" i="6"/>
  <c r="D369" i="6"/>
  <c r="A369" i="6"/>
  <c r="D368" i="6"/>
  <c r="A368" i="6"/>
  <c r="D367" i="6"/>
  <c r="A367" i="6"/>
  <c r="D366" i="6"/>
  <c r="A366" i="6"/>
  <c r="D365" i="6"/>
  <c r="A365" i="6"/>
  <c r="D364" i="6"/>
  <c r="A364" i="6"/>
  <c r="D363" i="6"/>
  <c r="A363" i="6"/>
  <c r="D362" i="6"/>
  <c r="A362" i="6"/>
  <c r="D361" i="6"/>
  <c r="A361" i="6"/>
  <c r="D360" i="6"/>
  <c r="A360" i="6"/>
  <c r="D359" i="6"/>
  <c r="A359" i="6"/>
  <c r="D358" i="6"/>
  <c r="A358" i="6"/>
  <c r="D357" i="6"/>
  <c r="A357" i="6"/>
  <c r="D356" i="6"/>
  <c r="A356" i="6"/>
  <c r="D355" i="6"/>
  <c r="A355" i="6"/>
  <c r="D354" i="6"/>
  <c r="A354" i="6"/>
  <c r="D353" i="6"/>
  <c r="A353" i="6"/>
  <c r="D352" i="6"/>
  <c r="A352" i="6"/>
  <c r="D351" i="6"/>
  <c r="A351" i="6"/>
  <c r="D350" i="6"/>
  <c r="A350" i="6"/>
  <c r="D349" i="6"/>
  <c r="A349" i="6"/>
  <c r="D348" i="6"/>
  <c r="A348" i="6"/>
  <c r="D347" i="6"/>
  <c r="A347" i="6"/>
  <c r="D346" i="6"/>
  <c r="A346" i="6"/>
  <c r="D345" i="6"/>
  <c r="A345" i="6"/>
  <c r="D344" i="6"/>
  <c r="A344" i="6"/>
  <c r="D343" i="6"/>
  <c r="A343" i="6"/>
  <c r="D342" i="6"/>
  <c r="A342" i="6"/>
  <c r="D341" i="6"/>
  <c r="A341" i="6"/>
  <c r="D340" i="6"/>
  <c r="A340" i="6"/>
  <c r="D339" i="6"/>
  <c r="A339" i="6"/>
  <c r="D338" i="6"/>
  <c r="A338" i="6"/>
  <c r="D337" i="6"/>
  <c r="A337" i="6"/>
  <c r="D336" i="6"/>
  <c r="A336" i="6"/>
  <c r="D335" i="6"/>
  <c r="A335" i="6"/>
  <c r="D334" i="6"/>
  <c r="A334" i="6"/>
  <c r="D333" i="6"/>
  <c r="A333" i="6"/>
  <c r="D332" i="6"/>
  <c r="A332" i="6"/>
  <c r="D331" i="6"/>
  <c r="A331" i="6"/>
  <c r="D330" i="6"/>
  <c r="A330" i="6"/>
  <c r="D329" i="6"/>
  <c r="A329" i="6"/>
  <c r="D328" i="6"/>
  <c r="A328" i="6"/>
  <c r="D327" i="6"/>
  <c r="A327" i="6"/>
  <c r="D326" i="6"/>
  <c r="A326" i="6"/>
  <c r="D325" i="6"/>
  <c r="A325" i="6"/>
  <c r="D324" i="6"/>
  <c r="A324" i="6"/>
  <c r="D323" i="6"/>
  <c r="A323" i="6"/>
  <c r="D322" i="6"/>
  <c r="A322" i="6"/>
  <c r="D321" i="6"/>
  <c r="A321" i="6"/>
  <c r="D320" i="6"/>
  <c r="A320" i="6"/>
  <c r="D319" i="6"/>
  <c r="A319" i="6"/>
  <c r="D318" i="6"/>
  <c r="A318" i="6"/>
  <c r="D317" i="6"/>
  <c r="A317" i="6"/>
  <c r="D316" i="6"/>
  <c r="A316" i="6"/>
  <c r="D315" i="6"/>
  <c r="A315" i="6"/>
  <c r="D314" i="6"/>
  <c r="A314" i="6"/>
  <c r="D313" i="6"/>
  <c r="A313" i="6"/>
  <c r="D312" i="6"/>
  <c r="A312" i="6"/>
  <c r="D311" i="6"/>
  <c r="A311" i="6"/>
  <c r="D310" i="6"/>
  <c r="A310" i="6"/>
  <c r="D309" i="6"/>
  <c r="A309" i="6"/>
  <c r="D308" i="6"/>
  <c r="A308" i="6"/>
  <c r="D307" i="6"/>
  <c r="A307" i="6"/>
  <c r="D306" i="6"/>
  <c r="A306" i="6"/>
  <c r="D305" i="6"/>
  <c r="A305" i="6"/>
  <c r="D304" i="6"/>
  <c r="A304" i="6"/>
  <c r="D303" i="6"/>
  <c r="A303" i="6"/>
  <c r="A302" i="6"/>
  <c r="D301" i="6"/>
  <c r="A301" i="6"/>
  <c r="D300" i="6"/>
  <c r="A300" i="6"/>
  <c r="D299" i="6"/>
  <c r="A299" i="6"/>
  <c r="D298" i="6"/>
  <c r="A298" i="6"/>
  <c r="D297" i="6"/>
  <c r="A297" i="6"/>
  <c r="D296" i="6"/>
  <c r="A296" i="6"/>
  <c r="A295" i="6"/>
  <c r="D294" i="6"/>
  <c r="A294" i="6"/>
  <c r="D293" i="6"/>
  <c r="A293" i="6"/>
  <c r="D292" i="6"/>
  <c r="A292" i="6"/>
  <c r="D291" i="6"/>
  <c r="A291" i="6"/>
  <c r="D290" i="6"/>
  <c r="A290" i="6"/>
  <c r="D289" i="6"/>
  <c r="A289" i="6"/>
  <c r="D288" i="6"/>
  <c r="A288" i="6"/>
  <c r="D287" i="6"/>
  <c r="A287" i="6"/>
  <c r="D286" i="6"/>
  <c r="A286" i="6"/>
  <c r="D285" i="6"/>
  <c r="A285" i="6"/>
  <c r="D284" i="6"/>
  <c r="A284" i="6"/>
  <c r="A283" i="6"/>
  <c r="D282" i="6"/>
  <c r="A282" i="6"/>
  <c r="D281" i="6"/>
  <c r="A281" i="6"/>
  <c r="D280" i="6"/>
  <c r="A280" i="6"/>
  <c r="D279" i="6"/>
  <c r="A279" i="6"/>
  <c r="A278" i="6"/>
  <c r="D277" i="6"/>
  <c r="A277" i="6"/>
  <c r="D276" i="6"/>
  <c r="A276" i="6"/>
  <c r="D275" i="6"/>
  <c r="A275" i="6"/>
  <c r="D274" i="6"/>
  <c r="A274" i="6"/>
  <c r="D273" i="6"/>
  <c r="A273" i="6"/>
  <c r="D272" i="6"/>
  <c r="A272" i="6"/>
  <c r="D271" i="6"/>
  <c r="A271" i="6"/>
  <c r="D270" i="6"/>
  <c r="A270" i="6"/>
  <c r="D269" i="6"/>
  <c r="A269" i="6"/>
  <c r="D268" i="6"/>
  <c r="A268" i="6"/>
  <c r="D267" i="6"/>
  <c r="A267" i="6"/>
  <c r="D266" i="6"/>
  <c r="A266" i="6"/>
  <c r="D265" i="6"/>
  <c r="A265" i="6"/>
  <c r="D264" i="6"/>
  <c r="A264" i="6"/>
  <c r="D263" i="6"/>
  <c r="A263" i="6"/>
  <c r="D262" i="6"/>
  <c r="A262" i="6"/>
  <c r="D261" i="6"/>
  <c r="A261" i="6"/>
  <c r="D260" i="6"/>
  <c r="A260" i="6"/>
  <c r="D259" i="6"/>
  <c r="A259" i="6"/>
  <c r="A258" i="6"/>
  <c r="D257" i="6"/>
  <c r="A257" i="6"/>
  <c r="D256" i="6"/>
  <c r="A256" i="6"/>
  <c r="A255" i="6"/>
  <c r="A254" i="6"/>
  <c r="A253" i="6"/>
  <c r="A252" i="6"/>
  <c r="D251" i="6"/>
  <c r="A251" i="6"/>
  <c r="D250" i="6"/>
  <c r="A250" i="6"/>
  <c r="D249" i="6"/>
  <c r="A249" i="6"/>
  <c r="D248" i="6"/>
  <c r="A248" i="6"/>
  <c r="D247" i="6"/>
  <c r="A247" i="6"/>
  <c r="D246" i="6"/>
  <c r="A246" i="6"/>
  <c r="D245" i="6"/>
  <c r="A245" i="6"/>
  <c r="D244" i="6"/>
  <c r="A244" i="6"/>
  <c r="D243" i="6"/>
  <c r="A243" i="6"/>
  <c r="D242" i="6"/>
  <c r="A242" i="6"/>
  <c r="D241" i="6"/>
  <c r="A241" i="6"/>
  <c r="D240" i="6"/>
  <c r="A240" i="6"/>
  <c r="A239" i="6"/>
  <c r="A238" i="6"/>
  <c r="A237" i="6"/>
  <c r="A236" i="6"/>
  <c r="A235" i="6"/>
  <c r="A234" i="6"/>
  <c r="D233" i="6"/>
  <c r="A233" i="6"/>
  <c r="D232" i="6"/>
  <c r="A232" i="6"/>
  <c r="D231" i="6"/>
  <c r="A231" i="6"/>
  <c r="D230" i="6"/>
  <c r="A230" i="6"/>
  <c r="D229" i="6"/>
  <c r="A229" i="6"/>
  <c r="D228" i="6"/>
  <c r="A228" i="6"/>
  <c r="D227" i="6"/>
  <c r="A227" i="6"/>
  <c r="D226" i="6"/>
  <c r="A226" i="6"/>
  <c r="D225" i="6"/>
  <c r="A225" i="6"/>
  <c r="D224" i="6"/>
  <c r="A224" i="6"/>
  <c r="D223" i="6"/>
  <c r="A223" i="6"/>
  <c r="D222" i="6"/>
  <c r="A222" i="6"/>
  <c r="D221" i="6"/>
  <c r="A221" i="6"/>
  <c r="D220" i="6"/>
  <c r="A220" i="6"/>
  <c r="D219" i="6"/>
  <c r="A219" i="6"/>
  <c r="D218" i="6"/>
  <c r="A218" i="6"/>
  <c r="D217" i="6"/>
  <c r="A217" i="6"/>
  <c r="D216" i="6"/>
  <c r="A216" i="6"/>
  <c r="D215" i="6"/>
  <c r="A215" i="6"/>
  <c r="D214" i="6"/>
  <c r="A214" i="6"/>
  <c r="D213" i="6"/>
  <c r="A213" i="6"/>
  <c r="A212" i="6"/>
  <c r="D211" i="6"/>
  <c r="A211" i="6"/>
  <c r="D210" i="6"/>
  <c r="A210" i="6"/>
  <c r="D209" i="6"/>
  <c r="A209" i="6"/>
  <c r="D208" i="6"/>
  <c r="A208" i="6"/>
  <c r="D207" i="6"/>
  <c r="A207" i="6"/>
  <c r="D206" i="6"/>
  <c r="A206" i="6"/>
  <c r="D205" i="6"/>
  <c r="A205" i="6"/>
  <c r="D204" i="6"/>
  <c r="A204" i="6"/>
  <c r="A203" i="6"/>
  <c r="A202" i="6"/>
  <c r="D201" i="6"/>
  <c r="A201" i="6"/>
  <c r="D200" i="6"/>
  <c r="A200" i="6"/>
  <c r="A199" i="6"/>
  <c r="A198" i="6"/>
  <c r="A197" i="6"/>
  <c r="A196" i="6"/>
  <c r="D195" i="6"/>
  <c r="A195" i="6"/>
  <c r="A194" i="6"/>
  <c r="A193" i="6"/>
  <c r="A192" i="6"/>
  <c r="A191" i="6"/>
  <c r="A190" i="6"/>
  <c r="A189" i="6"/>
  <c r="A188" i="6"/>
  <c r="A187" i="6"/>
  <c r="D186" i="6"/>
  <c r="A186" i="6"/>
  <c r="A185" i="6"/>
  <c r="A184" i="6"/>
  <c r="A183" i="6"/>
  <c r="D182" i="6"/>
  <c r="A182" i="6"/>
  <c r="D181" i="6"/>
  <c r="A181" i="6"/>
  <c r="D180" i="6"/>
  <c r="A180" i="6"/>
  <c r="D179" i="6"/>
  <c r="A179" i="6"/>
  <c r="D178" i="6"/>
  <c r="A178" i="6"/>
  <c r="D177" i="6"/>
  <c r="A177" i="6"/>
  <c r="D176" i="6"/>
  <c r="A176" i="6"/>
  <c r="D175" i="6"/>
  <c r="A175" i="6"/>
  <c r="D174" i="6"/>
  <c r="A174" i="6"/>
  <c r="D173" i="6"/>
  <c r="A173" i="6"/>
  <c r="D172" i="6"/>
  <c r="A172" i="6"/>
  <c r="D171" i="6"/>
  <c r="A171" i="6"/>
  <c r="D170" i="6"/>
  <c r="A170" i="6"/>
  <c r="D169" i="6"/>
  <c r="A169" i="6"/>
  <c r="D168" i="6"/>
  <c r="A168" i="6"/>
  <c r="D167" i="6"/>
  <c r="A167" i="6"/>
  <c r="D166" i="6"/>
  <c r="A166" i="6"/>
  <c r="D165" i="6"/>
  <c r="A165" i="6"/>
  <c r="D164" i="6"/>
  <c r="A164" i="6"/>
  <c r="D163" i="6"/>
  <c r="A163" i="6"/>
  <c r="D162" i="6"/>
  <c r="A162" i="6"/>
  <c r="D161" i="6"/>
  <c r="A161" i="6"/>
  <c r="D160" i="6"/>
  <c r="A160" i="6"/>
  <c r="D159" i="6"/>
  <c r="A159" i="6"/>
  <c r="D158" i="6"/>
  <c r="A158" i="6"/>
  <c r="D157" i="6"/>
  <c r="A157" i="6"/>
  <c r="D156" i="6"/>
  <c r="A156" i="6"/>
  <c r="D155" i="6"/>
  <c r="A155" i="6"/>
  <c r="D154" i="6"/>
  <c r="A154" i="6"/>
  <c r="D153" i="6"/>
  <c r="A153" i="6"/>
  <c r="D152" i="6"/>
  <c r="A152" i="6"/>
  <c r="D151" i="6"/>
  <c r="A151" i="6"/>
  <c r="D150" i="6"/>
  <c r="A150" i="6"/>
  <c r="D149" i="6"/>
  <c r="A149" i="6"/>
  <c r="D148" i="6"/>
  <c r="A148" i="6"/>
  <c r="D147" i="6"/>
  <c r="A147" i="6"/>
  <c r="D146" i="6"/>
  <c r="A146" i="6"/>
  <c r="D145" i="6"/>
  <c r="A145" i="6"/>
  <c r="D144" i="6"/>
  <c r="A144" i="6"/>
  <c r="D143" i="6"/>
  <c r="A143" i="6"/>
  <c r="D142" i="6"/>
  <c r="A142" i="6"/>
  <c r="D141" i="6"/>
  <c r="A141" i="6"/>
  <c r="D140" i="6"/>
  <c r="A140" i="6"/>
  <c r="A139" i="6"/>
  <c r="D138" i="6"/>
  <c r="A138" i="6"/>
  <c r="D137" i="6"/>
  <c r="A137" i="6"/>
  <c r="D136" i="6"/>
  <c r="A136" i="6"/>
  <c r="D135" i="6"/>
  <c r="A135" i="6"/>
  <c r="D134" i="6"/>
  <c r="A134" i="6"/>
  <c r="D133" i="6"/>
  <c r="A133" i="6"/>
  <c r="A132" i="6"/>
  <c r="D131" i="6"/>
  <c r="A131" i="6"/>
  <c r="D130" i="6"/>
  <c r="A130" i="6"/>
  <c r="D129" i="6"/>
  <c r="A129" i="6"/>
  <c r="D128" i="6"/>
  <c r="A128" i="6"/>
  <c r="D127" i="6"/>
  <c r="A127" i="6"/>
  <c r="D126" i="6"/>
  <c r="A126" i="6"/>
  <c r="D125" i="6"/>
  <c r="A125" i="6"/>
  <c r="D124" i="6"/>
  <c r="A124" i="6"/>
  <c r="D123" i="6"/>
  <c r="A123" i="6"/>
  <c r="D122" i="6"/>
  <c r="A122" i="6"/>
  <c r="D121" i="6"/>
  <c r="A121" i="6"/>
  <c r="D120" i="6"/>
  <c r="A120" i="6"/>
  <c r="D119" i="6"/>
  <c r="A119" i="6"/>
  <c r="D118" i="6"/>
  <c r="A118" i="6"/>
  <c r="D117" i="6"/>
  <c r="A117" i="6"/>
  <c r="D116" i="6"/>
  <c r="A116" i="6"/>
  <c r="D115" i="6"/>
  <c r="A115" i="6"/>
  <c r="D114" i="6"/>
  <c r="A114" i="6"/>
  <c r="D113" i="6"/>
  <c r="A113" i="6"/>
  <c r="D112" i="6"/>
  <c r="A112" i="6"/>
  <c r="D111" i="6"/>
  <c r="A111" i="6"/>
  <c r="D110" i="6"/>
  <c r="A110" i="6"/>
  <c r="D109" i="6"/>
  <c r="A109" i="6"/>
  <c r="D108" i="6"/>
  <c r="A108" i="6"/>
  <c r="D107" i="6"/>
  <c r="A107" i="6"/>
  <c r="D106" i="6"/>
  <c r="A106" i="6"/>
  <c r="D105" i="6"/>
  <c r="A105" i="6"/>
  <c r="D104" i="6"/>
  <c r="A104" i="6"/>
  <c r="D103" i="6"/>
  <c r="A103" i="6"/>
  <c r="D102" i="6"/>
  <c r="A102" i="6"/>
  <c r="D101" i="6"/>
  <c r="A101" i="6"/>
  <c r="D100" i="6"/>
  <c r="A100" i="6"/>
  <c r="D99" i="6"/>
  <c r="A99" i="6"/>
  <c r="D98" i="6"/>
  <c r="A98" i="6"/>
  <c r="A97" i="6"/>
  <c r="A96" i="6"/>
  <c r="D95" i="6"/>
  <c r="A95" i="6"/>
  <c r="D94" i="6"/>
  <c r="A94" i="6"/>
  <c r="D93" i="6"/>
  <c r="A93" i="6"/>
  <c r="D92" i="6"/>
  <c r="A92" i="6"/>
  <c r="D91" i="6"/>
  <c r="A91" i="6"/>
  <c r="D90" i="6"/>
  <c r="A90" i="6"/>
  <c r="D89" i="6"/>
  <c r="A89" i="6"/>
  <c r="D88" i="6"/>
  <c r="A88" i="6"/>
  <c r="D87" i="6"/>
  <c r="A87" i="6"/>
  <c r="D86" i="6"/>
  <c r="A86" i="6"/>
  <c r="D85" i="6"/>
  <c r="A85" i="6"/>
  <c r="A84" i="6"/>
  <c r="D83" i="6"/>
  <c r="A83" i="6"/>
  <c r="A82" i="6"/>
  <c r="A81" i="6"/>
  <c r="A80" i="6"/>
  <c r="D79" i="6"/>
  <c r="A79" i="6"/>
  <c r="D78" i="6"/>
  <c r="A78" i="6"/>
  <c r="D77" i="6"/>
  <c r="A77" i="6"/>
  <c r="D76" i="6"/>
  <c r="A76" i="6"/>
  <c r="D75" i="6"/>
  <c r="A75" i="6"/>
  <c r="A74" i="6"/>
  <c r="D73" i="6"/>
  <c r="A73" i="6"/>
  <c r="D72" i="6"/>
  <c r="A72" i="6"/>
  <c r="D71" i="6"/>
  <c r="A71" i="6"/>
  <c r="A70" i="6"/>
  <c r="A69" i="6"/>
  <c r="D68" i="6"/>
  <c r="A68" i="6"/>
  <c r="D67" i="6"/>
  <c r="A67" i="6"/>
  <c r="D66" i="6"/>
  <c r="A66" i="6"/>
  <c r="D65" i="6"/>
  <c r="A65" i="6"/>
  <c r="D64" i="6"/>
  <c r="A64" i="6"/>
  <c r="D63" i="6"/>
  <c r="A63" i="6"/>
  <c r="D62" i="6"/>
  <c r="A62" i="6"/>
  <c r="A61" i="6"/>
  <c r="D60" i="6"/>
  <c r="A60" i="6"/>
  <c r="D59" i="6"/>
  <c r="A59" i="6"/>
  <c r="D58" i="6"/>
  <c r="A58" i="6"/>
  <c r="D57" i="6"/>
  <c r="A57" i="6"/>
  <c r="D56" i="6"/>
  <c r="A56" i="6"/>
  <c r="D55" i="6"/>
  <c r="A55" i="6"/>
  <c r="D54" i="6"/>
  <c r="A54" i="6"/>
  <c r="D53" i="6"/>
  <c r="A53" i="6"/>
  <c r="A52" i="6"/>
  <c r="D51" i="6"/>
  <c r="A51" i="6"/>
  <c r="A50" i="6"/>
  <c r="A49" i="6"/>
  <c r="A48" i="6"/>
  <c r="D47" i="6"/>
  <c r="A47" i="6"/>
  <c r="A46" i="6"/>
  <c r="A45" i="6"/>
  <c r="A44" i="6"/>
  <c r="A43" i="6"/>
  <c r="A42" i="6"/>
  <c r="D41" i="6"/>
  <c r="A41" i="6"/>
  <c r="D40" i="6"/>
  <c r="A40" i="6"/>
  <c r="D39" i="6"/>
  <c r="A39" i="6"/>
  <c r="D38" i="6"/>
  <c r="A38" i="6"/>
  <c r="D37" i="6"/>
  <c r="A37" i="6"/>
  <c r="D36" i="6"/>
  <c r="A36" i="6"/>
  <c r="D35" i="6"/>
  <c r="A35" i="6"/>
  <c r="D34" i="6"/>
  <c r="A34" i="6"/>
  <c r="D33" i="6"/>
  <c r="A33" i="6"/>
  <c r="D32" i="6"/>
  <c r="A32" i="6"/>
  <c r="D31" i="6"/>
  <c r="A31" i="6"/>
  <c r="D30" i="6"/>
  <c r="A30" i="6"/>
  <c r="D29" i="6"/>
  <c r="A29" i="6"/>
  <c r="D28" i="6"/>
  <c r="A28" i="6"/>
  <c r="D27" i="6"/>
  <c r="A27" i="6"/>
  <c r="D26" i="6"/>
  <c r="A26" i="6"/>
  <c r="D25" i="6"/>
  <c r="A25" i="6"/>
  <c r="D24" i="6"/>
  <c r="A24" i="6"/>
  <c r="D23" i="6"/>
  <c r="A23" i="6"/>
  <c r="D22" i="6"/>
  <c r="A22" i="6"/>
  <c r="A21" i="6"/>
  <c r="D20" i="6"/>
  <c r="A20" i="6"/>
  <c r="D19" i="6"/>
  <c r="A19" i="6"/>
  <c r="A18" i="6"/>
  <c r="D17" i="6"/>
  <c r="A17" i="6"/>
  <c r="D16" i="6"/>
  <c r="A16" i="6"/>
  <c r="A15" i="6"/>
  <c r="D14" i="6"/>
  <c r="A14" i="6"/>
  <c r="D13" i="6"/>
  <c r="A13" i="6"/>
  <c r="D12" i="6"/>
  <c r="A12" i="6"/>
  <c r="D11" i="6"/>
  <c r="A11" i="6"/>
  <c r="D10" i="6"/>
  <c r="A10" i="6"/>
  <c r="D9" i="6"/>
  <c r="A9" i="6"/>
  <c r="D8" i="6"/>
  <c r="A8" i="6"/>
  <c r="D7" i="6"/>
  <c r="A7" i="6"/>
  <c r="D6" i="6"/>
  <c r="A6" i="6"/>
  <c r="D5" i="6"/>
  <c r="A5" i="6"/>
  <c r="D4" i="6"/>
  <c r="A4" i="6"/>
  <c r="D3" i="6"/>
  <c r="A3" i="6"/>
  <c r="D2" i="6"/>
  <c r="A2" i="6"/>
  <c r="A1781" i="5"/>
  <c r="A1780" i="5"/>
  <c r="A1779" i="5"/>
  <c r="A1778" i="5"/>
  <c r="A1777" i="5"/>
  <c r="A1776" i="5"/>
  <c r="A1775" i="5"/>
  <c r="A1774" i="5"/>
  <c r="A1773" i="5"/>
  <c r="A1772" i="5"/>
  <c r="A1771" i="5"/>
  <c r="A1770" i="5"/>
  <c r="A1769" i="5"/>
  <c r="A1768" i="5"/>
  <c r="A1767" i="5"/>
  <c r="A1766" i="5"/>
  <c r="A1765" i="5"/>
  <c r="A1764" i="5"/>
  <c r="A1763" i="5"/>
  <c r="A1762" i="5"/>
  <c r="A1761" i="5"/>
  <c r="D1760" i="5"/>
  <c r="A1760" i="5"/>
  <c r="D1759" i="5"/>
  <c r="A1759" i="5"/>
  <c r="A1758" i="5"/>
  <c r="A1757" i="5"/>
  <c r="A1756" i="5"/>
  <c r="A1755" i="5"/>
  <c r="A1754" i="5"/>
  <c r="D1753" i="5"/>
  <c r="A1753" i="5"/>
  <c r="A1752" i="5"/>
  <c r="D1751" i="5"/>
  <c r="A1751" i="5"/>
  <c r="D1750"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D1657" i="5"/>
  <c r="A1657" i="5"/>
  <c r="D1656" i="5"/>
  <c r="A1656" i="5"/>
  <c r="A1655" i="5"/>
  <c r="A1654" i="5"/>
  <c r="A1653" i="5"/>
  <c r="A1652" i="5"/>
  <c r="A1651" i="5"/>
  <c r="A1650" i="5"/>
  <c r="A1649" i="5"/>
  <c r="A1648" i="5"/>
  <c r="A1647" i="5"/>
  <c r="A1646" i="5"/>
  <c r="A1645" i="5"/>
  <c r="A1644" i="5"/>
  <c r="A1643" i="5"/>
  <c r="A1642" i="5"/>
  <c r="A1641" i="5"/>
  <c r="A1640" i="5"/>
  <c r="D1639" i="5"/>
  <c r="A1639" i="5"/>
  <c r="A1638" i="5"/>
  <c r="A1637" i="5"/>
  <c r="A1636" i="5"/>
  <c r="A1635" i="5"/>
  <c r="A1634" i="5"/>
  <c r="A1633" i="5"/>
  <c r="A1632" i="5"/>
  <c r="A1631" i="5"/>
  <c r="A1630" i="5"/>
  <c r="A1629" i="5"/>
  <c r="A1628" i="5"/>
  <c r="A1627" i="5"/>
  <c r="A1626" i="5"/>
  <c r="A1625" i="5"/>
  <c r="D1624" i="5"/>
  <c r="A1624" i="5"/>
  <c r="D1623" i="5"/>
  <c r="A1623" i="5"/>
  <c r="D1622" i="5"/>
  <c r="A1622" i="5"/>
  <c r="D1621" i="5"/>
  <c r="A1621" i="5"/>
  <c r="A1620" i="5"/>
  <c r="A1619" i="5"/>
  <c r="D1618" i="5"/>
  <c r="A1618" i="5"/>
  <c r="A1617" i="5"/>
  <c r="D1616" i="5"/>
  <c r="A1616" i="5"/>
  <c r="D1615" i="5"/>
  <c r="A1615" i="5"/>
  <c r="D1614" i="5"/>
  <c r="A1614" i="5"/>
  <c r="D1613" i="5"/>
  <c r="A1613" i="5"/>
  <c r="D1612" i="5"/>
  <c r="A1612" i="5"/>
  <c r="D1611" i="5"/>
  <c r="A1611" i="5"/>
  <c r="D1610" i="5"/>
  <c r="A1610" i="5"/>
  <c r="D1609" i="5"/>
  <c r="A1609" i="5"/>
  <c r="D1608" i="5"/>
  <c r="A1608" i="5"/>
  <c r="D1607" i="5"/>
  <c r="A1607" i="5"/>
  <c r="D1606" i="5"/>
  <c r="A1606" i="5"/>
  <c r="D1605" i="5"/>
  <c r="A1605" i="5"/>
  <c r="D1604" i="5"/>
  <c r="A1604" i="5"/>
  <c r="D1603" i="5"/>
  <c r="A1603" i="5"/>
  <c r="D1602" i="5"/>
  <c r="A1602" i="5"/>
  <c r="D1601" i="5"/>
  <c r="A1601" i="5"/>
  <c r="D1600" i="5"/>
  <c r="A1600" i="5"/>
  <c r="D1599" i="5"/>
  <c r="A1599" i="5"/>
  <c r="D1598" i="5"/>
  <c r="A1598" i="5"/>
  <c r="D1597" i="5"/>
  <c r="A1597" i="5"/>
  <c r="D1596" i="5"/>
  <c r="A1596" i="5"/>
  <c r="D1595" i="5"/>
  <c r="A1595" i="5"/>
  <c r="D1594" i="5"/>
  <c r="A1594" i="5"/>
  <c r="D1593" i="5"/>
  <c r="A1593" i="5"/>
  <c r="D1592" i="5"/>
  <c r="A1592" i="5"/>
  <c r="D1591" i="5"/>
  <c r="A1591" i="5"/>
  <c r="D1590" i="5"/>
  <c r="A1590" i="5"/>
  <c r="D1589" i="5"/>
  <c r="A1589" i="5"/>
  <c r="A1587" i="5"/>
  <c r="A1586" i="5"/>
  <c r="A1585" i="5"/>
  <c r="D1584" i="5"/>
  <c r="A1584" i="5"/>
  <c r="A1583" i="5"/>
  <c r="A1582" i="5"/>
  <c r="A1581" i="5"/>
  <c r="A1580" i="5"/>
  <c r="A1579" i="5"/>
  <c r="A1578" i="5"/>
  <c r="D1577" i="5"/>
  <c r="A1577" i="5"/>
  <c r="A1576" i="5"/>
  <c r="A1575" i="5"/>
  <c r="A1574" i="5"/>
  <c r="A1573" i="5"/>
  <c r="A1572" i="5"/>
  <c r="A1571" i="5"/>
  <c r="A1570" i="5"/>
  <c r="A1569" i="5"/>
  <c r="A1568" i="5"/>
  <c r="A1567" i="5"/>
  <c r="A1566" i="5"/>
  <c r="A1565" i="5"/>
  <c r="A1564" i="5"/>
  <c r="D1563" i="5"/>
  <c r="A1563" i="5"/>
  <c r="D1562" i="5"/>
  <c r="A1562" i="5"/>
  <c r="D1561" i="5"/>
  <c r="A1561" i="5"/>
  <c r="D1560" i="5"/>
  <c r="A1560" i="5"/>
  <c r="D1559" i="5"/>
  <c r="A1559" i="5"/>
  <c r="D1558" i="5"/>
  <c r="A1558" i="5"/>
  <c r="D1557" i="5"/>
  <c r="A1557" i="5"/>
  <c r="D1556" i="5"/>
  <c r="A1556" i="5"/>
  <c r="D1555" i="5"/>
  <c r="A1555" i="5"/>
  <c r="D1554" i="5"/>
  <c r="A1554" i="5"/>
  <c r="D1553" i="5"/>
  <c r="A1553" i="5"/>
  <c r="D1552" i="5"/>
  <c r="A1552" i="5"/>
  <c r="D1551" i="5"/>
  <c r="A1551" i="5"/>
  <c r="D1550" i="5"/>
  <c r="A1550" i="5"/>
  <c r="D1549" i="5"/>
  <c r="A1549" i="5"/>
  <c r="D1548" i="5"/>
  <c r="A1548" i="5"/>
  <c r="D1547" i="5"/>
  <c r="A1547" i="5"/>
  <c r="A1546" i="5"/>
  <c r="A1545" i="5"/>
  <c r="A1544" i="5"/>
  <c r="A1543" i="5"/>
  <c r="A1542" i="5"/>
  <c r="A1541" i="5"/>
  <c r="A1540" i="5"/>
  <c r="A1539" i="5"/>
  <c r="A1538" i="5"/>
  <c r="A1537" i="5"/>
  <c r="D1536" i="5"/>
  <c r="A1536" i="5"/>
  <c r="D1535" i="5"/>
  <c r="A1535" i="5"/>
  <c r="D1534" i="5"/>
  <c r="A1534" i="5"/>
  <c r="D1533" i="5"/>
  <c r="A1533" i="5"/>
  <c r="A1532" i="5"/>
  <c r="A1531" i="5"/>
  <c r="D1530" i="5"/>
  <c r="A1530" i="5"/>
  <c r="D1529" i="5"/>
  <c r="A1529" i="5"/>
  <c r="A1528" i="5"/>
  <c r="D1527" i="5"/>
  <c r="A1527" i="5"/>
  <c r="A1526" i="5"/>
  <c r="D1525" i="5"/>
  <c r="A1525" i="5"/>
  <c r="D1524" i="5"/>
  <c r="A1524" i="5"/>
  <c r="D1523" i="5"/>
  <c r="A1523" i="5"/>
  <c r="A1522" i="5"/>
  <c r="D1521" i="5"/>
  <c r="A1521" i="5"/>
  <c r="D1520" i="5"/>
  <c r="A1520" i="5"/>
  <c r="D1519" i="5"/>
  <c r="A1519" i="5"/>
  <c r="D1518" i="5"/>
  <c r="A1518" i="5"/>
  <c r="D1517" i="5"/>
  <c r="A1517" i="5"/>
  <c r="D1516" i="5"/>
  <c r="A1516" i="5"/>
  <c r="D1515" i="5"/>
  <c r="A1515" i="5"/>
  <c r="D1513" i="5"/>
  <c r="A1513" i="5"/>
  <c r="A1512" i="5"/>
  <c r="A1511" i="5"/>
  <c r="D1510" i="5"/>
  <c r="D1509" i="5"/>
  <c r="A1509" i="5"/>
  <c r="D1508" i="5"/>
  <c r="A1508" i="5"/>
  <c r="D1507" i="5"/>
  <c r="A1507" i="5"/>
  <c r="D1506" i="5"/>
  <c r="A1506" i="5"/>
  <c r="D1505" i="5"/>
  <c r="A1505" i="5"/>
  <c r="D1504" i="5"/>
  <c r="A1504" i="5"/>
  <c r="A1503" i="5"/>
  <c r="D1502" i="5"/>
  <c r="A1502" i="5"/>
  <c r="D1501" i="5"/>
  <c r="A1501" i="5"/>
  <c r="D1500" i="5"/>
  <c r="A1500" i="5"/>
  <c r="D1499" i="5"/>
  <c r="A1499" i="5"/>
  <c r="D1498" i="5"/>
  <c r="A1498" i="5"/>
  <c r="D1497" i="5"/>
  <c r="A1497" i="5"/>
  <c r="D1496" i="5"/>
  <c r="A1496" i="5"/>
  <c r="D1495" i="5"/>
  <c r="A1495" i="5"/>
  <c r="D1494" i="5"/>
  <c r="A1494" i="5"/>
  <c r="D1493" i="5"/>
  <c r="A1493" i="5"/>
  <c r="D1492" i="5"/>
  <c r="A1492" i="5"/>
  <c r="D1491" i="5"/>
  <c r="A1491" i="5"/>
  <c r="D1490" i="5"/>
  <c r="A1490" i="5"/>
  <c r="D1489" i="5"/>
  <c r="A1489" i="5"/>
  <c r="D1488" i="5"/>
  <c r="A1488" i="5"/>
  <c r="D1487" i="5"/>
  <c r="A1487" i="5"/>
  <c r="D1486" i="5"/>
  <c r="A1486" i="5"/>
  <c r="D1485" i="5"/>
  <c r="A1485" i="5"/>
  <c r="D1484" i="5"/>
  <c r="A1484" i="5"/>
  <c r="D1483" i="5"/>
  <c r="A1483" i="5"/>
  <c r="D1482" i="5"/>
  <c r="A1482" i="5"/>
  <c r="A1481" i="5"/>
  <c r="A1480" i="5"/>
  <c r="D1479" i="5"/>
  <c r="A1479" i="5"/>
  <c r="D1478" i="5"/>
  <c r="A1478" i="5"/>
  <c r="D1477" i="5"/>
  <c r="A1477" i="5"/>
  <c r="D1476" i="5"/>
  <c r="A1476" i="5"/>
  <c r="D1475" i="5"/>
  <c r="A1475" i="5"/>
  <c r="D1474" i="5"/>
  <c r="A1474" i="5"/>
  <c r="A1473" i="5"/>
  <c r="D1472" i="5"/>
  <c r="A1472" i="5"/>
  <c r="D1471" i="5"/>
  <c r="A1471" i="5"/>
  <c r="A1470" i="5"/>
  <c r="D1469" i="5"/>
  <c r="A1469" i="5"/>
  <c r="D1468" i="5"/>
  <c r="A1468" i="5"/>
  <c r="A1467" i="5"/>
  <c r="D1466" i="5"/>
  <c r="A1466" i="5"/>
  <c r="D1465" i="5"/>
  <c r="A1465" i="5"/>
  <c r="D1464" i="5"/>
  <c r="A1464" i="5"/>
  <c r="D1463" i="5"/>
  <c r="A1463" i="5"/>
  <c r="D1462" i="5"/>
  <c r="A1462" i="5"/>
  <c r="D1461" i="5"/>
  <c r="A1461" i="5"/>
  <c r="A1460" i="5"/>
  <c r="A1459" i="5"/>
  <c r="D1458" i="5"/>
  <c r="A1458" i="5"/>
  <c r="D1457" i="5"/>
  <c r="A1457" i="5"/>
  <c r="D1456" i="5"/>
  <c r="A1456" i="5"/>
  <c r="D1455" i="5"/>
  <c r="A1455" i="5"/>
  <c r="D1454" i="5"/>
  <c r="A1454" i="5"/>
  <c r="D1453" i="5"/>
  <c r="A1453" i="5"/>
  <c r="D1452" i="5"/>
  <c r="A1452" i="5"/>
  <c r="D1451" i="5"/>
  <c r="A1451" i="5"/>
  <c r="D1450" i="5"/>
  <c r="A1450" i="5"/>
  <c r="D1449" i="5"/>
  <c r="A1449" i="5"/>
  <c r="D1448" i="5"/>
  <c r="A1448" i="5"/>
  <c r="D1447" i="5"/>
  <c r="A1447" i="5"/>
  <c r="D1446" i="5"/>
  <c r="A1446" i="5"/>
  <c r="D1445" i="5"/>
  <c r="A1445" i="5"/>
  <c r="D1444" i="5"/>
  <c r="A1444" i="5"/>
  <c r="D1443" i="5"/>
  <c r="A1443" i="5"/>
  <c r="D1442" i="5"/>
  <c r="A1442" i="5"/>
  <c r="D1441" i="5"/>
  <c r="A1441" i="5"/>
  <c r="D1440" i="5"/>
  <c r="A1440" i="5"/>
  <c r="A1439" i="5"/>
  <c r="A1438" i="5"/>
  <c r="A1437" i="5"/>
  <c r="D1436" i="5"/>
  <c r="A1436" i="5"/>
  <c r="D1435" i="5"/>
  <c r="A1435" i="5"/>
  <c r="D1434" i="5"/>
  <c r="A1434" i="5"/>
  <c r="D1433" i="5"/>
  <c r="A1433" i="5"/>
  <c r="D1432" i="5"/>
  <c r="A1432" i="5"/>
  <c r="D1431" i="5"/>
  <c r="A1431" i="5"/>
  <c r="D1430" i="5"/>
  <c r="A1430" i="5"/>
  <c r="A1429" i="5"/>
  <c r="A1428" i="5"/>
  <c r="D1427" i="5"/>
  <c r="A1427" i="5"/>
  <c r="D1426" i="5"/>
  <c r="A1426" i="5"/>
  <c r="D1425" i="5"/>
  <c r="A1425" i="5"/>
  <c r="D1424" i="5"/>
  <c r="A1424" i="5"/>
  <c r="D1423" i="5"/>
  <c r="A1423" i="5"/>
  <c r="A1422" i="5"/>
  <c r="D1421" i="5"/>
  <c r="A1421" i="5"/>
  <c r="D1420" i="5"/>
  <c r="A1420" i="5"/>
  <c r="D1419" i="5"/>
  <c r="A1419" i="5"/>
  <c r="D1418" i="5"/>
  <c r="A1418" i="5"/>
  <c r="D1417" i="5"/>
  <c r="A1417" i="5"/>
  <c r="D1416" i="5"/>
  <c r="A1416" i="5"/>
  <c r="D1415" i="5"/>
  <c r="A1415" i="5"/>
  <c r="A1414" i="5"/>
  <c r="A1413" i="5"/>
  <c r="A1412" i="5"/>
  <c r="D1411" i="5"/>
  <c r="A1411" i="5"/>
  <c r="D1410" i="5"/>
  <c r="A1410" i="5"/>
  <c r="A1409" i="5"/>
  <c r="D1408" i="5"/>
  <c r="A1408" i="5"/>
  <c r="D1407" i="5"/>
  <c r="A1407" i="5"/>
  <c r="D1406" i="5"/>
  <c r="A1406" i="5"/>
  <c r="D1405" i="5"/>
  <c r="A1405" i="5"/>
  <c r="D1404" i="5"/>
  <c r="A1404" i="5"/>
  <c r="D1403" i="5"/>
  <c r="A1403" i="5"/>
  <c r="D1402" i="5"/>
  <c r="A1402" i="5"/>
  <c r="A1401" i="5"/>
  <c r="D1400" i="5"/>
  <c r="A1400" i="5"/>
  <c r="D1399" i="5"/>
  <c r="A1399" i="5"/>
  <c r="D1398" i="5"/>
  <c r="A1398" i="5"/>
  <c r="D1396" i="5"/>
  <c r="A1396" i="5"/>
  <c r="D1395" i="5"/>
  <c r="A1395" i="5"/>
  <c r="D1394" i="5"/>
  <c r="A1394" i="5"/>
  <c r="A1393" i="5"/>
  <c r="D1392" i="5"/>
  <c r="A1392" i="5"/>
  <c r="D1391" i="5"/>
  <c r="A1391" i="5"/>
  <c r="D1390" i="5"/>
  <c r="A1390" i="5"/>
  <c r="A1389" i="5"/>
  <c r="D1388" i="5"/>
  <c r="A1388" i="5"/>
  <c r="D1387" i="5"/>
  <c r="A1387" i="5"/>
  <c r="A1386" i="5"/>
  <c r="D1385" i="5"/>
  <c r="D1384" i="5"/>
  <c r="A1384" i="5"/>
  <c r="D1383" i="5"/>
  <c r="A1383" i="5"/>
  <c r="D1382" i="5"/>
  <c r="A1382" i="5"/>
  <c r="D1381" i="5"/>
  <c r="A1381" i="5"/>
  <c r="A1380" i="5"/>
  <c r="D1379" i="5"/>
  <c r="A1379" i="5"/>
  <c r="A1378" i="5"/>
  <c r="D1377" i="5"/>
  <c r="A1377" i="5"/>
  <c r="D1376" i="5"/>
  <c r="A1376" i="5"/>
  <c r="D1375" i="5"/>
  <c r="A1375" i="5"/>
  <c r="D1374" i="5"/>
  <c r="A1374" i="5"/>
  <c r="D1373" i="5"/>
  <c r="A1373" i="5"/>
  <c r="A1372" i="5"/>
  <c r="D1371" i="5"/>
  <c r="A1371" i="5"/>
  <c r="D1370" i="5"/>
  <c r="A1370" i="5"/>
  <c r="D1369" i="5"/>
  <c r="A1369" i="5"/>
  <c r="A1368" i="5"/>
  <c r="A1367" i="5"/>
  <c r="D1366" i="5"/>
  <c r="A1366" i="5"/>
  <c r="D1365" i="5"/>
  <c r="A1365" i="5"/>
  <c r="D1364" i="5"/>
  <c r="A1364" i="5"/>
  <c r="D1363" i="5"/>
  <c r="A1363" i="5"/>
  <c r="A1362" i="5"/>
  <c r="A1361" i="5"/>
  <c r="D1360" i="5"/>
  <c r="A1360" i="5"/>
  <c r="D1359" i="5"/>
  <c r="A1359" i="5"/>
  <c r="D1358" i="5"/>
  <c r="A1358" i="5"/>
  <c r="A1357" i="5"/>
  <c r="D1356" i="5"/>
  <c r="A1356" i="5"/>
  <c r="D1355" i="5"/>
  <c r="A1355" i="5"/>
  <c r="A1354" i="5"/>
  <c r="A1353" i="5"/>
  <c r="D1352" i="5"/>
  <c r="A1352" i="5"/>
  <c r="A1351" i="5"/>
  <c r="A1350" i="5"/>
  <c r="A1349" i="5"/>
  <c r="D1348" i="5"/>
  <c r="A1348" i="5"/>
  <c r="D1347" i="5"/>
  <c r="A1347" i="5"/>
  <c r="D1346" i="5"/>
  <c r="A1346" i="5"/>
  <c r="D1345" i="5"/>
  <c r="A1345" i="5"/>
  <c r="D1344" i="5"/>
  <c r="A1344" i="5"/>
  <c r="D1343" i="5"/>
  <c r="A1343" i="5"/>
  <c r="A1342" i="5"/>
  <c r="D1341" i="5"/>
  <c r="A1341" i="5"/>
  <c r="D1340" i="5"/>
  <c r="A1340" i="5"/>
  <c r="D1339" i="5"/>
  <c r="A1339" i="5"/>
  <c r="D1338" i="5"/>
  <c r="A1338" i="5"/>
  <c r="D1337" i="5"/>
  <c r="A1337" i="5"/>
  <c r="D1336" i="5"/>
  <c r="A1336" i="5"/>
  <c r="A1335" i="5"/>
  <c r="A1334" i="5"/>
  <c r="D1333" i="5"/>
  <c r="A1333" i="5"/>
  <c r="D1332" i="5"/>
  <c r="A1332" i="5"/>
  <c r="D1331" i="5"/>
  <c r="A1331" i="5"/>
  <c r="D1330" i="5"/>
  <c r="A1330" i="5"/>
  <c r="A1329" i="5"/>
  <c r="D1328" i="5"/>
  <c r="A1328" i="5"/>
  <c r="D1327" i="5"/>
  <c r="A1327" i="5"/>
  <c r="D1326" i="5"/>
  <c r="A1326" i="5"/>
  <c r="D1325" i="5"/>
  <c r="A1325" i="5"/>
  <c r="A1324" i="5"/>
  <c r="D1323" i="5"/>
  <c r="A1323" i="5"/>
  <c r="D1322" i="5"/>
  <c r="A1322" i="5"/>
  <c r="D1321" i="5"/>
  <c r="A1321" i="5"/>
  <c r="D1320" i="5"/>
  <c r="A1320" i="5"/>
  <c r="D1319" i="5"/>
  <c r="A1319" i="5"/>
  <c r="D1318" i="5"/>
  <c r="A1318" i="5"/>
  <c r="D1317" i="5"/>
  <c r="A1317" i="5"/>
  <c r="D1316" i="5"/>
  <c r="A1316" i="5"/>
  <c r="A1315" i="5"/>
  <c r="D1314" i="5"/>
  <c r="A1314" i="5"/>
  <c r="D1313" i="5"/>
  <c r="A1313" i="5"/>
  <c r="D1312" i="5"/>
  <c r="A1312" i="5"/>
  <c r="D1311" i="5"/>
  <c r="A1311" i="5"/>
  <c r="A1310" i="5"/>
  <c r="A1309" i="5"/>
  <c r="D1308" i="5"/>
  <c r="A1308" i="5"/>
  <c r="D1307" i="5"/>
  <c r="A1307" i="5"/>
  <c r="D1306" i="5"/>
  <c r="A1306" i="5"/>
  <c r="D1305" i="5"/>
  <c r="A1305" i="5"/>
  <c r="D1304" i="5"/>
  <c r="A1304" i="5"/>
  <c r="D1303" i="5"/>
  <c r="A1303" i="5"/>
  <c r="A1302" i="5"/>
  <c r="A1301" i="5"/>
  <c r="D1300" i="5"/>
  <c r="A1300" i="5"/>
  <c r="D1299" i="5"/>
  <c r="A1299" i="5"/>
  <c r="D1298" i="5"/>
  <c r="A1298" i="5"/>
  <c r="D1297" i="5"/>
  <c r="A1297" i="5"/>
  <c r="A1296" i="5"/>
  <c r="D1295" i="5"/>
  <c r="A1295" i="5"/>
  <c r="D1294" i="5"/>
  <c r="A1294" i="5"/>
  <c r="D1293" i="5"/>
  <c r="A1293" i="5"/>
  <c r="D1292" i="5"/>
  <c r="A1292" i="5"/>
  <c r="D1291" i="5"/>
  <c r="A1291" i="5"/>
  <c r="D1290" i="5"/>
  <c r="A1290" i="5"/>
  <c r="D1289" i="5"/>
  <c r="A1289" i="5"/>
  <c r="D1288" i="5"/>
  <c r="A1288" i="5"/>
  <c r="D1287" i="5"/>
  <c r="A1287" i="5"/>
  <c r="D1286" i="5"/>
  <c r="A1286" i="5"/>
  <c r="D1285" i="5"/>
  <c r="A1285" i="5"/>
  <c r="A1284" i="5"/>
  <c r="D1283" i="5"/>
  <c r="A1283" i="5"/>
  <c r="A1282" i="5"/>
  <c r="D1281" i="5"/>
  <c r="A1281" i="5"/>
  <c r="D1280" i="5"/>
  <c r="A1280" i="5"/>
  <c r="D1279" i="5"/>
  <c r="A1279" i="5"/>
  <c r="D1278" i="5"/>
  <c r="A1278" i="5"/>
  <c r="D1277" i="5"/>
  <c r="A1277" i="5"/>
  <c r="D1276" i="5"/>
  <c r="A1276" i="5"/>
  <c r="D1275" i="5"/>
  <c r="A1275" i="5"/>
  <c r="D1274" i="5"/>
  <c r="A1274" i="5"/>
  <c r="A1273" i="5"/>
  <c r="D1272" i="5"/>
  <c r="A1272" i="5"/>
  <c r="D1271" i="5"/>
  <c r="A1271" i="5"/>
  <c r="A1270" i="5"/>
  <c r="D1269" i="5"/>
  <c r="A1269" i="5"/>
  <c r="D1268" i="5"/>
  <c r="A1268" i="5"/>
  <c r="D1267" i="5"/>
  <c r="A1267" i="5"/>
  <c r="D1266" i="5"/>
  <c r="A1266" i="5"/>
  <c r="D1265" i="5"/>
  <c r="A1265" i="5"/>
  <c r="D1264" i="5"/>
  <c r="A1264" i="5"/>
  <c r="D1263" i="5"/>
  <c r="A1263" i="5"/>
  <c r="A1262" i="5"/>
  <c r="D1261" i="5"/>
  <c r="A1261" i="5"/>
  <c r="D1260" i="5"/>
  <c r="A1260" i="5"/>
  <c r="D1259" i="5"/>
  <c r="A1259" i="5"/>
  <c r="D1258" i="5"/>
  <c r="A1258" i="5"/>
  <c r="A1257" i="5"/>
  <c r="A1256" i="5"/>
  <c r="A1255" i="5"/>
  <c r="D1254" i="5"/>
  <c r="A1254" i="5"/>
  <c r="D1253" i="5"/>
  <c r="A1253" i="5"/>
  <c r="A1252" i="5"/>
  <c r="D1251" i="5"/>
  <c r="A1251" i="5"/>
  <c r="D1250" i="5"/>
  <c r="A1250" i="5"/>
  <c r="D1249" i="5"/>
  <c r="A1249" i="5"/>
  <c r="D1248" i="5"/>
  <c r="A1248" i="5"/>
  <c r="A1247" i="5"/>
  <c r="D1246" i="5"/>
  <c r="A1246" i="5"/>
  <c r="D1245" i="5"/>
  <c r="A1245" i="5"/>
  <c r="D1244" i="5"/>
  <c r="A1244" i="5"/>
  <c r="D1243" i="5"/>
  <c r="A1243" i="5"/>
  <c r="D1242" i="5"/>
  <c r="A1242" i="5"/>
  <c r="D1241" i="5"/>
  <c r="A1241" i="5"/>
  <c r="D1240" i="5"/>
  <c r="A1240" i="5"/>
  <c r="D1239" i="5"/>
  <c r="A1239" i="5"/>
  <c r="A1238" i="5"/>
  <c r="A1237" i="5"/>
  <c r="A1236" i="5"/>
  <c r="A1235" i="5"/>
  <c r="A1234" i="5"/>
  <c r="D1233" i="5"/>
  <c r="A1233" i="5"/>
  <c r="D1232" i="5"/>
  <c r="A1232" i="5"/>
  <c r="D1231" i="5"/>
  <c r="A1231" i="5"/>
  <c r="D1230" i="5"/>
  <c r="A1230" i="5"/>
  <c r="A1227" i="5"/>
  <c r="A1226" i="5"/>
  <c r="A1225" i="5"/>
  <c r="D1224" i="5"/>
  <c r="A1224" i="5"/>
  <c r="D1223" i="5"/>
  <c r="A1223" i="5"/>
  <c r="D1222" i="5"/>
  <c r="A1222" i="5"/>
  <c r="D1221" i="5"/>
  <c r="A1221" i="5"/>
  <c r="D1220" i="5"/>
  <c r="A1220" i="5"/>
  <c r="D1218" i="5"/>
  <c r="A1218" i="5"/>
  <c r="D1217" i="5"/>
  <c r="A1217" i="5"/>
  <c r="D1216" i="5"/>
  <c r="A1216" i="5"/>
  <c r="A1215" i="5"/>
  <c r="A1214" i="5"/>
  <c r="D1213" i="5"/>
  <c r="A1213" i="5"/>
  <c r="D1212" i="5"/>
  <c r="A1212" i="5"/>
  <c r="D1211" i="5"/>
  <c r="A1211" i="5"/>
  <c r="D1210" i="5"/>
  <c r="A1210" i="5"/>
  <c r="D1209" i="5"/>
  <c r="A1209" i="5"/>
  <c r="D1208" i="5"/>
  <c r="A1208" i="5"/>
  <c r="A1207" i="5"/>
  <c r="A1206" i="5"/>
  <c r="A1205" i="5"/>
  <c r="D1204" i="5"/>
  <c r="A1204" i="5"/>
  <c r="D1203" i="5"/>
  <c r="A1203" i="5"/>
  <c r="D1202" i="5"/>
  <c r="A1202" i="5"/>
  <c r="D1201" i="5"/>
  <c r="A1201" i="5"/>
  <c r="D1200" i="5"/>
  <c r="A1200" i="5"/>
  <c r="D1199" i="5"/>
  <c r="A1199" i="5"/>
  <c r="A1198" i="5"/>
  <c r="D1197" i="5"/>
  <c r="A1197" i="5"/>
  <c r="D1196" i="5"/>
  <c r="A1196" i="5"/>
  <c r="D1195" i="5"/>
  <c r="A1195" i="5"/>
  <c r="D1194" i="5"/>
  <c r="A1194" i="5"/>
  <c r="D1193" i="5"/>
  <c r="A1193" i="5"/>
  <c r="D1192" i="5"/>
  <c r="A1192" i="5"/>
  <c r="D1191" i="5"/>
  <c r="A1191" i="5"/>
  <c r="A1190" i="5"/>
  <c r="A1189" i="5"/>
  <c r="A1188" i="5"/>
  <c r="D1187" i="5"/>
  <c r="A1187" i="5"/>
  <c r="A1186" i="5"/>
  <c r="D1185" i="5"/>
  <c r="A1185" i="5"/>
  <c r="D1184" i="5"/>
  <c r="A1184" i="5"/>
  <c r="D1183" i="5"/>
  <c r="A1183" i="5"/>
  <c r="A1182" i="5"/>
  <c r="A1181" i="5"/>
  <c r="A1180" i="5"/>
  <c r="D1179" i="5"/>
  <c r="A1179" i="5"/>
  <c r="D1178" i="5"/>
  <c r="A1178" i="5"/>
  <c r="A1177" i="5"/>
  <c r="D1176" i="5"/>
  <c r="A1176" i="5"/>
  <c r="A1175" i="5"/>
  <c r="A1174" i="5"/>
  <c r="D1173" i="5"/>
  <c r="A1173" i="5"/>
  <c r="D1172" i="5"/>
  <c r="A1172" i="5"/>
  <c r="D1171" i="5"/>
  <c r="A1171" i="5"/>
  <c r="A1170" i="5"/>
  <c r="A1169" i="5"/>
  <c r="A1168" i="5"/>
  <c r="D1167" i="5"/>
  <c r="A1167" i="5"/>
  <c r="D1166" i="5"/>
  <c r="A1166" i="5"/>
  <c r="A1165" i="5"/>
  <c r="D1164" i="5"/>
  <c r="A1164" i="5"/>
  <c r="A1163" i="5"/>
  <c r="D1162" i="5"/>
  <c r="A1162" i="5"/>
  <c r="A1161" i="5"/>
  <c r="D1160" i="5"/>
  <c r="A1160" i="5"/>
  <c r="D1159" i="5"/>
  <c r="A1159" i="5"/>
  <c r="D1158" i="5"/>
  <c r="A1158" i="5"/>
  <c r="A1157" i="5"/>
  <c r="A1156" i="5"/>
  <c r="D1155" i="5"/>
  <c r="A1155" i="5"/>
  <c r="D1154" i="5"/>
  <c r="A1154" i="5"/>
  <c r="D1153" i="5"/>
  <c r="A1153" i="5"/>
  <c r="D1152" i="5"/>
  <c r="A1152" i="5"/>
  <c r="D1151" i="5"/>
  <c r="A1151" i="5"/>
  <c r="D1150" i="5"/>
  <c r="A1150" i="5"/>
  <c r="D1149" i="5"/>
  <c r="A1149" i="5"/>
  <c r="D1148" i="5"/>
  <c r="A1148" i="5"/>
  <c r="A1147" i="5"/>
  <c r="D1146" i="5"/>
  <c r="A1146" i="5"/>
  <c r="D1145" i="5"/>
  <c r="A1145" i="5"/>
  <c r="D1144" i="5"/>
  <c r="A1144" i="5"/>
  <c r="D1143" i="5"/>
  <c r="A1143" i="5"/>
  <c r="D1142" i="5"/>
  <c r="A1142" i="5"/>
  <c r="D1141" i="5"/>
  <c r="A1141" i="5"/>
  <c r="D1140" i="5"/>
  <c r="A1140" i="5"/>
  <c r="D1139" i="5"/>
  <c r="A1139" i="5"/>
  <c r="D1138" i="5"/>
  <c r="A1138" i="5"/>
  <c r="A1137" i="5"/>
  <c r="A1136" i="5"/>
  <c r="D1135" i="5"/>
  <c r="A1135" i="5"/>
  <c r="D1134" i="5"/>
  <c r="A1134" i="5"/>
  <c r="D1133" i="5"/>
  <c r="A1133" i="5"/>
  <c r="D1132" i="5"/>
  <c r="A1132" i="5"/>
  <c r="D1131" i="5"/>
  <c r="A1131" i="5"/>
  <c r="D1130" i="5"/>
  <c r="A1130" i="5"/>
  <c r="A1129" i="5"/>
  <c r="A1128" i="5"/>
  <c r="D1127" i="5"/>
  <c r="A1127" i="5"/>
  <c r="A1126" i="5"/>
  <c r="A1125" i="5"/>
  <c r="D1124" i="5"/>
  <c r="A1124" i="5"/>
  <c r="A1123" i="5"/>
  <c r="D1122" i="5"/>
  <c r="A1122" i="5"/>
  <c r="D1121" i="5"/>
  <c r="A1121" i="5"/>
  <c r="D1120" i="5"/>
  <c r="A1120" i="5"/>
  <c r="A1119" i="5"/>
  <c r="D1118" i="5"/>
  <c r="A1118" i="5"/>
  <c r="D1117" i="5"/>
  <c r="A1117" i="5"/>
  <c r="D1116" i="5"/>
  <c r="A1116" i="5"/>
  <c r="A1115" i="5"/>
  <c r="D1114" i="5"/>
  <c r="A1114" i="5"/>
  <c r="D1113" i="5"/>
  <c r="A1113" i="5"/>
  <c r="A1112" i="5"/>
  <c r="D1111" i="5"/>
  <c r="A1111" i="5"/>
  <c r="A1110" i="5"/>
  <c r="D1109" i="5"/>
  <c r="A1109" i="5"/>
  <c r="D1108" i="5"/>
  <c r="A1108" i="5"/>
  <c r="D1107" i="5"/>
  <c r="A1107" i="5"/>
  <c r="D1106" i="5"/>
  <c r="A1106" i="5"/>
  <c r="D1105" i="5"/>
  <c r="A1105" i="5"/>
  <c r="D1104" i="5"/>
  <c r="A1104" i="5"/>
  <c r="D1103" i="5"/>
  <c r="A1103" i="5"/>
  <c r="D1102" i="5"/>
  <c r="A1102" i="5"/>
  <c r="D1101" i="5"/>
  <c r="A1101" i="5"/>
  <c r="D1100" i="5"/>
  <c r="A1100" i="5"/>
  <c r="D1099" i="5"/>
  <c r="A1099" i="5"/>
  <c r="D1098" i="5"/>
  <c r="A1098" i="5"/>
  <c r="A1097" i="5"/>
  <c r="D1096" i="5"/>
  <c r="A1096" i="5"/>
  <c r="D1095" i="5"/>
  <c r="A1095" i="5"/>
  <c r="D1094" i="5"/>
  <c r="A1094" i="5"/>
  <c r="D1093" i="5"/>
  <c r="A1093" i="5"/>
  <c r="D1092" i="5"/>
  <c r="A1092" i="5"/>
  <c r="D1091" i="5"/>
  <c r="A1091" i="5"/>
  <c r="D1090" i="5"/>
  <c r="A1090" i="5"/>
  <c r="D1089" i="5"/>
  <c r="A1089" i="5"/>
  <c r="D1088" i="5"/>
  <c r="A1088" i="5"/>
  <c r="D1087" i="5"/>
  <c r="A1087" i="5"/>
  <c r="D1086" i="5"/>
  <c r="A1086" i="5"/>
  <c r="D1085" i="5"/>
  <c r="A1085" i="5"/>
  <c r="D1084" i="5"/>
  <c r="A1084" i="5"/>
  <c r="D1083" i="5"/>
  <c r="A1083" i="5"/>
  <c r="A1082" i="5"/>
  <c r="A1081" i="5"/>
  <c r="A1080" i="5"/>
  <c r="D1079" i="5"/>
  <c r="A1079" i="5"/>
  <c r="D1078" i="5"/>
  <c r="A1078" i="5"/>
  <c r="D1077" i="5"/>
  <c r="A1077" i="5"/>
  <c r="A1076" i="5"/>
  <c r="D1075" i="5"/>
  <c r="A1075" i="5"/>
  <c r="D1074" i="5"/>
  <c r="A1074" i="5"/>
  <c r="D1073" i="5"/>
  <c r="A1073" i="5"/>
  <c r="D1072" i="5"/>
  <c r="A1072" i="5"/>
  <c r="D1071" i="5"/>
  <c r="A1071" i="5"/>
  <c r="D1070" i="5"/>
  <c r="A1070" i="5"/>
  <c r="D1069" i="5"/>
  <c r="A1069" i="5"/>
  <c r="D1068" i="5"/>
  <c r="A1068" i="5"/>
  <c r="A1067" i="5"/>
  <c r="D1066" i="5"/>
  <c r="A1066" i="5"/>
  <c r="D1065" i="5"/>
  <c r="A1065" i="5"/>
  <c r="D1064" i="5"/>
  <c r="A1064" i="5"/>
  <c r="D1063" i="5"/>
  <c r="A1063" i="5"/>
  <c r="D1062" i="5"/>
  <c r="A1062" i="5"/>
  <c r="D1061" i="5"/>
  <c r="A1061" i="5"/>
  <c r="D1060" i="5"/>
  <c r="A1060" i="5"/>
  <c r="D1059" i="5"/>
  <c r="A1059" i="5"/>
  <c r="D1058" i="5"/>
  <c r="A1058" i="5"/>
  <c r="A1057" i="5"/>
  <c r="D1056" i="5"/>
  <c r="A1056" i="5"/>
  <c r="A1055" i="5"/>
  <c r="D1054" i="5"/>
  <c r="A1054" i="5"/>
  <c r="D1053" i="5"/>
  <c r="A1053" i="5"/>
  <c r="A1052" i="5"/>
  <c r="D1051" i="5"/>
  <c r="A1051" i="5"/>
  <c r="D1050" i="5"/>
  <c r="A1050" i="5"/>
  <c r="D1049" i="5"/>
  <c r="A1049" i="5"/>
  <c r="D1048" i="5"/>
  <c r="A1048" i="5"/>
  <c r="D1047" i="5"/>
  <c r="A1047" i="5"/>
  <c r="A1046" i="5"/>
  <c r="D1045" i="5"/>
  <c r="A1045" i="5"/>
  <c r="D1044" i="5"/>
  <c r="A1044" i="5"/>
  <c r="D1043" i="5"/>
  <c r="A1043" i="5"/>
  <c r="D1042" i="5"/>
  <c r="A1042" i="5"/>
  <c r="D1041" i="5"/>
  <c r="A1041" i="5"/>
  <c r="A1040" i="5"/>
  <c r="A1039" i="5"/>
  <c r="D1038" i="5"/>
  <c r="A1038" i="5"/>
  <c r="A1037" i="5"/>
  <c r="D1036" i="5"/>
  <c r="A1036" i="5"/>
  <c r="D1035" i="5"/>
  <c r="A1035" i="5"/>
  <c r="A1034" i="5"/>
  <c r="A1033" i="5"/>
  <c r="A1032" i="5"/>
  <c r="D1031" i="5"/>
  <c r="A1031" i="5"/>
  <c r="D1030" i="5"/>
  <c r="A1030" i="5"/>
  <c r="D1029" i="5"/>
  <c r="A1029" i="5"/>
  <c r="D1028" i="5"/>
  <c r="A1028" i="5"/>
  <c r="D1027" i="5"/>
  <c r="A1027" i="5"/>
  <c r="D1026" i="5"/>
  <c r="A1026" i="5"/>
  <c r="D1025" i="5"/>
  <c r="A1025" i="5"/>
  <c r="D1024" i="5"/>
  <c r="A1024" i="5"/>
  <c r="D1023" i="5"/>
  <c r="A1023" i="5"/>
  <c r="D1022" i="5"/>
  <c r="A1022" i="5"/>
  <c r="D1021" i="5"/>
  <c r="A1021" i="5"/>
  <c r="D1020" i="5"/>
  <c r="A1020" i="5"/>
  <c r="D1019" i="5"/>
  <c r="A1019" i="5"/>
  <c r="D1018" i="5"/>
  <c r="A1018" i="5"/>
  <c r="D1017" i="5"/>
  <c r="A1017" i="5"/>
  <c r="D1016" i="5"/>
  <c r="A1016" i="5"/>
  <c r="A1015" i="5"/>
  <c r="A1014" i="5"/>
  <c r="A1013" i="5"/>
  <c r="A1012" i="5"/>
  <c r="D1011" i="5"/>
  <c r="A1011" i="5"/>
  <c r="A1010" i="5"/>
  <c r="A1009" i="5"/>
  <c r="A1008" i="5"/>
  <c r="A1007" i="5"/>
  <c r="A1006" i="5"/>
  <c r="D1005" i="5"/>
  <c r="A1005" i="5"/>
  <c r="A1004" i="5"/>
  <c r="A1003" i="5"/>
  <c r="D1002" i="5"/>
  <c r="A1002" i="5"/>
  <c r="D1001" i="5"/>
  <c r="A1001" i="5"/>
  <c r="D1000" i="5"/>
  <c r="A1000" i="5"/>
  <c r="D999" i="5"/>
  <c r="A999" i="5"/>
  <c r="D998" i="5"/>
  <c r="A998" i="5"/>
  <c r="D997" i="5"/>
  <c r="A997" i="5"/>
  <c r="D996" i="5"/>
  <c r="A996" i="5"/>
  <c r="A995" i="5"/>
  <c r="D994" i="5"/>
  <c r="A994" i="5"/>
  <c r="D993" i="5"/>
  <c r="A993" i="5"/>
  <c r="A992" i="5"/>
  <c r="A991" i="5"/>
  <c r="A990" i="5"/>
  <c r="D989" i="5"/>
  <c r="A989" i="5"/>
  <c r="A988" i="5"/>
  <c r="D987" i="5"/>
  <c r="A987" i="5"/>
  <c r="D986" i="5"/>
  <c r="A986" i="5"/>
  <c r="A985" i="5"/>
  <c r="A984" i="5"/>
  <c r="A983" i="5"/>
  <c r="D982" i="5"/>
  <c r="A982" i="5"/>
  <c r="D981" i="5"/>
  <c r="A981" i="5"/>
  <c r="A980" i="5"/>
  <c r="A979" i="5"/>
  <c r="D978" i="5"/>
  <c r="A978" i="5"/>
  <c r="D977" i="5"/>
  <c r="A977" i="5"/>
  <c r="D976" i="5"/>
  <c r="A976" i="5"/>
  <c r="D975" i="5"/>
  <c r="A975" i="5"/>
  <c r="A974" i="5"/>
  <c r="A973" i="5"/>
  <c r="D972" i="5"/>
  <c r="A972" i="5"/>
  <c r="A971" i="5"/>
  <c r="D970" i="5"/>
  <c r="A970" i="5"/>
  <c r="D969" i="5"/>
  <c r="A969" i="5"/>
  <c r="D968" i="5"/>
  <c r="A968" i="5"/>
  <c r="D967" i="5"/>
  <c r="A967" i="5"/>
  <c r="D966" i="5"/>
  <c r="A966" i="5"/>
  <c r="A965" i="5"/>
  <c r="A964" i="5"/>
  <c r="D963" i="5"/>
  <c r="A963" i="5"/>
  <c r="D962" i="5"/>
  <c r="A962" i="5"/>
  <c r="A961" i="5"/>
  <c r="D960" i="5"/>
  <c r="A960" i="5"/>
  <c r="D959" i="5"/>
  <c r="A959" i="5"/>
  <c r="D958" i="5"/>
  <c r="A958" i="5"/>
  <c r="A957" i="5"/>
  <c r="D956" i="5"/>
  <c r="A956" i="5"/>
  <c r="D955" i="5"/>
  <c r="A955" i="5"/>
  <c r="D954" i="5"/>
  <c r="A954" i="5"/>
  <c r="A953" i="5"/>
  <c r="D952" i="5"/>
  <c r="A952" i="5"/>
  <c r="D951" i="5"/>
  <c r="A951" i="5"/>
  <c r="D950" i="5"/>
  <c r="A950" i="5"/>
  <c r="D949" i="5"/>
  <c r="A949" i="5"/>
  <c r="A948" i="5"/>
  <c r="D947" i="5"/>
  <c r="A947" i="5"/>
  <c r="D946" i="5"/>
  <c r="A946" i="5"/>
  <c r="D945" i="5"/>
  <c r="A945" i="5"/>
  <c r="D944" i="5"/>
  <c r="A944" i="5"/>
  <c r="D943" i="5"/>
  <c r="A943" i="5"/>
  <c r="D942" i="5"/>
  <c r="A942" i="5"/>
  <c r="D941" i="5"/>
  <c r="A941" i="5"/>
  <c r="D940" i="5"/>
  <c r="A940" i="5"/>
  <c r="D939" i="5"/>
  <c r="A939" i="5"/>
  <c r="D938" i="5"/>
  <c r="A938" i="5"/>
  <c r="D937" i="5"/>
  <c r="A937" i="5"/>
  <c r="D936" i="5"/>
  <c r="A936" i="5"/>
  <c r="D935" i="5"/>
  <c r="A935" i="5"/>
  <c r="A934" i="5"/>
  <c r="D933" i="5"/>
  <c r="A933" i="5"/>
  <c r="D932" i="5"/>
  <c r="A932" i="5"/>
  <c r="D931" i="5"/>
  <c r="A931" i="5"/>
  <c r="D930" i="5"/>
  <c r="A930" i="5"/>
  <c r="D929" i="5"/>
  <c r="A929" i="5"/>
  <c r="D928" i="5"/>
  <c r="A928" i="5"/>
  <c r="D927" i="5"/>
  <c r="A927" i="5"/>
  <c r="D926" i="5"/>
  <c r="A926" i="5"/>
  <c r="D925" i="5"/>
  <c r="A925" i="5"/>
  <c r="D924" i="5"/>
  <c r="A924" i="5"/>
  <c r="D923" i="5"/>
  <c r="A923" i="5"/>
  <c r="D922" i="5"/>
  <c r="A922" i="5"/>
  <c r="D921" i="5"/>
  <c r="A921" i="5"/>
  <c r="D920" i="5"/>
  <c r="A920" i="5"/>
  <c r="A919" i="5"/>
  <c r="D918" i="5"/>
  <c r="A918" i="5"/>
  <c r="D917" i="5"/>
  <c r="A917" i="5"/>
  <c r="D916" i="5"/>
  <c r="A916" i="5"/>
  <c r="A915" i="5"/>
  <c r="D914" i="5"/>
  <c r="A914" i="5"/>
  <c r="D913" i="5"/>
  <c r="A913" i="5"/>
  <c r="D912" i="5"/>
  <c r="A912" i="5"/>
  <c r="D911" i="5"/>
  <c r="A911" i="5"/>
  <c r="D910" i="5"/>
  <c r="A910" i="5"/>
  <c r="D909" i="5"/>
  <c r="A909" i="5"/>
  <c r="D908" i="5"/>
  <c r="A908" i="5"/>
  <c r="D907" i="5"/>
  <c r="A907" i="5"/>
  <c r="D906" i="5"/>
  <c r="A906" i="5"/>
  <c r="D905" i="5"/>
  <c r="A905" i="5"/>
  <c r="D904" i="5"/>
  <c r="A904" i="5"/>
  <c r="D903" i="5"/>
  <c r="A903" i="5"/>
  <c r="D902" i="5"/>
  <c r="A902" i="5"/>
  <c r="D901" i="5"/>
  <c r="A901" i="5"/>
  <c r="D900" i="5"/>
  <c r="A900" i="5"/>
  <c r="D899" i="5"/>
  <c r="A899" i="5"/>
  <c r="D898" i="5"/>
  <c r="A898" i="5"/>
  <c r="D897" i="5"/>
  <c r="A897" i="5"/>
  <c r="D896" i="5"/>
  <c r="A896" i="5"/>
  <c r="D895" i="5"/>
  <c r="A895" i="5"/>
  <c r="D894" i="5"/>
  <c r="A894" i="5"/>
  <c r="D893" i="5"/>
  <c r="A893" i="5"/>
  <c r="D892" i="5"/>
  <c r="A892" i="5"/>
  <c r="D891" i="5"/>
  <c r="A891" i="5"/>
  <c r="D890" i="5"/>
  <c r="A890" i="5"/>
  <c r="A889" i="5"/>
  <c r="D888" i="5"/>
  <c r="A888" i="5"/>
  <c r="D887" i="5"/>
  <c r="A887" i="5"/>
  <c r="A886" i="5"/>
  <c r="D885" i="5"/>
  <c r="A885" i="5"/>
  <c r="D884" i="5"/>
  <c r="A884" i="5"/>
  <c r="A883" i="5"/>
  <c r="D882" i="5"/>
  <c r="A882" i="5"/>
  <c r="D881" i="5"/>
  <c r="A881" i="5"/>
  <c r="D880" i="5"/>
  <c r="A880" i="5"/>
  <c r="A879" i="5"/>
  <c r="D878" i="5"/>
  <c r="A878" i="5"/>
  <c r="D877" i="5"/>
  <c r="A877" i="5"/>
  <c r="D876" i="5"/>
  <c r="A876" i="5"/>
  <c r="D875" i="5"/>
  <c r="A875" i="5"/>
  <c r="D874" i="5"/>
  <c r="A874" i="5"/>
  <c r="D873" i="5"/>
  <c r="A873" i="5"/>
  <c r="D872" i="5"/>
  <c r="A872" i="5"/>
  <c r="D871" i="5"/>
  <c r="A871" i="5"/>
  <c r="D870" i="5"/>
  <c r="A870" i="5"/>
  <c r="A869" i="5"/>
  <c r="D868" i="5"/>
  <c r="A868" i="5"/>
  <c r="D867" i="5"/>
  <c r="A867" i="5"/>
  <c r="D866" i="5"/>
  <c r="A866" i="5"/>
  <c r="D865" i="5"/>
  <c r="A865" i="5"/>
  <c r="D864" i="5"/>
  <c r="A864" i="5"/>
  <c r="D863" i="5"/>
  <c r="A863" i="5"/>
  <c r="D862" i="5"/>
  <c r="A862" i="5"/>
  <c r="D861" i="5"/>
  <c r="A861" i="5"/>
  <c r="D860" i="5"/>
  <c r="A860" i="5"/>
  <c r="D859" i="5"/>
  <c r="A859" i="5"/>
  <c r="D858" i="5"/>
  <c r="A858" i="5"/>
  <c r="D857" i="5"/>
  <c r="A857" i="5"/>
  <c r="D856" i="5"/>
  <c r="A856" i="5"/>
  <c r="D855" i="5"/>
  <c r="A855" i="5"/>
  <c r="A854" i="5"/>
  <c r="D853" i="5"/>
  <c r="A853" i="5"/>
  <c r="D852" i="5"/>
  <c r="A852" i="5"/>
  <c r="D851" i="5"/>
  <c r="D850" i="5"/>
  <c r="A850" i="5"/>
  <c r="D849" i="5"/>
  <c r="A849" i="5"/>
  <c r="A848" i="5"/>
  <c r="D847" i="5"/>
  <c r="A847" i="5"/>
  <c r="A846" i="5"/>
  <c r="D845" i="5"/>
  <c r="A845" i="5"/>
  <c r="A844" i="5"/>
  <c r="D843" i="5"/>
  <c r="A843" i="5"/>
  <c r="A842" i="5"/>
  <c r="D841" i="5"/>
  <c r="A841" i="5"/>
  <c r="D840" i="5"/>
  <c r="A840" i="5"/>
  <c r="D839" i="5"/>
  <c r="A839" i="5"/>
  <c r="D838" i="5"/>
  <c r="A838" i="5"/>
  <c r="D837" i="5"/>
  <c r="A837" i="5"/>
  <c r="D836" i="5"/>
  <c r="A836" i="5"/>
  <c r="A835" i="5"/>
  <c r="D834" i="5"/>
  <c r="A834" i="5"/>
  <c r="D833" i="5"/>
  <c r="A833" i="5"/>
  <c r="D832" i="5"/>
  <c r="A832" i="5"/>
  <c r="D831" i="5"/>
  <c r="A831" i="5"/>
  <c r="D830" i="5"/>
  <c r="A830" i="5"/>
  <c r="D829" i="5"/>
  <c r="A829" i="5"/>
  <c r="D828" i="5"/>
  <c r="A828" i="5"/>
  <c r="D827" i="5"/>
  <c r="A827" i="5"/>
  <c r="D826" i="5"/>
  <c r="A826" i="5"/>
  <c r="A825" i="5"/>
  <c r="D824" i="5"/>
  <c r="A824" i="5"/>
  <c r="A823" i="5"/>
  <c r="A822" i="5"/>
  <c r="A821" i="5"/>
  <c r="A820" i="5"/>
  <c r="A819" i="5"/>
  <c r="A818" i="5"/>
  <c r="A817" i="5"/>
  <c r="A816" i="5"/>
  <c r="A815" i="5"/>
  <c r="A814" i="5"/>
  <c r="A813" i="5"/>
  <c r="A812" i="5"/>
  <c r="A811" i="5"/>
  <c r="A810" i="5"/>
  <c r="D809" i="5"/>
  <c r="A809" i="5"/>
  <c r="A808" i="5"/>
  <c r="A807" i="5"/>
  <c r="D806" i="5"/>
  <c r="A806" i="5"/>
  <c r="D805" i="5"/>
  <c r="A805" i="5"/>
  <c r="D804" i="5"/>
  <c r="A804" i="5"/>
  <c r="D803" i="5"/>
  <c r="A803" i="5"/>
  <c r="D802" i="5"/>
  <c r="A802" i="5"/>
  <c r="D801" i="5"/>
  <c r="A801" i="5"/>
  <c r="A800" i="5"/>
  <c r="D799" i="5"/>
  <c r="A799" i="5"/>
  <c r="A798" i="5"/>
  <c r="D797" i="5"/>
  <c r="A797" i="5"/>
  <c r="D796" i="5"/>
  <c r="A796" i="5"/>
  <c r="D795" i="5"/>
  <c r="A795" i="5"/>
  <c r="D794" i="5"/>
  <c r="A794" i="5"/>
  <c r="A793" i="5"/>
  <c r="D792" i="5"/>
  <c r="A792" i="5"/>
  <c r="A791" i="5"/>
  <c r="D790" i="5"/>
  <c r="A790" i="5"/>
  <c r="A789" i="5"/>
  <c r="D788" i="5"/>
  <c r="A788" i="5"/>
  <c r="D787" i="5"/>
  <c r="A787" i="5"/>
  <c r="D786" i="5"/>
  <c r="A786" i="5"/>
  <c r="A785" i="5"/>
  <c r="A784" i="5"/>
  <c r="D783" i="5"/>
  <c r="A783" i="5"/>
  <c r="D782" i="5"/>
  <c r="A782" i="5"/>
  <c r="D781" i="5"/>
  <c r="A781" i="5"/>
  <c r="D780" i="5"/>
  <c r="A780" i="5"/>
  <c r="D779" i="5"/>
  <c r="A779" i="5"/>
  <c r="A778" i="5"/>
  <c r="D777" i="5"/>
  <c r="A777" i="5"/>
  <c r="A776" i="5"/>
  <c r="A775" i="5"/>
  <c r="D774" i="5"/>
  <c r="A774" i="5"/>
  <c r="D773" i="5"/>
  <c r="A773" i="5"/>
  <c r="D772" i="5"/>
  <c r="A772" i="5"/>
  <c r="D771" i="5"/>
  <c r="A771" i="5"/>
  <c r="D770" i="5"/>
  <c r="A770" i="5"/>
  <c r="D769" i="5"/>
  <c r="A769" i="5"/>
  <c r="A768" i="5"/>
  <c r="A767" i="5"/>
  <c r="A766" i="5"/>
  <c r="D765" i="5"/>
  <c r="A765" i="5"/>
  <c r="D764" i="5"/>
  <c r="A764" i="5"/>
  <c r="D763" i="5"/>
  <c r="A763" i="5"/>
  <c r="D762" i="5"/>
  <c r="A762" i="5"/>
  <c r="A761" i="5"/>
  <c r="D760" i="5"/>
  <c r="A760" i="5"/>
  <c r="D759" i="5"/>
  <c r="A759" i="5"/>
  <c r="D758" i="5"/>
  <c r="A758" i="5"/>
  <c r="D757" i="5"/>
  <c r="A757" i="5"/>
  <c r="D756" i="5"/>
  <c r="A756" i="5"/>
  <c r="D755" i="5"/>
  <c r="A755" i="5"/>
  <c r="D754" i="5"/>
  <c r="A754" i="5"/>
  <c r="D753" i="5"/>
  <c r="A753" i="5"/>
  <c r="D752" i="5"/>
  <c r="A752" i="5"/>
  <c r="D751" i="5"/>
  <c r="A751" i="5"/>
  <c r="D750" i="5"/>
  <c r="A750" i="5"/>
  <c r="D749" i="5"/>
  <c r="A749" i="5"/>
  <c r="D748" i="5"/>
  <c r="A748" i="5"/>
  <c r="D747" i="5"/>
  <c r="A747" i="5"/>
  <c r="D746" i="5"/>
  <c r="A746" i="5"/>
  <c r="D745" i="5"/>
  <c r="A745" i="5"/>
  <c r="D744" i="5"/>
  <c r="A744" i="5"/>
  <c r="D743" i="5"/>
  <c r="A743" i="5"/>
  <c r="A742" i="5"/>
  <c r="D741" i="5"/>
  <c r="A741" i="5"/>
  <c r="D740" i="5"/>
  <c r="A740" i="5"/>
  <c r="D739" i="5"/>
  <c r="A739" i="5"/>
  <c r="D738" i="5"/>
  <c r="A738" i="5"/>
  <c r="D737" i="5"/>
  <c r="A737" i="5"/>
  <c r="D736" i="5"/>
  <c r="A736" i="5"/>
  <c r="D735" i="5"/>
  <c r="A735" i="5"/>
  <c r="D734" i="5"/>
  <c r="A734" i="5"/>
  <c r="D733" i="5"/>
  <c r="A733" i="5"/>
  <c r="D732" i="5"/>
  <c r="A732" i="5"/>
  <c r="D731" i="5"/>
  <c r="A731" i="5"/>
  <c r="D730" i="5"/>
  <c r="A730" i="5"/>
  <c r="D729" i="5"/>
  <c r="A729" i="5"/>
  <c r="D728" i="5"/>
  <c r="A728" i="5"/>
  <c r="D727" i="5"/>
  <c r="A726" i="5"/>
  <c r="D725" i="5"/>
  <c r="A725" i="5"/>
  <c r="D724" i="5"/>
  <c r="A724" i="5"/>
  <c r="D723" i="5"/>
  <c r="A723" i="5"/>
  <c r="D722" i="5"/>
  <c r="A722" i="5"/>
  <c r="D721" i="5"/>
  <c r="A721" i="5"/>
  <c r="D720" i="5"/>
  <c r="A720" i="5"/>
  <c r="D719" i="5"/>
  <c r="A719" i="5"/>
  <c r="D718" i="5"/>
  <c r="A718" i="5"/>
  <c r="D717" i="5"/>
  <c r="A717" i="5"/>
  <c r="D716" i="5"/>
  <c r="A716" i="5"/>
  <c r="D715" i="5"/>
  <c r="A715" i="5"/>
  <c r="D714" i="5"/>
  <c r="A714" i="5"/>
  <c r="D713" i="5"/>
  <c r="A713" i="5"/>
  <c r="D712" i="5"/>
  <c r="A712" i="5"/>
  <c r="D711" i="5"/>
  <c r="A711" i="5"/>
  <c r="D710" i="5"/>
  <c r="A710" i="5"/>
  <c r="D709" i="5"/>
  <c r="A709" i="5"/>
  <c r="D708" i="5"/>
  <c r="A708" i="5"/>
  <c r="D707" i="5"/>
  <c r="A707" i="5"/>
  <c r="D706" i="5"/>
  <c r="A706" i="5"/>
  <c r="D705" i="5"/>
  <c r="A705" i="5"/>
  <c r="D704" i="5"/>
  <c r="A704" i="5"/>
  <c r="D703" i="5"/>
  <c r="A703" i="5"/>
  <c r="D702" i="5"/>
  <c r="A702" i="5"/>
  <c r="D701" i="5"/>
  <c r="A701" i="5"/>
  <c r="D700" i="5"/>
  <c r="A700" i="5"/>
  <c r="D699" i="5"/>
  <c r="A699" i="5"/>
  <c r="D698" i="5"/>
  <c r="A698" i="5"/>
  <c r="D697" i="5"/>
  <c r="A697" i="5"/>
  <c r="D696" i="5"/>
  <c r="A696" i="5"/>
  <c r="D695" i="5"/>
  <c r="A695" i="5"/>
  <c r="D694" i="5"/>
  <c r="A694" i="5"/>
  <c r="D693" i="5"/>
  <c r="A693" i="5"/>
  <c r="A692" i="5"/>
  <c r="A691" i="5"/>
  <c r="D690" i="5"/>
  <c r="A690" i="5"/>
  <c r="A689" i="5"/>
  <c r="D688" i="5"/>
  <c r="A688" i="5"/>
  <c r="D687" i="5"/>
  <c r="A687" i="5"/>
  <c r="A686" i="5"/>
  <c r="D685" i="5"/>
  <c r="A685" i="5"/>
  <c r="D684" i="5"/>
  <c r="A684" i="5"/>
  <c r="D683" i="5"/>
  <c r="A683" i="5"/>
  <c r="D682" i="5"/>
  <c r="A682" i="5"/>
  <c r="A681" i="5"/>
  <c r="D680" i="5"/>
  <c r="A680" i="5"/>
  <c r="D679" i="5"/>
  <c r="A679" i="5"/>
  <c r="A678" i="5"/>
  <c r="D677" i="5"/>
  <c r="A677" i="5"/>
  <c r="D676" i="5"/>
  <c r="A676" i="5"/>
  <c r="D675" i="5"/>
  <c r="A675" i="5"/>
  <c r="D674" i="5"/>
  <c r="A674" i="5"/>
  <c r="A673" i="5"/>
  <c r="A672" i="5"/>
  <c r="A671" i="5"/>
  <c r="A670" i="5"/>
  <c r="A669" i="5"/>
  <c r="A668" i="5"/>
  <c r="A667" i="5"/>
  <c r="A666" i="5"/>
  <c r="D665" i="5"/>
  <c r="A665" i="5"/>
  <c r="D664" i="5"/>
  <c r="A664" i="5"/>
  <c r="D663" i="5"/>
  <c r="A663" i="5"/>
  <c r="D662" i="5"/>
  <c r="A662" i="5"/>
  <c r="D661" i="5"/>
  <c r="A661" i="5"/>
  <c r="D660" i="5"/>
  <c r="A660" i="5"/>
  <c r="D659" i="5"/>
  <c r="A659" i="5"/>
  <c r="D658" i="5"/>
  <c r="A658" i="5"/>
  <c r="D657" i="5"/>
  <c r="A657" i="5"/>
  <c r="D656" i="5"/>
  <c r="A656" i="5"/>
  <c r="D655" i="5"/>
  <c r="A655" i="5"/>
  <c r="D654" i="5"/>
  <c r="A654" i="5"/>
  <c r="D653" i="5"/>
  <c r="A653" i="5"/>
  <c r="A652" i="5"/>
  <c r="A651" i="5"/>
  <c r="D650" i="5"/>
  <c r="A650" i="5"/>
  <c r="D649" i="5"/>
  <c r="A649" i="5"/>
  <c r="D648" i="5"/>
  <c r="A648" i="5"/>
  <c r="D647" i="5"/>
  <c r="A647" i="5"/>
  <c r="D646" i="5"/>
  <c r="A646" i="5"/>
  <c r="D645" i="5"/>
  <c r="A645" i="5"/>
  <c r="D644" i="5"/>
  <c r="A644" i="5"/>
  <c r="D643" i="5"/>
  <c r="A643" i="5"/>
  <c r="D642" i="5"/>
  <c r="A642" i="5"/>
  <c r="D641" i="5"/>
  <c r="A641" i="5"/>
  <c r="A640" i="5"/>
  <c r="D639" i="5"/>
  <c r="A639" i="5"/>
  <c r="D638" i="5"/>
  <c r="A638" i="5"/>
  <c r="D637" i="5"/>
  <c r="A637" i="5"/>
  <c r="D636" i="5"/>
  <c r="A636" i="5"/>
  <c r="D635" i="5"/>
  <c r="A635" i="5"/>
  <c r="D634" i="5"/>
  <c r="A634" i="5"/>
  <c r="A633" i="5"/>
  <c r="D632" i="5"/>
  <c r="A632" i="5"/>
  <c r="D631" i="5"/>
  <c r="A631" i="5"/>
  <c r="D630" i="5"/>
  <c r="A630" i="5"/>
  <c r="D629" i="5"/>
  <c r="A629" i="5"/>
  <c r="D628" i="5"/>
  <c r="A628" i="5"/>
  <c r="D627" i="5"/>
  <c r="A627" i="5"/>
  <c r="D626" i="5"/>
  <c r="A626" i="5"/>
  <c r="D625" i="5"/>
  <c r="A625" i="5"/>
  <c r="D624" i="5"/>
  <c r="A624" i="5"/>
  <c r="D623" i="5"/>
  <c r="A623" i="5"/>
  <c r="D622" i="5"/>
  <c r="A622" i="5"/>
  <c r="D621" i="5"/>
  <c r="A621" i="5"/>
  <c r="D620" i="5"/>
  <c r="A620" i="5"/>
  <c r="D619" i="5"/>
  <c r="A619" i="5"/>
  <c r="D618" i="5"/>
  <c r="A618" i="5"/>
  <c r="A617" i="5"/>
  <c r="A616" i="5"/>
  <c r="D615" i="5"/>
  <c r="A615" i="5"/>
  <c r="D614" i="5"/>
  <c r="A614" i="5"/>
  <c r="D613" i="5"/>
  <c r="A613" i="5"/>
  <c r="D612" i="5"/>
  <c r="A612" i="5"/>
  <c r="D611" i="5"/>
  <c r="A611" i="5"/>
  <c r="D610" i="5"/>
  <c r="A610" i="5"/>
  <c r="D609" i="5"/>
  <c r="A609" i="5"/>
  <c r="D608" i="5"/>
  <c r="A608" i="5"/>
  <c r="D607" i="5"/>
  <c r="A607" i="5"/>
  <c r="D606" i="5"/>
  <c r="A606" i="5"/>
  <c r="D605" i="5"/>
  <c r="A605" i="5"/>
  <c r="D604" i="5"/>
  <c r="A604" i="5"/>
  <c r="D603" i="5"/>
  <c r="A603" i="5"/>
  <c r="D602" i="5"/>
  <c r="A602" i="5"/>
  <c r="A601" i="5"/>
  <c r="A600" i="5"/>
  <c r="D599" i="5"/>
  <c r="A599" i="5"/>
  <c r="D598" i="5"/>
  <c r="A598" i="5"/>
  <c r="D597" i="5"/>
  <c r="A597" i="5"/>
  <c r="D596" i="5"/>
  <c r="A596" i="5"/>
  <c r="D595" i="5"/>
  <c r="A595" i="5"/>
  <c r="D594" i="5"/>
  <c r="A594" i="5"/>
  <c r="D593" i="5"/>
  <c r="A593" i="5"/>
  <c r="D592" i="5"/>
  <c r="A592" i="5"/>
  <c r="D591" i="5"/>
  <c r="A591" i="5"/>
  <c r="D590" i="5"/>
  <c r="A590" i="5"/>
  <c r="D589" i="5"/>
  <c r="A589" i="5"/>
  <c r="D588" i="5"/>
  <c r="A588" i="5"/>
  <c r="D587" i="5"/>
  <c r="A587" i="5"/>
  <c r="D586" i="5"/>
  <c r="A586" i="5"/>
  <c r="D585" i="5"/>
  <c r="A585" i="5"/>
  <c r="D584" i="5"/>
  <c r="A584" i="5"/>
  <c r="D583" i="5"/>
  <c r="A583" i="5"/>
  <c r="D582" i="5"/>
  <c r="A582" i="5"/>
  <c r="D581" i="5"/>
  <c r="A581" i="5"/>
  <c r="D580" i="5"/>
  <c r="A580" i="5"/>
  <c r="D579" i="5"/>
  <c r="A579" i="5"/>
  <c r="D578" i="5"/>
  <c r="A578" i="5"/>
  <c r="D577" i="5"/>
  <c r="A577" i="5"/>
  <c r="D576" i="5"/>
  <c r="A576" i="5"/>
  <c r="D575" i="5"/>
  <c r="A575" i="5"/>
  <c r="D574" i="5"/>
  <c r="A574" i="5"/>
  <c r="D573" i="5"/>
  <c r="A573" i="5"/>
  <c r="D572" i="5"/>
  <c r="A572" i="5"/>
  <c r="D571" i="5"/>
  <c r="A571" i="5"/>
  <c r="D570" i="5"/>
  <c r="A570" i="5"/>
  <c r="D569" i="5"/>
  <c r="A569" i="5"/>
  <c r="D568" i="5"/>
  <c r="A568" i="5"/>
  <c r="D567" i="5"/>
  <c r="A567" i="5"/>
  <c r="D566" i="5"/>
  <c r="A566" i="5"/>
  <c r="D565" i="5"/>
  <c r="A565" i="5"/>
  <c r="D564" i="5"/>
  <c r="A564" i="5"/>
  <c r="D563" i="5"/>
  <c r="A563" i="5"/>
  <c r="D562" i="5"/>
  <c r="A562" i="5"/>
  <c r="D561" i="5"/>
  <c r="A561" i="5"/>
  <c r="D560" i="5"/>
  <c r="A560" i="5"/>
  <c r="D559" i="5"/>
  <c r="A559" i="5"/>
  <c r="D558" i="5"/>
  <c r="A558" i="5"/>
  <c r="D557" i="5"/>
  <c r="A557" i="5"/>
  <c r="D556" i="5"/>
  <c r="A556" i="5"/>
  <c r="D555" i="5"/>
  <c r="A555" i="5"/>
  <c r="D554" i="5"/>
  <c r="A554" i="5"/>
  <c r="D553" i="5"/>
  <c r="A553" i="5"/>
  <c r="D552" i="5"/>
  <c r="A552" i="5"/>
  <c r="D551" i="5"/>
  <c r="A551" i="5"/>
  <c r="D550" i="5"/>
  <c r="A550" i="5"/>
  <c r="D549" i="5"/>
  <c r="A549" i="5"/>
  <c r="A548" i="5"/>
  <c r="D547" i="5"/>
  <c r="A547" i="5"/>
  <c r="A546" i="5"/>
  <c r="D545" i="5"/>
  <c r="A545" i="5"/>
  <c r="D544" i="5"/>
  <c r="A544" i="5"/>
  <c r="D543" i="5"/>
  <c r="A543" i="5"/>
  <c r="A542" i="5"/>
  <c r="A541" i="5"/>
  <c r="A540" i="5"/>
  <c r="D539" i="5"/>
  <c r="A539" i="5"/>
  <c r="D538" i="5"/>
  <c r="A538" i="5"/>
  <c r="D537" i="5"/>
  <c r="A537" i="5"/>
  <c r="A536" i="5"/>
  <c r="D535" i="5"/>
  <c r="A535" i="5"/>
  <c r="D534" i="5"/>
  <c r="A534" i="5"/>
  <c r="D533" i="5"/>
  <c r="A533" i="5"/>
  <c r="D532" i="5"/>
  <c r="A532" i="5"/>
  <c r="D531" i="5"/>
  <c r="A531" i="5"/>
  <c r="A530" i="5"/>
  <c r="D529" i="5"/>
  <c r="A529" i="5"/>
  <c r="D528" i="5"/>
  <c r="A528" i="5"/>
  <c r="D527" i="5"/>
  <c r="A527" i="5"/>
  <c r="D526" i="5"/>
  <c r="A526" i="5"/>
  <c r="A525" i="5"/>
  <c r="D524" i="5"/>
  <c r="A524" i="5"/>
  <c r="A523" i="5"/>
  <c r="D522" i="5"/>
  <c r="A522" i="5"/>
  <c r="D521" i="5"/>
  <c r="A521" i="5"/>
  <c r="D520" i="5"/>
  <c r="A520" i="5"/>
  <c r="D519" i="5"/>
  <c r="A519" i="5"/>
  <c r="A518" i="5"/>
  <c r="A517" i="5"/>
  <c r="A516" i="5"/>
  <c r="A515" i="5"/>
  <c r="A514" i="5"/>
  <c r="A513" i="5"/>
  <c r="A512" i="5"/>
  <c r="D511" i="5"/>
  <c r="A511" i="5"/>
  <c r="D510" i="5"/>
  <c r="A510" i="5"/>
  <c r="D509" i="5"/>
  <c r="A509" i="5"/>
  <c r="D508" i="5"/>
  <c r="A508" i="5"/>
  <c r="A507" i="5"/>
  <c r="D506" i="5"/>
  <c r="A506" i="5"/>
  <c r="D505" i="5"/>
  <c r="A505" i="5"/>
  <c r="D504" i="5"/>
  <c r="A504" i="5"/>
  <c r="D503" i="5"/>
  <c r="A503" i="5"/>
  <c r="D502" i="5"/>
  <c r="A502" i="5"/>
  <c r="A501" i="5"/>
  <c r="D500" i="5"/>
  <c r="A500" i="5"/>
  <c r="A499" i="5"/>
  <c r="D498" i="5"/>
  <c r="A498" i="5"/>
  <c r="A496" i="5"/>
  <c r="A495" i="5"/>
  <c r="A494" i="5"/>
  <c r="A493" i="5"/>
  <c r="D492" i="5"/>
  <c r="A492" i="5"/>
  <c r="D491" i="5"/>
  <c r="A491" i="5"/>
  <c r="D490" i="5"/>
  <c r="A490" i="5"/>
  <c r="D489" i="5"/>
  <c r="A489" i="5"/>
  <c r="D488" i="5"/>
  <c r="A488" i="5"/>
  <c r="D487" i="5"/>
  <c r="A487" i="5"/>
  <c r="D486" i="5"/>
  <c r="A486" i="5"/>
  <c r="D485" i="5"/>
  <c r="A485" i="5"/>
  <c r="A484" i="5"/>
  <c r="D483" i="5"/>
  <c r="A483" i="5"/>
  <c r="D482" i="5"/>
  <c r="A482" i="5"/>
  <c r="D481" i="5"/>
  <c r="A481" i="5"/>
  <c r="A480" i="5"/>
  <c r="D479" i="5"/>
  <c r="A479" i="5"/>
  <c r="A478" i="5"/>
  <c r="D477" i="5"/>
  <c r="A477" i="5"/>
  <c r="D476" i="5"/>
  <c r="A476" i="5"/>
  <c r="D475" i="5"/>
  <c r="A475" i="5"/>
  <c r="D474" i="5"/>
  <c r="A474" i="5"/>
  <c r="D473" i="5"/>
  <c r="A473" i="5"/>
  <c r="D472" i="5"/>
  <c r="A472" i="5"/>
  <c r="D471" i="5"/>
  <c r="A471" i="5"/>
  <c r="D470" i="5"/>
  <c r="A470" i="5"/>
  <c r="D469" i="5"/>
  <c r="A469" i="5"/>
  <c r="D468" i="5"/>
  <c r="A468" i="5"/>
  <c r="D467" i="5"/>
  <c r="A467" i="5"/>
  <c r="D466" i="5"/>
  <c r="A466" i="5"/>
  <c r="D465" i="5"/>
  <c r="A465" i="5"/>
  <c r="D464" i="5"/>
  <c r="D463" i="5"/>
  <c r="A463" i="5"/>
  <c r="D462" i="5"/>
  <c r="A462" i="5"/>
  <c r="D461" i="5"/>
  <c r="A461" i="5"/>
  <c r="D460" i="5"/>
  <c r="A460" i="5"/>
  <c r="D459" i="5"/>
  <c r="A459" i="5"/>
  <c r="D458" i="5"/>
  <c r="A458" i="5"/>
  <c r="D457" i="5"/>
  <c r="A457" i="5"/>
  <c r="D456" i="5"/>
  <c r="A456" i="5"/>
  <c r="D455" i="5"/>
  <c r="A455" i="5"/>
  <c r="D454" i="5"/>
  <c r="A454" i="5"/>
  <c r="D453" i="5"/>
  <c r="A453" i="5"/>
  <c r="D452" i="5"/>
  <c r="A452" i="5"/>
  <c r="D451" i="5"/>
  <c r="A451" i="5"/>
  <c r="D450" i="5"/>
  <c r="A450" i="5"/>
  <c r="A449" i="5"/>
  <c r="D448" i="5"/>
  <c r="A448" i="5"/>
  <c r="D447" i="5"/>
  <c r="A447" i="5"/>
  <c r="D446" i="5"/>
  <c r="A446" i="5"/>
  <c r="D445" i="5"/>
  <c r="A445" i="5"/>
  <c r="D444" i="5"/>
  <c r="A444" i="5"/>
  <c r="D443" i="5"/>
  <c r="A443" i="5"/>
  <c r="D442" i="5"/>
  <c r="A442" i="5"/>
  <c r="D441" i="5"/>
  <c r="A441" i="5"/>
  <c r="D440" i="5"/>
  <c r="A440" i="5"/>
  <c r="D439" i="5"/>
  <c r="A439" i="5"/>
  <c r="D438" i="5"/>
  <c r="A438" i="5"/>
  <c r="D437" i="5"/>
  <c r="A437" i="5"/>
  <c r="D436" i="5"/>
  <c r="A436" i="5"/>
  <c r="D435" i="5"/>
  <c r="A435" i="5"/>
  <c r="D434" i="5"/>
  <c r="A434" i="5"/>
  <c r="D433" i="5"/>
  <c r="A433" i="5"/>
  <c r="D432" i="5"/>
  <c r="A432" i="5"/>
  <c r="D431" i="5"/>
  <c r="A431" i="5"/>
  <c r="D430" i="5"/>
  <c r="A430" i="5"/>
  <c r="D429" i="5"/>
  <c r="A429" i="5"/>
  <c r="D428" i="5"/>
  <c r="A428" i="5"/>
  <c r="D427" i="5"/>
  <c r="A427" i="5"/>
  <c r="D426" i="5"/>
  <c r="A426" i="5"/>
  <c r="D425" i="5"/>
  <c r="A425" i="5"/>
  <c r="D424" i="5"/>
  <c r="A424" i="5"/>
  <c r="A423" i="5"/>
  <c r="D422" i="5"/>
  <c r="A422" i="5"/>
  <c r="D421" i="5"/>
  <c r="A421" i="5"/>
  <c r="D420" i="5"/>
  <c r="A420" i="5"/>
  <c r="D419" i="5"/>
  <c r="A419" i="5"/>
  <c r="D418" i="5"/>
  <c r="A418" i="5"/>
  <c r="D417" i="5"/>
  <c r="A417" i="5"/>
  <c r="D416" i="5"/>
  <c r="A416" i="5"/>
  <c r="D415" i="5"/>
  <c r="A415" i="5"/>
  <c r="D414" i="5"/>
  <c r="A414" i="5"/>
  <c r="D413" i="5"/>
  <c r="A413" i="5"/>
  <c r="D412" i="5"/>
  <c r="A412" i="5"/>
  <c r="D411" i="5"/>
  <c r="A411" i="5"/>
  <c r="D410" i="5"/>
  <c r="A410" i="5"/>
  <c r="D409" i="5"/>
  <c r="A409" i="5"/>
  <c r="D408" i="5"/>
  <c r="A408" i="5"/>
  <c r="D407" i="5"/>
  <c r="A407" i="5"/>
  <c r="D406" i="5"/>
  <c r="A406" i="5"/>
  <c r="D405" i="5"/>
  <c r="A405" i="5"/>
  <c r="D404" i="5"/>
  <c r="A404" i="5"/>
  <c r="D403" i="5"/>
  <c r="A403" i="5"/>
  <c r="D402" i="5"/>
  <c r="A402" i="5"/>
  <c r="D401" i="5"/>
  <c r="A401" i="5"/>
  <c r="D400" i="5"/>
  <c r="A400" i="5"/>
  <c r="D399" i="5"/>
  <c r="A399" i="5"/>
  <c r="D398" i="5"/>
  <c r="A398" i="5"/>
  <c r="D397" i="5"/>
  <c r="A397" i="5"/>
  <c r="D396" i="5"/>
  <c r="A396" i="5"/>
  <c r="D395" i="5"/>
  <c r="A395" i="5"/>
  <c r="D394" i="5"/>
  <c r="A394" i="5"/>
  <c r="D393" i="5"/>
  <c r="A393" i="5"/>
  <c r="A392" i="5"/>
  <c r="D391" i="5"/>
  <c r="A391" i="5"/>
  <c r="D390" i="5"/>
  <c r="A390" i="5"/>
  <c r="D389" i="5"/>
  <c r="A389" i="5"/>
  <c r="D388" i="5"/>
  <c r="A388" i="5"/>
  <c r="D387" i="5"/>
  <c r="A387" i="5"/>
  <c r="D386" i="5"/>
  <c r="A386" i="5"/>
  <c r="D385" i="5"/>
  <c r="A385" i="5"/>
  <c r="A384" i="5"/>
  <c r="D383" i="5"/>
  <c r="A383" i="5"/>
  <c r="D382" i="5"/>
  <c r="A382" i="5"/>
  <c r="D381" i="5"/>
  <c r="A381" i="5"/>
  <c r="A380" i="5"/>
  <c r="A379" i="5"/>
  <c r="D378" i="5"/>
  <c r="A378" i="5"/>
  <c r="D377" i="5"/>
  <c r="A377" i="5"/>
  <c r="D376" i="5"/>
  <c r="A376" i="5"/>
  <c r="D375" i="5"/>
  <c r="A375" i="5"/>
  <c r="A374" i="5"/>
  <c r="A373" i="5"/>
  <c r="A372" i="5"/>
  <c r="A371" i="5"/>
  <c r="D370" i="5"/>
  <c r="A370" i="5"/>
  <c r="D369" i="5"/>
  <c r="A369" i="5"/>
  <c r="D368" i="5"/>
  <c r="A368" i="5"/>
  <c r="D367" i="5"/>
  <c r="A367" i="5"/>
  <c r="D366" i="5"/>
  <c r="A366" i="5"/>
  <c r="D365" i="5"/>
  <c r="A365" i="5"/>
  <c r="D364" i="5"/>
  <c r="A364" i="5"/>
  <c r="D363" i="5"/>
  <c r="A363" i="5"/>
  <c r="D362" i="5"/>
  <c r="A362" i="5"/>
  <c r="D361" i="5"/>
  <c r="A361" i="5"/>
  <c r="D360" i="5"/>
  <c r="A360" i="5"/>
  <c r="D359" i="5"/>
  <c r="A359" i="5"/>
  <c r="D358" i="5"/>
  <c r="A358" i="5"/>
  <c r="D357" i="5"/>
  <c r="A357" i="5"/>
  <c r="D356" i="5"/>
  <c r="A356" i="5"/>
  <c r="D355" i="5"/>
  <c r="A355" i="5"/>
  <c r="D354" i="5"/>
  <c r="A354" i="5"/>
  <c r="D353" i="5"/>
  <c r="A353" i="5"/>
  <c r="D352" i="5"/>
  <c r="A352" i="5"/>
  <c r="D351" i="5"/>
  <c r="A351" i="5"/>
  <c r="D350" i="5"/>
  <c r="A350" i="5"/>
  <c r="D349" i="5"/>
  <c r="A349" i="5"/>
  <c r="D348" i="5"/>
  <c r="A348" i="5"/>
  <c r="D347" i="5"/>
  <c r="A347" i="5"/>
  <c r="D346" i="5"/>
  <c r="A346" i="5"/>
  <c r="D345" i="5"/>
  <c r="A345" i="5"/>
  <c r="D344" i="5"/>
  <c r="A344" i="5"/>
  <c r="D343" i="5"/>
  <c r="A343" i="5"/>
  <c r="D342" i="5"/>
  <c r="A342" i="5"/>
  <c r="D341" i="5"/>
  <c r="A341" i="5"/>
  <c r="D340" i="5"/>
  <c r="A340" i="5"/>
  <c r="D339" i="5"/>
  <c r="A339" i="5"/>
  <c r="D338" i="5"/>
  <c r="A338" i="5"/>
  <c r="D337" i="5"/>
  <c r="A337" i="5"/>
  <c r="D336" i="5"/>
  <c r="A336" i="5"/>
  <c r="D335" i="5"/>
  <c r="A335" i="5"/>
  <c r="D334" i="5"/>
  <c r="A334" i="5"/>
  <c r="D333" i="5"/>
  <c r="A333" i="5"/>
  <c r="D332" i="5"/>
  <c r="A332" i="5"/>
  <c r="D331" i="5"/>
  <c r="A331" i="5"/>
  <c r="D330" i="5"/>
  <c r="A330" i="5"/>
  <c r="D329" i="5"/>
  <c r="A329" i="5"/>
  <c r="D328" i="5"/>
  <c r="A328" i="5"/>
  <c r="D327" i="5"/>
  <c r="A327" i="5"/>
  <c r="D326" i="5"/>
  <c r="A326" i="5"/>
  <c r="D325" i="5"/>
  <c r="A325" i="5"/>
  <c r="D324" i="5"/>
  <c r="A324" i="5"/>
  <c r="D323" i="5"/>
  <c r="A323" i="5"/>
  <c r="D322" i="5"/>
  <c r="A322" i="5"/>
  <c r="D321" i="5"/>
  <c r="A321" i="5"/>
  <c r="D320" i="5"/>
  <c r="A320" i="5"/>
  <c r="D319" i="5"/>
  <c r="A319" i="5"/>
  <c r="D318" i="5"/>
  <c r="A318" i="5"/>
  <c r="D317" i="5"/>
  <c r="A317" i="5"/>
  <c r="D316" i="5"/>
  <c r="A316" i="5"/>
  <c r="D315" i="5"/>
  <c r="A315" i="5"/>
  <c r="D314" i="5"/>
  <c r="A314" i="5"/>
  <c r="D313" i="5"/>
  <c r="A313" i="5"/>
  <c r="D312" i="5"/>
  <c r="A312" i="5"/>
  <c r="D311" i="5"/>
  <c r="A311" i="5"/>
  <c r="D310" i="5"/>
  <c r="A310" i="5"/>
  <c r="D309" i="5"/>
  <c r="A309" i="5"/>
  <c r="D308" i="5"/>
  <c r="A308" i="5"/>
  <c r="A307" i="5"/>
  <c r="D306" i="5"/>
  <c r="A306" i="5"/>
  <c r="D305" i="5"/>
  <c r="A305" i="5"/>
  <c r="D304" i="5"/>
  <c r="A304" i="5"/>
  <c r="D303" i="5"/>
  <c r="A303" i="5"/>
  <c r="D302" i="5"/>
  <c r="A302" i="5"/>
  <c r="D301" i="5"/>
  <c r="A301" i="5"/>
  <c r="D300" i="5"/>
  <c r="A300" i="5"/>
  <c r="D299" i="5"/>
  <c r="A299" i="5"/>
  <c r="D298" i="5"/>
  <c r="A298" i="5"/>
  <c r="D297" i="5"/>
  <c r="A297" i="5"/>
  <c r="D296" i="5"/>
  <c r="A296" i="5"/>
  <c r="D295" i="5"/>
  <c r="A295" i="5"/>
  <c r="D294" i="5"/>
  <c r="A294" i="5"/>
  <c r="A293" i="5"/>
  <c r="A292" i="5"/>
  <c r="D291" i="5"/>
  <c r="A291" i="5"/>
  <c r="A290" i="5"/>
  <c r="D289" i="5"/>
  <c r="A289" i="5"/>
  <c r="D288" i="5"/>
  <c r="A288" i="5"/>
  <c r="D287" i="5"/>
  <c r="A287" i="5"/>
  <c r="D286" i="5"/>
  <c r="A286" i="5"/>
  <c r="D285" i="5"/>
  <c r="A285" i="5"/>
  <c r="D284" i="5"/>
  <c r="A284" i="5"/>
  <c r="A283" i="5"/>
  <c r="D282" i="5"/>
  <c r="A282" i="5"/>
  <c r="D281" i="5"/>
  <c r="A281" i="5"/>
  <c r="D280" i="5"/>
  <c r="A280" i="5"/>
  <c r="D279" i="5"/>
  <c r="A279" i="5"/>
  <c r="D278" i="5"/>
  <c r="A278" i="5"/>
  <c r="D277" i="5"/>
  <c r="A277" i="5"/>
  <c r="D276" i="5"/>
  <c r="A276" i="5"/>
  <c r="D275" i="5"/>
  <c r="A275" i="5"/>
  <c r="D274" i="5"/>
  <c r="A274" i="5"/>
  <c r="D273" i="5"/>
  <c r="A273" i="5"/>
  <c r="A272" i="5"/>
  <c r="A271" i="5"/>
  <c r="A270" i="5"/>
  <c r="A269" i="5"/>
  <c r="A268" i="5"/>
  <c r="A267" i="5"/>
  <c r="A266" i="5"/>
  <c r="A265" i="5"/>
  <c r="A264" i="5"/>
  <c r="D263" i="5"/>
  <c r="A263" i="5"/>
  <c r="D262" i="5"/>
  <c r="A262" i="5"/>
  <c r="D261" i="5"/>
  <c r="A261" i="5"/>
  <c r="D260" i="5"/>
  <c r="A260" i="5"/>
  <c r="D259" i="5"/>
  <c r="A259" i="5"/>
  <c r="D258" i="5"/>
  <c r="A258" i="5"/>
  <c r="D257" i="5"/>
  <c r="A257" i="5"/>
  <c r="A256" i="5"/>
  <c r="A255" i="5"/>
  <c r="A254" i="5"/>
  <c r="D253" i="5"/>
  <c r="A253" i="5"/>
  <c r="A252" i="5"/>
  <c r="A251" i="5"/>
  <c r="D250" i="5"/>
  <c r="A250" i="5"/>
  <c r="D249" i="5"/>
  <c r="A249" i="5"/>
  <c r="D248" i="5"/>
  <c r="A248" i="5"/>
  <c r="A247" i="5"/>
  <c r="A246" i="5"/>
  <c r="D245" i="5"/>
  <c r="A245" i="5"/>
  <c r="D244" i="5"/>
  <c r="A244" i="5"/>
  <c r="A243" i="5"/>
  <c r="A242" i="5"/>
  <c r="A241" i="5"/>
  <c r="A240" i="5"/>
  <c r="D239" i="5"/>
  <c r="A239" i="5"/>
  <c r="A238" i="5"/>
  <c r="D237" i="5"/>
  <c r="A237" i="5"/>
  <c r="D236" i="5"/>
  <c r="A236" i="5"/>
  <c r="A235" i="5"/>
  <c r="A234" i="5"/>
  <c r="D233" i="5"/>
  <c r="A233" i="5"/>
  <c r="D232" i="5"/>
  <c r="A232" i="5"/>
  <c r="D231" i="5"/>
  <c r="A231" i="5"/>
  <c r="D230" i="5"/>
  <c r="A230" i="5"/>
  <c r="D229" i="5"/>
  <c r="A229" i="5"/>
  <c r="D228" i="5"/>
  <c r="A228" i="5"/>
  <c r="D227" i="5"/>
  <c r="A227" i="5"/>
  <c r="D226" i="5"/>
  <c r="A226" i="5"/>
  <c r="D225" i="5"/>
  <c r="A225" i="5"/>
  <c r="D224" i="5"/>
  <c r="A224" i="5"/>
  <c r="A223" i="5"/>
  <c r="D222" i="5"/>
  <c r="A222" i="5"/>
  <c r="D221" i="5"/>
  <c r="A221" i="5"/>
  <c r="D220" i="5"/>
  <c r="A220" i="5"/>
  <c r="D219" i="5"/>
  <c r="A219" i="5"/>
  <c r="D218" i="5"/>
  <c r="A218" i="5"/>
  <c r="D217" i="5"/>
  <c r="A217" i="5"/>
  <c r="D216" i="5"/>
  <c r="A216" i="5"/>
  <c r="D215" i="5"/>
  <c r="A215" i="5"/>
  <c r="D214" i="5"/>
  <c r="A214" i="5"/>
  <c r="D213" i="5"/>
  <c r="A213" i="5"/>
  <c r="D212" i="5"/>
  <c r="A212" i="5"/>
  <c r="D211" i="5"/>
  <c r="A211" i="5"/>
  <c r="D210" i="5"/>
  <c r="A210" i="5"/>
  <c r="D209" i="5"/>
  <c r="A209" i="5"/>
  <c r="D208" i="5"/>
  <c r="A208" i="5"/>
  <c r="D207" i="5"/>
  <c r="A207" i="5"/>
  <c r="D206" i="5"/>
  <c r="A206" i="5"/>
  <c r="D205" i="5"/>
  <c r="A205" i="5"/>
  <c r="D204" i="5"/>
  <c r="A204" i="5"/>
  <c r="D203" i="5"/>
  <c r="A203" i="5"/>
  <c r="D202" i="5"/>
  <c r="A202" i="5"/>
  <c r="D201" i="5"/>
  <c r="A201" i="5"/>
  <c r="D200" i="5"/>
  <c r="A200" i="5"/>
  <c r="D199" i="5"/>
  <c r="A199" i="5"/>
  <c r="D198" i="5"/>
  <c r="A198" i="5"/>
  <c r="D197" i="5"/>
  <c r="A197" i="5"/>
  <c r="D196" i="5"/>
  <c r="A196" i="5"/>
  <c r="D195" i="5"/>
  <c r="A195" i="5"/>
  <c r="D194" i="5"/>
  <c r="A194" i="5"/>
  <c r="D193" i="5"/>
  <c r="A193" i="5"/>
  <c r="D192" i="5"/>
  <c r="A192" i="5"/>
  <c r="D191" i="5"/>
  <c r="A191" i="5"/>
  <c r="D190" i="5"/>
  <c r="A190" i="5"/>
  <c r="A189" i="5"/>
  <c r="A188" i="5"/>
  <c r="D187" i="5"/>
  <c r="A187" i="5"/>
  <c r="D186" i="5"/>
  <c r="A186" i="5"/>
  <c r="D185" i="5"/>
  <c r="A185" i="5"/>
  <c r="D184" i="5"/>
  <c r="A184" i="5"/>
  <c r="A183" i="5"/>
  <c r="D182" i="5"/>
  <c r="A182" i="5"/>
  <c r="D181" i="5"/>
  <c r="A181" i="5"/>
  <c r="A180" i="5"/>
  <c r="A179" i="5"/>
  <c r="D178" i="5"/>
  <c r="A178" i="5"/>
  <c r="D177" i="5"/>
  <c r="A177" i="5"/>
  <c r="D176" i="5"/>
  <c r="A176" i="5"/>
  <c r="D175" i="5"/>
  <c r="A175" i="5"/>
  <c r="D174" i="5"/>
  <c r="A174" i="5"/>
  <c r="D173" i="5"/>
  <c r="A173" i="5"/>
  <c r="D172" i="5"/>
  <c r="A172" i="5"/>
  <c r="D171" i="5"/>
  <c r="A171" i="5"/>
  <c r="D170" i="5"/>
  <c r="A170" i="5"/>
  <c r="D169" i="5"/>
  <c r="A169" i="5"/>
  <c r="D168" i="5"/>
  <c r="A168" i="5"/>
  <c r="D167" i="5"/>
  <c r="A167" i="5"/>
  <c r="D166" i="5"/>
  <c r="A166" i="5"/>
  <c r="D165" i="5"/>
  <c r="A165" i="5"/>
  <c r="D164" i="5"/>
  <c r="A164" i="5"/>
  <c r="D163" i="5"/>
  <c r="A163" i="5"/>
  <c r="D162" i="5"/>
  <c r="A162" i="5"/>
  <c r="D161" i="5"/>
  <c r="A161" i="5"/>
  <c r="A160" i="5"/>
  <c r="A159" i="5"/>
  <c r="D158" i="5"/>
  <c r="A158" i="5"/>
  <c r="D157" i="5"/>
  <c r="A157" i="5"/>
  <c r="A156" i="5"/>
  <c r="A155" i="5"/>
  <c r="D154" i="5"/>
  <c r="A154" i="5"/>
  <c r="D153" i="5"/>
  <c r="A153" i="5"/>
  <c r="A152" i="5"/>
  <c r="D151" i="5"/>
  <c r="A151" i="5"/>
  <c r="D150" i="5"/>
  <c r="A150" i="5"/>
  <c r="D149" i="5"/>
  <c r="A149" i="5"/>
  <c r="A148" i="5"/>
  <c r="D147" i="5"/>
  <c r="A147" i="5"/>
  <c r="D146" i="5"/>
  <c r="A146" i="5"/>
  <c r="D145" i="5"/>
  <c r="A145" i="5"/>
  <c r="D144" i="5"/>
  <c r="A144" i="5"/>
  <c r="D143" i="5"/>
  <c r="A143" i="5"/>
  <c r="D142" i="5"/>
  <c r="A142" i="5"/>
  <c r="D141" i="5"/>
  <c r="A141" i="5"/>
  <c r="D140" i="5"/>
  <c r="A140" i="5"/>
  <c r="D139" i="5"/>
  <c r="A139" i="5"/>
  <c r="D138" i="5"/>
  <c r="A138" i="5"/>
  <c r="D137" i="5"/>
  <c r="A137" i="5"/>
  <c r="D136" i="5"/>
  <c r="A136" i="5"/>
  <c r="D135" i="5"/>
  <c r="A135" i="5"/>
  <c r="D134" i="5"/>
  <c r="A134" i="5"/>
  <c r="D133" i="5"/>
  <c r="A133" i="5"/>
  <c r="D132" i="5"/>
  <c r="A132" i="5"/>
  <c r="D131" i="5"/>
  <c r="A131" i="5"/>
  <c r="D130" i="5"/>
  <c r="A130" i="5"/>
  <c r="D129" i="5"/>
  <c r="A129" i="5"/>
  <c r="D128" i="5"/>
  <c r="A128" i="5"/>
  <c r="D127" i="5"/>
  <c r="A127" i="5"/>
  <c r="D126" i="5"/>
  <c r="A126" i="5"/>
  <c r="D125" i="5"/>
  <c r="A125" i="5"/>
  <c r="D124" i="5"/>
  <c r="A124" i="5"/>
  <c r="D123" i="5"/>
  <c r="A123" i="5"/>
  <c r="D122" i="5"/>
  <c r="A122" i="5"/>
  <c r="D121" i="5"/>
  <c r="A121" i="5"/>
  <c r="D120" i="5"/>
  <c r="A120" i="5"/>
  <c r="D119" i="5"/>
  <c r="A119" i="5"/>
  <c r="A118" i="5"/>
  <c r="D117" i="5"/>
  <c r="A117" i="5"/>
  <c r="D116" i="5"/>
  <c r="A116" i="5"/>
  <c r="D115" i="5"/>
  <c r="A115" i="5"/>
  <c r="D114" i="5"/>
  <c r="A114" i="5"/>
  <c r="D113" i="5"/>
  <c r="A113" i="5"/>
  <c r="D112" i="5"/>
  <c r="A112" i="5"/>
  <c r="A111" i="5"/>
  <c r="D110" i="5"/>
  <c r="A110" i="5"/>
  <c r="A109" i="5"/>
  <c r="A108" i="5"/>
  <c r="A107" i="5"/>
  <c r="A106" i="5"/>
  <c r="A105" i="5"/>
  <c r="A104" i="5"/>
  <c r="A103" i="5"/>
  <c r="D102" i="5"/>
  <c r="A102" i="5"/>
  <c r="D101" i="5"/>
  <c r="A101" i="5"/>
  <c r="A100" i="5"/>
  <c r="D99" i="5"/>
  <c r="A99" i="5"/>
  <c r="A98" i="5"/>
  <c r="D97" i="5"/>
  <c r="A97" i="5"/>
  <c r="D96" i="5"/>
  <c r="A96" i="5"/>
  <c r="D95" i="5"/>
  <c r="A95" i="5"/>
  <c r="D94" i="5"/>
  <c r="A94" i="5"/>
  <c r="A93" i="5"/>
  <c r="D92" i="5"/>
  <c r="A92" i="5"/>
  <c r="A91" i="5"/>
  <c r="D90" i="5"/>
  <c r="A90" i="5"/>
  <c r="D89" i="5"/>
  <c r="A89" i="5"/>
  <c r="D88" i="5"/>
  <c r="A88" i="5"/>
  <c r="D87" i="5"/>
  <c r="A87" i="5"/>
  <c r="D86" i="5"/>
  <c r="A86" i="5"/>
  <c r="D85" i="5"/>
  <c r="A85" i="5"/>
  <c r="D84" i="5"/>
  <c r="A84" i="5"/>
  <c r="D83" i="5"/>
  <c r="A83" i="5"/>
  <c r="A82" i="5"/>
  <c r="A81" i="5"/>
  <c r="A80" i="5"/>
  <c r="D79" i="5"/>
  <c r="A79" i="5"/>
  <c r="A78" i="5"/>
  <c r="D77" i="5"/>
  <c r="A77" i="5"/>
  <c r="A76" i="5"/>
  <c r="D75" i="5"/>
  <c r="A75" i="5"/>
  <c r="D74" i="5"/>
  <c r="A74" i="5"/>
  <c r="A73" i="5"/>
  <c r="D72" i="5"/>
  <c r="A72" i="5"/>
  <c r="D71" i="5"/>
  <c r="A71" i="5"/>
  <c r="D70" i="5"/>
  <c r="A70" i="5"/>
  <c r="D69" i="5"/>
  <c r="A69" i="5"/>
  <c r="D68" i="5"/>
  <c r="A68" i="5"/>
  <c r="D67" i="5"/>
  <c r="A67" i="5"/>
  <c r="D66" i="5"/>
  <c r="A66" i="5"/>
  <c r="D65" i="5"/>
  <c r="A65" i="5"/>
  <c r="D64" i="5"/>
  <c r="A64" i="5"/>
  <c r="D63" i="5"/>
  <c r="A63" i="5"/>
  <c r="D62" i="5"/>
  <c r="A62" i="5"/>
  <c r="D61" i="5"/>
  <c r="A61" i="5"/>
  <c r="A60" i="5"/>
  <c r="D59" i="5"/>
  <c r="A59" i="5"/>
  <c r="D58" i="5"/>
  <c r="A58" i="5"/>
  <c r="D57" i="5"/>
  <c r="A57" i="5"/>
  <c r="D56" i="5"/>
  <c r="A56" i="5"/>
  <c r="D55" i="5"/>
  <c r="A55" i="5"/>
  <c r="D54" i="5"/>
  <c r="A54" i="5"/>
  <c r="D53" i="5"/>
  <c r="A53" i="5"/>
  <c r="D52" i="5"/>
  <c r="A52" i="5"/>
  <c r="D51" i="5"/>
  <c r="A51" i="5"/>
  <c r="D50" i="5"/>
  <c r="A50" i="5"/>
  <c r="D49" i="5"/>
  <c r="A49" i="5"/>
  <c r="D48" i="5"/>
  <c r="A48" i="5"/>
  <c r="D47" i="5"/>
  <c r="A47" i="5"/>
  <c r="D46" i="5"/>
  <c r="A46" i="5"/>
  <c r="D45" i="5"/>
  <c r="A45" i="5"/>
  <c r="A44" i="5"/>
  <c r="D43" i="5"/>
  <c r="A43" i="5"/>
  <c r="A42" i="5"/>
  <c r="D41" i="5"/>
  <c r="A41" i="5"/>
  <c r="A40" i="5"/>
  <c r="A39" i="5"/>
  <c r="A38" i="5"/>
  <c r="A37" i="5"/>
  <c r="A36" i="5"/>
  <c r="A35" i="5"/>
  <c r="A34" i="5"/>
  <c r="A33" i="5"/>
  <c r="A32" i="5"/>
  <c r="A31" i="5"/>
  <c r="A30" i="5"/>
  <c r="D29" i="5"/>
  <c r="A29" i="5"/>
  <c r="D28" i="5"/>
  <c r="A28" i="5"/>
  <c r="A27" i="5"/>
  <c r="D26" i="5"/>
  <c r="A26" i="5"/>
  <c r="D25" i="5"/>
  <c r="A25" i="5"/>
  <c r="D24" i="5"/>
  <c r="A24" i="5"/>
  <c r="A23" i="5"/>
  <c r="A22" i="5"/>
  <c r="D21" i="5"/>
  <c r="A21" i="5"/>
  <c r="D20" i="5"/>
  <c r="A20" i="5"/>
  <c r="D19" i="5"/>
  <c r="A19" i="5"/>
  <c r="D18" i="5"/>
  <c r="A18" i="5"/>
  <c r="D17" i="5"/>
  <c r="A17" i="5"/>
  <c r="D16" i="5"/>
  <c r="A16" i="5"/>
  <c r="D15" i="5"/>
  <c r="A15" i="5"/>
  <c r="D14" i="5"/>
  <c r="A14" i="5"/>
  <c r="A13" i="5"/>
  <c r="D12" i="5"/>
  <c r="A12" i="5"/>
  <c r="D11" i="5"/>
  <c r="A11" i="5"/>
  <c r="A10" i="5"/>
  <c r="D9" i="5"/>
  <c r="A9" i="5"/>
  <c r="A8" i="5"/>
  <c r="A7" i="5"/>
  <c r="A6" i="5"/>
  <c r="A5" i="5"/>
  <c r="A4" i="5"/>
  <c r="A3" i="5"/>
  <c r="A2" i="5"/>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D1752" i="4"/>
  <c r="A1752" i="4"/>
  <c r="A1751" i="4"/>
  <c r="D1750" i="4"/>
  <c r="A1750" i="4"/>
  <c r="A1749" i="4"/>
  <c r="A1748" i="4"/>
  <c r="A1747" i="4"/>
  <c r="A1746" i="4"/>
  <c r="D1745" i="4"/>
  <c r="A1745" i="4"/>
  <c r="D1744" i="4"/>
  <c r="A1744" i="4"/>
  <c r="D1743" i="4"/>
  <c r="A1743" i="4"/>
  <c r="D1742" i="4"/>
  <c r="A1742" i="4"/>
  <c r="D1741" i="4"/>
  <c r="A1741" i="4"/>
  <c r="D1740" i="4"/>
  <c r="A1740" i="4"/>
  <c r="D1739"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D1716" i="4"/>
  <c r="A1716" i="4"/>
  <c r="A1715" i="4"/>
  <c r="A1714" i="4"/>
  <c r="A1713" i="4"/>
  <c r="A1712" i="4"/>
  <c r="A1711" i="4"/>
  <c r="A1710" i="4"/>
  <c r="D1709" i="4"/>
  <c r="A1709" i="4"/>
  <c r="D1708"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D1653" i="4"/>
  <c r="A1653" i="4"/>
  <c r="D1652" i="4"/>
  <c r="A1652" i="4"/>
  <c r="D1651" i="4"/>
  <c r="A1651" i="4"/>
  <c r="D1650"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D1621" i="4"/>
  <c r="A1621" i="4"/>
  <c r="D1620" i="4"/>
  <c r="A1620" i="4"/>
  <c r="D1619" i="4"/>
  <c r="A1619" i="4"/>
  <c r="D1618" i="4"/>
  <c r="A1618" i="4"/>
  <c r="A1613" i="4"/>
  <c r="A1612" i="4"/>
  <c r="A1611" i="4"/>
  <c r="A1610" i="4"/>
  <c r="A1609" i="4"/>
  <c r="A1608" i="4"/>
  <c r="A1607" i="4"/>
  <c r="A1606" i="4"/>
  <c r="A1605" i="4"/>
  <c r="A1604" i="4"/>
  <c r="D1603" i="4"/>
  <c r="A1603" i="4"/>
  <c r="D1602" i="4"/>
  <c r="A1602" i="4"/>
  <c r="D1601" i="4"/>
  <c r="A1601" i="4"/>
  <c r="D1600" i="4"/>
  <c r="A1600" i="4"/>
  <c r="D1599" i="4"/>
  <c r="A1599" i="4"/>
  <c r="D1598" i="4"/>
  <c r="A1598" i="4"/>
  <c r="D1597" i="4"/>
  <c r="A1597" i="4"/>
  <c r="D1596" i="4"/>
  <c r="A1596" i="4"/>
  <c r="A1595" i="4"/>
  <c r="D1594" i="4"/>
  <c r="A1594" i="4"/>
  <c r="D1593" i="4"/>
  <c r="A1593" i="4"/>
  <c r="D1592" i="4"/>
  <c r="A1592" i="4"/>
  <c r="D1591" i="4"/>
  <c r="A1591" i="4"/>
  <c r="D1590" i="4"/>
  <c r="A1590" i="4"/>
  <c r="D1589" i="4"/>
  <c r="A1589" i="4"/>
  <c r="A1588" i="4"/>
  <c r="D1587" i="4"/>
  <c r="A1587" i="4"/>
  <c r="D1586" i="4"/>
  <c r="A1586" i="4"/>
  <c r="A1585" i="4"/>
  <c r="D1584" i="4"/>
  <c r="A1584" i="4"/>
  <c r="D1583" i="4"/>
  <c r="A1583" i="4"/>
  <c r="D1582" i="4"/>
  <c r="A1582" i="4"/>
  <c r="D1581" i="4"/>
  <c r="A1581" i="4"/>
  <c r="D1580" i="4"/>
  <c r="A1580" i="4"/>
  <c r="D1579" i="4"/>
  <c r="A1579" i="4"/>
  <c r="D1578" i="4"/>
  <c r="A1578" i="4"/>
  <c r="D1577" i="4"/>
  <c r="A1577" i="4"/>
  <c r="D1576" i="4"/>
  <c r="A1576" i="4"/>
  <c r="D1575" i="4"/>
  <c r="A1575" i="4"/>
  <c r="D1574" i="4"/>
  <c r="A1574" i="4"/>
  <c r="D1573" i="4"/>
  <c r="A1573" i="4"/>
  <c r="D1572" i="4"/>
  <c r="A1572" i="4"/>
  <c r="D1571" i="4"/>
  <c r="A1571" i="4"/>
  <c r="D1570" i="4"/>
  <c r="A1570" i="4"/>
  <c r="D1569" i="4"/>
  <c r="A1569" i="4"/>
  <c r="D1568" i="4"/>
  <c r="A1568" i="4"/>
  <c r="D1567" i="4"/>
  <c r="A1567" i="4"/>
  <c r="D1566" i="4"/>
  <c r="A1566" i="4"/>
  <c r="D1565" i="4"/>
  <c r="A1565" i="4"/>
  <c r="D1564" i="4"/>
  <c r="A1564" i="4"/>
  <c r="D1563" i="4"/>
  <c r="A1563" i="4"/>
  <c r="D1562" i="4"/>
  <c r="A1562" i="4"/>
  <c r="D1561" i="4"/>
  <c r="A1561" i="4"/>
  <c r="D1560" i="4"/>
  <c r="A1560" i="4"/>
  <c r="D1559" i="4"/>
  <c r="A1559" i="4"/>
  <c r="D1558" i="4"/>
  <c r="A1558" i="4"/>
  <c r="D1557" i="4"/>
  <c r="A1557" i="4"/>
  <c r="D1556" i="4"/>
  <c r="A1556" i="4"/>
  <c r="D1555" i="4"/>
  <c r="A1555" i="4"/>
  <c r="D1554" i="4"/>
  <c r="A1554" i="4"/>
  <c r="D1553" i="4"/>
  <c r="A1553" i="4"/>
  <c r="D1552" i="4"/>
  <c r="A1552" i="4"/>
  <c r="D1551" i="4"/>
  <c r="A1551" i="4"/>
  <c r="D1550" i="4"/>
  <c r="A1550" i="4"/>
  <c r="D1549" i="4"/>
  <c r="A1549" i="4"/>
  <c r="D1548" i="4"/>
  <c r="A1548" i="4"/>
  <c r="D1547" i="4"/>
  <c r="A1547" i="4"/>
  <c r="D1546"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D1512" i="4"/>
  <c r="A1512" i="4"/>
  <c r="D1511" i="4"/>
  <c r="A1511" i="4"/>
  <c r="D1510" i="4"/>
  <c r="A1510" i="4"/>
  <c r="D1509" i="4"/>
  <c r="A1509" i="4"/>
  <c r="D1508" i="4"/>
  <c r="A1508" i="4"/>
  <c r="D1507" i="4"/>
  <c r="A1507" i="4"/>
  <c r="D1506" i="4"/>
  <c r="A1506" i="4"/>
  <c r="D1505" i="4"/>
  <c r="A1505" i="4"/>
  <c r="D1504" i="4"/>
  <c r="A1504" i="4"/>
  <c r="A1503" i="4"/>
  <c r="D1502" i="4"/>
  <c r="A1502" i="4"/>
  <c r="D1501" i="4"/>
  <c r="A1501" i="4"/>
  <c r="A1500" i="4"/>
  <c r="D1499" i="4"/>
  <c r="A1499" i="4"/>
  <c r="D1498" i="4"/>
  <c r="A1498" i="4"/>
  <c r="D1497" i="4"/>
  <c r="A1497" i="4"/>
  <c r="D1496" i="4"/>
  <c r="A1496" i="4"/>
  <c r="D1495" i="4"/>
  <c r="A1495" i="4"/>
  <c r="D1494" i="4"/>
  <c r="A1494" i="4"/>
  <c r="D1493" i="4"/>
  <c r="A1493" i="4"/>
  <c r="D1492" i="4"/>
  <c r="A1492" i="4"/>
  <c r="D1491" i="4"/>
  <c r="A1491" i="4"/>
  <c r="D1490" i="4"/>
  <c r="A1490" i="4"/>
  <c r="D1489" i="4"/>
  <c r="A1489" i="4"/>
  <c r="D1488" i="4"/>
  <c r="A1488" i="4"/>
  <c r="D1487" i="4"/>
  <c r="A1487" i="4"/>
  <c r="D1486" i="4"/>
  <c r="A1486" i="4"/>
  <c r="D1485" i="4"/>
  <c r="A1485" i="4"/>
  <c r="D1484" i="4"/>
  <c r="A1484" i="4"/>
  <c r="D1483" i="4"/>
  <c r="A1483" i="4"/>
  <c r="D1482" i="4"/>
  <c r="A1482" i="4"/>
  <c r="D1481" i="4"/>
  <c r="A1481" i="4"/>
  <c r="D1480" i="4"/>
  <c r="A1480" i="4"/>
  <c r="D1479" i="4"/>
  <c r="A1479" i="4"/>
  <c r="D1478" i="4"/>
  <c r="A1478" i="4"/>
  <c r="D1477" i="4"/>
  <c r="A1477" i="4"/>
  <c r="A1476" i="4"/>
  <c r="D1475" i="4"/>
  <c r="A1475" i="4"/>
  <c r="A1474" i="4"/>
  <c r="D1473" i="4"/>
  <c r="A1473" i="4"/>
  <c r="D1472" i="4"/>
  <c r="A1472" i="4"/>
  <c r="D1471" i="4"/>
  <c r="A1471" i="4"/>
  <c r="D1470" i="4"/>
  <c r="A1470" i="4"/>
  <c r="D1469" i="4"/>
  <c r="A1469" i="4"/>
  <c r="D1468" i="4"/>
  <c r="A1468" i="4"/>
  <c r="D1467" i="4"/>
  <c r="A1467" i="4"/>
  <c r="D1466" i="4"/>
  <c r="A1466" i="4"/>
  <c r="D1465" i="4"/>
  <c r="A1465" i="4"/>
  <c r="A1464" i="4"/>
  <c r="D1463" i="4"/>
  <c r="A1463" i="4"/>
  <c r="A1462" i="4"/>
  <c r="D1461" i="4"/>
  <c r="A1461" i="4"/>
  <c r="D1460" i="4"/>
  <c r="A1460" i="4"/>
  <c r="D1459" i="4"/>
  <c r="A1459" i="4"/>
  <c r="D1458" i="4"/>
  <c r="A1458" i="4"/>
  <c r="D1457" i="4"/>
  <c r="A1457" i="4"/>
  <c r="D1456" i="4"/>
  <c r="A1456" i="4"/>
  <c r="D1455" i="4"/>
  <c r="A1455" i="4"/>
  <c r="D1454" i="4"/>
  <c r="A1454" i="4"/>
  <c r="D1453" i="4"/>
  <c r="A1453" i="4"/>
  <c r="D1452" i="4"/>
  <c r="A1452" i="4"/>
  <c r="D1451" i="4"/>
  <c r="A1451" i="4"/>
  <c r="D1450" i="4"/>
  <c r="A1450" i="4"/>
  <c r="D1449" i="4"/>
  <c r="A1449" i="4"/>
  <c r="A1448" i="4"/>
  <c r="D1447" i="4"/>
  <c r="A1447" i="4"/>
  <c r="D1446" i="4"/>
  <c r="A1446" i="4"/>
  <c r="D1445" i="4"/>
  <c r="A1445" i="4"/>
  <c r="D1444" i="4"/>
  <c r="A1444" i="4"/>
  <c r="D1443" i="4"/>
  <c r="A1443" i="4"/>
  <c r="D1442" i="4"/>
  <c r="A1442" i="4"/>
  <c r="D1441" i="4"/>
  <c r="A1441" i="4"/>
  <c r="D1440" i="4"/>
  <c r="A1440" i="4"/>
  <c r="D1439" i="4"/>
  <c r="A1439" i="4"/>
  <c r="D1438" i="4"/>
  <c r="A1438" i="4"/>
  <c r="D1437" i="4"/>
  <c r="A1437" i="4"/>
  <c r="D1436" i="4"/>
  <c r="A1436" i="4"/>
  <c r="D1435" i="4"/>
  <c r="A1435" i="4"/>
  <c r="D1434" i="4"/>
  <c r="A1434" i="4"/>
  <c r="D1433" i="4"/>
  <c r="A1433" i="4"/>
  <c r="D1432" i="4"/>
  <c r="A1432" i="4"/>
  <c r="D1431" i="4"/>
  <c r="A1431" i="4"/>
  <c r="D1430" i="4"/>
  <c r="A1430" i="4"/>
  <c r="D1429" i="4"/>
  <c r="A1429" i="4"/>
  <c r="D1428" i="4"/>
  <c r="A1428" i="4"/>
  <c r="D1427" i="4"/>
  <c r="A1427" i="4"/>
  <c r="D1426" i="4"/>
  <c r="A1426" i="4"/>
  <c r="D1425" i="4"/>
  <c r="A1425" i="4"/>
  <c r="A1424" i="4"/>
  <c r="D1423" i="4"/>
  <c r="A1423" i="4"/>
  <c r="D1422" i="4"/>
  <c r="A1422" i="4"/>
  <c r="D1421" i="4"/>
  <c r="A1421" i="4"/>
  <c r="A1420" i="4"/>
  <c r="A1419" i="4"/>
  <c r="D1418" i="4"/>
  <c r="A1418" i="4"/>
  <c r="D1417" i="4"/>
  <c r="A1417" i="4"/>
  <c r="D1416" i="4"/>
  <c r="A1416" i="4"/>
  <c r="D1415" i="4"/>
  <c r="A1415" i="4"/>
  <c r="D1414" i="4"/>
  <c r="A1414" i="4"/>
  <c r="D1413" i="4"/>
  <c r="A1413" i="4"/>
  <c r="D1412" i="4"/>
  <c r="A1412" i="4"/>
  <c r="D1411" i="4"/>
  <c r="A1411" i="4"/>
  <c r="D1410" i="4"/>
  <c r="A1410" i="4"/>
  <c r="D1409" i="4"/>
  <c r="A1409" i="4"/>
  <c r="A1408" i="4"/>
  <c r="D1407" i="4"/>
  <c r="A1407" i="4"/>
  <c r="D1406" i="4"/>
  <c r="A1406" i="4"/>
  <c r="D1405" i="4"/>
  <c r="A1405" i="4"/>
  <c r="D1404" i="4"/>
  <c r="A1404" i="4"/>
  <c r="D1403" i="4"/>
  <c r="A1403" i="4"/>
  <c r="D1402" i="4"/>
  <c r="A1402" i="4"/>
  <c r="D1401" i="4"/>
  <c r="A1401" i="4"/>
  <c r="D1400" i="4"/>
  <c r="A1400" i="4"/>
  <c r="D1399" i="4"/>
  <c r="A1399" i="4"/>
  <c r="D1398" i="4"/>
  <c r="A1398" i="4"/>
  <c r="D1397" i="4"/>
  <c r="A1397" i="4"/>
  <c r="A1396" i="4"/>
  <c r="D1395" i="4"/>
  <c r="A1395" i="4"/>
  <c r="D1394" i="4"/>
  <c r="A1394" i="4"/>
  <c r="D1393" i="4"/>
  <c r="A1393" i="4"/>
  <c r="D1392" i="4"/>
  <c r="A1392" i="4"/>
  <c r="D1391" i="4"/>
  <c r="A1391" i="4"/>
  <c r="D1390" i="4"/>
  <c r="A1390" i="4"/>
  <c r="D1389" i="4"/>
  <c r="A1389" i="4"/>
  <c r="A1388" i="4"/>
  <c r="D1387" i="4"/>
  <c r="A1387" i="4"/>
  <c r="D1386" i="4"/>
  <c r="A1386" i="4"/>
  <c r="D1385" i="4"/>
  <c r="A1385" i="4"/>
  <c r="D1384" i="4"/>
  <c r="A1384" i="4"/>
  <c r="A1383" i="4"/>
  <c r="A1382" i="4"/>
  <c r="D1381" i="4"/>
  <c r="A1381" i="4"/>
  <c r="D1380" i="4"/>
  <c r="A1380" i="4"/>
  <c r="D1379" i="4"/>
  <c r="A1379" i="4"/>
  <c r="A1378" i="4"/>
  <c r="D1377" i="4"/>
  <c r="A1377" i="4"/>
  <c r="D1376" i="4"/>
  <c r="A1376" i="4"/>
  <c r="D1375" i="4"/>
  <c r="A1375" i="4"/>
  <c r="D1374" i="4"/>
  <c r="A1374" i="4"/>
  <c r="D1373" i="4"/>
  <c r="A1373" i="4"/>
  <c r="D1372" i="4"/>
  <c r="A1372" i="4"/>
  <c r="A1371" i="4"/>
  <c r="A1370" i="4"/>
  <c r="A1369" i="4"/>
  <c r="A1368" i="4"/>
  <c r="A1367" i="4"/>
  <c r="A1366" i="4"/>
  <c r="A1365" i="4"/>
  <c r="D1364" i="4"/>
  <c r="A1364" i="4"/>
  <c r="A1363" i="4"/>
  <c r="D1362" i="4"/>
  <c r="A1362" i="4"/>
  <c r="D1361" i="4"/>
  <c r="A1361" i="4"/>
  <c r="D1360" i="4"/>
  <c r="A1360" i="4"/>
  <c r="D1359" i="4"/>
  <c r="A1359" i="4"/>
  <c r="D1358" i="4"/>
  <c r="A1358" i="4"/>
  <c r="D1357" i="4"/>
  <c r="A1357" i="4"/>
  <c r="A1356" i="4"/>
  <c r="A1355" i="4"/>
  <c r="A1354" i="4"/>
  <c r="D1353" i="4"/>
  <c r="A1353" i="4"/>
  <c r="D1352" i="4"/>
  <c r="A1352" i="4"/>
  <c r="A1351" i="4"/>
  <c r="A1350" i="4"/>
  <c r="D1349" i="4"/>
  <c r="A1349" i="4"/>
  <c r="A1348" i="4"/>
  <c r="A1347" i="4"/>
  <c r="A1346" i="4"/>
  <c r="D1345" i="4"/>
  <c r="A1345" i="4"/>
  <c r="A1344" i="4"/>
  <c r="A1343" i="4"/>
  <c r="D1342" i="4"/>
  <c r="A1342" i="4"/>
  <c r="D1341" i="4"/>
  <c r="A1341" i="4"/>
  <c r="A1340" i="4"/>
  <c r="D1339" i="4"/>
  <c r="A1339" i="4"/>
  <c r="D1338" i="4"/>
  <c r="A1338" i="4"/>
  <c r="D1337" i="4"/>
  <c r="A1337" i="4"/>
  <c r="A1336" i="4"/>
  <c r="A1335" i="4"/>
  <c r="D1334" i="4"/>
  <c r="A1334" i="4"/>
  <c r="D1333" i="4"/>
  <c r="A1333" i="4"/>
  <c r="A1332" i="4"/>
  <c r="D1331" i="4"/>
  <c r="A1331" i="4"/>
  <c r="D1330" i="4"/>
  <c r="A1330" i="4"/>
  <c r="A1329" i="4"/>
  <c r="D1328" i="4"/>
  <c r="A1328" i="4"/>
  <c r="A1327" i="4"/>
  <c r="D1326" i="4"/>
  <c r="A1326" i="4"/>
  <c r="D1325" i="4"/>
  <c r="A1325" i="4"/>
  <c r="D1324" i="4"/>
  <c r="A1324" i="4"/>
  <c r="D1323" i="4"/>
  <c r="A1323" i="4"/>
  <c r="D1322" i="4"/>
  <c r="A1322" i="4"/>
  <c r="D1321" i="4"/>
  <c r="A1321" i="4"/>
  <c r="A1320" i="4"/>
  <c r="D1319" i="4"/>
  <c r="A1319" i="4"/>
  <c r="D1318" i="4"/>
  <c r="A1318" i="4"/>
  <c r="D1317" i="4"/>
  <c r="A1317" i="4"/>
  <c r="D1316" i="4"/>
  <c r="A1316" i="4"/>
  <c r="A1315" i="4"/>
  <c r="A1314" i="4"/>
  <c r="D1313" i="4"/>
  <c r="A1313" i="4"/>
  <c r="D1312" i="4"/>
  <c r="A1312" i="4"/>
  <c r="A1311" i="4"/>
  <c r="D1310" i="4"/>
  <c r="A1310" i="4"/>
  <c r="D1309" i="4"/>
  <c r="A1309" i="4"/>
  <c r="A1308" i="4"/>
  <c r="D1307" i="4"/>
  <c r="A1307" i="4"/>
  <c r="D1306" i="4"/>
  <c r="A1306" i="4"/>
  <c r="A1305" i="4"/>
  <c r="D1304" i="4"/>
  <c r="A1304" i="4"/>
  <c r="D1303" i="4"/>
  <c r="A1303" i="4"/>
  <c r="D1302" i="4"/>
  <c r="A1302" i="4"/>
  <c r="D1301" i="4"/>
  <c r="A1301" i="4"/>
  <c r="D1300" i="4"/>
  <c r="A1300" i="4"/>
  <c r="D1299" i="4"/>
  <c r="A1299" i="4"/>
  <c r="D1298" i="4"/>
  <c r="A1298" i="4"/>
  <c r="D1297" i="4"/>
  <c r="A1297" i="4"/>
  <c r="D1296" i="4"/>
  <c r="A1296" i="4"/>
  <c r="D1295" i="4"/>
  <c r="A1295" i="4"/>
  <c r="A1294" i="4"/>
  <c r="D1293" i="4"/>
  <c r="A1293" i="4"/>
  <c r="D1292" i="4"/>
  <c r="A1292" i="4"/>
  <c r="D1290" i="4"/>
  <c r="A1290" i="4"/>
  <c r="A1289" i="4"/>
  <c r="D1288" i="4"/>
  <c r="A1288" i="4"/>
  <c r="D1287" i="4"/>
  <c r="A1287" i="4"/>
  <c r="D1286" i="4"/>
  <c r="A1286" i="4"/>
  <c r="D1285" i="4"/>
  <c r="A1285" i="4"/>
  <c r="A1284" i="4"/>
  <c r="D1283" i="4"/>
  <c r="A1283" i="4"/>
  <c r="D1282" i="4"/>
  <c r="A1282" i="4"/>
  <c r="D1280" i="4"/>
  <c r="A1280" i="4"/>
  <c r="D1279" i="4"/>
  <c r="A1279" i="4"/>
  <c r="A1278" i="4"/>
  <c r="A1277" i="4"/>
  <c r="D1276" i="4"/>
  <c r="A1276" i="4"/>
  <c r="D1275" i="4"/>
  <c r="A1275" i="4"/>
  <c r="D1274" i="4"/>
  <c r="A1274" i="4"/>
  <c r="D1273" i="4"/>
  <c r="A1273" i="4"/>
  <c r="D1272" i="4"/>
  <c r="A1272" i="4"/>
  <c r="D1271" i="4"/>
  <c r="A1271" i="4"/>
  <c r="D1270" i="4"/>
  <c r="A1270" i="4"/>
  <c r="D1269" i="4"/>
  <c r="A1269" i="4"/>
  <c r="A1268" i="4"/>
  <c r="D1267" i="4"/>
  <c r="A1267" i="4"/>
  <c r="D1266" i="4"/>
  <c r="A1266" i="4"/>
  <c r="D1265" i="4"/>
  <c r="A1265" i="4"/>
  <c r="D1264" i="4"/>
  <c r="A1264" i="4"/>
  <c r="D1263" i="4"/>
  <c r="A1263" i="4"/>
  <c r="D1262" i="4"/>
  <c r="A1262" i="4"/>
  <c r="D1261" i="4"/>
  <c r="A1261" i="4"/>
  <c r="D1260" i="4"/>
  <c r="A1260" i="4"/>
  <c r="A1259" i="4"/>
  <c r="D1258" i="4"/>
  <c r="A1258" i="4"/>
  <c r="D1257" i="4"/>
  <c r="A1257" i="4"/>
  <c r="A1256" i="4"/>
  <c r="A1255" i="4"/>
  <c r="D1254" i="4"/>
  <c r="A1254" i="4"/>
  <c r="D1253" i="4"/>
  <c r="A1253" i="4"/>
  <c r="D1252" i="4"/>
  <c r="A1252" i="4"/>
  <c r="D1251" i="4"/>
  <c r="A1251" i="4"/>
  <c r="D1250" i="4"/>
  <c r="A1250" i="4"/>
  <c r="D1249" i="4"/>
  <c r="A1249" i="4"/>
  <c r="A1248" i="4"/>
  <c r="D1247" i="4"/>
  <c r="A1247" i="4"/>
  <c r="D1246" i="4"/>
  <c r="A1246" i="4"/>
  <c r="A1245" i="4"/>
  <c r="A1244" i="4"/>
  <c r="A1243" i="4"/>
  <c r="A1242" i="4"/>
  <c r="A1241" i="4"/>
  <c r="A1240" i="4"/>
  <c r="D1239" i="4"/>
  <c r="A1239" i="4"/>
  <c r="A1238" i="4"/>
  <c r="D1237" i="4"/>
  <c r="A1237" i="4"/>
  <c r="D1236" i="4"/>
  <c r="A1236" i="4"/>
  <c r="A1235" i="4"/>
  <c r="A1234" i="4"/>
  <c r="A1233" i="4"/>
  <c r="D1232" i="4"/>
  <c r="A1232" i="4"/>
  <c r="D1231" i="4"/>
  <c r="A1231" i="4"/>
  <c r="D1230" i="4"/>
  <c r="A1230" i="4"/>
  <c r="A1229" i="4"/>
  <c r="D1228" i="4"/>
  <c r="A1228" i="4"/>
  <c r="D1227" i="4"/>
  <c r="A1227" i="4"/>
  <c r="D1226" i="4"/>
  <c r="A1226" i="4"/>
  <c r="D1225" i="4"/>
  <c r="A1225" i="4"/>
  <c r="D1224" i="4"/>
  <c r="A1224" i="4"/>
  <c r="D1223" i="4"/>
  <c r="A1223" i="4"/>
  <c r="D1222" i="4"/>
  <c r="A1222" i="4"/>
  <c r="A1221" i="4"/>
  <c r="A1220" i="4"/>
  <c r="D1219" i="4"/>
  <c r="A1219" i="4"/>
  <c r="D1218" i="4"/>
  <c r="A1218" i="4"/>
  <c r="D1217" i="4"/>
  <c r="A1217" i="4"/>
  <c r="D1216" i="4"/>
  <c r="A1216" i="4"/>
  <c r="D1215" i="4"/>
  <c r="A1215" i="4"/>
  <c r="D1214" i="4"/>
  <c r="A1214" i="4"/>
  <c r="D1213" i="4"/>
  <c r="A1213" i="4"/>
  <c r="D1212" i="4"/>
  <c r="D1211" i="4"/>
  <c r="A1211" i="4"/>
  <c r="D1210" i="4"/>
  <c r="A1210" i="4"/>
  <c r="A1209" i="4"/>
  <c r="D1208" i="4"/>
  <c r="A1208" i="4"/>
  <c r="D1207" i="4"/>
  <c r="A1207" i="4"/>
  <c r="D1206" i="4"/>
  <c r="A1206" i="4"/>
  <c r="D1205" i="4"/>
  <c r="A1205" i="4"/>
  <c r="D1204" i="4"/>
  <c r="A1204" i="4"/>
  <c r="D1203" i="4"/>
  <c r="A1203" i="4"/>
  <c r="D1202" i="4"/>
  <c r="A1202" i="4"/>
  <c r="D1201" i="4"/>
  <c r="A1201" i="4"/>
  <c r="D1200" i="4"/>
  <c r="A1200" i="4"/>
  <c r="D1199" i="4"/>
  <c r="A1199" i="4"/>
  <c r="D1198" i="4"/>
  <c r="A1198" i="4"/>
  <c r="D1197" i="4"/>
  <c r="A1197" i="4"/>
  <c r="A1196" i="4"/>
  <c r="D1195" i="4"/>
  <c r="A1195" i="4"/>
  <c r="D1194" i="4"/>
  <c r="A1194" i="4"/>
  <c r="D1193" i="4"/>
  <c r="A1193" i="4"/>
  <c r="A1192" i="4"/>
  <c r="D1191" i="4"/>
  <c r="A1191" i="4"/>
  <c r="A1190" i="4"/>
  <c r="D1189" i="4"/>
  <c r="A1189" i="4"/>
  <c r="D1188" i="4"/>
  <c r="A1188" i="4"/>
  <c r="A1187" i="4"/>
  <c r="D1186" i="4"/>
  <c r="A1186" i="4"/>
  <c r="D1185" i="4"/>
  <c r="A1185" i="4"/>
  <c r="D1184" i="4"/>
  <c r="A1184" i="4"/>
  <c r="A1183" i="4"/>
  <c r="D1182" i="4"/>
  <c r="A1182" i="4"/>
  <c r="D1181" i="4"/>
  <c r="A1181" i="4"/>
  <c r="D1180" i="4"/>
  <c r="D1179" i="4"/>
  <c r="A1179" i="4"/>
  <c r="A1178" i="4"/>
  <c r="D1177" i="4"/>
  <c r="A1177" i="4"/>
  <c r="D1176" i="4"/>
  <c r="A1176" i="4"/>
  <c r="D1175" i="4"/>
  <c r="A1175" i="4"/>
  <c r="A1174" i="4"/>
  <c r="D1173" i="4"/>
  <c r="A1173" i="4"/>
  <c r="D1172" i="4"/>
  <c r="A1172" i="4"/>
  <c r="D1171" i="4"/>
  <c r="A1171" i="4"/>
  <c r="D1170" i="4"/>
  <c r="A1170" i="4"/>
  <c r="D1169" i="4"/>
  <c r="A1169" i="4"/>
  <c r="D1168" i="4"/>
  <c r="A1168" i="4"/>
  <c r="D1167" i="4"/>
  <c r="A1167" i="4"/>
  <c r="D1166" i="4"/>
  <c r="A1166" i="4"/>
  <c r="D1165" i="4"/>
  <c r="A1165" i="4"/>
  <c r="D1164" i="4"/>
  <c r="A1164" i="4"/>
  <c r="A1163" i="4"/>
  <c r="D1162" i="4"/>
  <c r="A1162" i="4"/>
  <c r="D1161" i="4"/>
  <c r="A1161" i="4"/>
  <c r="D1160" i="4"/>
  <c r="A1160" i="4"/>
  <c r="D1159" i="4"/>
  <c r="A1159" i="4"/>
  <c r="D1158" i="4"/>
  <c r="A1158" i="4"/>
  <c r="D1157" i="4"/>
  <c r="A1157" i="4"/>
  <c r="D1156" i="4"/>
  <c r="A1156" i="4"/>
  <c r="D1155" i="4"/>
  <c r="A1155" i="4"/>
  <c r="D1154" i="4"/>
  <c r="A1154" i="4"/>
  <c r="A1153" i="4"/>
  <c r="D1152" i="4"/>
  <c r="A1152" i="4"/>
  <c r="D1151" i="4"/>
  <c r="A1151" i="4"/>
  <c r="D1150" i="4"/>
  <c r="A1150" i="4"/>
  <c r="A1149" i="4"/>
  <c r="D1148" i="4"/>
  <c r="A1148" i="4"/>
  <c r="D1147" i="4"/>
  <c r="A1147" i="4"/>
  <c r="D1146" i="4"/>
  <c r="A1146" i="4"/>
  <c r="A1145" i="4"/>
  <c r="D1144" i="4"/>
  <c r="A1144" i="4"/>
  <c r="D1143" i="4"/>
  <c r="A1143" i="4"/>
  <c r="D1142" i="4"/>
  <c r="A1142" i="4"/>
  <c r="D1141" i="4"/>
  <c r="A1141" i="4"/>
  <c r="D1140" i="4"/>
  <c r="A1140" i="4"/>
  <c r="D1139" i="4"/>
  <c r="A1139" i="4"/>
  <c r="D1138" i="4"/>
  <c r="A1138" i="4"/>
  <c r="D1137" i="4"/>
  <c r="A1137" i="4"/>
  <c r="D1136" i="4"/>
  <c r="A1136" i="4"/>
  <c r="D1135" i="4"/>
  <c r="A1135" i="4"/>
  <c r="D1134" i="4"/>
  <c r="A1134" i="4"/>
  <c r="A1133" i="4"/>
  <c r="D1132" i="4"/>
  <c r="A1132" i="4"/>
  <c r="D1131" i="4"/>
  <c r="A1131" i="4"/>
  <c r="D1130" i="4"/>
  <c r="A1130" i="4"/>
  <c r="D1129" i="4"/>
  <c r="A1129" i="4"/>
  <c r="D1128" i="4"/>
  <c r="A1128" i="4"/>
  <c r="D1127" i="4"/>
  <c r="A1127" i="4"/>
  <c r="D1126" i="4"/>
  <c r="A1126" i="4"/>
  <c r="D1125" i="4"/>
  <c r="A1125" i="4"/>
  <c r="D1124" i="4"/>
  <c r="A1124" i="4"/>
  <c r="A1123" i="4"/>
  <c r="D1122" i="4"/>
  <c r="A1122" i="4"/>
  <c r="D1121" i="4"/>
  <c r="A1121" i="4"/>
  <c r="D1120" i="4"/>
  <c r="A1120" i="4"/>
  <c r="D1119" i="4"/>
  <c r="A1119" i="4"/>
  <c r="A1118" i="4"/>
  <c r="D1117" i="4"/>
  <c r="A1117" i="4"/>
  <c r="D1116" i="4"/>
  <c r="A1116" i="4"/>
  <c r="A1115" i="4"/>
  <c r="A1114" i="4"/>
  <c r="D1113" i="4"/>
  <c r="A1113" i="4"/>
  <c r="A1112" i="4"/>
  <c r="D1111" i="4"/>
  <c r="A1111" i="4"/>
  <c r="D1110" i="4"/>
  <c r="A1110" i="4"/>
  <c r="D1109" i="4"/>
  <c r="A1109" i="4"/>
  <c r="A1108" i="4"/>
  <c r="D1107" i="4"/>
  <c r="A1107" i="4"/>
  <c r="D1106" i="4"/>
  <c r="A1106" i="4"/>
  <c r="D1105" i="4"/>
  <c r="A1105" i="4"/>
  <c r="D1104" i="4"/>
  <c r="A1104" i="4"/>
  <c r="D1103" i="4"/>
  <c r="A1103" i="4"/>
  <c r="D1102" i="4"/>
  <c r="A1102" i="4"/>
  <c r="D1101" i="4"/>
  <c r="A1101" i="4"/>
  <c r="D1100" i="4"/>
  <c r="A1100" i="4"/>
  <c r="A1099" i="4"/>
  <c r="D1098" i="4"/>
  <c r="A1098" i="4"/>
  <c r="D1097" i="4"/>
  <c r="A1097" i="4"/>
  <c r="D1096" i="4"/>
  <c r="A1096" i="4"/>
  <c r="A1095" i="4"/>
  <c r="A1094" i="4"/>
  <c r="D1093" i="4"/>
  <c r="A1093" i="4"/>
  <c r="D1092" i="4"/>
  <c r="A1092" i="4"/>
  <c r="D1091" i="4"/>
  <c r="A1091" i="4"/>
  <c r="D1090" i="4"/>
  <c r="A1090" i="4"/>
  <c r="D1089" i="4"/>
  <c r="A1089" i="4"/>
  <c r="D1088" i="4"/>
  <c r="A1088" i="4"/>
  <c r="A1087" i="4"/>
  <c r="A1086" i="4"/>
  <c r="D1085" i="4"/>
  <c r="A1085" i="4"/>
  <c r="D1084" i="4"/>
  <c r="A1084" i="4"/>
  <c r="A1083" i="4"/>
  <c r="D1082" i="4"/>
  <c r="A1082" i="4"/>
  <c r="D1081" i="4"/>
  <c r="A1081" i="4"/>
  <c r="A1080" i="4"/>
  <c r="D1079" i="4"/>
  <c r="A1079" i="4"/>
  <c r="D1078" i="4"/>
  <c r="A1078" i="4"/>
  <c r="A1077" i="4"/>
  <c r="D1076" i="4"/>
  <c r="A1076" i="4"/>
  <c r="D1075" i="4"/>
  <c r="A1075" i="4"/>
  <c r="D1074" i="4"/>
  <c r="A1074" i="4"/>
  <c r="A1073" i="4"/>
  <c r="D1072" i="4"/>
  <c r="A1072" i="4"/>
  <c r="A1071" i="4"/>
  <c r="A1070" i="4"/>
  <c r="D1069" i="4"/>
  <c r="A1069" i="4"/>
  <c r="A1068" i="4"/>
  <c r="D1067" i="4"/>
  <c r="A1067" i="4"/>
  <c r="D1066" i="4"/>
  <c r="A1066" i="4"/>
  <c r="D1065" i="4"/>
  <c r="A1065" i="4"/>
  <c r="D1064" i="4"/>
  <c r="A1064" i="4"/>
  <c r="D1063" i="4"/>
  <c r="A1063" i="4"/>
  <c r="D1062" i="4"/>
  <c r="A1062" i="4"/>
  <c r="D1061" i="4"/>
  <c r="A1061" i="4"/>
  <c r="A1060" i="4"/>
  <c r="D1059" i="4"/>
  <c r="A1059" i="4"/>
  <c r="D1058" i="4"/>
  <c r="A1058" i="4"/>
  <c r="D1057" i="4"/>
  <c r="A1057" i="4"/>
  <c r="D1056" i="4"/>
  <c r="A1056" i="4"/>
  <c r="D1055" i="4"/>
  <c r="A1055" i="4"/>
  <c r="D1054" i="4"/>
  <c r="A1054" i="4"/>
  <c r="D1053" i="4"/>
  <c r="A1053" i="4"/>
  <c r="D1052" i="4"/>
  <c r="A1052" i="4"/>
  <c r="A1051" i="4"/>
  <c r="D1050" i="4"/>
  <c r="A1050" i="4"/>
  <c r="A1049" i="4"/>
  <c r="A1048" i="4"/>
  <c r="D1047" i="4"/>
  <c r="A1047" i="4"/>
  <c r="A1046" i="4"/>
  <c r="D1045" i="4"/>
  <c r="D1044" i="4"/>
  <c r="A1044" i="4"/>
  <c r="D1043" i="4"/>
  <c r="A1043" i="4"/>
  <c r="D1042" i="4"/>
  <c r="A1042" i="4"/>
  <c r="D1041" i="4"/>
  <c r="A1041" i="4"/>
  <c r="D1040" i="4"/>
  <c r="A1040" i="4"/>
  <c r="D1039" i="4"/>
  <c r="A1039" i="4"/>
  <c r="D1038" i="4"/>
  <c r="A1038" i="4"/>
  <c r="D1037" i="4"/>
  <c r="A1037" i="4"/>
  <c r="D1036" i="4"/>
  <c r="A1036" i="4"/>
  <c r="D1035" i="4"/>
  <c r="A1035" i="4"/>
  <c r="A1034" i="4"/>
  <c r="A1033" i="4"/>
  <c r="D1032" i="4"/>
  <c r="A1032" i="4"/>
  <c r="D1031" i="4"/>
  <c r="A1031" i="4"/>
  <c r="D1030" i="4"/>
  <c r="A1030" i="4"/>
  <c r="D1029" i="4"/>
  <c r="A1029" i="4"/>
  <c r="D1028" i="4"/>
  <c r="A1028" i="4"/>
  <c r="D1027" i="4"/>
  <c r="A1027" i="4"/>
  <c r="D1026" i="4"/>
  <c r="A1026" i="4"/>
  <c r="D1025" i="4"/>
  <c r="A1025" i="4"/>
  <c r="D1024" i="4"/>
  <c r="A1024" i="4"/>
  <c r="D1023" i="4"/>
  <c r="A1023" i="4"/>
  <c r="D1022" i="4"/>
  <c r="A1022" i="4"/>
  <c r="D1021" i="4"/>
  <c r="A1021" i="4"/>
  <c r="D1020" i="4"/>
  <c r="A1020" i="4"/>
  <c r="D1019" i="4"/>
  <c r="A1019" i="4"/>
  <c r="D1018" i="4"/>
  <c r="A1018" i="4"/>
  <c r="D1017" i="4"/>
  <c r="A1017" i="4"/>
  <c r="D1016" i="4"/>
  <c r="A1016" i="4"/>
  <c r="A1015" i="4"/>
  <c r="A1014" i="4"/>
  <c r="D1013" i="4"/>
  <c r="A1013" i="4"/>
  <c r="D1012" i="4"/>
  <c r="A1012" i="4"/>
  <c r="A1011" i="4"/>
  <c r="A1010" i="4"/>
  <c r="D1009" i="4"/>
  <c r="A1009" i="4"/>
  <c r="D1008" i="4"/>
  <c r="A1008" i="4"/>
  <c r="D1007" i="4"/>
  <c r="A1007" i="4"/>
  <c r="A1006" i="4"/>
  <c r="D1005" i="4"/>
  <c r="A1005" i="4"/>
  <c r="D1004" i="4"/>
  <c r="A1004" i="4"/>
  <c r="D1003" i="4"/>
  <c r="A1003" i="4"/>
  <c r="D1002" i="4"/>
  <c r="A1002" i="4"/>
  <c r="D1001" i="4"/>
  <c r="A1001" i="4"/>
  <c r="D1000" i="4"/>
  <c r="A1000" i="4"/>
  <c r="D999" i="4"/>
  <c r="A999" i="4"/>
  <c r="D998" i="4"/>
  <c r="A998" i="4"/>
  <c r="D997" i="4"/>
  <c r="A997" i="4"/>
  <c r="D996" i="4"/>
  <c r="A996" i="4"/>
  <c r="D995" i="4"/>
  <c r="A995" i="4"/>
  <c r="D994" i="4"/>
  <c r="A994" i="4"/>
  <c r="D993" i="4"/>
  <c r="A993" i="4"/>
  <c r="A992" i="4"/>
  <c r="A991" i="4"/>
  <c r="A990" i="4"/>
  <c r="A989" i="4"/>
  <c r="A988" i="4"/>
  <c r="A987" i="4"/>
  <c r="A986" i="4"/>
  <c r="A985" i="4"/>
  <c r="D984" i="4"/>
  <c r="A984" i="4"/>
  <c r="D983" i="4"/>
  <c r="A983" i="4"/>
  <c r="D982" i="4"/>
  <c r="A982" i="4"/>
  <c r="D981" i="4"/>
  <c r="A981" i="4"/>
  <c r="D980" i="4"/>
  <c r="A980" i="4"/>
  <c r="D979" i="4"/>
  <c r="A979" i="4"/>
  <c r="D978" i="4"/>
  <c r="A978" i="4"/>
  <c r="A977" i="4"/>
  <c r="D976" i="4"/>
  <c r="A976" i="4"/>
  <c r="D975" i="4"/>
  <c r="A975" i="4"/>
  <c r="D974" i="4"/>
  <c r="A974" i="4"/>
  <c r="D973" i="4"/>
  <c r="A973" i="4"/>
  <c r="D972" i="4"/>
  <c r="A972" i="4"/>
  <c r="A971" i="4"/>
  <c r="A970" i="4"/>
  <c r="A969" i="4"/>
  <c r="D968" i="4"/>
  <c r="A968" i="4"/>
  <c r="D967" i="4"/>
  <c r="A967" i="4"/>
  <c r="D966" i="4"/>
  <c r="A966" i="4"/>
  <c r="D965" i="4"/>
  <c r="A965" i="4"/>
  <c r="D964" i="4"/>
  <c r="A964" i="4"/>
  <c r="D963" i="4"/>
  <c r="A963" i="4"/>
  <c r="D962" i="4"/>
  <c r="A962" i="4"/>
  <c r="A961" i="4"/>
  <c r="D960" i="4"/>
  <c r="A960" i="4"/>
  <c r="D959" i="4"/>
  <c r="A959" i="4"/>
  <c r="A958" i="4"/>
  <c r="D957" i="4"/>
  <c r="A957" i="4"/>
  <c r="D956" i="4"/>
  <c r="A956" i="4"/>
  <c r="D955" i="4"/>
  <c r="A955" i="4"/>
  <c r="D954" i="4"/>
  <c r="A954" i="4"/>
  <c r="D953" i="4"/>
  <c r="A953" i="4"/>
  <c r="D952" i="4"/>
  <c r="A952" i="4"/>
  <c r="D951" i="4"/>
  <c r="A951" i="4"/>
  <c r="D950" i="4"/>
  <c r="A950" i="4"/>
  <c r="D949" i="4"/>
  <c r="A949" i="4"/>
  <c r="D948" i="4"/>
  <c r="A948" i="4"/>
  <c r="D947" i="4"/>
  <c r="A947" i="4"/>
  <c r="D946" i="4"/>
  <c r="A946" i="4"/>
  <c r="D945" i="4"/>
  <c r="A945" i="4"/>
  <c r="D944" i="4"/>
  <c r="A944" i="4"/>
  <c r="D943" i="4"/>
  <c r="A943" i="4"/>
  <c r="D942" i="4"/>
  <c r="A942" i="4"/>
  <c r="D941" i="4"/>
  <c r="A941" i="4"/>
  <c r="D940" i="4"/>
  <c r="A940" i="4"/>
  <c r="D939" i="4"/>
  <c r="A939" i="4"/>
  <c r="D938" i="4"/>
  <c r="A938" i="4"/>
  <c r="D937" i="4"/>
  <c r="A937" i="4"/>
  <c r="D936" i="4"/>
  <c r="A936" i="4"/>
  <c r="D935" i="4"/>
  <c r="A935" i="4"/>
  <c r="D934" i="4"/>
  <c r="A934" i="4"/>
  <c r="A933" i="4"/>
  <c r="D932" i="4"/>
  <c r="A932" i="4"/>
  <c r="D931" i="4"/>
  <c r="A931" i="4"/>
  <c r="D930" i="4"/>
  <c r="A930" i="4"/>
  <c r="D929" i="4"/>
  <c r="A929" i="4"/>
  <c r="D928" i="4"/>
  <c r="A928" i="4"/>
  <c r="D927" i="4"/>
  <c r="A927" i="4"/>
  <c r="D926" i="4"/>
  <c r="A926" i="4"/>
  <c r="D925" i="4"/>
  <c r="A925" i="4"/>
  <c r="D924" i="4"/>
  <c r="A924" i="4"/>
  <c r="D923" i="4"/>
  <c r="A923" i="4"/>
  <c r="D922" i="4"/>
  <c r="A922" i="4"/>
  <c r="D921" i="4"/>
  <c r="A921" i="4"/>
  <c r="A920" i="4"/>
  <c r="D919" i="4"/>
  <c r="A919" i="4"/>
  <c r="A918" i="4"/>
  <c r="D917" i="4"/>
  <c r="A917" i="4"/>
  <c r="D916" i="4"/>
  <c r="A916" i="4"/>
  <c r="D915" i="4"/>
  <c r="A915" i="4"/>
  <c r="D914" i="4"/>
  <c r="A914" i="4"/>
  <c r="A913" i="4"/>
  <c r="D912" i="4"/>
  <c r="A912" i="4"/>
  <c r="A911" i="4"/>
  <c r="A910" i="4"/>
  <c r="A909" i="4"/>
  <c r="A908" i="4"/>
  <c r="D907" i="4"/>
  <c r="A907" i="4"/>
  <c r="A906" i="4"/>
  <c r="D905" i="4"/>
  <c r="A905" i="4"/>
  <c r="A904" i="4"/>
  <c r="D903" i="4"/>
  <c r="A903" i="4"/>
  <c r="D902" i="4"/>
  <c r="A902" i="4"/>
  <c r="D901" i="4"/>
  <c r="A901" i="4"/>
  <c r="D900" i="4"/>
  <c r="A900" i="4"/>
  <c r="D899" i="4"/>
  <c r="A899" i="4"/>
  <c r="A898" i="4"/>
  <c r="D897" i="4"/>
  <c r="A897" i="4"/>
  <c r="D896" i="4"/>
  <c r="A896" i="4"/>
  <c r="D895" i="4"/>
  <c r="A895" i="4"/>
  <c r="D894" i="4"/>
  <c r="A894" i="4"/>
  <c r="D893" i="4"/>
  <c r="A893" i="4"/>
  <c r="D892" i="4"/>
  <c r="A892" i="4"/>
  <c r="A891" i="4"/>
  <c r="D890" i="4"/>
  <c r="A890" i="4"/>
  <c r="D889" i="4"/>
  <c r="A889" i="4"/>
  <c r="D888" i="4"/>
  <c r="A888" i="4"/>
  <c r="A887" i="4"/>
  <c r="D886" i="4"/>
  <c r="A886" i="4"/>
  <c r="A885" i="4"/>
  <c r="D884" i="4"/>
  <c r="A884" i="4"/>
  <c r="D883" i="4"/>
  <c r="A883" i="4"/>
  <c r="D882" i="4"/>
  <c r="A882" i="4"/>
  <c r="D881" i="4"/>
  <c r="A881" i="4"/>
  <c r="D880" i="4"/>
  <c r="A880" i="4"/>
  <c r="D879" i="4"/>
  <c r="A879" i="4"/>
  <c r="D878" i="4"/>
  <c r="A878" i="4"/>
  <c r="D877" i="4"/>
  <c r="A877" i="4"/>
  <c r="D876" i="4"/>
  <c r="A876" i="4"/>
  <c r="D875" i="4"/>
  <c r="A875" i="4"/>
  <c r="D874" i="4"/>
  <c r="A874" i="4"/>
  <c r="D873" i="4"/>
  <c r="A873" i="4"/>
  <c r="D872" i="4"/>
  <c r="A872" i="4"/>
  <c r="D871" i="4"/>
  <c r="A871" i="4"/>
  <c r="A870" i="4"/>
  <c r="D869" i="4"/>
  <c r="A869" i="4"/>
  <c r="D868" i="4"/>
  <c r="A868" i="4"/>
  <c r="D867" i="4"/>
  <c r="A867" i="4"/>
  <c r="D866" i="4"/>
  <c r="A866" i="4"/>
  <c r="D865" i="4"/>
  <c r="A865" i="4"/>
  <c r="D864" i="4"/>
  <c r="A864" i="4"/>
  <c r="D863" i="4"/>
  <c r="A863" i="4"/>
  <c r="D862" i="4"/>
  <c r="A862" i="4"/>
  <c r="D861" i="4"/>
  <c r="A861" i="4"/>
  <c r="D860" i="4"/>
  <c r="A860" i="4"/>
  <c r="D859" i="4"/>
  <c r="A859" i="4"/>
  <c r="D858" i="4"/>
  <c r="A858" i="4"/>
  <c r="D857" i="4"/>
  <c r="A857" i="4"/>
  <c r="D856" i="4"/>
  <c r="A856" i="4"/>
  <c r="D855" i="4"/>
  <c r="A855" i="4"/>
  <c r="D854" i="4"/>
  <c r="A854" i="4"/>
  <c r="D853" i="4"/>
  <c r="A853" i="4"/>
  <c r="D852" i="4"/>
  <c r="A852" i="4"/>
  <c r="A851" i="4"/>
  <c r="A850" i="4"/>
  <c r="D849" i="4"/>
  <c r="A849" i="4"/>
  <c r="D848" i="4"/>
  <c r="A848" i="4"/>
  <c r="D847" i="4"/>
  <c r="A847" i="4"/>
  <c r="D846" i="4"/>
  <c r="A846" i="4"/>
  <c r="D845" i="4"/>
  <c r="A845" i="4"/>
  <c r="D844" i="4"/>
  <c r="A844" i="4"/>
  <c r="D843" i="4"/>
  <c r="A843" i="4"/>
  <c r="D842" i="4"/>
  <c r="A842" i="4"/>
  <c r="D841" i="4"/>
  <c r="A841" i="4"/>
  <c r="D840" i="4"/>
  <c r="A840" i="4"/>
  <c r="D839" i="4"/>
  <c r="A839" i="4"/>
  <c r="D838" i="4"/>
  <c r="A838" i="4"/>
  <c r="D837" i="4"/>
  <c r="A837" i="4"/>
  <c r="D836" i="4"/>
  <c r="A836" i="4"/>
  <c r="D835" i="4"/>
  <c r="A835" i="4"/>
  <c r="A834" i="4"/>
  <c r="D833" i="4"/>
  <c r="A833" i="4"/>
  <c r="A832" i="4"/>
  <c r="D831" i="4"/>
  <c r="A831" i="4"/>
  <c r="D830" i="4"/>
  <c r="A830" i="4"/>
  <c r="D829" i="4"/>
  <c r="A829" i="4"/>
  <c r="D828" i="4"/>
  <c r="A828" i="4"/>
  <c r="D827" i="4"/>
  <c r="A827" i="4"/>
  <c r="D826" i="4"/>
  <c r="A826" i="4"/>
  <c r="D825" i="4"/>
  <c r="A825" i="4"/>
  <c r="A824" i="4"/>
  <c r="D823" i="4"/>
  <c r="A823" i="4"/>
  <c r="D822" i="4"/>
  <c r="A822" i="4"/>
  <c r="A821" i="4"/>
  <c r="A820" i="4"/>
  <c r="D819" i="4"/>
  <c r="A819" i="4"/>
  <c r="D818" i="4"/>
  <c r="A818" i="4"/>
  <c r="A816" i="4"/>
  <c r="D815" i="4"/>
  <c r="A815" i="4"/>
  <c r="D814" i="4"/>
  <c r="A814" i="4"/>
  <c r="D813" i="4"/>
  <c r="A813" i="4"/>
  <c r="A812" i="4"/>
  <c r="D811" i="4"/>
  <c r="A811" i="4"/>
  <c r="D810" i="4"/>
  <c r="A810" i="4"/>
  <c r="A809" i="4"/>
  <c r="D808" i="4"/>
  <c r="A808" i="4"/>
  <c r="D807" i="4"/>
  <c r="A807" i="4"/>
  <c r="D806" i="4"/>
  <c r="A806" i="4"/>
  <c r="D805" i="4"/>
  <c r="A805" i="4"/>
  <c r="D804" i="4"/>
  <c r="A804" i="4"/>
  <c r="D803" i="4"/>
  <c r="A803" i="4"/>
  <c r="D802" i="4"/>
  <c r="A802" i="4"/>
  <c r="D801" i="4"/>
  <c r="A801" i="4"/>
  <c r="D800" i="4"/>
  <c r="A800" i="4"/>
  <c r="A799" i="4"/>
  <c r="A798" i="4"/>
  <c r="A797" i="4"/>
  <c r="D796" i="4"/>
  <c r="A796" i="4"/>
  <c r="D795" i="4"/>
  <c r="A795" i="4"/>
  <c r="D794" i="4"/>
  <c r="A794" i="4"/>
  <c r="D793" i="4"/>
  <c r="A793" i="4"/>
  <c r="D792" i="4"/>
  <c r="A792" i="4"/>
  <c r="D791" i="4"/>
  <c r="A791" i="4"/>
  <c r="D790" i="4"/>
  <c r="A790" i="4"/>
  <c r="D789" i="4"/>
  <c r="A789" i="4"/>
  <c r="A788" i="4"/>
  <c r="A787" i="4"/>
  <c r="A786" i="4"/>
  <c r="D785" i="4"/>
  <c r="A785" i="4"/>
  <c r="D784" i="4"/>
  <c r="A784" i="4"/>
  <c r="D783" i="4"/>
  <c r="A783" i="4"/>
  <c r="D782" i="4"/>
  <c r="A782" i="4"/>
  <c r="D781" i="4"/>
  <c r="A781" i="4"/>
  <c r="D780" i="4"/>
  <c r="A780" i="4"/>
  <c r="D779" i="4"/>
  <c r="A779" i="4"/>
  <c r="D778" i="4"/>
  <c r="A778" i="4"/>
  <c r="D777" i="4"/>
  <c r="A777" i="4"/>
  <c r="D776" i="4"/>
  <c r="A776" i="4"/>
  <c r="D775" i="4"/>
  <c r="A775" i="4"/>
  <c r="A774" i="4"/>
  <c r="D773" i="4"/>
  <c r="A773" i="4"/>
  <c r="D772" i="4"/>
  <c r="A772" i="4"/>
  <c r="D771" i="4"/>
  <c r="A771" i="4"/>
  <c r="A770" i="4"/>
  <c r="D769" i="4"/>
  <c r="A769" i="4"/>
  <c r="D768" i="4"/>
  <c r="A768" i="4"/>
  <c r="D767" i="4"/>
  <c r="A767" i="4"/>
  <c r="A766" i="4"/>
  <c r="D765" i="4"/>
  <c r="A765" i="4"/>
  <c r="D764" i="4"/>
  <c r="A764" i="4"/>
  <c r="D763" i="4"/>
  <c r="A763" i="4"/>
  <c r="D762" i="4"/>
  <c r="A762" i="4"/>
  <c r="D761" i="4"/>
  <c r="A761" i="4"/>
  <c r="D760" i="4"/>
  <c r="A760" i="4"/>
  <c r="D759" i="4"/>
  <c r="A759" i="4"/>
  <c r="D758" i="4"/>
  <c r="A758" i="4"/>
  <c r="D757" i="4"/>
  <c r="A757" i="4"/>
  <c r="D756" i="4"/>
  <c r="A756" i="4"/>
  <c r="D755" i="4"/>
  <c r="A755" i="4"/>
  <c r="D754" i="4"/>
  <c r="A754" i="4"/>
  <c r="D753" i="4"/>
  <c r="A753" i="4"/>
  <c r="D752" i="4"/>
  <c r="A752" i="4"/>
  <c r="D751" i="4"/>
  <c r="A751" i="4"/>
  <c r="D750" i="4"/>
  <c r="A750" i="4"/>
  <c r="D749" i="4"/>
  <c r="A749" i="4"/>
  <c r="D748" i="4"/>
  <c r="A748" i="4"/>
  <c r="D747" i="4"/>
  <c r="A747" i="4"/>
  <c r="D746" i="4"/>
  <c r="A746" i="4"/>
  <c r="D745" i="4"/>
  <c r="A745" i="4"/>
  <c r="D744" i="4"/>
  <c r="A744" i="4"/>
  <c r="D743" i="4"/>
  <c r="A743" i="4"/>
  <c r="D742" i="4"/>
  <c r="A742" i="4"/>
  <c r="D741" i="4"/>
  <c r="A741" i="4"/>
  <c r="A740" i="4"/>
  <c r="D739" i="4"/>
  <c r="A739" i="4"/>
  <c r="D738" i="4"/>
  <c r="A738" i="4"/>
  <c r="D737" i="4"/>
  <c r="A737" i="4"/>
  <c r="D736" i="4"/>
  <c r="A736" i="4"/>
  <c r="D735" i="4"/>
  <c r="A735" i="4"/>
  <c r="D734" i="4"/>
  <c r="A734" i="4"/>
  <c r="D733" i="4"/>
  <c r="A733" i="4"/>
  <c r="D732" i="4"/>
  <c r="A732" i="4"/>
  <c r="D731" i="4"/>
  <c r="A731" i="4"/>
  <c r="D730" i="4"/>
  <c r="A730" i="4"/>
  <c r="D729" i="4"/>
  <c r="A729" i="4"/>
  <c r="D728" i="4"/>
  <c r="A728" i="4"/>
  <c r="D727" i="4"/>
  <c r="A727" i="4"/>
  <c r="D726" i="4"/>
  <c r="A726" i="4"/>
  <c r="D725" i="4"/>
  <c r="A725" i="4"/>
  <c r="D724" i="4"/>
  <c r="A724" i="4"/>
  <c r="A723" i="4"/>
  <c r="D722" i="4"/>
  <c r="A722" i="4"/>
  <c r="D721" i="4"/>
  <c r="A721" i="4"/>
  <c r="D720" i="4"/>
  <c r="A720" i="4"/>
  <c r="D719" i="4"/>
  <c r="A719" i="4"/>
  <c r="D718" i="4"/>
  <c r="A718" i="4"/>
  <c r="D717" i="4"/>
  <c r="A717" i="4"/>
  <c r="D716" i="4"/>
  <c r="A716" i="4"/>
  <c r="D715" i="4"/>
  <c r="A715" i="4"/>
  <c r="D714" i="4"/>
  <c r="A714" i="4"/>
  <c r="D713" i="4"/>
  <c r="A713" i="4"/>
  <c r="D712" i="4"/>
  <c r="A712" i="4"/>
  <c r="D711" i="4"/>
  <c r="A711" i="4"/>
  <c r="D710" i="4"/>
  <c r="A710" i="4"/>
  <c r="D709" i="4"/>
  <c r="A709" i="4"/>
  <c r="D708" i="4"/>
  <c r="A708" i="4"/>
  <c r="D707" i="4"/>
  <c r="A707" i="4"/>
  <c r="D706" i="4"/>
  <c r="A706" i="4"/>
  <c r="D705" i="4"/>
  <c r="A705" i="4"/>
  <c r="D704" i="4"/>
  <c r="A704" i="4"/>
  <c r="D703" i="4"/>
  <c r="A703" i="4"/>
  <c r="D702" i="4"/>
  <c r="A702" i="4"/>
  <c r="D701" i="4"/>
  <c r="A701" i="4"/>
  <c r="D700" i="4"/>
  <c r="A700" i="4"/>
  <c r="D699" i="4"/>
  <c r="A699" i="4"/>
  <c r="D698" i="4"/>
  <c r="A698" i="4"/>
  <c r="A697" i="4"/>
  <c r="A696" i="4"/>
  <c r="D695" i="4"/>
  <c r="A695" i="4"/>
  <c r="D694" i="4"/>
  <c r="A694" i="4"/>
  <c r="D693" i="4"/>
  <c r="A693" i="4"/>
  <c r="D692" i="4"/>
  <c r="A692" i="4"/>
  <c r="D691" i="4"/>
  <c r="A691" i="4"/>
  <c r="D690" i="4"/>
  <c r="A690" i="4"/>
  <c r="A689" i="4"/>
  <c r="A688" i="4"/>
  <c r="D687" i="4"/>
  <c r="A687" i="4"/>
  <c r="D686" i="4"/>
  <c r="A686" i="4"/>
  <c r="D685" i="4"/>
  <c r="A685" i="4"/>
  <c r="D684" i="4"/>
  <c r="A684" i="4"/>
  <c r="D683" i="4"/>
  <c r="A683" i="4"/>
  <c r="D682" i="4"/>
  <c r="A682" i="4"/>
  <c r="D681" i="4"/>
  <c r="A681" i="4"/>
  <c r="A680" i="4"/>
  <c r="D679" i="4"/>
  <c r="A679" i="4"/>
  <c r="D678" i="4"/>
  <c r="A678" i="4"/>
  <c r="D677" i="4"/>
  <c r="A677" i="4"/>
  <c r="D676" i="4"/>
  <c r="A676" i="4"/>
  <c r="D675" i="4"/>
  <c r="A675" i="4"/>
  <c r="D674" i="4"/>
  <c r="A674" i="4"/>
  <c r="D673" i="4"/>
  <c r="A673" i="4"/>
  <c r="D672" i="4"/>
  <c r="A672" i="4"/>
  <c r="D671" i="4"/>
  <c r="A671" i="4"/>
  <c r="A670" i="4"/>
  <c r="A669" i="4"/>
  <c r="A668" i="4"/>
  <c r="A667" i="4"/>
  <c r="A666" i="4"/>
  <c r="A665" i="4"/>
  <c r="A664" i="4"/>
  <c r="A663" i="4"/>
  <c r="A662" i="4"/>
  <c r="A661" i="4"/>
  <c r="D660" i="4"/>
  <c r="A660" i="4"/>
  <c r="D659" i="4"/>
  <c r="A659" i="4"/>
  <c r="D658" i="4"/>
  <c r="A658" i="4"/>
  <c r="D657" i="4"/>
  <c r="A657" i="4"/>
  <c r="D656" i="4"/>
  <c r="A656" i="4"/>
  <c r="A655" i="4"/>
  <c r="D654" i="4"/>
  <c r="A654" i="4"/>
  <c r="D653" i="4"/>
  <c r="A653" i="4"/>
  <c r="D652" i="4"/>
  <c r="A652" i="4"/>
  <c r="D651" i="4"/>
  <c r="A651" i="4"/>
  <c r="A650" i="4"/>
  <c r="A649" i="4"/>
  <c r="D648" i="4"/>
  <c r="A648" i="4"/>
  <c r="D647" i="4"/>
  <c r="A647" i="4"/>
  <c r="D646" i="4"/>
  <c r="A646" i="4"/>
  <c r="D645" i="4"/>
  <c r="A645" i="4"/>
  <c r="A644" i="4"/>
  <c r="A643" i="4"/>
  <c r="D642" i="4"/>
  <c r="A642" i="4"/>
  <c r="D641" i="4"/>
  <c r="A641" i="4"/>
  <c r="D640" i="4"/>
  <c r="A640" i="4"/>
  <c r="D639" i="4"/>
  <c r="A639" i="4"/>
  <c r="D638" i="4"/>
  <c r="A638" i="4"/>
  <c r="D637" i="4"/>
  <c r="A637" i="4"/>
  <c r="A636" i="4"/>
  <c r="A635" i="4"/>
  <c r="D634" i="4"/>
  <c r="A634" i="4"/>
  <c r="D633" i="4"/>
  <c r="A633" i="4"/>
  <c r="D632" i="4"/>
  <c r="A632" i="4"/>
  <c r="D631" i="4"/>
  <c r="A631" i="4"/>
  <c r="D630" i="4"/>
  <c r="A630" i="4"/>
  <c r="D629" i="4"/>
  <c r="A629" i="4"/>
  <c r="A628" i="4"/>
  <c r="A627" i="4"/>
  <c r="A626" i="4"/>
  <c r="D625" i="4"/>
  <c r="A625" i="4"/>
  <c r="D624" i="4"/>
  <c r="A624" i="4"/>
  <c r="D623" i="4"/>
  <c r="A623" i="4"/>
  <c r="D622" i="4"/>
  <c r="A622" i="4"/>
  <c r="D621" i="4"/>
  <c r="A621" i="4"/>
  <c r="D620" i="4"/>
  <c r="A620" i="4"/>
  <c r="A619" i="4"/>
  <c r="D618" i="4"/>
  <c r="A618" i="4"/>
  <c r="D617" i="4"/>
  <c r="A617" i="4"/>
  <c r="D616" i="4"/>
  <c r="A616" i="4"/>
  <c r="D615" i="4"/>
  <c r="A615" i="4"/>
  <c r="D614" i="4"/>
  <c r="A614" i="4"/>
  <c r="D613" i="4"/>
  <c r="A613" i="4"/>
  <c r="D612" i="4"/>
  <c r="A612" i="4"/>
  <c r="A611" i="4"/>
  <c r="A610" i="4"/>
  <c r="D609" i="4"/>
  <c r="A609" i="4"/>
  <c r="A608" i="4"/>
  <c r="D607" i="4"/>
  <c r="A607" i="4"/>
  <c r="D606" i="4"/>
  <c r="A606" i="4"/>
  <c r="D605" i="4"/>
  <c r="A605" i="4"/>
  <c r="D604" i="4"/>
  <c r="A604" i="4"/>
  <c r="A603" i="4"/>
  <c r="D602" i="4"/>
  <c r="A602" i="4"/>
  <c r="A601" i="4"/>
  <c r="D600" i="4"/>
  <c r="A600" i="4"/>
  <c r="D599" i="4"/>
  <c r="A599" i="4"/>
  <c r="D598" i="4"/>
  <c r="A598" i="4"/>
  <c r="D597" i="4"/>
  <c r="A597" i="4"/>
  <c r="A596" i="4"/>
  <c r="A595" i="4"/>
  <c r="D594" i="4"/>
  <c r="A594" i="4"/>
  <c r="D593" i="4"/>
  <c r="A593" i="4"/>
  <c r="D592" i="4"/>
  <c r="A592" i="4"/>
  <c r="D591" i="4"/>
  <c r="A591" i="4"/>
  <c r="D590" i="4"/>
  <c r="A590" i="4"/>
  <c r="D589" i="4"/>
  <c r="A589" i="4"/>
  <c r="D588" i="4"/>
  <c r="A588" i="4"/>
  <c r="A587" i="4"/>
  <c r="D586" i="4"/>
  <c r="A586" i="4"/>
  <c r="D585" i="4"/>
  <c r="A585" i="4"/>
  <c r="D584" i="4"/>
  <c r="A584" i="4"/>
  <c r="D583" i="4"/>
  <c r="A583" i="4"/>
  <c r="D582" i="4"/>
  <c r="A582" i="4"/>
  <c r="D581" i="4"/>
  <c r="A581" i="4"/>
  <c r="D580" i="4"/>
  <c r="A580" i="4"/>
  <c r="D579" i="4"/>
  <c r="A579" i="4"/>
  <c r="D578" i="4"/>
  <c r="A578" i="4"/>
  <c r="D577" i="4"/>
  <c r="A577" i="4"/>
  <c r="A576" i="4"/>
  <c r="D575" i="4"/>
  <c r="A575" i="4"/>
  <c r="D574" i="4"/>
  <c r="A574" i="4"/>
  <c r="D573" i="4"/>
  <c r="A573" i="4"/>
  <c r="D572" i="4"/>
  <c r="A572" i="4"/>
  <c r="A571" i="4"/>
  <c r="D570" i="4"/>
  <c r="A570" i="4"/>
  <c r="D569" i="4"/>
  <c r="A569" i="4"/>
  <c r="D568" i="4"/>
  <c r="A568" i="4"/>
  <c r="D567" i="4"/>
  <c r="A567" i="4"/>
  <c r="D566" i="4"/>
  <c r="A566" i="4"/>
  <c r="A565" i="4"/>
  <c r="D564" i="4"/>
  <c r="A564" i="4"/>
  <c r="D563" i="4"/>
  <c r="A563" i="4"/>
  <c r="A562" i="4"/>
  <c r="A561" i="4"/>
  <c r="D560" i="4"/>
  <c r="A560" i="4"/>
  <c r="D559" i="4"/>
  <c r="A559" i="4"/>
  <c r="D558" i="4"/>
  <c r="A558" i="4"/>
  <c r="D557" i="4"/>
  <c r="A557" i="4"/>
  <c r="D556" i="4"/>
  <c r="A556" i="4"/>
  <c r="D555" i="4"/>
  <c r="A555" i="4"/>
  <c r="D554" i="4"/>
  <c r="A554" i="4"/>
  <c r="D553" i="4"/>
  <c r="A553" i="4"/>
  <c r="D552" i="4"/>
  <c r="A552" i="4"/>
  <c r="D551" i="4"/>
  <c r="A550" i="4"/>
  <c r="D549" i="4"/>
  <c r="A549" i="4"/>
  <c r="D548" i="4"/>
  <c r="A548" i="4"/>
  <c r="D547" i="4"/>
  <c r="A547" i="4"/>
  <c r="A546" i="4"/>
  <c r="D545" i="4"/>
  <c r="A545" i="4"/>
  <c r="D544" i="4"/>
  <c r="A544" i="4"/>
  <c r="D543" i="4"/>
  <c r="A543" i="4"/>
  <c r="D542" i="4"/>
  <c r="A542" i="4"/>
  <c r="D541" i="4"/>
  <c r="A541" i="4"/>
  <c r="D540" i="4"/>
  <c r="A540" i="4"/>
  <c r="D539" i="4"/>
  <c r="A539" i="4"/>
  <c r="D538" i="4"/>
  <c r="A538" i="4"/>
  <c r="D537" i="4"/>
  <c r="A537" i="4"/>
  <c r="D536" i="4"/>
  <c r="A536" i="4"/>
  <c r="D535" i="4"/>
  <c r="A535" i="4"/>
  <c r="D534" i="4"/>
  <c r="A534" i="4"/>
  <c r="D533" i="4"/>
  <c r="A533" i="4"/>
  <c r="D532" i="4"/>
  <c r="A532" i="4"/>
  <c r="D531" i="4"/>
  <c r="A531" i="4"/>
  <c r="D530" i="4"/>
  <c r="A530" i="4"/>
  <c r="D529" i="4"/>
  <c r="A529" i="4"/>
  <c r="D528" i="4"/>
  <c r="A528" i="4"/>
  <c r="D527" i="4"/>
  <c r="A527" i="4"/>
  <c r="D526" i="4"/>
  <c r="A526" i="4"/>
  <c r="D525" i="4"/>
  <c r="A525" i="4"/>
  <c r="D524" i="4"/>
  <c r="A524" i="4"/>
  <c r="A523" i="4"/>
  <c r="D522" i="4"/>
  <c r="A522" i="4"/>
  <c r="D521" i="4"/>
  <c r="A521" i="4"/>
  <c r="D520" i="4"/>
  <c r="A520" i="4"/>
  <c r="D519" i="4"/>
  <c r="A519" i="4"/>
  <c r="D518" i="4"/>
  <c r="A518" i="4"/>
  <c r="A517" i="4"/>
  <c r="D516" i="4"/>
  <c r="A516" i="4"/>
  <c r="A515" i="4"/>
  <c r="D514" i="4"/>
  <c r="A514" i="4"/>
  <c r="D513" i="4"/>
  <c r="A513" i="4"/>
  <c r="D512" i="4"/>
  <c r="A512" i="4"/>
  <c r="D511" i="4"/>
  <c r="A511" i="4"/>
  <c r="D510" i="4"/>
  <c r="A510" i="4"/>
  <c r="D509" i="4"/>
  <c r="A509" i="4"/>
  <c r="D508" i="4"/>
  <c r="A508" i="4"/>
  <c r="D507" i="4"/>
  <c r="A507" i="4"/>
  <c r="D506" i="4"/>
  <c r="A506" i="4"/>
  <c r="D505" i="4"/>
  <c r="A505" i="4"/>
  <c r="D504" i="4"/>
  <c r="A504" i="4"/>
  <c r="A503" i="4"/>
  <c r="A502" i="4"/>
  <c r="D501" i="4"/>
  <c r="A501" i="4"/>
  <c r="D500" i="4"/>
  <c r="A500" i="4"/>
  <c r="D499" i="4"/>
  <c r="A499" i="4"/>
  <c r="D498" i="4"/>
  <c r="A498" i="4"/>
  <c r="D497" i="4"/>
  <c r="A497" i="4"/>
  <c r="D496" i="4"/>
  <c r="A496" i="4"/>
  <c r="D495" i="4"/>
  <c r="A495" i="4"/>
  <c r="D494" i="4"/>
  <c r="A494" i="4"/>
  <c r="D493" i="4"/>
  <c r="A493" i="4"/>
  <c r="D492" i="4"/>
  <c r="A492" i="4"/>
  <c r="D491" i="4"/>
  <c r="A491" i="4"/>
  <c r="D490" i="4"/>
  <c r="A490" i="4"/>
  <c r="D489" i="4"/>
  <c r="A489" i="4"/>
  <c r="A488" i="4"/>
  <c r="D487" i="4"/>
  <c r="A487" i="4"/>
  <c r="D486" i="4"/>
  <c r="A486" i="4"/>
  <c r="A485" i="4"/>
  <c r="D484" i="4"/>
  <c r="A484" i="4"/>
  <c r="D483" i="4"/>
  <c r="A483" i="4"/>
  <c r="D482" i="4"/>
  <c r="A482" i="4"/>
  <c r="D481" i="4"/>
  <c r="A481" i="4"/>
  <c r="D480" i="4"/>
  <c r="A480" i="4"/>
  <c r="D479" i="4"/>
  <c r="A479" i="4"/>
  <c r="D478" i="4"/>
  <c r="A478" i="4"/>
  <c r="A477" i="4"/>
  <c r="D476" i="4"/>
  <c r="A476" i="4"/>
  <c r="D475" i="4"/>
  <c r="A475" i="4"/>
  <c r="D474" i="4"/>
  <c r="A474" i="4"/>
  <c r="D473" i="4"/>
  <c r="A473" i="4"/>
  <c r="D472" i="4"/>
  <c r="A472" i="4"/>
  <c r="D471" i="4"/>
  <c r="A471" i="4"/>
  <c r="D470" i="4"/>
  <c r="A470" i="4"/>
  <c r="A469" i="4"/>
  <c r="A468" i="4"/>
  <c r="A467" i="4"/>
  <c r="D466" i="4"/>
  <c r="A466" i="4"/>
  <c r="A465" i="4"/>
  <c r="A464" i="4"/>
  <c r="D463" i="4"/>
  <c r="A463" i="4"/>
  <c r="A462" i="4"/>
  <c r="A461" i="4"/>
  <c r="D460" i="4"/>
  <c r="A460" i="4"/>
  <c r="D459" i="4"/>
  <c r="A459" i="4"/>
  <c r="A458" i="4"/>
  <c r="A457" i="4"/>
  <c r="A456" i="4"/>
  <c r="D455" i="4"/>
  <c r="A455" i="4"/>
  <c r="D454" i="4"/>
  <c r="A454" i="4"/>
  <c r="D453" i="4"/>
  <c r="A453" i="4"/>
  <c r="A452" i="4"/>
  <c r="D451" i="4"/>
  <c r="A451" i="4"/>
  <c r="A450" i="4"/>
  <c r="D449" i="4"/>
  <c r="A449" i="4"/>
  <c r="D448" i="4"/>
  <c r="A448" i="4"/>
  <c r="D447" i="4"/>
  <c r="A447" i="4"/>
  <c r="D446" i="4"/>
  <c r="A446" i="4"/>
  <c r="A445" i="4"/>
  <c r="D444" i="4"/>
  <c r="A444" i="4"/>
  <c r="A443" i="4"/>
  <c r="A442" i="4"/>
  <c r="A441" i="4"/>
  <c r="D440" i="4"/>
  <c r="A440" i="4"/>
  <c r="D439" i="4"/>
  <c r="A439" i="4"/>
  <c r="A438" i="4"/>
  <c r="D437" i="4"/>
  <c r="A437" i="4"/>
  <c r="D436" i="4"/>
  <c r="A436" i="4"/>
  <c r="D435" i="4"/>
  <c r="A435" i="4"/>
  <c r="D434" i="4"/>
  <c r="A434" i="4"/>
  <c r="D433" i="4"/>
  <c r="A433" i="4"/>
  <c r="A432" i="4"/>
  <c r="D431" i="4"/>
  <c r="A431" i="4"/>
  <c r="A430" i="4"/>
  <c r="D429" i="4"/>
  <c r="A429" i="4"/>
  <c r="D428" i="4"/>
  <c r="A428" i="4"/>
  <c r="D427" i="4"/>
  <c r="A427" i="4"/>
  <c r="A426" i="4"/>
  <c r="D425" i="4"/>
  <c r="A425" i="4"/>
  <c r="A424" i="4"/>
  <c r="A423" i="4"/>
  <c r="D422" i="4"/>
  <c r="A422" i="4"/>
  <c r="D421" i="4"/>
  <c r="A421" i="4"/>
  <c r="D420" i="4"/>
  <c r="A420" i="4"/>
  <c r="D419" i="4"/>
  <c r="A419" i="4"/>
  <c r="D418" i="4"/>
  <c r="A418" i="4"/>
  <c r="D417" i="4"/>
  <c r="A417" i="4"/>
  <c r="D416" i="4"/>
  <c r="A416" i="4"/>
  <c r="A415" i="4"/>
  <c r="D414" i="4"/>
  <c r="A414" i="4"/>
  <c r="D413" i="4"/>
  <c r="A413" i="4"/>
  <c r="D412" i="4"/>
  <c r="A412" i="4"/>
  <c r="D411" i="4"/>
  <c r="A411" i="4"/>
  <c r="D410" i="4"/>
  <c r="A410" i="4"/>
  <c r="D409" i="4"/>
  <c r="A409" i="4"/>
  <c r="D408" i="4"/>
  <c r="A408" i="4"/>
  <c r="D407" i="4"/>
  <c r="A407" i="4"/>
  <c r="D406" i="4"/>
  <c r="A406" i="4"/>
  <c r="D405" i="4"/>
  <c r="A405" i="4"/>
  <c r="D404" i="4"/>
  <c r="A404" i="4"/>
  <c r="D403" i="4"/>
  <c r="A403" i="4"/>
  <c r="D402" i="4"/>
  <c r="A402" i="4"/>
  <c r="D401" i="4"/>
  <c r="A401" i="4"/>
  <c r="D400" i="4"/>
  <c r="A400" i="4"/>
  <c r="D399" i="4"/>
  <c r="A399" i="4"/>
  <c r="D398" i="4"/>
  <c r="A398" i="4"/>
  <c r="D397" i="4"/>
  <c r="A397" i="4"/>
  <c r="D396" i="4"/>
  <c r="A396" i="4"/>
  <c r="D395" i="4"/>
  <c r="A395" i="4"/>
  <c r="D394" i="4"/>
  <c r="A394" i="4"/>
  <c r="D393" i="4"/>
  <c r="A393" i="4"/>
  <c r="D392" i="4"/>
  <c r="A392" i="4"/>
  <c r="D391" i="4"/>
  <c r="A391" i="4"/>
  <c r="D390" i="4"/>
  <c r="A390" i="4"/>
  <c r="D389" i="4"/>
  <c r="A389" i="4"/>
  <c r="A388" i="4"/>
  <c r="A387" i="4"/>
  <c r="D386" i="4"/>
  <c r="A386" i="4"/>
  <c r="D385" i="4"/>
  <c r="A385" i="4"/>
  <c r="D384" i="4"/>
  <c r="A384" i="4"/>
  <c r="D383" i="4"/>
  <c r="A383" i="4"/>
  <c r="D382" i="4"/>
  <c r="A382" i="4"/>
  <c r="D381" i="4"/>
  <c r="A381" i="4"/>
  <c r="A380" i="4"/>
  <c r="D379" i="4"/>
  <c r="A379" i="4"/>
  <c r="D378" i="4"/>
  <c r="A378" i="4"/>
  <c r="A377" i="4"/>
  <c r="D376" i="4"/>
  <c r="A376" i="4"/>
  <c r="D375" i="4"/>
  <c r="A375" i="4"/>
  <c r="D374" i="4"/>
  <c r="A374" i="4"/>
  <c r="D373" i="4"/>
  <c r="A373" i="4"/>
  <c r="D372" i="4"/>
  <c r="A372" i="4"/>
  <c r="D371" i="4"/>
  <c r="A371" i="4"/>
  <c r="D370" i="4"/>
  <c r="A370" i="4"/>
  <c r="D369" i="4"/>
  <c r="A369" i="4"/>
  <c r="D368" i="4"/>
  <c r="A368" i="4"/>
  <c r="D367" i="4"/>
  <c r="A367" i="4"/>
  <c r="D366" i="4"/>
  <c r="A366" i="4"/>
  <c r="D365" i="4"/>
  <c r="A365" i="4"/>
  <c r="D364" i="4"/>
  <c r="A364" i="4"/>
  <c r="D363" i="4"/>
  <c r="A363" i="4"/>
  <c r="D362" i="4"/>
  <c r="A362" i="4"/>
  <c r="A361" i="4"/>
  <c r="D360" i="4"/>
  <c r="A360" i="4"/>
  <c r="D359" i="4"/>
  <c r="A359" i="4"/>
  <c r="D358" i="4"/>
  <c r="A358" i="4"/>
  <c r="D357" i="4"/>
  <c r="A357" i="4"/>
  <c r="A356" i="4"/>
  <c r="D355" i="4"/>
  <c r="A355" i="4"/>
  <c r="D354" i="4"/>
  <c r="A354" i="4"/>
  <c r="D353" i="4"/>
  <c r="A353" i="4"/>
  <c r="D352" i="4"/>
  <c r="A352" i="4"/>
  <c r="D351" i="4"/>
  <c r="A351" i="4"/>
  <c r="D350" i="4"/>
  <c r="A350" i="4"/>
  <c r="D349" i="4"/>
  <c r="A349" i="4"/>
  <c r="A348" i="4"/>
  <c r="A347" i="4"/>
  <c r="D346" i="4"/>
  <c r="A346" i="4"/>
  <c r="D345" i="4"/>
  <c r="A345" i="4"/>
  <c r="D344" i="4"/>
  <c r="A344" i="4"/>
  <c r="D343" i="4"/>
  <c r="A343" i="4"/>
  <c r="D342" i="4"/>
  <c r="A342" i="4"/>
  <c r="D341" i="4"/>
  <c r="A341" i="4"/>
  <c r="D340" i="4"/>
  <c r="A340" i="4"/>
  <c r="D339" i="4"/>
  <c r="A339" i="4"/>
  <c r="D338" i="4"/>
  <c r="A338" i="4"/>
  <c r="D337" i="4"/>
  <c r="A337" i="4"/>
  <c r="D336" i="4"/>
  <c r="A336" i="4"/>
  <c r="A335" i="4"/>
  <c r="D334" i="4"/>
  <c r="A334" i="4"/>
  <c r="D333" i="4"/>
  <c r="A333" i="4"/>
  <c r="D332" i="4"/>
  <c r="A332" i="4"/>
  <c r="D331" i="4"/>
  <c r="A331" i="4"/>
  <c r="A330" i="4"/>
  <c r="D329" i="4"/>
  <c r="A329" i="4"/>
  <c r="A328" i="4"/>
  <c r="A327" i="4"/>
  <c r="D326" i="4"/>
  <c r="A326" i="4"/>
  <c r="D325" i="4"/>
  <c r="A325" i="4"/>
  <c r="D324" i="4"/>
  <c r="A324" i="4"/>
  <c r="D323" i="4"/>
  <c r="A323" i="4"/>
  <c r="D322" i="4"/>
  <c r="A322" i="4"/>
  <c r="D321" i="4"/>
  <c r="A321" i="4"/>
  <c r="D320" i="4"/>
  <c r="A320" i="4"/>
  <c r="D319" i="4"/>
  <c r="A319" i="4"/>
  <c r="D318" i="4"/>
  <c r="A318" i="4"/>
  <c r="D317" i="4"/>
  <c r="A317" i="4"/>
  <c r="D316" i="4"/>
  <c r="A316" i="4"/>
  <c r="D315" i="4"/>
  <c r="A315" i="4"/>
  <c r="A314" i="4"/>
  <c r="A313" i="4"/>
  <c r="A312" i="4"/>
  <c r="A311" i="4"/>
  <c r="A310" i="4"/>
  <c r="D309" i="4"/>
  <c r="A309" i="4"/>
  <c r="A308" i="4"/>
  <c r="D307" i="4"/>
  <c r="A307" i="4"/>
  <c r="A306" i="4"/>
  <c r="A305" i="4"/>
  <c r="D304" i="4"/>
  <c r="A304" i="4"/>
  <c r="D303" i="4"/>
  <c r="A303" i="4"/>
  <c r="D302" i="4"/>
  <c r="A302" i="4"/>
  <c r="D301" i="4"/>
  <c r="A301" i="4"/>
  <c r="D300" i="4"/>
  <c r="A300" i="4"/>
  <c r="D299" i="4"/>
  <c r="A299" i="4"/>
  <c r="A298" i="4"/>
  <c r="D297" i="4"/>
  <c r="A297" i="4"/>
  <c r="D296" i="4"/>
  <c r="A296" i="4"/>
  <c r="D295" i="4"/>
  <c r="A295" i="4"/>
  <c r="D294" i="4"/>
  <c r="A294" i="4"/>
  <c r="D293" i="4"/>
  <c r="A293" i="4"/>
  <c r="D292" i="4"/>
  <c r="A292" i="4"/>
  <c r="D291" i="4"/>
  <c r="A291" i="4"/>
  <c r="D290" i="4"/>
  <c r="A290" i="4"/>
  <c r="D289" i="4"/>
  <c r="A289" i="4"/>
  <c r="D288" i="4"/>
  <c r="A288" i="4"/>
  <c r="D287" i="4"/>
  <c r="A287" i="4"/>
  <c r="D286" i="4"/>
  <c r="A286" i="4"/>
  <c r="D285" i="4"/>
  <c r="A285" i="4"/>
  <c r="D284" i="4"/>
  <c r="A284" i="4"/>
  <c r="A283" i="4"/>
  <c r="D282" i="4"/>
  <c r="A282" i="4"/>
  <c r="D281" i="4"/>
  <c r="A281" i="4"/>
  <c r="D280" i="4"/>
  <c r="A280" i="4"/>
  <c r="D279" i="4"/>
  <c r="A279" i="4"/>
  <c r="D278" i="4"/>
  <c r="A278" i="4"/>
  <c r="D277" i="4"/>
  <c r="A277" i="4"/>
  <c r="D276" i="4"/>
  <c r="A276" i="4"/>
  <c r="D275" i="4"/>
  <c r="A275" i="4"/>
  <c r="A274" i="4"/>
  <c r="D273" i="4"/>
  <c r="A273" i="4"/>
  <c r="D272" i="4"/>
  <c r="A272" i="4"/>
  <c r="D271" i="4"/>
  <c r="A271" i="4"/>
  <c r="A270" i="4"/>
  <c r="D269" i="4"/>
  <c r="A269" i="4"/>
  <c r="D268" i="4"/>
  <c r="A268" i="4"/>
  <c r="D267" i="4"/>
  <c r="A267" i="4"/>
  <c r="D266" i="4"/>
  <c r="A266" i="4"/>
  <c r="D265" i="4"/>
  <c r="A265" i="4"/>
  <c r="D264" i="4"/>
  <c r="A264" i="4"/>
  <c r="D263" i="4"/>
  <c r="A263" i="4"/>
  <c r="D262" i="4"/>
  <c r="A262" i="4"/>
  <c r="A261" i="4"/>
  <c r="D260" i="4"/>
  <c r="A260" i="4"/>
  <c r="D259" i="4"/>
  <c r="A259" i="4"/>
  <c r="D258" i="4"/>
  <c r="A258" i="4"/>
  <c r="D257" i="4"/>
  <c r="A257" i="4"/>
  <c r="D256" i="4"/>
  <c r="A256" i="4"/>
  <c r="A255" i="4"/>
  <c r="D254" i="4"/>
  <c r="A254" i="4"/>
  <c r="A253" i="4"/>
  <c r="A252" i="4"/>
  <c r="A251" i="4"/>
  <c r="D250" i="4"/>
  <c r="A250" i="4"/>
  <c r="A249" i="4"/>
  <c r="A248" i="4"/>
  <c r="D247" i="4"/>
  <c r="D246" i="4"/>
  <c r="A246" i="4"/>
  <c r="D245" i="4"/>
  <c r="A245" i="4"/>
  <c r="D244" i="4"/>
  <c r="A244" i="4"/>
  <c r="D243" i="4"/>
  <c r="A243" i="4"/>
  <c r="A242" i="4"/>
  <c r="D240" i="4"/>
  <c r="A240" i="4"/>
  <c r="D239" i="4"/>
  <c r="A239" i="4"/>
  <c r="D238" i="4"/>
  <c r="A238" i="4"/>
  <c r="D237" i="4"/>
  <c r="A237" i="4"/>
  <c r="A236" i="4"/>
  <c r="D235" i="4"/>
  <c r="A235" i="4"/>
  <c r="D234" i="4"/>
  <c r="A234" i="4"/>
  <c r="D233" i="4"/>
  <c r="A233" i="4"/>
  <c r="D232" i="4"/>
  <c r="A232" i="4"/>
  <c r="D231" i="4"/>
  <c r="A231" i="4"/>
  <c r="A230" i="4"/>
  <c r="A229" i="4"/>
  <c r="A228" i="4"/>
  <c r="A227" i="4"/>
  <c r="D226" i="4"/>
  <c r="A226" i="4"/>
  <c r="D225" i="4"/>
  <c r="A225" i="4"/>
  <c r="D224" i="4"/>
  <c r="A224" i="4"/>
  <c r="A223" i="4"/>
  <c r="A222" i="4"/>
  <c r="A221" i="4"/>
  <c r="A220" i="4"/>
  <c r="A219" i="4"/>
  <c r="A218" i="4"/>
  <c r="A217" i="4"/>
  <c r="A216" i="4"/>
  <c r="A215" i="4"/>
  <c r="A214" i="4"/>
  <c r="A213" i="4"/>
  <c r="A212" i="4"/>
  <c r="D211" i="4"/>
  <c r="A211" i="4"/>
  <c r="D210" i="4"/>
  <c r="A210" i="4"/>
  <c r="D209" i="4"/>
  <c r="A209" i="4"/>
  <c r="D208" i="4"/>
  <c r="A208" i="4"/>
  <c r="D207" i="4"/>
  <c r="A207" i="4"/>
  <c r="D206" i="4"/>
  <c r="A206" i="4"/>
  <c r="D205" i="4"/>
  <c r="A205" i="4"/>
  <c r="D204" i="4"/>
  <c r="A204" i="4"/>
  <c r="D203" i="4"/>
  <c r="A203" i="4"/>
  <c r="D202" i="4"/>
  <c r="A202" i="4"/>
  <c r="D201" i="4"/>
  <c r="A201" i="4"/>
  <c r="D200" i="4"/>
  <c r="A200" i="4"/>
  <c r="D199" i="4"/>
  <c r="A199" i="4"/>
  <c r="D198" i="4"/>
  <c r="A198" i="4"/>
  <c r="D197" i="4"/>
  <c r="A197" i="4"/>
  <c r="D196" i="4"/>
  <c r="A196" i="4"/>
  <c r="D195" i="4"/>
  <c r="A195" i="4"/>
  <c r="A194" i="4"/>
  <c r="A193" i="4"/>
  <c r="A192" i="4"/>
  <c r="A191" i="4"/>
  <c r="A190" i="4"/>
  <c r="A189" i="4"/>
  <c r="A188" i="4"/>
  <c r="A187" i="4"/>
  <c r="A186" i="4"/>
  <c r="A185" i="4"/>
  <c r="D184" i="4"/>
  <c r="A184" i="4"/>
  <c r="D183" i="4"/>
  <c r="A183" i="4"/>
  <c r="D182" i="4"/>
  <c r="A182" i="4"/>
  <c r="D181" i="4"/>
  <c r="A181" i="4"/>
  <c r="A180" i="4"/>
  <c r="A179" i="4"/>
  <c r="A178" i="4"/>
  <c r="D177" i="4"/>
  <c r="A177" i="4"/>
  <c r="D176" i="4"/>
  <c r="A176" i="4"/>
  <c r="D175" i="4"/>
  <c r="A175" i="4"/>
  <c r="D174" i="4"/>
  <c r="A174" i="4"/>
  <c r="D173" i="4"/>
  <c r="A173" i="4"/>
  <c r="D172" i="4"/>
  <c r="A172" i="4"/>
  <c r="D171" i="4"/>
  <c r="A171" i="4"/>
  <c r="D170" i="4"/>
  <c r="A170" i="4"/>
  <c r="D169" i="4"/>
  <c r="A169" i="4"/>
  <c r="D168" i="4"/>
  <c r="A168" i="4"/>
  <c r="D167" i="4"/>
  <c r="A167" i="4"/>
  <c r="D166" i="4"/>
  <c r="A166" i="4"/>
  <c r="D165" i="4"/>
  <c r="A165" i="4"/>
  <c r="D164" i="4"/>
  <c r="A164" i="4"/>
  <c r="D163" i="4"/>
  <c r="A163" i="4"/>
  <c r="D162" i="4"/>
  <c r="A162" i="4"/>
  <c r="D161" i="4"/>
  <c r="A161" i="4"/>
  <c r="D160" i="4"/>
  <c r="A160" i="4"/>
  <c r="D159" i="4"/>
  <c r="A159" i="4"/>
  <c r="D158" i="4"/>
  <c r="A158" i="4"/>
  <c r="D157" i="4"/>
  <c r="A157" i="4"/>
  <c r="A156" i="4"/>
  <c r="A155" i="4"/>
  <c r="D154" i="4"/>
  <c r="A154" i="4"/>
  <c r="D153" i="4"/>
  <c r="A153" i="4"/>
  <c r="D152" i="4"/>
  <c r="A152" i="4"/>
  <c r="D151" i="4"/>
  <c r="A151" i="4"/>
  <c r="D150" i="4"/>
  <c r="A150" i="4"/>
  <c r="D149" i="4"/>
  <c r="A149" i="4"/>
  <c r="A148" i="4"/>
  <c r="D147" i="4"/>
  <c r="A147" i="4"/>
  <c r="A146" i="4"/>
  <c r="D145" i="4"/>
  <c r="A145" i="4"/>
  <c r="D144" i="4"/>
  <c r="A144" i="4"/>
  <c r="D143" i="4"/>
  <c r="A143" i="4"/>
  <c r="D142" i="4"/>
  <c r="A142" i="4"/>
  <c r="D141" i="4"/>
  <c r="A141" i="4"/>
  <c r="D140" i="4"/>
  <c r="A140" i="4"/>
  <c r="A139" i="4"/>
  <c r="A138" i="4"/>
  <c r="D137" i="4"/>
  <c r="A137" i="4"/>
  <c r="D136" i="4"/>
  <c r="A136" i="4"/>
  <c r="D135" i="4"/>
  <c r="A135" i="4"/>
  <c r="D134" i="4"/>
  <c r="A134" i="4"/>
  <c r="D133" i="4"/>
  <c r="A133" i="4"/>
  <c r="A132" i="4"/>
  <c r="D131" i="4"/>
  <c r="A131" i="4"/>
  <c r="D130" i="4"/>
  <c r="A130" i="4"/>
  <c r="D129" i="4"/>
  <c r="A129" i="4"/>
  <c r="A128" i="4"/>
  <c r="D127" i="4"/>
  <c r="A127" i="4"/>
  <c r="A126" i="4"/>
  <c r="D125" i="4"/>
  <c r="A125" i="4"/>
  <c r="D124" i="4"/>
  <c r="A124" i="4"/>
  <c r="D123" i="4"/>
  <c r="A123" i="4"/>
  <c r="A122" i="4"/>
  <c r="A121" i="4"/>
  <c r="D120" i="4"/>
  <c r="A120" i="4"/>
  <c r="D119" i="4"/>
  <c r="A119" i="4"/>
  <c r="A118" i="4"/>
  <c r="D117" i="4"/>
  <c r="A117" i="4"/>
  <c r="A116" i="4"/>
  <c r="D115" i="4"/>
  <c r="A115" i="4"/>
  <c r="D114" i="4"/>
  <c r="A114" i="4"/>
  <c r="A113" i="4"/>
  <c r="D112" i="4"/>
  <c r="A112" i="4"/>
  <c r="D111" i="4"/>
  <c r="A111" i="4"/>
  <c r="D110" i="4"/>
  <c r="A110" i="4"/>
  <c r="A109" i="4"/>
  <c r="A108" i="4"/>
  <c r="D107" i="4"/>
  <c r="A107" i="4"/>
  <c r="D106" i="4"/>
  <c r="A106" i="4"/>
  <c r="D105" i="4"/>
  <c r="A105" i="4"/>
  <c r="D104" i="4"/>
  <c r="A104" i="4"/>
  <c r="D103" i="4"/>
  <c r="A103" i="4"/>
  <c r="D102" i="4"/>
  <c r="A102" i="4"/>
  <c r="D101" i="4"/>
  <c r="A101" i="4"/>
  <c r="D100" i="4"/>
  <c r="A100" i="4"/>
  <c r="A99" i="4"/>
  <c r="D98" i="4"/>
  <c r="A98" i="4"/>
  <c r="D97" i="4"/>
  <c r="A97" i="4"/>
  <c r="D96" i="4"/>
  <c r="A96" i="4"/>
  <c r="D95" i="4"/>
  <c r="A95" i="4"/>
  <c r="A94" i="4"/>
  <c r="D93" i="4"/>
  <c r="A93" i="4"/>
  <c r="D92" i="4"/>
  <c r="A92" i="4"/>
  <c r="D91" i="4"/>
  <c r="A91" i="4"/>
  <c r="D90" i="4"/>
  <c r="A90" i="4"/>
  <c r="D89" i="4"/>
  <c r="A89" i="4"/>
  <c r="D88" i="4"/>
  <c r="A88" i="4"/>
  <c r="D87" i="4"/>
  <c r="A87" i="4"/>
  <c r="A86" i="4"/>
  <c r="D85" i="4"/>
  <c r="A85" i="4"/>
  <c r="D84" i="4"/>
  <c r="A84" i="4"/>
  <c r="D83" i="4"/>
  <c r="A83" i="4"/>
  <c r="A82" i="4"/>
  <c r="D81" i="4"/>
  <c r="A81" i="4"/>
  <c r="D80" i="4"/>
  <c r="A80" i="4"/>
  <c r="A79" i="4"/>
  <c r="D78" i="4"/>
  <c r="A78" i="4"/>
  <c r="D77" i="4"/>
  <c r="A77" i="4"/>
  <c r="D76" i="4"/>
  <c r="A76" i="4"/>
  <c r="D75" i="4"/>
  <c r="A75" i="4"/>
  <c r="D74" i="4"/>
  <c r="A74" i="4"/>
  <c r="D73" i="4"/>
  <c r="A73" i="4"/>
  <c r="D72" i="4"/>
  <c r="A72" i="4"/>
  <c r="A71" i="4"/>
  <c r="A70" i="4"/>
  <c r="D69" i="4"/>
  <c r="A69" i="4"/>
  <c r="D68" i="4"/>
  <c r="A68" i="4"/>
  <c r="D67" i="4"/>
  <c r="A67" i="4"/>
  <c r="A66" i="4"/>
  <c r="D65" i="4"/>
  <c r="A65" i="4"/>
  <c r="D64" i="4"/>
  <c r="A64" i="4"/>
  <c r="D63" i="4"/>
  <c r="A63" i="4"/>
  <c r="A62" i="4"/>
  <c r="D61" i="4"/>
  <c r="A61" i="4"/>
  <c r="A60" i="4"/>
  <c r="D59" i="4"/>
  <c r="A59" i="4"/>
  <c r="D58" i="4"/>
  <c r="A58" i="4"/>
  <c r="D57" i="4"/>
  <c r="A57" i="4"/>
  <c r="D56" i="4"/>
  <c r="A56" i="4"/>
  <c r="A55" i="4"/>
  <c r="D54" i="4"/>
  <c r="A54" i="4"/>
  <c r="A53" i="4"/>
  <c r="A52" i="4"/>
  <c r="A51" i="4"/>
  <c r="A50" i="4"/>
  <c r="D49" i="4"/>
  <c r="A49" i="4"/>
  <c r="D48" i="4"/>
  <c r="A48" i="4"/>
  <c r="D47" i="4"/>
  <c r="A47" i="4"/>
  <c r="D46" i="4"/>
  <c r="A46" i="4"/>
  <c r="D45" i="4"/>
  <c r="A45" i="4"/>
  <c r="D44" i="4"/>
  <c r="A44" i="4"/>
  <c r="D43" i="4"/>
  <c r="A43" i="4"/>
  <c r="D42" i="4"/>
  <c r="A42" i="4"/>
  <c r="D41" i="4"/>
  <c r="A41" i="4"/>
  <c r="D40" i="4"/>
  <c r="A40" i="4"/>
  <c r="D39" i="4"/>
  <c r="A39" i="4"/>
  <c r="D38" i="4"/>
  <c r="A38" i="4"/>
  <c r="D37" i="4"/>
  <c r="A37" i="4"/>
  <c r="D36" i="4"/>
  <c r="A36" i="4"/>
  <c r="D35" i="4"/>
  <c r="A35" i="4"/>
  <c r="D34" i="4"/>
  <c r="A34" i="4"/>
  <c r="D33" i="4"/>
  <c r="A33" i="4"/>
  <c r="D32" i="4"/>
  <c r="A32" i="4"/>
  <c r="D31" i="4"/>
  <c r="A31" i="4"/>
  <c r="D30" i="4"/>
  <c r="A30" i="4"/>
  <c r="D29" i="4"/>
  <c r="A29" i="4"/>
  <c r="A28" i="4"/>
  <c r="A27" i="4"/>
  <c r="A26" i="4"/>
  <c r="D25" i="4"/>
  <c r="A25" i="4"/>
  <c r="A24" i="4"/>
  <c r="D23" i="4"/>
  <c r="A23" i="4"/>
  <c r="D22" i="4"/>
  <c r="A22" i="4"/>
  <c r="A21" i="4"/>
  <c r="A20" i="4"/>
  <c r="D19" i="4"/>
  <c r="A19" i="4"/>
  <c r="D18" i="4"/>
  <c r="A18" i="4"/>
  <c r="D17" i="4"/>
  <c r="A17" i="4"/>
  <c r="D16" i="4"/>
  <c r="A16" i="4"/>
  <c r="D15" i="4"/>
  <c r="A15" i="4"/>
  <c r="D14" i="4"/>
  <c r="A14" i="4"/>
  <c r="D13" i="4"/>
  <c r="A13" i="4"/>
  <c r="A12" i="4"/>
  <c r="D11" i="4"/>
  <c r="A11" i="4"/>
  <c r="A10" i="4"/>
  <c r="D9" i="4"/>
  <c r="A9" i="4"/>
  <c r="D8" i="4"/>
  <c r="A8" i="4"/>
  <c r="D7" i="4"/>
  <c r="A7" i="4"/>
  <c r="D6" i="4"/>
  <c r="A6" i="4"/>
  <c r="A5" i="4"/>
  <c r="D4" i="4"/>
  <c r="A4" i="4"/>
  <c r="D3" i="4"/>
  <c r="A3" i="4"/>
  <c r="D2" i="4"/>
  <c r="A2" i="4"/>
  <c r="D5712" i="3"/>
  <c r="A5712" i="3"/>
  <c r="A5711" i="3"/>
  <c r="A5710" i="3"/>
  <c r="A5709" i="3"/>
  <c r="D5708" i="3"/>
  <c r="D5707" i="3"/>
  <c r="A5706" i="3"/>
  <c r="A5705" i="3"/>
  <c r="A5704" i="3"/>
  <c r="D5700" i="3"/>
  <c r="A5696" i="3"/>
  <c r="A5694" i="3"/>
  <c r="A5692" i="3"/>
  <c r="A5691" i="3"/>
  <c r="D5690" i="3"/>
  <c r="A5689" i="3"/>
  <c r="A5686" i="3"/>
  <c r="A5683" i="3"/>
  <c r="A5677" i="3"/>
  <c r="D5676" i="3"/>
  <c r="A5676" i="3"/>
  <c r="A5675" i="3"/>
  <c r="D5671" i="3"/>
  <c r="A5664" i="3"/>
  <c r="A5662" i="3"/>
  <c r="D5661" i="3"/>
  <c r="D5656" i="3"/>
  <c r="A5656" i="3"/>
  <c r="A5655" i="3"/>
  <c r="A5654" i="3"/>
  <c r="A5653" i="3"/>
  <c r="D5652" i="3"/>
  <c r="A5649" i="3"/>
  <c r="A5647" i="3"/>
  <c r="A5645" i="3"/>
  <c r="A5640" i="3"/>
  <c r="A5629" i="3"/>
  <c r="A5626" i="3"/>
  <c r="A5620" i="3"/>
  <c r="A5617" i="3"/>
  <c r="A5616" i="3"/>
  <c r="D5612" i="3"/>
  <c r="A5608" i="3"/>
  <c r="A5607" i="3"/>
  <c r="D5606" i="3"/>
  <c r="A5605" i="3"/>
  <c r="D5604" i="3"/>
  <c r="D5602" i="3"/>
  <c r="D5601" i="3"/>
  <c r="D5599" i="3"/>
  <c r="A5598" i="3"/>
  <c r="A5597" i="3"/>
  <c r="D5594" i="3"/>
  <c r="A5591" i="3"/>
  <c r="D5589" i="3"/>
  <c r="A5589" i="3"/>
  <c r="D5581" i="3"/>
  <c r="A5581" i="3"/>
  <c r="A5578" i="3"/>
  <c r="D5576" i="3"/>
  <c r="D5575" i="3"/>
  <c r="A5575" i="3"/>
  <c r="D5574" i="3"/>
  <c r="A5574" i="3"/>
  <c r="A5570" i="3"/>
  <c r="A5569" i="3"/>
  <c r="A5567" i="3"/>
  <c r="A5564" i="3"/>
  <c r="A5562" i="3"/>
  <c r="A5554" i="3"/>
  <c r="A5552" i="3"/>
  <c r="A5551" i="3"/>
  <c r="A5550" i="3"/>
  <c r="A5546" i="3"/>
  <c r="D5543" i="3"/>
  <c r="A5541" i="3"/>
  <c r="A5540" i="3"/>
  <c r="A5539" i="3"/>
  <c r="A5537" i="3"/>
  <c r="D5532" i="3"/>
  <c r="A5531" i="3"/>
  <c r="A5530" i="3"/>
  <c r="A5527" i="3"/>
  <c r="A5522" i="3"/>
  <c r="A5521" i="3"/>
  <c r="D5515" i="3"/>
  <c r="A5514" i="3"/>
  <c r="A5513" i="3"/>
  <c r="A5510" i="3"/>
  <c r="D5504" i="3"/>
  <c r="A5504" i="3"/>
  <c r="D5498" i="3"/>
  <c r="D5495" i="3"/>
  <c r="A5491" i="3"/>
  <c r="A5490" i="3"/>
  <c r="D5489" i="3"/>
  <c r="D5488" i="3"/>
  <c r="D5478" i="3"/>
  <c r="A5478" i="3"/>
  <c r="D5477" i="3"/>
  <c r="A5477" i="3"/>
  <c r="A5469" i="3"/>
  <c r="A5467" i="3"/>
  <c r="A5466" i="3"/>
  <c r="A5465" i="3"/>
  <c r="A5462" i="3"/>
  <c r="D5460" i="3"/>
  <c r="A5460" i="3"/>
  <c r="A5459" i="3"/>
  <c r="A5458" i="3"/>
  <c r="A5457" i="3"/>
  <c r="A5456" i="3"/>
  <c r="A5455" i="3"/>
  <c r="D5454" i="3"/>
  <c r="A5454" i="3"/>
  <c r="D5453" i="3"/>
  <c r="A5453" i="3"/>
  <c r="A5452" i="3"/>
  <c r="D5451" i="3"/>
  <c r="D5449" i="3"/>
  <c r="A5448" i="3"/>
  <c r="D5447" i="3"/>
  <c r="A5447" i="3"/>
  <c r="A5446" i="3"/>
  <c r="A5445" i="3"/>
  <c r="A5444" i="3"/>
  <c r="A5440" i="3"/>
  <c r="D5439" i="3"/>
  <c r="A5439" i="3"/>
  <c r="A5438" i="3"/>
  <c r="A5436" i="3"/>
  <c r="D5433" i="3"/>
  <c r="D5432" i="3"/>
  <c r="A5429" i="3"/>
  <c r="A5428" i="3"/>
  <c r="A5427" i="3"/>
  <c r="A5426" i="3"/>
  <c r="A5425" i="3"/>
  <c r="D5424" i="3"/>
  <c r="A5422" i="3"/>
  <c r="A5418" i="3"/>
  <c r="A5417" i="3"/>
  <c r="A5416" i="3"/>
  <c r="A5413" i="3"/>
  <c r="A5411" i="3"/>
  <c r="A5410" i="3"/>
  <c r="A5409" i="3"/>
  <c r="A5408" i="3"/>
  <c r="A5407" i="3"/>
  <c r="A5406" i="3"/>
  <c r="A5401" i="3"/>
  <c r="D5399" i="3"/>
  <c r="A5398" i="3"/>
  <c r="D5394" i="3"/>
  <c r="D5392" i="3"/>
  <c r="A5392" i="3"/>
  <c r="A5391" i="3"/>
  <c r="A5388" i="3"/>
  <c r="A5379" i="3"/>
  <c r="A5371" i="3"/>
  <c r="A5366" i="3"/>
  <c r="A5364" i="3"/>
  <c r="A5361" i="3"/>
  <c r="D5359" i="3"/>
  <c r="A5355" i="3"/>
  <c r="D5354" i="3"/>
  <c r="D5353" i="3"/>
  <c r="D5351" i="3"/>
  <c r="A5350" i="3"/>
  <c r="D5348" i="3"/>
  <c r="A5347" i="3"/>
  <c r="A5344" i="3"/>
  <c r="A5343" i="3"/>
  <c r="A5342" i="3"/>
  <c r="A5340" i="3"/>
  <c r="D5332" i="3"/>
  <c r="D5331" i="3"/>
  <c r="A5329" i="3"/>
  <c r="D5320" i="3"/>
  <c r="D5317" i="3"/>
  <c r="A5316" i="3"/>
  <c r="A5315" i="3"/>
  <c r="A5313" i="3"/>
  <c r="A5312" i="3"/>
  <c r="A5310" i="3"/>
  <c r="A5309" i="3"/>
  <c r="A5308" i="3"/>
  <c r="D5307" i="3"/>
  <c r="A5306" i="3"/>
  <c r="A5305" i="3"/>
  <c r="D5304" i="3"/>
  <c r="D5302" i="3"/>
  <c r="A5302" i="3"/>
  <c r="A5300" i="3"/>
  <c r="D5299" i="3"/>
  <c r="D5298" i="3"/>
  <c r="A5297" i="3"/>
  <c r="A5296" i="3"/>
  <c r="D5294" i="3"/>
  <c r="D5292" i="3"/>
  <c r="A5291" i="3"/>
  <c r="D5290" i="3"/>
  <c r="A5290" i="3"/>
  <c r="A5289" i="3"/>
  <c r="A5288" i="3"/>
  <c r="A5287" i="3"/>
  <c r="A5286" i="3"/>
  <c r="A5285" i="3"/>
  <c r="A5284" i="3"/>
  <c r="D5283" i="3"/>
  <c r="D5282" i="3"/>
  <c r="A5281" i="3"/>
  <c r="D5280" i="3"/>
  <c r="D5279" i="3"/>
  <c r="A5278" i="3"/>
  <c r="D5277" i="3"/>
  <c r="A5277" i="3"/>
  <c r="A5276" i="3"/>
  <c r="D5275" i="3"/>
  <c r="A5275" i="3"/>
  <c r="A5273" i="3"/>
  <c r="D5272" i="3"/>
  <c r="A5272" i="3"/>
  <c r="A5271" i="3"/>
  <c r="A5268" i="3"/>
  <c r="D5266" i="3"/>
  <c r="D5265" i="3"/>
  <c r="A5259" i="3"/>
  <c r="A5258" i="3"/>
  <c r="D5256" i="3"/>
  <c r="D5243" i="3"/>
  <c r="A5242" i="3"/>
  <c r="A5240" i="3"/>
  <c r="A5239" i="3"/>
  <c r="A5238" i="3"/>
  <c r="A5234" i="3"/>
  <c r="A5232" i="3"/>
  <c r="D5231" i="3"/>
  <c r="A5231" i="3"/>
  <c r="A5230" i="3"/>
  <c r="A5227" i="3"/>
  <c r="D5221" i="3"/>
  <c r="A5221" i="3"/>
  <c r="D5217" i="3"/>
  <c r="A5216" i="3"/>
  <c r="A5214" i="3"/>
  <c r="A5211" i="3"/>
  <c r="D5209" i="3"/>
  <c r="A5209" i="3"/>
  <c r="D5208" i="3"/>
  <c r="A5207" i="3"/>
  <c r="D5205" i="3"/>
  <c r="D5204" i="3"/>
  <c r="D5203" i="3"/>
  <c r="A5202" i="3"/>
  <c r="D5201" i="3"/>
  <c r="A5201" i="3"/>
  <c r="A5199" i="3"/>
  <c r="D5198" i="3"/>
  <c r="A5196" i="3"/>
  <c r="A5195" i="3"/>
  <c r="A5194" i="3"/>
  <c r="A5193" i="3"/>
  <c r="D5191" i="3"/>
  <c r="A5191" i="3"/>
  <c r="A5189" i="3"/>
  <c r="D5188" i="3"/>
  <c r="A5182" i="3"/>
  <c r="D5181" i="3"/>
  <c r="A5177" i="3"/>
  <c r="D5176" i="3"/>
  <c r="A5174" i="3"/>
  <c r="A5172" i="3"/>
  <c r="A5171" i="3"/>
  <c r="A5169" i="3"/>
  <c r="A5167" i="3"/>
  <c r="A5166" i="3"/>
  <c r="A5164" i="3"/>
  <c r="A5163" i="3"/>
  <c r="A5162" i="3"/>
  <c r="A5161" i="3"/>
  <c r="A5160" i="3"/>
  <c r="A5159" i="3"/>
  <c r="A5158" i="3"/>
  <c r="D5155" i="3"/>
  <c r="A5155" i="3"/>
  <c r="D5154" i="3"/>
  <c r="A5154" i="3"/>
  <c r="D5153" i="3"/>
  <c r="A5153" i="3"/>
  <c r="A5152" i="3"/>
  <c r="D5150" i="3"/>
  <c r="A5150" i="3"/>
  <c r="A5149" i="3"/>
  <c r="A5148" i="3"/>
  <c r="A5147" i="3"/>
  <c r="D5146" i="3"/>
  <c r="A5146" i="3"/>
  <c r="A5145" i="3"/>
  <c r="D5143" i="3"/>
  <c r="A5143" i="3"/>
  <c r="D5142" i="3"/>
  <c r="A5142" i="3"/>
  <c r="A5139" i="3"/>
  <c r="A5135" i="3"/>
  <c r="A5134" i="3"/>
  <c r="A5131" i="3"/>
  <c r="D5130" i="3"/>
  <c r="A5121" i="3"/>
  <c r="D5120" i="3"/>
  <c r="A5115" i="3"/>
  <c r="D5114" i="3"/>
  <c r="A5114" i="3"/>
  <c r="A5113" i="3"/>
  <c r="D5112" i="3"/>
  <c r="A5111" i="3"/>
  <c r="D5108" i="3"/>
  <c r="A5108" i="3"/>
  <c r="A5107" i="3"/>
  <c r="A5104" i="3"/>
  <c r="A5103" i="3"/>
  <c r="A5102" i="3"/>
  <c r="A5101" i="3"/>
  <c r="A5098" i="3"/>
  <c r="D5095" i="3"/>
  <c r="D5094" i="3"/>
  <c r="A5094" i="3"/>
  <c r="A5092" i="3"/>
  <c r="D5091" i="3"/>
  <c r="A5086" i="3"/>
  <c r="A5084" i="3"/>
  <c r="A5083" i="3"/>
  <c r="A5082" i="3"/>
  <c r="A5080" i="3"/>
  <c r="A5078" i="3"/>
  <c r="A5077" i="3"/>
  <c r="A5076" i="3"/>
  <c r="A5075" i="3"/>
  <c r="A5074" i="3"/>
  <c r="D5072" i="3"/>
  <c r="D5070" i="3"/>
  <c r="A5070" i="3"/>
  <c r="D5069" i="3"/>
  <c r="D5066" i="3"/>
  <c r="D5064" i="3"/>
  <c r="A5064" i="3"/>
  <c r="D5061" i="3"/>
  <c r="A5061" i="3"/>
  <c r="D5060" i="3"/>
  <c r="D5058" i="3"/>
  <c r="D5055" i="3"/>
  <c r="A5051" i="3"/>
  <c r="A5049" i="3"/>
  <c r="D5047" i="3"/>
  <c r="D5046" i="3"/>
  <c r="A5045" i="3"/>
  <c r="A5042" i="3"/>
  <c r="A5041" i="3"/>
  <c r="A5040" i="3"/>
  <c r="A5035" i="3"/>
  <c r="A5034" i="3"/>
  <c r="A5033" i="3"/>
  <c r="D5032" i="3"/>
  <c r="A5029" i="3"/>
  <c r="A5027" i="3"/>
  <c r="A5026" i="3"/>
  <c r="A5024" i="3"/>
  <c r="D5023" i="3"/>
  <c r="A5023" i="3"/>
  <c r="A5020" i="3"/>
  <c r="A5017" i="3"/>
  <c r="A5009" i="3"/>
  <c r="A5008" i="3"/>
  <c r="A5007" i="3"/>
  <c r="D5004" i="3"/>
  <c r="D5001" i="3"/>
  <c r="D4999" i="3"/>
  <c r="A4997" i="3"/>
  <c r="A4996" i="3"/>
  <c r="A4995" i="3"/>
  <c r="A4994" i="3"/>
  <c r="D4992" i="3"/>
  <c r="D4990" i="3"/>
  <c r="D4989" i="3"/>
  <c r="D4987" i="3"/>
  <c r="D4986" i="3"/>
  <c r="A4984" i="3"/>
  <c r="A4983" i="3"/>
  <c r="A4982" i="3"/>
  <c r="A4981" i="3"/>
  <c r="D4979" i="3"/>
  <c r="A4978" i="3"/>
  <c r="D4977" i="3"/>
  <c r="D4976" i="3"/>
  <c r="D4975" i="3"/>
  <c r="D4974" i="3"/>
  <c r="A4973" i="3"/>
  <c r="D4972" i="3"/>
  <c r="A4971" i="3"/>
  <c r="D4970" i="3"/>
  <c r="A4969" i="3"/>
  <c r="D4967" i="3"/>
  <c r="A4965" i="3"/>
  <c r="A4963" i="3"/>
  <c r="A4962" i="3"/>
  <c r="D4961" i="3"/>
  <c r="D4959" i="3"/>
  <c r="A4958" i="3"/>
  <c r="A4957" i="3"/>
  <c r="D4956" i="3"/>
  <c r="A4952" i="3"/>
  <c r="A4951" i="3"/>
  <c r="A4950" i="3"/>
  <c r="D4949" i="3"/>
  <c r="A4946" i="3"/>
  <c r="A4945" i="3"/>
  <c r="A4944" i="3"/>
  <c r="D4943" i="3"/>
  <c r="A4943" i="3"/>
  <c r="A4940" i="3"/>
  <c r="A4939" i="3"/>
  <c r="A4938" i="3"/>
  <c r="A4934" i="3"/>
  <c r="A4933" i="3"/>
  <c r="A4932" i="3"/>
  <c r="D4931" i="3"/>
  <c r="A4930" i="3"/>
  <c r="A4929" i="3"/>
  <c r="A4928" i="3"/>
  <c r="A4926" i="3"/>
  <c r="A4922" i="3"/>
  <c r="A4921" i="3"/>
  <c r="A4920" i="3"/>
  <c r="A4919" i="3"/>
  <c r="A4918" i="3"/>
  <c r="A4917" i="3"/>
  <c r="A4916" i="3"/>
  <c r="A4915" i="3"/>
  <c r="A4914" i="3"/>
  <c r="A4912" i="3"/>
  <c r="D4910" i="3"/>
  <c r="D4903" i="3"/>
  <c r="A4903" i="3"/>
  <c r="A4899" i="3"/>
  <c r="A4898" i="3"/>
  <c r="D4894" i="3"/>
  <c r="D4893" i="3"/>
  <c r="D4892" i="3"/>
  <c r="D4890" i="3"/>
  <c r="A4885" i="3"/>
  <c r="D4884" i="3"/>
  <c r="A4883" i="3"/>
  <c r="A4882" i="3"/>
  <c r="A4881" i="3"/>
  <c r="A4880" i="3"/>
  <c r="A4877" i="3"/>
  <c r="A4876" i="3"/>
  <c r="A4875" i="3"/>
  <c r="A4865" i="3"/>
  <c r="A4862" i="3"/>
  <c r="A4861" i="3"/>
  <c r="A4859" i="3"/>
  <c r="A4858" i="3"/>
  <c r="A4856" i="3"/>
  <c r="A4854" i="3"/>
  <c r="D4852" i="3"/>
  <c r="A4850" i="3"/>
  <c r="A4848" i="3"/>
  <c r="A4844" i="3"/>
  <c r="A4841" i="3"/>
  <c r="A4840" i="3"/>
  <c r="D4839" i="3"/>
  <c r="A4839" i="3"/>
  <c r="A4838" i="3"/>
  <c r="A4837" i="3"/>
  <c r="D4836" i="3"/>
  <c r="A4836" i="3"/>
  <c r="A4835" i="3"/>
  <c r="D4834" i="3"/>
  <c r="A4834" i="3"/>
  <c r="D4832" i="3"/>
  <c r="A4831" i="3"/>
  <c r="D4829" i="3"/>
  <c r="A4829" i="3"/>
  <c r="A4828" i="3"/>
  <c r="A4827" i="3"/>
  <c r="D4826" i="3"/>
  <c r="D4822" i="3"/>
  <c r="A4822" i="3"/>
  <c r="A4821" i="3"/>
  <c r="A4820" i="3"/>
  <c r="A4815" i="3"/>
  <c r="A4814" i="3"/>
  <c r="A4812" i="3"/>
  <c r="A4811" i="3"/>
  <c r="A4810" i="3"/>
  <c r="A4809" i="3"/>
  <c r="A4808" i="3"/>
  <c r="A4806" i="3"/>
  <c r="A4803" i="3"/>
  <c r="D4802" i="3"/>
  <c r="D4801" i="3"/>
  <c r="D4798" i="3"/>
  <c r="D4797" i="3"/>
  <c r="A4794" i="3"/>
  <c r="D4792" i="3"/>
  <c r="A4792" i="3"/>
  <c r="D4791" i="3"/>
  <c r="A4790" i="3"/>
  <c r="A4789" i="3"/>
  <c r="A4788" i="3"/>
  <c r="A4787" i="3"/>
  <c r="A4786" i="3"/>
  <c r="A4784" i="3"/>
  <c r="A4783" i="3"/>
  <c r="A4782" i="3"/>
  <c r="A4781" i="3"/>
  <c r="A4778" i="3"/>
  <c r="D4777" i="3"/>
  <c r="A4777" i="3"/>
  <c r="A4776" i="3"/>
  <c r="D4775" i="3"/>
  <c r="D4774" i="3"/>
  <c r="D4773" i="3"/>
  <c r="A4771" i="3"/>
  <c r="D4769" i="3"/>
  <c r="A4769" i="3"/>
  <c r="A4768" i="3"/>
  <c r="A4767" i="3"/>
  <c r="A4766" i="3"/>
  <c r="D4765" i="3"/>
  <c r="A4765" i="3"/>
  <c r="A4764" i="3"/>
  <c r="A4763" i="3"/>
  <c r="A4762" i="3"/>
  <c r="D4761" i="3"/>
  <c r="A4761" i="3"/>
  <c r="D4760" i="3"/>
  <c r="A4760" i="3"/>
  <c r="A4758" i="3"/>
  <c r="A4757" i="3"/>
  <c r="A4756" i="3"/>
  <c r="D4755" i="3"/>
  <c r="D4753" i="3"/>
  <c r="A4751" i="3"/>
  <c r="A4750" i="3"/>
  <c r="A4749" i="3"/>
  <c r="D4748" i="3"/>
  <c r="A4747" i="3"/>
  <c r="D4745" i="3"/>
  <c r="D4743" i="3"/>
  <c r="D4740" i="3"/>
  <c r="A4738" i="3"/>
  <c r="D4737" i="3"/>
  <c r="A4737" i="3"/>
  <c r="A4736" i="3"/>
  <c r="A4735" i="3"/>
  <c r="D4734" i="3"/>
  <c r="A4734" i="3"/>
  <c r="A4732" i="3"/>
  <c r="A4731" i="3"/>
  <c r="A4730" i="3"/>
  <c r="A4729" i="3"/>
  <c r="A4728" i="3"/>
  <c r="D4727" i="3"/>
  <c r="A4726" i="3"/>
  <c r="D4725" i="3"/>
  <c r="A4725" i="3"/>
  <c r="A4724" i="3"/>
  <c r="A4723" i="3"/>
  <c r="A4722" i="3"/>
  <c r="A4720" i="3"/>
  <c r="A4719" i="3"/>
  <c r="A4717" i="3"/>
  <c r="A4716" i="3"/>
  <c r="A4715" i="3"/>
  <c r="A4714" i="3"/>
  <c r="D4713" i="3"/>
  <c r="A4713" i="3"/>
  <c r="A4712" i="3"/>
  <c r="A4711" i="3"/>
  <c r="A4710" i="3"/>
  <c r="A4709" i="3"/>
  <c r="A4708" i="3"/>
  <c r="A4706" i="3"/>
  <c r="D4705" i="3"/>
  <c r="A4705" i="3"/>
  <c r="A4704" i="3"/>
  <c r="A4703" i="3"/>
  <c r="A4702" i="3"/>
  <c r="A4700" i="3"/>
  <c r="A4699" i="3"/>
  <c r="A4698" i="3"/>
  <c r="A4697" i="3"/>
  <c r="A4696" i="3"/>
  <c r="A4695" i="3"/>
  <c r="D4693" i="3"/>
  <c r="A4691" i="3"/>
  <c r="D4690" i="3"/>
  <c r="D4689" i="3"/>
  <c r="A4689" i="3"/>
  <c r="A4688" i="3"/>
  <c r="A4687" i="3"/>
  <c r="A4686" i="3"/>
  <c r="A4685" i="3"/>
  <c r="A4684" i="3"/>
  <c r="A4682" i="3"/>
  <c r="A4681" i="3"/>
  <c r="A4680" i="3"/>
  <c r="D4679" i="3"/>
  <c r="A4678" i="3"/>
  <c r="A4677" i="3"/>
  <c r="A4676" i="3"/>
  <c r="A4675" i="3"/>
  <c r="A4674" i="3"/>
  <c r="A4673" i="3"/>
  <c r="A4672" i="3"/>
  <c r="A4671" i="3"/>
  <c r="D4670" i="3"/>
  <c r="A4668" i="3"/>
  <c r="A4667" i="3"/>
  <c r="D4666" i="3"/>
  <c r="A4666" i="3"/>
  <c r="A4665" i="3"/>
  <c r="D4664" i="3"/>
  <c r="A4664" i="3"/>
  <c r="D4663" i="3"/>
  <c r="A4663" i="3"/>
  <c r="D4662" i="3"/>
  <c r="A4661" i="3"/>
  <c r="A4660" i="3"/>
  <c r="A4659" i="3"/>
  <c r="A4658" i="3"/>
  <c r="D4657" i="3"/>
  <c r="A4656" i="3"/>
  <c r="A4655" i="3"/>
  <c r="A4654" i="3"/>
  <c r="A4653" i="3"/>
  <c r="A4652" i="3"/>
  <c r="A4650" i="3"/>
  <c r="D4649" i="3"/>
  <c r="A4649" i="3"/>
  <c r="A4648" i="3"/>
  <c r="A4647" i="3"/>
  <c r="A4646" i="3"/>
  <c r="A4643" i="3"/>
  <c r="A4642" i="3"/>
  <c r="A4640" i="3"/>
  <c r="A4639" i="3"/>
  <c r="A4638" i="3"/>
  <c r="A4637" i="3"/>
  <c r="D4636" i="3"/>
  <c r="A4636" i="3"/>
  <c r="D4635" i="3"/>
  <c r="A4635" i="3"/>
  <c r="D4633" i="3"/>
  <c r="A4632" i="3"/>
  <c r="A4631" i="3"/>
  <c r="D4630" i="3"/>
  <c r="A4628" i="3"/>
  <c r="D4627" i="3"/>
  <c r="A4627" i="3"/>
  <c r="D4625" i="3"/>
  <c r="A4625" i="3"/>
  <c r="A4623" i="3"/>
  <c r="A4622" i="3"/>
  <c r="D4616" i="3"/>
  <c r="D4614" i="3"/>
  <c r="A4614" i="3"/>
  <c r="A4612" i="3"/>
  <c r="A4611" i="3"/>
  <c r="D4606" i="3"/>
  <c r="A4606" i="3"/>
  <c r="D4602" i="3"/>
  <c r="A4598" i="3"/>
  <c r="D4596" i="3"/>
  <c r="A4592" i="3"/>
  <c r="A4590" i="3"/>
  <c r="D4587" i="3"/>
  <c r="D4586" i="3"/>
  <c r="D4584" i="3"/>
  <c r="A4584" i="3"/>
  <c r="D4583" i="3"/>
  <c r="A4577" i="3"/>
  <c r="D4576" i="3"/>
  <c r="D4575" i="3"/>
  <c r="A4573" i="3"/>
  <c r="D4572" i="3"/>
  <c r="A4572" i="3"/>
  <c r="A4571" i="3"/>
  <c r="A4570" i="3"/>
  <c r="D4569" i="3"/>
  <c r="A4569" i="3"/>
  <c r="A4567" i="3"/>
  <c r="A4565" i="3"/>
  <c r="D4563" i="3"/>
  <c r="D4561" i="3"/>
  <c r="A4561" i="3"/>
  <c r="A4560" i="3"/>
  <c r="A4558" i="3"/>
  <c r="A4557" i="3"/>
  <c r="A4555" i="3"/>
  <c r="A4554" i="3"/>
  <c r="A4553" i="3"/>
  <c r="A4550" i="3"/>
  <c r="A4549" i="3"/>
  <c r="D4548" i="3"/>
  <c r="A4548" i="3"/>
  <c r="A4546" i="3"/>
  <c r="D4545" i="3"/>
  <c r="D4544" i="3"/>
  <c r="A4543" i="3"/>
  <c r="A4540" i="3"/>
  <c r="A4538" i="3"/>
  <c r="A4537" i="3"/>
  <c r="A4536" i="3"/>
  <c r="A4535" i="3"/>
  <c r="A4534" i="3"/>
  <c r="A4529" i="3"/>
  <c r="A4528" i="3"/>
  <c r="A4527" i="3"/>
  <c r="A4525" i="3"/>
  <c r="A4524" i="3"/>
  <c r="D4523" i="3"/>
  <c r="A4522" i="3"/>
  <c r="D4520" i="3"/>
  <c r="D4516" i="3"/>
  <c r="A4516" i="3"/>
  <c r="D4512" i="3"/>
  <c r="D4511" i="3"/>
  <c r="A4511" i="3"/>
  <c r="A4510" i="3"/>
  <c r="A4509" i="3"/>
  <c r="D4508" i="3"/>
  <c r="A4508" i="3"/>
  <c r="A4507" i="3"/>
  <c r="A4506" i="3"/>
  <c r="D4505" i="3"/>
  <c r="A4505" i="3"/>
  <c r="A4503" i="3"/>
  <c r="A4502" i="3"/>
  <c r="A4501" i="3"/>
  <c r="A4499" i="3"/>
  <c r="D4497" i="3"/>
  <c r="D4495" i="3"/>
  <c r="A4495" i="3"/>
  <c r="A4494" i="3"/>
  <c r="A4493" i="3"/>
  <c r="A4488" i="3"/>
  <c r="A4487" i="3"/>
  <c r="D4486" i="3"/>
  <c r="A4486" i="3"/>
  <c r="A4482" i="3"/>
  <c r="A4481" i="3"/>
  <c r="D4478" i="3"/>
  <c r="D4477" i="3"/>
  <c r="A4476" i="3"/>
  <c r="A4475" i="3"/>
  <c r="A4474" i="3"/>
  <c r="A4473" i="3"/>
  <c r="D4472" i="3"/>
  <c r="D4471" i="3"/>
  <c r="D4468" i="3"/>
  <c r="A4468" i="3"/>
  <c r="A4467" i="3"/>
  <c r="A4466" i="3"/>
  <c r="A4465" i="3"/>
  <c r="D4464" i="3"/>
  <c r="A4462" i="3"/>
  <c r="A4461" i="3"/>
  <c r="A4460" i="3"/>
  <c r="A4459" i="3"/>
  <c r="A4458" i="3"/>
  <c r="A4456" i="3"/>
  <c r="A4455" i="3"/>
  <c r="A4452" i="3"/>
  <c r="A4451" i="3"/>
  <c r="A4450" i="3"/>
  <c r="A4449" i="3"/>
  <c r="A4448" i="3"/>
  <c r="A4447" i="3"/>
  <c r="A4446" i="3"/>
  <c r="A4445" i="3"/>
  <c r="A4444" i="3"/>
  <c r="A4443" i="3"/>
  <c r="A4441" i="3"/>
  <c r="D4440" i="3"/>
  <c r="D4439" i="3"/>
  <c r="A4439" i="3"/>
  <c r="D4434" i="3"/>
  <c r="A4434" i="3"/>
  <c r="A4431" i="3"/>
  <c r="D4430" i="3"/>
  <c r="A4428" i="3"/>
  <c r="A4426" i="3"/>
  <c r="A4424" i="3"/>
  <c r="A4423" i="3"/>
  <c r="D4422" i="3"/>
  <c r="A4421" i="3"/>
  <c r="A4420" i="3"/>
  <c r="A4419" i="3"/>
  <c r="D4417" i="3"/>
  <c r="A4417" i="3"/>
  <c r="A4416" i="3"/>
  <c r="D4415" i="3"/>
  <c r="A4414" i="3"/>
  <c r="A4413" i="3"/>
  <c r="A4412" i="3"/>
  <c r="A4411" i="3"/>
  <c r="A4410" i="3"/>
  <c r="D4409" i="3"/>
  <c r="D4407" i="3"/>
  <c r="A4407" i="3"/>
  <c r="A4406" i="3"/>
  <c r="D4405" i="3"/>
  <c r="D4404" i="3"/>
  <c r="A4404" i="3"/>
  <c r="A4403" i="3"/>
  <c r="A4401" i="3"/>
  <c r="A4400" i="3"/>
  <c r="A4399" i="3"/>
  <c r="D4398" i="3"/>
  <c r="A4397" i="3"/>
  <c r="A4396" i="3"/>
  <c r="A4395" i="3"/>
  <c r="A4393" i="3"/>
  <c r="A4392" i="3"/>
  <c r="A4391" i="3"/>
  <c r="A4389" i="3"/>
  <c r="A4388" i="3"/>
  <c r="A4384" i="3"/>
  <c r="A4383" i="3"/>
  <c r="D4382" i="3"/>
  <c r="D4381" i="3"/>
  <c r="A4380" i="3"/>
  <c r="A4379" i="3"/>
  <c r="A4378" i="3"/>
  <c r="A4377" i="3"/>
  <c r="A4376" i="3"/>
  <c r="A4373" i="3"/>
  <c r="A4372" i="3"/>
  <c r="D4371" i="3"/>
  <c r="D4370" i="3"/>
  <c r="A4370" i="3"/>
  <c r="A4368" i="3"/>
  <c r="A4367" i="3"/>
  <c r="A4366" i="3"/>
  <c r="A4365" i="3"/>
  <c r="D4364" i="3"/>
  <c r="A4364" i="3"/>
  <c r="D4363" i="3"/>
  <c r="D4362" i="3"/>
  <c r="A4362" i="3"/>
  <c r="A4361" i="3"/>
  <c r="A4360" i="3"/>
  <c r="D4359" i="3"/>
  <c r="A4358" i="3"/>
  <c r="A4357" i="3"/>
  <c r="D4356" i="3"/>
  <c r="A4356" i="3"/>
  <c r="A4355" i="3"/>
  <c r="A4354" i="3"/>
  <c r="A4353" i="3"/>
  <c r="A4352" i="3"/>
  <c r="A4351" i="3"/>
  <c r="A4350" i="3"/>
  <c r="A4349" i="3"/>
  <c r="D4348" i="3"/>
  <c r="A4348" i="3"/>
  <c r="A4347" i="3"/>
  <c r="A4346" i="3"/>
  <c r="D4345" i="3"/>
  <c r="A4345" i="3"/>
  <c r="D4344" i="3"/>
  <c r="D4343" i="3"/>
  <c r="A4343" i="3"/>
  <c r="A4342" i="3"/>
  <c r="A4341" i="3"/>
  <c r="A4339" i="3"/>
  <c r="A4338" i="3"/>
  <c r="D4337" i="3"/>
  <c r="D4336" i="3"/>
  <c r="A4336" i="3"/>
  <c r="A4335" i="3"/>
  <c r="A4333" i="3"/>
  <c r="A4332" i="3"/>
  <c r="D4330" i="3"/>
  <c r="D4329" i="3"/>
  <c r="D4328" i="3"/>
  <c r="A4327" i="3"/>
  <c r="A4326" i="3"/>
  <c r="D4325" i="3"/>
  <c r="A4323" i="3"/>
  <c r="A4322" i="3"/>
  <c r="A4321" i="3"/>
  <c r="D4320" i="3"/>
  <c r="A4318" i="3"/>
  <c r="A4317" i="3"/>
  <c r="A4316" i="3"/>
  <c r="A4315" i="3"/>
  <c r="D4314" i="3"/>
  <c r="A4314" i="3"/>
  <c r="A4313" i="3"/>
  <c r="D4312" i="3"/>
  <c r="A4312" i="3"/>
  <c r="A4311" i="3"/>
  <c r="D4310" i="3"/>
  <c r="A4309" i="3"/>
  <c r="A4308" i="3"/>
  <c r="A4305" i="3"/>
  <c r="A4302" i="3"/>
  <c r="A4299" i="3"/>
  <c r="A4295" i="3"/>
  <c r="A4293" i="3"/>
  <c r="A4292" i="3"/>
  <c r="A4291" i="3"/>
  <c r="D4290" i="3"/>
  <c r="A4290" i="3"/>
  <c r="A4287" i="3"/>
  <c r="D4286" i="3"/>
  <c r="A4285" i="3"/>
  <c r="D4284" i="3"/>
  <c r="D4283" i="3"/>
  <c r="A4283" i="3"/>
  <c r="D4282" i="3"/>
  <c r="D4281" i="3"/>
  <c r="D4280" i="3"/>
  <c r="A4280" i="3"/>
  <c r="A4279" i="3"/>
  <c r="D4278" i="3"/>
  <c r="A4277" i="3"/>
  <c r="A4276" i="3"/>
  <c r="A4275" i="3"/>
  <c r="D4271" i="3"/>
  <c r="A4270" i="3"/>
  <c r="A4269" i="3"/>
  <c r="D4268" i="3"/>
  <c r="A4268" i="3"/>
  <c r="A4267" i="3"/>
  <c r="A4265" i="3"/>
  <c r="A4264" i="3"/>
  <c r="D4263" i="3"/>
  <c r="A4263" i="3"/>
  <c r="A4262" i="3"/>
  <c r="D4261" i="3"/>
  <c r="A4260" i="3"/>
  <c r="D4259" i="3"/>
  <c r="A4259" i="3"/>
  <c r="A4258" i="3"/>
  <c r="D4257" i="3"/>
  <c r="A4257" i="3"/>
  <c r="D4256" i="3"/>
  <c r="A4254" i="3"/>
  <c r="D4253" i="3"/>
  <c r="A4253" i="3"/>
  <c r="A4252" i="3"/>
  <c r="A4251" i="3"/>
  <c r="A4250" i="3"/>
  <c r="A4249" i="3"/>
  <c r="D4248" i="3"/>
  <c r="A4247" i="3"/>
  <c r="A4246" i="3"/>
  <c r="D4245" i="3"/>
  <c r="A4244" i="3"/>
  <c r="A4243" i="3"/>
  <c r="D4240" i="3"/>
  <c r="A4240" i="3"/>
  <c r="D4236" i="3"/>
  <c r="A4236" i="3"/>
  <c r="D4235" i="3"/>
  <c r="A4235" i="3"/>
  <c r="A4232" i="3"/>
  <c r="D4231" i="3"/>
  <c r="A4231" i="3"/>
  <c r="A4230" i="3"/>
  <c r="D4229" i="3"/>
  <c r="D4228" i="3"/>
  <c r="A4226" i="3"/>
  <c r="D4225" i="3"/>
  <c r="D4224" i="3"/>
  <c r="D4223" i="3"/>
  <c r="A4223" i="3"/>
  <c r="D4221" i="3"/>
  <c r="D4217" i="3"/>
  <c r="A4217" i="3"/>
  <c r="A4216" i="3"/>
  <c r="D4215" i="3"/>
  <c r="A4214" i="3"/>
  <c r="D4212" i="3"/>
  <c r="D4210" i="3"/>
  <c r="A4209" i="3"/>
  <c r="A4208" i="3"/>
  <c r="A4207" i="3"/>
  <c r="D4205" i="3"/>
  <c r="A4202" i="3"/>
  <c r="A4201" i="3"/>
  <c r="A4200" i="3"/>
  <c r="A4199" i="3"/>
  <c r="A4195" i="3"/>
  <c r="D4191" i="3"/>
  <c r="A4188" i="3"/>
  <c r="A4187" i="3"/>
  <c r="A4186" i="3"/>
  <c r="D4184" i="3"/>
  <c r="A4182" i="3"/>
  <c r="A4181" i="3"/>
  <c r="D4180" i="3"/>
  <c r="D4176" i="3"/>
  <c r="A4176" i="3"/>
  <c r="D4174" i="3"/>
  <c r="A4173" i="3"/>
  <c r="D4168" i="3"/>
  <c r="A4166" i="3"/>
  <c r="A4163" i="3"/>
  <c r="A4162" i="3"/>
  <c r="D4161" i="3"/>
  <c r="A4158" i="3"/>
  <c r="A4155" i="3"/>
  <c r="D4153" i="3"/>
  <c r="A4151" i="3"/>
  <c r="A4145" i="3"/>
  <c r="A4143" i="3"/>
  <c r="A4139" i="3"/>
  <c r="D4138" i="3"/>
  <c r="A4137" i="3"/>
  <c r="D4136" i="3"/>
  <c r="A4136" i="3"/>
  <c r="A4134" i="3"/>
  <c r="A4133" i="3"/>
  <c r="D4132" i="3"/>
  <c r="D4131" i="3"/>
  <c r="A4130" i="3"/>
  <c r="A4129" i="3"/>
  <c r="D4127" i="3"/>
  <c r="D4126" i="3"/>
  <c r="A4126" i="3"/>
  <c r="A4121" i="3"/>
  <c r="A4120" i="3"/>
  <c r="A4119" i="3"/>
  <c r="A4118" i="3"/>
  <c r="A4117" i="3"/>
  <c r="A4116" i="3"/>
  <c r="A4115" i="3"/>
  <c r="A4114" i="3"/>
  <c r="A4112" i="3"/>
  <c r="D4111" i="3"/>
  <c r="A4111" i="3"/>
  <c r="A4109" i="3"/>
  <c r="A4108" i="3"/>
  <c r="D4106" i="3"/>
  <c r="D4105" i="3"/>
  <c r="D4103" i="3"/>
  <c r="D4099" i="3"/>
  <c r="D4098" i="3"/>
  <c r="A4098" i="3"/>
  <c r="D4095" i="3"/>
  <c r="A4095" i="3"/>
  <c r="D4093" i="3"/>
  <c r="A4091" i="3"/>
  <c r="D4086" i="3"/>
  <c r="A4084" i="3"/>
  <c r="D4080" i="3"/>
  <c r="D4079" i="3"/>
  <c r="A4079" i="3"/>
  <c r="D4077" i="3"/>
  <c r="A4077" i="3"/>
  <c r="A4076" i="3"/>
  <c r="A4075" i="3"/>
  <c r="A4074" i="3"/>
  <c r="A4073" i="3"/>
  <c r="D4072" i="3"/>
  <c r="D4071" i="3"/>
  <c r="D4067" i="3"/>
  <c r="A4066" i="3"/>
  <c r="A4065" i="3"/>
  <c r="A4064" i="3"/>
  <c r="A4063" i="3"/>
  <c r="D4062" i="3"/>
  <c r="A4062" i="3"/>
  <c r="A4061" i="3"/>
  <c r="A4059" i="3"/>
  <c r="A4058" i="3"/>
  <c r="A4057" i="3"/>
  <c r="D4051" i="3"/>
  <c r="A4051" i="3"/>
  <c r="A4050" i="3"/>
  <c r="A4046" i="3"/>
  <c r="D4044" i="3"/>
  <c r="A4044" i="3"/>
  <c r="A4034" i="3"/>
  <c r="A4032" i="3"/>
  <c r="A4031" i="3"/>
  <c r="A4029" i="3"/>
  <c r="A4028" i="3"/>
  <c r="D4023" i="3"/>
  <c r="D4020" i="3"/>
  <c r="A4020" i="3"/>
  <c r="A4018" i="3"/>
  <c r="A4017" i="3"/>
  <c r="D4016" i="3"/>
  <c r="A4015" i="3"/>
  <c r="A4014" i="3"/>
  <c r="D4010" i="3"/>
  <c r="A4008" i="3"/>
  <c r="A4006" i="3"/>
  <c r="D4005" i="3"/>
  <c r="D4004" i="3"/>
  <c r="A4004" i="3"/>
  <c r="D4003" i="3"/>
  <c r="A4001" i="3"/>
  <c r="A4000" i="3"/>
  <c r="A3998" i="3"/>
  <c r="A3997" i="3"/>
  <c r="A3996" i="3"/>
  <c r="A3991" i="3"/>
  <c r="A3990" i="3"/>
  <c r="A3989" i="3"/>
  <c r="A3986" i="3"/>
  <c r="D3984" i="3"/>
  <c r="A3982" i="3"/>
  <c r="A3981" i="3"/>
  <c r="A3980" i="3"/>
  <c r="A3979" i="3"/>
  <c r="A3977" i="3"/>
  <c r="A3976" i="3"/>
  <c r="A3975" i="3"/>
  <c r="A3974" i="3"/>
  <c r="D3973" i="3"/>
  <c r="A3970" i="3"/>
  <c r="A3969" i="3"/>
  <c r="A3968" i="3"/>
  <c r="A3967" i="3"/>
  <c r="A3966" i="3"/>
  <c r="A3965" i="3"/>
  <c r="D3964" i="3"/>
  <c r="A3964" i="3"/>
  <c r="D3963" i="3"/>
  <c r="A3963" i="3"/>
  <c r="D3962" i="3"/>
  <c r="A3962" i="3"/>
  <c r="D3961" i="3"/>
  <c r="D3960" i="3"/>
  <c r="D3958" i="3"/>
  <c r="D3956" i="3"/>
  <c r="D3955" i="3"/>
  <c r="A3954" i="3"/>
  <c r="A3950" i="3"/>
  <c r="A3947" i="3"/>
  <c r="A3946" i="3"/>
  <c r="A3943" i="3"/>
  <c r="A3941" i="3"/>
  <c r="A3936" i="3"/>
  <c r="A3935" i="3"/>
  <c r="D3934" i="3"/>
  <c r="A3929" i="3"/>
  <c r="A3923" i="3"/>
  <c r="A3921" i="3"/>
  <c r="A3917" i="3"/>
  <c r="A3914" i="3"/>
  <c r="A3908" i="3"/>
  <c r="A3903" i="3"/>
  <c r="A3902" i="3"/>
  <c r="A3901" i="3"/>
  <c r="A3900" i="3"/>
  <c r="A3898" i="3"/>
  <c r="D3897" i="3"/>
  <c r="D3895" i="3"/>
  <c r="A3895" i="3"/>
  <c r="A3891" i="3"/>
  <c r="D3889" i="3"/>
  <c r="A3888" i="3"/>
  <c r="A3887" i="3"/>
  <c r="A3884" i="3"/>
  <c r="A3883" i="3"/>
  <c r="A3880" i="3"/>
  <c r="D3879" i="3"/>
  <c r="A3879" i="3"/>
  <c r="A3878" i="3"/>
  <c r="A3877" i="3"/>
  <c r="A3868" i="3"/>
  <c r="A3867" i="3"/>
  <c r="A3866" i="3"/>
  <c r="A3865" i="3"/>
  <c r="A3864" i="3"/>
  <c r="A3863" i="3"/>
  <c r="A3862" i="3"/>
  <c r="A3861" i="3"/>
  <c r="D3860" i="3"/>
  <c r="D3858" i="3"/>
  <c r="A3856" i="3"/>
  <c r="A3854" i="3"/>
  <c r="D3853" i="3"/>
  <c r="A3853" i="3"/>
  <c r="A3852" i="3"/>
  <c r="A3851" i="3"/>
  <c r="D3850" i="3"/>
  <c r="A3850" i="3"/>
  <c r="A3848" i="3"/>
  <c r="A3847" i="3"/>
  <c r="A3846" i="3"/>
  <c r="A3845" i="3"/>
  <c r="A3844" i="3"/>
  <c r="D3843" i="3"/>
  <c r="A3842" i="3"/>
  <c r="A3841" i="3"/>
  <c r="A3840" i="3"/>
  <c r="D3839" i="3"/>
  <c r="D3837" i="3"/>
  <c r="A3836" i="3"/>
  <c r="A3833" i="3"/>
  <c r="D3832" i="3"/>
  <c r="A3831" i="3"/>
  <c r="D3827" i="3"/>
  <c r="A3826" i="3"/>
  <c r="D3824" i="3"/>
  <c r="A3822" i="3"/>
  <c r="A3821" i="3"/>
  <c r="A3820" i="3"/>
  <c r="A3819" i="3"/>
  <c r="D3816" i="3"/>
  <c r="A3816" i="3"/>
  <c r="A3813" i="3"/>
  <c r="D3812" i="3"/>
  <c r="A3810" i="3"/>
  <c r="A3807" i="3"/>
  <c r="A3806" i="3"/>
  <c r="A3803" i="3"/>
  <c r="A3802" i="3"/>
  <c r="A3801" i="3"/>
  <c r="D3800" i="3"/>
  <c r="A3799" i="3"/>
  <c r="A3798" i="3"/>
  <c r="A3797" i="3"/>
  <c r="A3795" i="3"/>
  <c r="D3794" i="3"/>
  <c r="A3789" i="3"/>
  <c r="A3787" i="3"/>
  <c r="A3786" i="3"/>
  <c r="D3785" i="3"/>
  <c r="A3782" i="3"/>
  <c r="D3781" i="3"/>
  <c r="D3780" i="3"/>
  <c r="D3778" i="3"/>
  <c r="A3775" i="3"/>
  <c r="A3774" i="3"/>
  <c r="A3773" i="3"/>
  <c r="A3771" i="3"/>
  <c r="A3768" i="3"/>
  <c r="A3767" i="3"/>
  <c r="D3765" i="3"/>
  <c r="A3765" i="3"/>
  <c r="A3764" i="3"/>
  <c r="A3763" i="3"/>
  <c r="A3762" i="3"/>
  <c r="A3761" i="3"/>
  <c r="A3760" i="3"/>
  <c r="D3759" i="3"/>
  <c r="A3759" i="3"/>
  <c r="A3758" i="3"/>
  <c r="A3757" i="3"/>
  <c r="A3756" i="3"/>
  <c r="A3755" i="3"/>
  <c r="A3754" i="3"/>
  <c r="A3753" i="3"/>
  <c r="D3752" i="3"/>
  <c r="D3751" i="3"/>
  <c r="D3750" i="3"/>
  <c r="A3749" i="3"/>
  <c r="A3748" i="3"/>
  <c r="D3747" i="3"/>
  <c r="A3743" i="3"/>
  <c r="A3742" i="3"/>
  <c r="D3741" i="3"/>
  <c r="D3740" i="3"/>
  <c r="D3738" i="3"/>
  <c r="D3737" i="3"/>
  <c r="D3736" i="3"/>
  <c r="A3735" i="3"/>
  <c r="D3734" i="3"/>
  <c r="A3733" i="3"/>
  <c r="A3732" i="3"/>
  <c r="D3731" i="3"/>
  <c r="D3730" i="3"/>
  <c r="D3728" i="3"/>
  <c r="A3728" i="3"/>
  <c r="A3727" i="3"/>
  <c r="D3724" i="3"/>
  <c r="A3723" i="3"/>
  <c r="A3721" i="3"/>
  <c r="A3720" i="3"/>
  <c r="D3719" i="3"/>
  <c r="A3719" i="3"/>
  <c r="A3718" i="3"/>
  <c r="D3717" i="3"/>
  <c r="A3717" i="3"/>
  <c r="D3716" i="3"/>
  <c r="A3716" i="3"/>
  <c r="A3714" i="3"/>
  <c r="A3713" i="3"/>
  <c r="A3712" i="3"/>
  <c r="A3711" i="3"/>
  <c r="A3710" i="3"/>
  <c r="D3709" i="3"/>
  <c r="A3707" i="3"/>
  <c r="A3705" i="3"/>
  <c r="D3703" i="3"/>
  <c r="A3701" i="3"/>
  <c r="D3699" i="3"/>
  <c r="A3699" i="3"/>
  <c r="D3698" i="3"/>
  <c r="A3698" i="3"/>
  <c r="D3697" i="3"/>
  <c r="D3696" i="3"/>
  <c r="A3695" i="3"/>
  <c r="A3694" i="3"/>
  <c r="A3693" i="3"/>
  <c r="A3692" i="3"/>
  <c r="D3691" i="3"/>
  <c r="A3690" i="3"/>
  <c r="D3689" i="3"/>
  <c r="A3687" i="3"/>
  <c r="A3686" i="3"/>
  <c r="D3685" i="3"/>
  <c r="D3684" i="3"/>
  <c r="D3683" i="3"/>
  <c r="A3683" i="3"/>
  <c r="A3682" i="3"/>
  <c r="A3681" i="3"/>
  <c r="D3680" i="3"/>
  <c r="A3680" i="3"/>
  <c r="A3679" i="3"/>
  <c r="A3678" i="3"/>
  <c r="D3677" i="3"/>
  <c r="A3677" i="3"/>
  <c r="A3676" i="3"/>
  <c r="A3675" i="3"/>
  <c r="D3674" i="3"/>
  <c r="A3674" i="3"/>
  <c r="D3673" i="3"/>
  <c r="A3673" i="3"/>
  <c r="A3672" i="3"/>
  <c r="A3671" i="3"/>
  <c r="D3670" i="3"/>
  <c r="A3670" i="3"/>
  <c r="A3669" i="3"/>
  <c r="A3668" i="3"/>
  <c r="D3667" i="3"/>
  <c r="D3666" i="3"/>
  <c r="A3666" i="3"/>
  <c r="A3665" i="3"/>
  <c r="D3664" i="3"/>
  <c r="A3663" i="3"/>
  <c r="A3662" i="3"/>
  <c r="D3661" i="3"/>
  <c r="A3660" i="3"/>
  <c r="A3659" i="3"/>
  <c r="A3657" i="3"/>
  <c r="A3656" i="3"/>
  <c r="A3655" i="3"/>
  <c r="A3653" i="3"/>
  <c r="A3652" i="3"/>
  <c r="A3651" i="3"/>
  <c r="A3650" i="3"/>
  <c r="D3649" i="3"/>
  <c r="A3649" i="3"/>
  <c r="D3648" i="3"/>
  <c r="D3647" i="3"/>
  <c r="A3647" i="3"/>
  <c r="A3646" i="3"/>
  <c r="D3645" i="3"/>
  <c r="A3645" i="3"/>
  <c r="D3644" i="3"/>
  <c r="A3644" i="3"/>
  <c r="A3643" i="3"/>
  <c r="D3642" i="3"/>
  <c r="D3641" i="3"/>
  <c r="A3640" i="3"/>
  <c r="A3639" i="3"/>
  <c r="D3638" i="3"/>
  <c r="A3638" i="3"/>
  <c r="A3637" i="3"/>
  <c r="D3634" i="3"/>
  <c r="A3633" i="3"/>
  <c r="A3631" i="3"/>
  <c r="D3630" i="3"/>
  <c r="A3630" i="3"/>
  <c r="D3629" i="3"/>
  <c r="A3629" i="3"/>
  <c r="A3628" i="3"/>
  <c r="D3627" i="3"/>
  <c r="A3627" i="3"/>
  <c r="A3626" i="3"/>
  <c r="A3625" i="3"/>
  <c r="A3624" i="3"/>
  <c r="D3623" i="3"/>
  <c r="A3623" i="3"/>
  <c r="D3621" i="3"/>
  <c r="D3619" i="3"/>
  <c r="A3619" i="3"/>
  <c r="D3618" i="3"/>
  <c r="D3617" i="3"/>
  <c r="D3616" i="3"/>
  <c r="A3615" i="3"/>
  <c r="A3614" i="3"/>
  <c r="A3613" i="3"/>
  <c r="D3612" i="3"/>
  <c r="A3612" i="3"/>
  <c r="A3611" i="3"/>
  <c r="A3610" i="3"/>
  <c r="A3609" i="3"/>
  <c r="A3608" i="3"/>
  <c r="A3607" i="3"/>
  <c r="A3606" i="3"/>
  <c r="D3605" i="3"/>
  <c r="A3605" i="3"/>
  <c r="A3604" i="3"/>
  <c r="A3603" i="3"/>
  <c r="A3601" i="3"/>
  <c r="D3598" i="3"/>
  <c r="D3597" i="3"/>
  <c r="A3596" i="3"/>
  <c r="D3595" i="3"/>
  <c r="A3594" i="3"/>
  <c r="D3593" i="3"/>
  <c r="A3593" i="3"/>
  <c r="D3592" i="3"/>
  <c r="D3591" i="3"/>
  <c r="A3591" i="3"/>
  <c r="A3589" i="3"/>
  <c r="A3588" i="3"/>
  <c r="A3587" i="3"/>
  <c r="D3586" i="3"/>
  <c r="A3586" i="3"/>
  <c r="A3585" i="3"/>
  <c r="D3584" i="3"/>
  <c r="A3582" i="3"/>
  <c r="D3581" i="3"/>
  <c r="A3580" i="3"/>
  <c r="A3579" i="3"/>
  <c r="A3577" i="3"/>
  <c r="A3575" i="3"/>
  <c r="A3573" i="3"/>
  <c r="D3572" i="3"/>
  <c r="A3572" i="3"/>
  <c r="D3571" i="3"/>
  <c r="A3570" i="3"/>
  <c r="A3569" i="3"/>
  <c r="A3568" i="3"/>
  <c r="A3567" i="3"/>
  <c r="A3566" i="3"/>
  <c r="A3565" i="3"/>
  <c r="D3564" i="3"/>
  <c r="A3564" i="3"/>
  <c r="A3563" i="3"/>
  <c r="D3562" i="3"/>
  <c r="A3562" i="3"/>
  <c r="D3561" i="3"/>
  <c r="A3561" i="3"/>
  <c r="A3559" i="3"/>
  <c r="A3558" i="3"/>
  <c r="A3557" i="3"/>
  <c r="A3556" i="3"/>
  <c r="D3555" i="3"/>
  <c r="A3553" i="3"/>
  <c r="A3552" i="3"/>
  <c r="D3551" i="3"/>
  <c r="A3551" i="3"/>
  <c r="A3550" i="3"/>
  <c r="A3549" i="3"/>
  <c r="A3548" i="3"/>
  <c r="A3547" i="3"/>
  <c r="A3546" i="3"/>
  <c r="A3545" i="3"/>
  <c r="A3544" i="3"/>
  <c r="A3543" i="3"/>
  <c r="A3542" i="3"/>
  <c r="A3541" i="3"/>
  <c r="A3540" i="3"/>
  <c r="A3539" i="3"/>
  <c r="A3538" i="3"/>
  <c r="D3537" i="3"/>
  <c r="A3537" i="3"/>
  <c r="A3536" i="3"/>
  <c r="A3535" i="3"/>
  <c r="A3534" i="3"/>
  <c r="A3533" i="3"/>
  <c r="A3532" i="3"/>
  <c r="A3531" i="3"/>
  <c r="A3530" i="3"/>
  <c r="A3529" i="3"/>
  <c r="A3528" i="3"/>
  <c r="A3527" i="3"/>
  <c r="D3526" i="3"/>
  <c r="A3526" i="3"/>
  <c r="D3525" i="3"/>
  <c r="D3524" i="3"/>
  <c r="A3524" i="3"/>
  <c r="A3523" i="3"/>
  <c r="D3520" i="3"/>
  <c r="A3520" i="3"/>
  <c r="A3519" i="3"/>
  <c r="D3516" i="3"/>
  <c r="D3515" i="3"/>
  <c r="A3514" i="3"/>
  <c r="A3513" i="3"/>
  <c r="D3512" i="3"/>
  <c r="A3512" i="3"/>
  <c r="A3511" i="3"/>
  <c r="A3510" i="3"/>
  <c r="A3509" i="3"/>
  <c r="D3508" i="3"/>
  <c r="A3507" i="3"/>
  <c r="A3506" i="3"/>
  <c r="A3505" i="3"/>
  <c r="A3504" i="3"/>
  <c r="D3503" i="3"/>
  <c r="A3502" i="3"/>
  <c r="D3501" i="3"/>
  <c r="A3500" i="3"/>
  <c r="A3499" i="3"/>
  <c r="A3496" i="3"/>
  <c r="D3494" i="3"/>
  <c r="A3493" i="3"/>
  <c r="A3492" i="3"/>
  <c r="A3491" i="3"/>
  <c r="D3490" i="3"/>
  <c r="A3490" i="3"/>
  <c r="A3489" i="3"/>
  <c r="D3488" i="3"/>
  <c r="A3488" i="3"/>
  <c r="A3487" i="3"/>
  <c r="D3486" i="3"/>
  <c r="D3485" i="3"/>
  <c r="A3485" i="3"/>
  <c r="A3484" i="3"/>
  <c r="A3482" i="3"/>
  <c r="D3481" i="3"/>
  <c r="A3481" i="3"/>
  <c r="D3479" i="3"/>
  <c r="A3479" i="3"/>
  <c r="D3478" i="3"/>
  <c r="A3478" i="3"/>
  <c r="A3477" i="3"/>
  <c r="D3476" i="3"/>
  <c r="A3476" i="3"/>
  <c r="A3475" i="3"/>
  <c r="A3474" i="3"/>
  <c r="A3473" i="3"/>
  <c r="A3472" i="3"/>
  <c r="A3471" i="3"/>
  <c r="A3470" i="3"/>
  <c r="A3469" i="3"/>
  <c r="A3468" i="3"/>
  <c r="D3467" i="3"/>
  <c r="A3467" i="3"/>
  <c r="A3466" i="3"/>
  <c r="D3465" i="3"/>
  <c r="D3464" i="3"/>
  <c r="A3464" i="3"/>
  <c r="A3463" i="3"/>
  <c r="D3462" i="3"/>
  <c r="A3461" i="3"/>
  <c r="D3460" i="3"/>
  <c r="A3459" i="3"/>
  <c r="A3458" i="3"/>
  <c r="A3457" i="3"/>
  <c r="A3456" i="3"/>
  <c r="D3455" i="3"/>
  <c r="A3454" i="3"/>
  <c r="A3453" i="3"/>
  <c r="D3452" i="3"/>
  <c r="D3451" i="3"/>
  <c r="A3451" i="3"/>
  <c r="A3450" i="3"/>
  <c r="A3449" i="3"/>
  <c r="A3448" i="3"/>
  <c r="A3447" i="3"/>
  <c r="D3446" i="3"/>
  <c r="A3446" i="3"/>
  <c r="D3445" i="3"/>
  <c r="A3444" i="3"/>
  <c r="D3443" i="3"/>
  <c r="D3442" i="3"/>
  <c r="A3442" i="3"/>
  <c r="A3441" i="3"/>
  <c r="A3440" i="3"/>
  <c r="A3439" i="3"/>
  <c r="D3438" i="3"/>
  <c r="A3438" i="3"/>
  <c r="D3437" i="3"/>
  <c r="D3436" i="3"/>
  <c r="D3435" i="3"/>
  <c r="A3435" i="3"/>
  <c r="D3434" i="3"/>
  <c r="A3433" i="3"/>
  <c r="A3432" i="3"/>
  <c r="A3431" i="3"/>
  <c r="A3430" i="3"/>
  <c r="D3429" i="3"/>
  <c r="A3429" i="3"/>
  <c r="D3428" i="3"/>
  <c r="D3427" i="3"/>
  <c r="A3427" i="3"/>
  <c r="D3426" i="3"/>
  <c r="A3426" i="3"/>
  <c r="A3424" i="3"/>
  <c r="D3423" i="3"/>
  <c r="A3423" i="3"/>
  <c r="A3422" i="3"/>
  <c r="A3421" i="3"/>
  <c r="D3420" i="3"/>
  <c r="A3417" i="3"/>
  <c r="D3416" i="3"/>
  <c r="A3415" i="3"/>
  <c r="A3414" i="3"/>
  <c r="A3413" i="3"/>
  <c r="D3412" i="3"/>
  <c r="A3412" i="3"/>
  <c r="D3411" i="3"/>
  <c r="A3411" i="3"/>
  <c r="A3410" i="3"/>
  <c r="A3409" i="3"/>
  <c r="D3407" i="3"/>
  <c r="A3406" i="3"/>
  <c r="A3405" i="3"/>
  <c r="A3404" i="3"/>
  <c r="A3403" i="3"/>
  <c r="A3402" i="3"/>
  <c r="A3401" i="3"/>
  <c r="A3400" i="3"/>
  <c r="D3399" i="3"/>
  <c r="A3398" i="3"/>
  <c r="A3397" i="3"/>
  <c r="D3396" i="3"/>
  <c r="A3396" i="3"/>
  <c r="A3395" i="3"/>
  <c r="D3394" i="3"/>
  <c r="A3393" i="3"/>
  <c r="A3392" i="3"/>
  <c r="A3391" i="3"/>
  <c r="D3390" i="3"/>
  <c r="A3390" i="3"/>
  <c r="A3389" i="3"/>
  <c r="D3388" i="3"/>
  <c r="D3387" i="3"/>
  <c r="A3387" i="3"/>
  <c r="D3386" i="3"/>
  <c r="A3386" i="3"/>
  <c r="D3385" i="3"/>
  <c r="D3384" i="3"/>
  <c r="A3384" i="3"/>
  <c r="A3383" i="3"/>
  <c r="D3382" i="3"/>
  <c r="D3381" i="3"/>
  <c r="A3381" i="3"/>
  <c r="D3380" i="3"/>
  <c r="D3379" i="3"/>
  <c r="A3379" i="3"/>
  <c r="A3378" i="3"/>
  <c r="A3377" i="3"/>
  <c r="A3376" i="3"/>
  <c r="D3375" i="3"/>
  <c r="A3375" i="3"/>
  <c r="A3374" i="3"/>
  <c r="D3373" i="3"/>
  <c r="D3372" i="3"/>
  <c r="A3372" i="3"/>
  <c r="D3371" i="3"/>
  <c r="A3368" i="3"/>
  <c r="A3366" i="3"/>
  <c r="D3365" i="3"/>
  <c r="A3364" i="3"/>
  <c r="D3363" i="3"/>
  <c r="A3363" i="3"/>
  <c r="A3362" i="3"/>
  <c r="A3361" i="3"/>
  <c r="A3360" i="3"/>
  <c r="D3359" i="3"/>
  <c r="A3358" i="3"/>
  <c r="D3357" i="3"/>
  <c r="D3354" i="3"/>
  <c r="A3353" i="3"/>
  <c r="A3352" i="3"/>
  <c r="D3351" i="3"/>
  <c r="A3351" i="3"/>
  <c r="D3348" i="3"/>
  <c r="A3348" i="3"/>
  <c r="D3347" i="3"/>
  <c r="D3346" i="3"/>
  <c r="D3345" i="3"/>
  <c r="D3344" i="3"/>
  <c r="A3344" i="3"/>
  <c r="D3342" i="3"/>
  <c r="A3342" i="3"/>
  <c r="A3341" i="3"/>
  <c r="D3340" i="3"/>
  <c r="A3340" i="3"/>
  <c r="A3339" i="3"/>
  <c r="A3338" i="3"/>
  <c r="A3336" i="3"/>
  <c r="A3335" i="3"/>
  <c r="A3334" i="3"/>
  <c r="D3331" i="3"/>
  <c r="A3330" i="3"/>
  <c r="D3326" i="3"/>
  <c r="A3324" i="3"/>
  <c r="A3323" i="3"/>
  <c r="D3321" i="3"/>
  <c r="A3321" i="3"/>
  <c r="A3320" i="3"/>
  <c r="D3319" i="3"/>
  <c r="A3318" i="3"/>
  <c r="A3317" i="3"/>
  <c r="D3316" i="3"/>
  <c r="A3316" i="3"/>
  <c r="A3314" i="3"/>
  <c r="A3313" i="3"/>
  <c r="A3312" i="3"/>
  <c r="A3311" i="3"/>
  <c r="A3310" i="3"/>
  <c r="D3309" i="3"/>
  <c r="A3309" i="3"/>
  <c r="A3308" i="3"/>
  <c r="A3307" i="3"/>
  <c r="A3306" i="3"/>
  <c r="D3305" i="3"/>
  <c r="A3305" i="3"/>
  <c r="D3304" i="3"/>
  <c r="D3303" i="3"/>
  <c r="A3303" i="3"/>
  <c r="D3301" i="3"/>
  <c r="A3300" i="3"/>
  <c r="A3299" i="3"/>
  <c r="A3298" i="3"/>
  <c r="A3297" i="3"/>
  <c r="D3295" i="3"/>
  <c r="D3294" i="3"/>
  <c r="A3294" i="3"/>
  <c r="D3293" i="3"/>
  <c r="A3293" i="3"/>
  <c r="D3292" i="3"/>
  <c r="A3292" i="3"/>
  <c r="A3290" i="3"/>
  <c r="A3289" i="3"/>
  <c r="A3288" i="3"/>
  <c r="D3287" i="3"/>
  <c r="A3287" i="3"/>
  <c r="A3286" i="3"/>
  <c r="D3285" i="3"/>
  <c r="A3285" i="3"/>
  <c r="A3284" i="3"/>
  <c r="D3283" i="3"/>
  <c r="A3282" i="3"/>
  <c r="D3281" i="3"/>
  <c r="D3280" i="3"/>
  <c r="A3280" i="3"/>
  <c r="D3276" i="3"/>
  <c r="A3276" i="3"/>
  <c r="A3274" i="3"/>
  <c r="A3269" i="3"/>
  <c r="A3268" i="3"/>
  <c r="A3267" i="3"/>
  <c r="A3257" i="3"/>
  <c r="A3256" i="3"/>
  <c r="D3254" i="3"/>
  <c r="A3254" i="3"/>
  <c r="D3253" i="3"/>
  <c r="A3252" i="3"/>
  <c r="A3247" i="3"/>
  <c r="D3245" i="3"/>
  <c r="A3245" i="3"/>
  <c r="D3244" i="3"/>
  <c r="A3239" i="3"/>
  <c r="D3238" i="3"/>
  <c r="A3238" i="3"/>
  <c r="A3235" i="3"/>
  <c r="A3234" i="3"/>
  <c r="D3233" i="3"/>
  <c r="A3232" i="3"/>
  <c r="D3230" i="3"/>
  <c r="A3225" i="3"/>
  <c r="A3224" i="3"/>
  <c r="A3223" i="3"/>
  <c r="A3220" i="3"/>
  <c r="A3218" i="3"/>
  <c r="D3217" i="3"/>
  <c r="D3215" i="3"/>
  <c r="A3213" i="3"/>
  <c r="D3210" i="3"/>
  <c r="A3210" i="3"/>
  <c r="A3209" i="3"/>
  <c r="D3208" i="3"/>
  <c r="D3206" i="3"/>
  <c r="A3206" i="3"/>
  <c r="A3205" i="3"/>
  <c r="D3204" i="3"/>
  <c r="A3204" i="3"/>
  <c r="A3203" i="3"/>
  <c r="A3201" i="3"/>
  <c r="A3200" i="3"/>
  <c r="A3199" i="3"/>
  <c r="A3198" i="3"/>
  <c r="A3197" i="3"/>
  <c r="D3195" i="3"/>
  <c r="A3195" i="3"/>
  <c r="D3191" i="3"/>
  <c r="A3191" i="3"/>
  <c r="D3190" i="3"/>
  <c r="A3187" i="3"/>
  <c r="A3186" i="3"/>
  <c r="A3185" i="3"/>
  <c r="A3183" i="3"/>
  <c r="A3179" i="3"/>
  <c r="A3178" i="3"/>
  <c r="A3177" i="3"/>
  <c r="A3172" i="3"/>
  <c r="A3171" i="3"/>
  <c r="A3169" i="3"/>
  <c r="A3168" i="3"/>
  <c r="D3162" i="3"/>
  <c r="A3158" i="3"/>
  <c r="A3156" i="3"/>
  <c r="A3155" i="3"/>
  <c r="A3154" i="3"/>
  <c r="A3153" i="3"/>
  <c r="A3152" i="3"/>
  <c r="A3151" i="3"/>
  <c r="A3150" i="3"/>
  <c r="D3149" i="3"/>
  <c r="D3146" i="3"/>
  <c r="D3145" i="3"/>
  <c r="D3144" i="3"/>
  <c r="A3144" i="3"/>
  <c r="A3143" i="3"/>
  <c r="D3142" i="3"/>
  <c r="A3141" i="3"/>
  <c r="A3140" i="3"/>
  <c r="A3139" i="3"/>
  <c r="A3138" i="3"/>
  <c r="D3137" i="3"/>
  <c r="A3135" i="3"/>
  <c r="D3134" i="3"/>
  <c r="A3133" i="3"/>
  <c r="D3131" i="3"/>
  <c r="D3129" i="3"/>
  <c r="A3129" i="3"/>
  <c r="D3128" i="3"/>
  <c r="A3128" i="3"/>
  <c r="A3127" i="3"/>
  <c r="D3126" i="3"/>
  <c r="A3126" i="3"/>
  <c r="D3125" i="3"/>
  <c r="A3125" i="3"/>
  <c r="A3123" i="3"/>
  <c r="A3122" i="3"/>
  <c r="D3121" i="3"/>
  <c r="A3121" i="3"/>
  <c r="D3120" i="3"/>
  <c r="A3120" i="3"/>
  <c r="A3119" i="3"/>
  <c r="D3117" i="3"/>
  <c r="A3113" i="3"/>
  <c r="D3112" i="3"/>
  <c r="A3112" i="3"/>
  <c r="A3111" i="3"/>
  <c r="D3110" i="3"/>
  <c r="D3109" i="3"/>
  <c r="A3108" i="3"/>
  <c r="A3107" i="3"/>
  <c r="A3106" i="3"/>
  <c r="D3105" i="3"/>
  <c r="A3104" i="3"/>
  <c r="A3103" i="3"/>
  <c r="A3102" i="3"/>
  <c r="A3101" i="3"/>
  <c r="D3100" i="3"/>
  <c r="A3099" i="3"/>
  <c r="A3098" i="3"/>
  <c r="D3097" i="3"/>
  <c r="A3096" i="3"/>
  <c r="A3095" i="3"/>
  <c r="D3094" i="3"/>
  <c r="A3094" i="3"/>
  <c r="A3093" i="3"/>
  <c r="A3092" i="3"/>
  <c r="A3091" i="3"/>
  <c r="A3090" i="3"/>
  <c r="A3089" i="3"/>
  <c r="D3088" i="3"/>
  <c r="A3088" i="3"/>
  <c r="A3087" i="3"/>
  <c r="A3086" i="3"/>
  <c r="A3085" i="3"/>
  <c r="D3084" i="3"/>
  <c r="A3084" i="3"/>
  <c r="A3082" i="3"/>
  <c r="D3081" i="3"/>
  <c r="A3080" i="3"/>
  <c r="A3079" i="3"/>
  <c r="A3076" i="3"/>
  <c r="A3075" i="3"/>
  <c r="A3074" i="3"/>
  <c r="A3073" i="3"/>
  <c r="A3072" i="3"/>
  <c r="A3071" i="3"/>
  <c r="A3070" i="3"/>
  <c r="A3069" i="3"/>
  <c r="D3067" i="3"/>
  <c r="A3067" i="3"/>
  <c r="A3066" i="3"/>
  <c r="A3065" i="3"/>
  <c r="D3064" i="3"/>
  <c r="A3064" i="3"/>
  <c r="A3063" i="3"/>
  <c r="A3062" i="3"/>
  <c r="A3061" i="3"/>
  <c r="A3060" i="3"/>
  <c r="A3059" i="3"/>
  <c r="A3058" i="3"/>
  <c r="D3057" i="3"/>
  <c r="A3057" i="3"/>
  <c r="A3056" i="3"/>
  <c r="A3055" i="3"/>
  <c r="A3054" i="3"/>
  <c r="A3053" i="3"/>
  <c r="A3052" i="3"/>
  <c r="D3050" i="3"/>
  <c r="A3050" i="3"/>
  <c r="A3049" i="3"/>
  <c r="A3048" i="3"/>
  <c r="A3047" i="3"/>
  <c r="A3046" i="3"/>
  <c r="A3045" i="3"/>
  <c r="A3044" i="3"/>
  <c r="A3043" i="3"/>
  <c r="A3042" i="3"/>
  <c r="D3041" i="3"/>
  <c r="D3040" i="3"/>
  <c r="A3040" i="3"/>
  <c r="A3039" i="3"/>
  <c r="A3038" i="3"/>
  <c r="D3037" i="3"/>
  <c r="A3036" i="3"/>
  <c r="A3035" i="3"/>
  <c r="D3034" i="3"/>
  <c r="A3033" i="3"/>
  <c r="A3032" i="3"/>
  <c r="A3031" i="3"/>
  <c r="D3030" i="3"/>
  <c r="A3030" i="3"/>
  <c r="D3029" i="3"/>
  <c r="A3029" i="3"/>
  <c r="A3028" i="3"/>
  <c r="D3027" i="3"/>
  <c r="A3027" i="3"/>
  <c r="A3026" i="3"/>
  <c r="A3025" i="3"/>
  <c r="D3024" i="3"/>
  <c r="A3023" i="3"/>
  <c r="A3022" i="3"/>
  <c r="D3021" i="3"/>
  <c r="A3021" i="3"/>
  <c r="D3020" i="3"/>
  <c r="A3020" i="3"/>
  <c r="D3018" i="3"/>
  <c r="A3018" i="3"/>
  <c r="A3017" i="3"/>
  <c r="D3016" i="3"/>
  <c r="A3016" i="3"/>
  <c r="D3015" i="3"/>
  <c r="A3015" i="3"/>
  <c r="D3014" i="3"/>
  <c r="A3014" i="3"/>
  <c r="D3013" i="3"/>
  <c r="D3012" i="3"/>
  <c r="A3012" i="3"/>
  <c r="D3011" i="3"/>
  <c r="A3011" i="3"/>
  <c r="D3010" i="3"/>
  <c r="A3008" i="3"/>
  <c r="A3007" i="3"/>
  <c r="A3005" i="3"/>
  <c r="D3004" i="3"/>
  <c r="A3003" i="3"/>
  <c r="A3002" i="3"/>
  <c r="A3001" i="3"/>
  <c r="A3000" i="3"/>
  <c r="D2999" i="3"/>
  <c r="A2998" i="3"/>
  <c r="A2997" i="3"/>
  <c r="A2996" i="3"/>
  <c r="D2995" i="3"/>
  <c r="A2995" i="3"/>
  <c r="A2994" i="3"/>
  <c r="A2993" i="3"/>
  <c r="A2992" i="3"/>
  <c r="A2991" i="3"/>
  <c r="A2990" i="3"/>
  <c r="D2989" i="3"/>
  <c r="A2989" i="3"/>
  <c r="D2988" i="3"/>
  <c r="A2987" i="3"/>
  <c r="A2986" i="3"/>
  <c r="A2985" i="3"/>
  <c r="A2984" i="3"/>
  <c r="A2983" i="3"/>
  <c r="A2982" i="3"/>
  <c r="A2981" i="3"/>
  <c r="A2980" i="3"/>
  <c r="A2979" i="3"/>
  <c r="A2978" i="3"/>
  <c r="D2977" i="3"/>
  <c r="D2976" i="3"/>
  <c r="A2976" i="3"/>
  <c r="D2975" i="3"/>
  <c r="A2975" i="3"/>
  <c r="A2974" i="3"/>
  <c r="A2973" i="3"/>
  <c r="D2972" i="3"/>
  <c r="A2972" i="3"/>
  <c r="D2971" i="3"/>
  <c r="A2971" i="3"/>
  <c r="D2970" i="3"/>
  <c r="A2969" i="3"/>
  <c r="A2968" i="3"/>
  <c r="D2967" i="3"/>
  <c r="A2967" i="3"/>
  <c r="A2966" i="3"/>
  <c r="A2964" i="3"/>
  <c r="D2963" i="3"/>
  <c r="A2963" i="3"/>
  <c r="D2962" i="3"/>
  <c r="A2962" i="3"/>
  <c r="D2961" i="3"/>
  <c r="A2961" i="3"/>
  <c r="A2960" i="3"/>
  <c r="A2959" i="3"/>
  <c r="A2958" i="3"/>
  <c r="A2957" i="3"/>
  <c r="A2955" i="3"/>
  <c r="A2954" i="3"/>
  <c r="A2953" i="3"/>
  <c r="A2950" i="3"/>
  <c r="A2949" i="3"/>
  <c r="A2948" i="3"/>
  <c r="A2947" i="3"/>
  <c r="D2946" i="3"/>
  <c r="A2945" i="3"/>
  <c r="D2944" i="3"/>
  <c r="A2943" i="3"/>
  <c r="D2942" i="3"/>
  <c r="A2941" i="3"/>
  <c r="D2940" i="3"/>
  <c r="A2939" i="3"/>
  <c r="D2938" i="3"/>
  <c r="A2938" i="3"/>
  <c r="D2937" i="3"/>
  <c r="A2937" i="3"/>
  <c r="D2936" i="3"/>
  <c r="A2936" i="3"/>
  <c r="A2935" i="3"/>
  <c r="D2934" i="3"/>
  <c r="A2934" i="3"/>
  <c r="A2932" i="3"/>
  <c r="A2931" i="3"/>
  <c r="A2930" i="3"/>
  <c r="D2929" i="3"/>
  <c r="A2929" i="3"/>
  <c r="A2928" i="3"/>
  <c r="A2927" i="3"/>
  <c r="A2925" i="3"/>
  <c r="A2924" i="3"/>
  <c r="D2922" i="3"/>
  <c r="D2921" i="3"/>
  <c r="A2921" i="3"/>
  <c r="D2920" i="3"/>
  <c r="A2920" i="3"/>
  <c r="D2919" i="3"/>
  <c r="D2918" i="3"/>
  <c r="A2918" i="3"/>
  <c r="D2917" i="3"/>
  <c r="A2917" i="3"/>
  <c r="D2916" i="3"/>
  <c r="A2916" i="3"/>
  <c r="D2915" i="3"/>
  <c r="A2915" i="3"/>
  <c r="A2914" i="3"/>
  <c r="A2913" i="3"/>
  <c r="A2912" i="3"/>
  <c r="A2911" i="3"/>
  <c r="A2909" i="3"/>
  <c r="A2908" i="3"/>
  <c r="A2907" i="3"/>
  <c r="A2906" i="3"/>
  <c r="A2905" i="3"/>
  <c r="D2904" i="3"/>
  <c r="A2904" i="3"/>
  <c r="D2903" i="3"/>
  <c r="A2903" i="3"/>
  <c r="D2902" i="3"/>
  <c r="A2902" i="3"/>
  <c r="A2901" i="3"/>
  <c r="A2900" i="3"/>
  <c r="D2899" i="3"/>
  <c r="A2899" i="3"/>
  <c r="D2898" i="3"/>
  <c r="A2898" i="3"/>
  <c r="D2897" i="3"/>
  <c r="D2895" i="3"/>
  <c r="A2895" i="3"/>
  <c r="D2894" i="3"/>
  <c r="A2893" i="3"/>
  <c r="A2892" i="3"/>
  <c r="A2891" i="3"/>
  <c r="A2890" i="3"/>
  <c r="D2889" i="3"/>
  <c r="A2889" i="3"/>
  <c r="D2888" i="3"/>
  <c r="A2887" i="3"/>
  <c r="A2885" i="3"/>
  <c r="A2884" i="3"/>
  <c r="D2883" i="3"/>
  <c r="A2883" i="3"/>
  <c r="D2882" i="3"/>
  <c r="D2881" i="3"/>
  <c r="A2881" i="3"/>
  <c r="D2880" i="3"/>
  <c r="A2880" i="3"/>
  <c r="D2879" i="3"/>
  <c r="A2879" i="3"/>
  <c r="D2878" i="3"/>
  <c r="D2877" i="3"/>
  <c r="A2877" i="3"/>
  <c r="A2876" i="3"/>
  <c r="D2875" i="3"/>
  <c r="A2874" i="3"/>
  <c r="A2873" i="3"/>
  <c r="D2872" i="3"/>
  <c r="A2872" i="3"/>
  <c r="D2871" i="3"/>
  <c r="D2870" i="3"/>
  <c r="A2869" i="3"/>
  <c r="D2868" i="3"/>
  <c r="A2868" i="3"/>
  <c r="D2867" i="3"/>
  <c r="A2867" i="3"/>
  <c r="D2866" i="3"/>
  <c r="A2865" i="3"/>
  <c r="D2864" i="3"/>
  <c r="A2863" i="3"/>
  <c r="A2862" i="3"/>
  <c r="A2861" i="3"/>
  <c r="D2860" i="3"/>
  <c r="D2859" i="3"/>
  <c r="A2859" i="3"/>
  <c r="D2858" i="3"/>
  <c r="A2858" i="3"/>
  <c r="D2857" i="3"/>
  <c r="A2857" i="3"/>
  <c r="A2856" i="3"/>
  <c r="D2855" i="3"/>
  <c r="A2855" i="3"/>
  <c r="D2854" i="3"/>
  <c r="D2852" i="3"/>
  <c r="A2851" i="3"/>
  <c r="A2850" i="3"/>
  <c r="A2849" i="3"/>
  <c r="D2847" i="3"/>
  <c r="A2846" i="3"/>
  <c r="D2845" i="3"/>
  <c r="A2844" i="3"/>
  <c r="A2842" i="3"/>
  <c r="D2841" i="3"/>
  <c r="A2839" i="3"/>
  <c r="D2838" i="3"/>
  <c r="A2837" i="3"/>
  <c r="A2835" i="3"/>
  <c r="A2833" i="3"/>
  <c r="A2831" i="3"/>
  <c r="A2829" i="3"/>
  <c r="A2828" i="3"/>
  <c r="A2827" i="3"/>
  <c r="A2826" i="3"/>
  <c r="D2825" i="3"/>
  <c r="A2825" i="3"/>
  <c r="A2824" i="3"/>
  <c r="A2822" i="3"/>
  <c r="D2821" i="3"/>
  <c r="D2820" i="3"/>
  <c r="A2820" i="3"/>
  <c r="A2819" i="3"/>
  <c r="A2816" i="3"/>
  <c r="A2815" i="3"/>
  <c r="D2814" i="3"/>
  <c r="A2813" i="3"/>
  <c r="A2812" i="3"/>
  <c r="A2811" i="3"/>
  <c r="D2810" i="3"/>
  <c r="A2809" i="3"/>
  <c r="D2808" i="3"/>
  <c r="A2807" i="3"/>
  <c r="D2806" i="3"/>
  <c r="A2806" i="3"/>
  <c r="D2805" i="3"/>
  <c r="A2805" i="3"/>
  <c r="A2804" i="3"/>
  <c r="D2803" i="3"/>
  <c r="A2803" i="3"/>
  <c r="D2802" i="3"/>
  <c r="A2802" i="3"/>
  <c r="A2801" i="3"/>
  <c r="A2800" i="3"/>
  <c r="A2799" i="3"/>
  <c r="A2798" i="3"/>
  <c r="A2797" i="3"/>
  <c r="A2796" i="3"/>
  <c r="A2795" i="3"/>
  <c r="D2794" i="3"/>
  <c r="D2793" i="3"/>
  <c r="A2793" i="3"/>
  <c r="A2792" i="3"/>
  <c r="A2791" i="3"/>
  <c r="A2790" i="3"/>
  <c r="A2789" i="3"/>
  <c r="D2788" i="3"/>
  <c r="A2787" i="3"/>
  <c r="A2786" i="3"/>
  <c r="D2785" i="3"/>
  <c r="A2785" i="3"/>
  <c r="D2784" i="3"/>
  <c r="A2784" i="3"/>
  <c r="A2783" i="3"/>
  <c r="A2782" i="3"/>
  <c r="D2781" i="3"/>
  <c r="A2780" i="3"/>
  <c r="A2779" i="3"/>
  <c r="D2778" i="3"/>
  <c r="D2777" i="3"/>
  <c r="A2777" i="3"/>
  <c r="D2776" i="3"/>
  <c r="A2775" i="3"/>
  <c r="A2774" i="3"/>
  <c r="D2773" i="3"/>
  <c r="D2772" i="3"/>
  <c r="D2771" i="3"/>
  <c r="A2771" i="3"/>
  <c r="D2770" i="3"/>
  <c r="A2770" i="3"/>
  <c r="D2769" i="3"/>
  <c r="A2767" i="3"/>
  <c r="A2766" i="3"/>
  <c r="D2765" i="3"/>
  <c r="A2765" i="3"/>
  <c r="D2763" i="3"/>
  <c r="A2762" i="3"/>
  <c r="D2760" i="3"/>
  <c r="D2759" i="3"/>
  <c r="D2758" i="3"/>
  <c r="A2757" i="3"/>
  <c r="A2756" i="3"/>
  <c r="A2755" i="3"/>
  <c r="D2751" i="3"/>
  <c r="A2751" i="3"/>
  <c r="A2750" i="3"/>
  <c r="A2749" i="3"/>
  <c r="A2746" i="3"/>
  <c r="A2744" i="3"/>
  <c r="A2743" i="3"/>
  <c r="D2738" i="3"/>
  <c r="A2738" i="3"/>
  <c r="A2737" i="3"/>
  <c r="A2734" i="3"/>
  <c r="A2728" i="3"/>
  <c r="D2724" i="3"/>
  <c r="A2724" i="3"/>
  <c r="D2720" i="3"/>
  <c r="D2719" i="3"/>
  <c r="A2719" i="3"/>
  <c r="D2718" i="3"/>
  <c r="A2718" i="3"/>
  <c r="D2716" i="3"/>
  <c r="A2709" i="3"/>
  <c r="A2708" i="3"/>
  <c r="D2707" i="3"/>
  <c r="A2707" i="3"/>
  <c r="A2706" i="3"/>
  <c r="D2705" i="3"/>
  <c r="D2703" i="3"/>
  <c r="D2702" i="3"/>
  <c r="D2701" i="3"/>
  <c r="D2700" i="3"/>
  <c r="A2694" i="3"/>
  <c r="A2693" i="3"/>
  <c r="A2687" i="3"/>
  <c r="A2686" i="3"/>
  <c r="D2684" i="3"/>
  <c r="D2683" i="3"/>
  <c r="D2676" i="3"/>
  <c r="A2676" i="3"/>
  <c r="A2675" i="3"/>
  <c r="A2672" i="3"/>
  <c r="A2670" i="3"/>
  <c r="D2669" i="3"/>
  <c r="A2669" i="3"/>
  <c r="D2668" i="3"/>
  <c r="A2665" i="3"/>
  <c r="A2664" i="3"/>
  <c r="A2662" i="3"/>
  <c r="A2661" i="3"/>
  <c r="A2660" i="3"/>
  <c r="A2655" i="3"/>
  <c r="A2650" i="3"/>
  <c r="A2649" i="3"/>
  <c r="A2648" i="3"/>
  <c r="D2645" i="3"/>
  <c r="A2645" i="3"/>
  <c r="A2644" i="3"/>
  <c r="A2643" i="3"/>
  <c r="D2641" i="3"/>
  <c r="A2640" i="3"/>
  <c r="D2639" i="3"/>
  <c r="A2638" i="3"/>
  <c r="A2637" i="3"/>
  <c r="A2636" i="3"/>
  <c r="A2633" i="3"/>
  <c r="D2630" i="3"/>
  <c r="D2624" i="3"/>
  <c r="A2624" i="3"/>
  <c r="A2622" i="3"/>
  <c r="A2620" i="3"/>
  <c r="A2619" i="3"/>
  <c r="A2618" i="3"/>
  <c r="D2616" i="3"/>
  <c r="A2611" i="3"/>
  <c r="A2610" i="3"/>
  <c r="D2609" i="3"/>
  <c r="A2609" i="3"/>
  <c r="A2607" i="3"/>
  <c r="A2604" i="3"/>
  <c r="A2603" i="3"/>
  <c r="A2599" i="3"/>
  <c r="A2598" i="3"/>
  <c r="A2597" i="3"/>
  <c r="D2596" i="3"/>
  <c r="A2596" i="3"/>
  <c r="A2595" i="3"/>
  <c r="D2591" i="3"/>
  <c r="A2590" i="3"/>
  <c r="A2589" i="3"/>
  <c r="A2588" i="3"/>
  <c r="A2587" i="3"/>
  <c r="A2576" i="3"/>
  <c r="A2575" i="3"/>
  <c r="A2568" i="3"/>
  <c r="A2566" i="3"/>
  <c r="A2565" i="3"/>
  <c r="D2564" i="3"/>
  <c r="A2562" i="3"/>
  <c r="D2561" i="3"/>
  <c r="D2560" i="3"/>
  <c r="A2560" i="3"/>
  <c r="A2559" i="3"/>
  <c r="A2555" i="3"/>
  <c r="A2550" i="3"/>
  <c r="A2549" i="3"/>
  <c r="A2546" i="3"/>
  <c r="D2545" i="3"/>
  <c r="D2543" i="3"/>
  <c r="A2542" i="3"/>
  <c r="A2540" i="3"/>
  <c r="A2536" i="3"/>
  <c r="A2535" i="3"/>
  <c r="D2533" i="3"/>
  <c r="A2532" i="3"/>
  <c r="A2528" i="3"/>
  <c r="A2527" i="3"/>
  <c r="A2526" i="3"/>
  <c r="A2525" i="3"/>
  <c r="D2523" i="3"/>
  <c r="A2523" i="3"/>
  <c r="A2521" i="3"/>
  <c r="D2520" i="3"/>
  <c r="A2520" i="3"/>
  <c r="A2519" i="3"/>
  <c r="D2517" i="3"/>
  <c r="A2517" i="3"/>
  <c r="A2515" i="3"/>
  <c r="D2514" i="3"/>
  <c r="A2514" i="3"/>
  <c r="A2512" i="3"/>
  <c r="A2511" i="3"/>
  <c r="A2510" i="3"/>
  <c r="A2509" i="3"/>
  <c r="A2508" i="3"/>
  <c r="A2507" i="3"/>
  <c r="A2506" i="3"/>
  <c r="D2505" i="3"/>
  <c r="A2505" i="3"/>
  <c r="A2504" i="3"/>
  <c r="A2503" i="3"/>
  <c r="A2502" i="3"/>
  <c r="A2501" i="3"/>
  <c r="A2500" i="3"/>
  <c r="A2499" i="3"/>
  <c r="A2498" i="3"/>
  <c r="A2497" i="3"/>
  <c r="D2496" i="3"/>
  <c r="A2496" i="3"/>
  <c r="D2495" i="3"/>
  <c r="A2495" i="3"/>
  <c r="D2494" i="3"/>
  <c r="A2494" i="3"/>
  <c r="A2492" i="3"/>
  <c r="A2491" i="3"/>
  <c r="A2490" i="3"/>
  <c r="A2489" i="3"/>
  <c r="D2485" i="3"/>
  <c r="D2483" i="3"/>
  <c r="D2481" i="3"/>
  <c r="A2479" i="3"/>
  <c r="A2474" i="3"/>
  <c r="A2472" i="3"/>
  <c r="A2471" i="3"/>
  <c r="A2470" i="3"/>
  <c r="A2469" i="3"/>
  <c r="D2468" i="3"/>
  <c r="D2467" i="3"/>
  <c r="A2466" i="3"/>
  <c r="D2462" i="3"/>
  <c r="A2461" i="3"/>
  <c r="D2457" i="3"/>
  <c r="D2454" i="3"/>
  <c r="D2453" i="3"/>
  <c r="A2453" i="3"/>
  <c r="D2452" i="3"/>
  <c r="A2449" i="3"/>
  <c r="D2447" i="3"/>
  <c r="A2447" i="3"/>
  <c r="A2445" i="3"/>
  <c r="A2442" i="3"/>
  <c r="A2441" i="3"/>
  <c r="A2440" i="3"/>
  <c r="A2438" i="3"/>
  <c r="D2437" i="3"/>
  <c r="A2437" i="3"/>
  <c r="D2435" i="3"/>
  <c r="D2434" i="3"/>
  <c r="A2432" i="3"/>
  <c r="A2431" i="3"/>
  <c r="D2430" i="3"/>
  <c r="D2429" i="3"/>
  <c r="A2428" i="3"/>
  <c r="D2427" i="3"/>
  <c r="A2427" i="3"/>
  <c r="A2426" i="3"/>
  <c r="A2422" i="3"/>
  <c r="A2421" i="3"/>
  <c r="D2420" i="3"/>
  <c r="A2420" i="3"/>
  <c r="A2419" i="3"/>
  <c r="D2418" i="3"/>
  <c r="A2418" i="3"/>
  <c r="A2417" i="3"/>
  <c r="D2416" i="3"/>
  <c r="D2415" i="3"/>
  <c r="A2415" i="3"/>
  <c r="A2414" i="3"/>
  <c r="D2413" i="3"/>
  <c r="D2412" i="3"/>
  <c r="D2411" i="3"/>
  <c r="D2410" i="3"/>
  <c r="A2410" i="3"/>
  <c r="D2409" i="3"/>
  <c r="A2408" i="3"/>
  <c r="A2407" i="3"/>
  <c r="A2405" i="3"/>
  <c r="A2404" i="3"/>
  <c r="A2403" i="3"/>
  <c r="A2401" i="3"/>
  <c r="A2400" i="3"/>
  <c r="A2399" i="3"/>
  <c r="A2398" i="3"/>
  <c r="A2397" i="3"/>
  <c r="D2396" i="3"/>
  <c r="A2396" i="3"/>
  <c r="A2395" i="3"/>
  <c r="D2394" i="3"/>
  <c r="A2393" i="3"/>
  <c r="D2392" i="3"/>
  <c r="D2391" i="3"/>
  <c r="D2390" i="3"/>
  <c r="A2389" i="3"/>
  <c r="A2387" i="3"/>
  <c r="A2385" i="3"/>
  <c r="D2384" i="3"/>
  <c r="D2383" i="3"/>
  <c r="A2382" i="3"/>
  <c r="A2381" i="3"/>
  <c r="A2380" i="3"/>
  <c r="A2379" i="3"/>
  <c r="A2377" i="3"/>
  <c r="A2376" i="3"/>
  <c r="A2375" i="3"/>
  <c r="A2374" i="3"/>
  <c r="D2373" i="3"/>
  <c r="D2372" i="3"/>
  <c r="A2370" i="3"/>
  <c r="D2369" i="3"/>
  <c r="A2368" i="3"/>
  <c r="A2366" i="3"/>
  <c r="D2365" i="3"/>
  <c r="A2365" i="3"/>
  <c r="A2364" i="3"/>
  <c r="A2361" i="3"/>
  <c r="A2360" i="3"/>
  <c r="A2359" i="3"/>
  <c r="D2358" i="3"/>
  <c r="A2358" i="3"/>
  <c r="A2357" i="3"/>
  <c r="D2356" i="3"/>
  <c r="A2354" i="3"/>
  <c r="D2353" i="3"/>
  <c r="A2352" i="3"/>
  <c r="D2351" i="3"/>
  <c r="A2351" i="3"/>
  <c r="D2350" i="3"/>
  <c r="A2350" i="3"/>
  <c r="D2348" i="3"/>
  <c r="D2347" i="3"/>
  <c r="A2347" i="3"/>
  <c r="D2346" i="3"/>
  <c r="A2346" i="3"/>
  <c r="D2345" i="3"/>
  <c r="D2344" i="3"/>
  <c r="A2343" i="3"/>
  <c r="D2342" i="3"/>
  <c r="D2341" i="3"/>
  <c r="A2341" i="3"/>
  <c r="A2340" i="3"/>
  <c r="D2339" i="3"/>
  <c r="A2339" i="3"/>
  <c r="A2338" i="3"/>
  <c r="D2337" i="3"/>
  <c r="A2336" i="3"/>
  <c r="D2335" i="3"/>
  <c r="A2335" i="3"/>
  <c r="D2334" i="3"/>
  <c r="D2333" i="3"/>
  <c r="A2333" i="3"/>
  <c r="A2332" i="3"/>
  <c r="A2330" i="3"/>
  <c r="D2329" i="3"/>
  <c r="D2327" i="3"/>
  <c r="D2326" i="3"/>
  <c r="D2325" i="3"/>
  <c r="D2324" i="3"/>
  <c r="A2323" i="3"/>
  <c r="D2322" i="3"/>
  <c r="A2322" i="3"/>
  <c r="D2321" i="3"/>
  <c r="D2320" i="3"/>
  <c r="D2319" i="3"/>
  <c r="A2319" i="3"/>
  <c r="D2318" i="3"/>
  <c r="D2317" i="3"/>
  <c r="A2316" i="3"/>
  <c r="D2315" i="3"/>
  <c r="D2314" i="3"/>
  <c r="A2314" i="3"/>
  <c r="A2313" i="3"/>
  <c r="A2312" i="3"/>
  <c r="A2311" i="3"/>
  <c r="A2310" i="3"/>
  <c r="A2309" i="3"/>
  <c r="A2308" i="3"/>
  <c r="A2307" i="3"/>
  <c r="A2306" i="3"/>
  <c r="A2304" i="3"/>
  <c r="D2303" i="3"/>
  <c r="A2303" i="3"/>
  <c r="A2302" i="3"/>
  <c r="A2301" i="3"/>
  <c r="D2300" i="3"/>
  <c r="A2300" i="3"/>
  <c r="A2299" i="3"/>
  <c r="D2298" i="3"/>
  <c r="A2298" i="3"/>
  <c r="A2297" i="3"/>
  <c r="A2296" i="3"/>
  <c r="D2295" i="3"/>
  <c r="A2294" i="3"/>
  <c r="A2293" i="3"/>
  <c r="D2292" i="3"/>
  <c r="A2292" i="3"/>
  <c r="D2290" i="3"/>
  <c r="A2289" i="3"/>
  <c r="A2288" i="3"/>
  <c r="A2287" i="3"/>
  <c r="A2286" i="3"/>
  <c r="D2285" i="3"/>
  <c r="D2284" i="3"/>
  <c r="A2284" i="3"/>
  <c r="A2283" i="3"/>
  <c r="D2282" i="3"/>
  <c r="A2282" i="3"/>
  <c r="D2281" i="3"/>
  <c r="A2281" i="3"/>
  <c r="D2280" i="3"/>
  <c r="D2279" i="3"/>
  <c r="A2277" i="3"/>
  <c r="A2276" i="3"/>
  <c r="A2275" i="3"/>
  <c r="D2273" i="3"/>
  <c r="D2272" i="3"/>
  <c r="A2272" i="3"/>
  <c r="D2269" i="3"/>
  <c r="A2268" i="3"/>
  <c r="A2267" i="3"/>
  <c r="D2264" i="3"/>
  <c r="D2263" i="3"/>
  <c r="A2262" i="3"/>
  <c r="A2261" i="3"/>
  <c r="A2260" i="3"/>
  <c r="A2259" i="3"/>
  <c r="D2258" i="3"/>
  <c r="A2258" i="3"/>
  <c r="A2257" i="3"/>
  <c r="D2256" i="3"/>
  <c r="D2255" i="3"/>
  <c r="A2255" i="3"/>
  <c r="A2254" i="3"/>
  <c r="A2253" i="3"/>
  <c r="D2252" i="3"/>
  <c r="A2252" i="3"/>
  <c r="A2251" i="3"/>
  <c r="A2250" i="3"/>
  <c r="A2249" i="3"/>
  <c r="A2248" i="3"/>
  <c r="D2247" i="3"/>
  <c r="A2246" i="3"/>
  <c r="D2245" i="3"/>
  <c r="A2245" i="3"/>
  <c r="D2244" i="3"/>
  <c r="A2243" i="3"/>
  <c r="A2242" i="3"/>
  <c r="A2241" i="3"/>
  <c r="D2240" i="3"/>
  <c r="A2240" i="3"/>
  <c r="D2239" i="3"/>
  <c r="D2238" i="3"/>
  <c r="A2238" i="3"/>
  <c r="A2237" i="3"/>
  <c r="D2235" i="3"/>
  <c r="D2234" i="3"/>
  <c r="A2233" i="3"/>
  <c r="A2232" i="3"/>
  <c r="A2231" i="3"/>
  <c r="A2230" i="3"/>
  <c r="A2229" i="3"/>
  <c r="A2228" i="3"/>
  <c r="A2227" i="3"/>
  <c r="A2225" i="3"/>
  <c r="A2224" i="3"/>
  <c r="D2223" i="3"/>
  <c r="D2222" i="3"/>
  <c r="A2222" i="3"/>
  <c r="D2221" i="3"/>
  <c r="D2220" i="3"/>
  <c r="A2220" i="3"/>
  <c r="A2219" i="3"/>
  <c r="D2218" i="3"/>
  <c r="A2218" i="3"/>
  <c r="A2217" i="3"/>
  <c r="D2216" i="3"/>
  <c r="A2216" i="3"/>
  <c r="D2215" i="3"/>
  <c r="D2214" i="3"/>
  <c r="A2213" i="3"/>
  <c r="D2212" i="3"/>
  <c r="A2212" i="3"/>
  <c r="A2211" i="3"/>
  <c r="D2210" i="3"/>
  <c r="A2210" i="3"/>
  <c r="A2209" i="3"/>
  <c r="A2208" i="3"/>
  <c r="D2206" i="3"/>
  <c r="A2205" i="3"/>
  <c r="D2204" i="3"/>
  <c r="A2204" i="3"/>
  <c r="A2203" i="3"/>
  <c r="A2202" i="3"/>
  <c r="A2201" i="3"/>
  <c r="D2200" i="3"/>
  <c r="A2200" i="3"/>
  <c r="A2198" i="3"/>
  <c r="A2197" i="3"/>
  <c r="A2194" i="3"/>
  <c r="D2193" i="3"/>
  <c r="A2192" i="3"/>
  <c r="D2191" i="3"/>
  <c r="A2191" i="3"/>
  <c r="A2189" i="3"/>
  <c r="A2188" i="3"/>
  <c r="D2187" i="3"/>
  <c r="A2187" i="3"/>
  <c r="A2186" i="3"/>
  <c r="A2185" i="3"/>
  <c r="A2184" i="3"/>
  <c r="A2182" i="3"/>
  <c r="D2181" i="3"/>
  <c r="D2180" i="3"/>
  <c r="A2180" i="3"/>
  <c r="D2179" i="3"/>
  <c r="A2179" i="3"/>
  <c r="D2178" i="3"/>
  <c r="A2177" i="3"/>
  <c r="A2176" i="3"/>
  <c r="A2175" i="3"/>
  <c r="A2174" i="3"/>
  <c r="A2173" i="3"/>
  <c r="D2172" i="3"/>
  <c r="A2171" i="3"/>
  <c r="A2170" i="3"/>
  <c r="A2169" i="3"/>
  <c r="A2168" i="3"/>
  <c r="A2167" i="3"/>
  <c r="D2166" i="3"/>
  <c r="A2166" i="3"/>
  <c r="D2165" i="3"/>
  <c r="A2165" i="3"/>
  <c r="D2164" i="3"/>
  <c r="D2163" i="3"/>
  <c r="A2163" i="3"/>
  <c r="A2162" i="3"/>
  <c r="D2161" i="3"/>
  <c r="A2161" i="3"/>
  <c r="D2160" i="3"/>
  <c r="A2159" i="3"/>
  <c r="A2158" i="3"/>
  <c r="D2157" i="3"/>
  <c r="A2157" i="3"/>
  <c r="D2156" i="3"/>
  <c r="A2156" i="3"/>
  <c r="D2155" i="3"/>
  <c r="D2154" i="3"/>
  <c r="A2154" i="3"/>
  <c r="D2153" i="3"/>
  <c r="A2153" i="3"/>
  <c r="D2152" i="3"/>
  <c r="A2151" i="3"/>
  <c r="D2150" i="3"/>
  <c r="A2149" i="3"/>
  <c r="D2148" i="3"/>
  <c r="D2147" i="3"/>
  <c r="A2146" i="3"/>
  <c r="D2144" i="3"/>
  <c r="D2143" i="3"/>
  <c r="A2143" i="3"/>
  <c r="D2142" i="3"/>
  <c r="A2142" i="3"/>
  <c r="A2140" i="3"/>
  <c r="A2138" i="3"/>
  <c r="D2137" i="3"/>
  <c r="D2136" i="3"/>
  <c r="A2135" i="3"/>
  <c r="A2134" i="3"/>
  <c r="A2133" i="3"/>
  <c r="D2132" i="3"/>
  <c r="A2132" i="3"/>
  <c r="D2131" i="3"/>
  <c r="A2131" i="3"/>
  <c r="D2130" i="3"/>
  <c r="D2129" i="3"/>
  <c r="A2129" i="3"/>
  <c r="D2128" i="3"/>
  <c r="A2128" i="3"/>
  <c r="A2127" i="3"/>
  <c r="A2126" i="3"/>
  <c r="A2125" i="3"/>
  <c r="D2124" i="3"/>
  <c r="D2123" i="3"/>
  <c r="D2122" i="3"/>
  <c r="A2122" i="3"/>
  <c r="D2121" i="3"/>
  <c r="A2121" i="3"/>
  <c r="D2120" i="3"/>
  <c r="D2119" i="3"/>
  <c r="A2118" i="3"/>
  <c r="D2117" i="3"/>
  <c r="A2116" i="3"/>
  <c r="A2115" i="3"/>
  <c r="A2114" i="3"/>
  <c r="D2112" i="3"/>
  <c r="A2112" i="3"/>
  <c r="A2111" i="3"/>
  <c r="D2110" i="3"/>
  <c r="A2110" i="3"/>
  <c r="A2109" i="3"/>
  <c r="D2108" i="3"/>
  <c r="A2107" i="3"/>
  <c r="A2106" i="3"/>
  <c r="A2105" i="3"/>
  <c r="A2104" i="3"/>
  <c r="D2102" i="3"/>
  <c r="A2101" i="3"/>
  <c r="A2100" i="3"/>
  <c r="D2099" i="3"/>
  <c r="A2098" i="3"/>
  <c r="D2097" i="3"/>
  <c r="A2096" i="3"/>
  <c r="A2095" i="3"/>
  <c r="D2093" i="3"/>
  <c r="A2093" i="3"/>
  <c r="A2092" i="3"/>
  <c r="D2091" i="3"/>
  <c r="A2091" i="3"/>
  <c r="A2090" i="3"/>
  <c r="A2089" i="3"/>
  <c r="A2087" i="3"/>
  <c r="D2086" i="3"/>
  <c r="A2086" i="3"/>
  <c r="D2084" i="3"/>
  <c r="A2083" i="3"/>
  <c r="A2082" i="3"/>
  <c r="A2081" i="3"/>
  <c r="D2075" i="3"/>
  <c r="A2073" i="3"/>
  <c r="A2071" i="3"/>
  <c r="D2070" i="3"/>
  <c r="A2070" i="3"/>
  <c r="D2069" i="3"/>
  <c r="A2068" i="3"/>
  <c r="A2067" i="3"/>
  <c r="A2066" i="3"/>
  <c r="A2065" i="3"/>
  <c r="D2064" i="3"/>
  <c r="D2063" i="3"/>
  <c r="D2062" i="3"/>
  <c r="A2062" i="3"/>
  <c r="A2061" i="3"/>
  <c r="A2060" i="3"/>
  <c r="A2059" i="3"/>
  <c r="A2058" i="3"/>
  <c r="A2057" i="3"/>
  <c r="D2056" i="3"/>
  <c r="D2055" i="3"/>
  <c r="A2055" i="3"/>
  <c r="D2054" i="3"/>
  <c r="A2054" i="3"/>
  <c r="A2053" i="3"/>
  <c r="D2052" i="3"/>
  <c r="A2052" i="3"/>
  <c r="A2051" i="3"/>
  <c r="A2050" i="3"/>
  <c r="D2048" i="3"/>
  <c r="D2047" i="3"/>
  <c r="D2046" i="3"/>
  <c r="A2046" i="3"/>
  <c r="D2045" i="3"/>
  <c r="A2045" i="3"/>
  <c r="A2044" i="3"/>
  <c r="A2043" i="3"/>
  <c r="A2042" i="3"/>
  <c r="A2041" i="3"/>
  <c r="D2040" i="3"/>
  <c r="D2039" i="3"/>
  <c r="A2039" i="3"/>
  <c r="A2038" i="3"/>
  <c r="A2037" i="3"/>
  <c r="A2036" i="3"/>
  <c r="D2035" i="3"/>
  <c r="D2034" i="3"/>
  <c r="D2033" i="3"/>
  <c r="D2032" i="3"/>
  <c r="D2031" i="3"/>
  <c r="A2030" i="3"/>
  <c r="A2029" i="3"/>
  <c r="A2027" i="3"/>
  <c r="D2026" i="3"/>
  <c r="A2025" i="3"/>
  <c r="A2023" i="3"/>
  <c r="D2022" i="3"/>
  <c r="A2021" i="3"/>
  <c r="D2013" i="3"/>
  <c r="A2013" i="3"/>
  <c r="A2010" i="3"/>
  <c r="A2008" i="3"/>
  <c r="A2002" i="3"/>
  <c r="D1997" i="3"/>
  <c r="A1997" i="3"/>
  <c r="D1995" i="3"/>
  <c r="D1994" i="3"/>
  <c r="D1993" i="3"/>
  <c r="A1993" i="3"/>
  <c r="D1991" i="3"/>
  <c r="A1991" i="3"/>
  <c r="D1988" i="3"/>
  <c r="A1988" i="3"/>
  <c r="D1982" i="3"/>
  <c r="D1981" i="3"/>
  <c r="A1981" i="3"/>
  <c r="A1979" i="3"/>
  <c r="D1978" i="3"/>
  <c r="A1976" i="3"/>
  <c r="A1974" i="3"/>
  <c r="A1973" i="3"/>
  <c r="D1972" i="3"/>
  <c r="D1971" i="3"/>
  <c r="A1971" i="3"/>
  <c r="D1970" i="3"/>
  <c r="D1969" i="3"/>
  <c r="A1969" i="3"/>
  <c r="D1968" i="3"/>
  <c r="A1967" i="3"/>
  <c r="D1965" i="3"/>
  <c r="A1965" i="3"/>
  <c r="A1962" i="3"/>
  <c r="A1961" i="3"/>
  <c r="D1959" i="3"/>
  <c r="A1958" i="3"/>
  <c r="D1957" i="3"/>
  <c r="A1956" i="3"/>
  <c r="D1955" i="3"/>
  <c r="D1954" i="3"/>
  <c r="A1954" i="3"/>
  <c r="A1953" i="3"/>
  <c r="A1951" i="3"/>
  <c r="D1950" i="3"/>
  <c r="D1949" i="3"/>
  <c r="D1947" i="3"/>
  <c r="A1946" i="3"/>
  <c r="A1945" i="3"/>
  <c r="A1944" i="3"/>
  <c r="A1943" i="3"/>
  <c r="A1942" i="3"/>
  <c r="A1941" i="3"/>
  <c r="D1940" i="3"/>
  <c r="D1939" i="3"/>
  <c r="A1939" i="3"/>
  <c r="D1938" i="3"/>
  <c r="D1937" i="3"/>
  <c r="A1936" i="3"/>
  <c r="D1935" i="3"/>
  <c r="A1934" i="3"/>
  <c r="A1933" i="3"/>
  <c r="A1932" i="3"/>
  <c r="A1931" i="3"/>
  <c r="D1930" i="3"/>
  <c r="A1930" i="3"/>
  <c r="D1929" i="3"/>
  <c r="A1929" i="3"/>
  <c r="A1928" i="3"/>
  <c r="A1927" i="3"/>
  <c r="D1925" i="3"/>
  <c r="A1925" i="3"/>
  <c r="A1924" i="3"/>
  <c r="D1923" i="3"/>
  <c r="A1923" i="3"/>
  <c r="D1922" i="3"/>
  <c r="A1921" i="3"/>
  <c r="A1920" i="3"/>
  <c r="D1919" i="3"/>
  <c r="A1919" i="3"/>
  <c r="A1918" i="3"/>
  <c r="D1917" i="3"/>
  <c r="A1917" i="3"/>
  <c r="D1916" i="3"/>
  <c r="D1915" i="3"/>
  <c r="D1913" i="3"/>
  <c r="D1912" i="3"/>
  <c r="A1910" i="3"/>
  <c r="A1909" i="3"/>
  <c r="A1906" i="3"/>
  <c r="A1905" i="3"/>
  <c r="A1904" i="3"/>
  <c r="A1903" i="3"/>
  <c r="A1902" i="3"/>
  <c r="A1901" i="3"/>
  <c r="D1900" i="3"/>
  <c r="A1900" i="3"/>
  <c r="A1899" i="3"/>
  <c r="A1898" i="3"/>
  <c r="A1897" i="3"/>
  <c r="A1896" i="3"/>
  <c r="D1895" i="3"/>
  <c r="A1895" i="3"/>
  <c r="D1894" i="3"/>
  <c r="A1894" i="3"/>
  <c r="A1893" i="3"/>
  <c r="A1892" i="3"/>
  <c r="A1891" i="3"/>
  <c r="A1890" i="3"/>
  <c r="A1889" i="3"/>
  <c r="A1888" i="3"/>
  <c r="A1887" i="3"/>
  <c r="D1886" i="3"/>
  <c r="D1885" i="3"/>
  <c r="A1885" i="3"/>
  <c r="A1884" i="3"/>
  <c r="A1883" i="3"/>
  <c r="A1882" i="3"/>
  <c r="D1881" i="3"/>
  <c r="A1881" i="3"/>
  <c r="D1880" i="3"/>
  <c r="A1880" i="3"/>
  <c r="D1879" i="3"/>
  <c r="A1879" i="3"/>
  <c r="D1878" i="3"/>
  <c r="A1878" i="3"/>
  <c r="A1877" i="3"/>
  <c r="D1876" i="3"/>
  <c r="A1876" i="3"/>
  <c r="D1875" i="3"/>
  <c r="A1874" i="3"/>
  <c r="A1873" i="3"/>
  <c r="A1872" i="3"/>
  <c r="D1871" i="3"/>
  <c r="A1871" i="3"/>
  <c r="A1870" i="3"/>
  <c r="A1869" i="3"/>
  <c r="A1868" i="3"/>
  <c r="D1867" i="3"/>
  <c r="A1867" i="3"/>
  <c r="A1866" i="3"/>
  <c r="D1865" i="3"/>
  <c r="A1865" i="3"/>
  <c r="A1864" i="3"/>
  <c r="D1863" i="3"/>
  <c r="A1863" i="3"/>
  <c r="A1862" i="3"/>
  <c r="A1861" i="3"/>
  <c r="A1859" i="3"/>
  <c r="D1858" i="3"/>
  <c r="A1858" i="3"/>
  <c r="D1857" i="3"/>
  <c r="A1857" i="3"/>
  <c r="D1856" i="3"/>
  <c r="A1856" i="3"/>
  <c r="A1855" i="3"/>
  <c r="A1854" i="3"/>
  <c r="D1853" i="3"/>
  <c r="A1853" i="3"/>
  <c r="D1852" i="3"/>
  <c r="A1852" i="3"/>
  <c r="D1851" i="3"/>
  <c r="D1850" i="3"/>
  <c r="A1850" i="3"/>
  <c r="A1849" i="3"/>
  <c r="A1848" i="3"/>
  <c r="A1847" i="3"/>
  <c r="A1846" i="3"/>
  <c r="A1845" i="3"/>
  <c r="D1844" i="3"/>
  <c r="A1843" i="3"/>
  <c r="A1842" i="3"/>
  <c r="A1841" i="3"/>
  <c r="D1838" i="3"/>
  <c r="D1837" i="3"/>
  <c r="A1837" i="3"/>
  <c r="D1836" i="3"/>
  <c r="A1836" i="3"/>
  <c r="A1835" i="3"/>
  <c r="A1834" i="3"/>
  <c r="A1832" i="3"/>
  <c r="A1831" i="3"/>
  <c r="D1830" i="3"/>
  <c r="A1830" i="3"/>
  <c r="A1829" i="3"/>
  <c r="A1828" i="3"/>
  <c r="D1827" i="3"/>
  <c r="A1827" i="3"/>
  <c r="D1826" i="3"/>
  <c r="A1826" i="3"/>
  <c r="A1825" i="3"/>
  <c r="D1824" i="3"/>
  <c r="A1824" i="3"/>
  <c r="D1823" i="3"/>
  <c r="A1822" i="3"/>
  <c r="D1821" i="3"/>
  <c r="A1821" i="3"/>
  <c r="D1820" i="3"/>
  <c r="A1820" i="3"/>
  <c r="D1819" i="3"/>
  <c r="A1819" i="3"/>
  <c r="D1818" i="3"/>
  <c r="D1817" i="3"/>
  <c r="A1817" i="3"/>
  <c r="D1816" i="3"/>
  <c r="A1816" i="3"/>
  <c r="A1815" i="3"/>
  <c r="D1814" i="3"/>
  <c r="D1813" i="3"/>
  <c r="A1813" i="3"/>
  <c r="D1812" i="3"/>
  <c r="A1811" i="3"/>
  <c r="D1810" i="3"/>
  <c r="A1809" i="3"/>
  <c r="D1808" i="3"/>
  <c r="A1807" i="3"/>
  <c r="D1806" i="3"/>
  <c r="A1806" i="3"/>
  <c r="A1805" i="3"/>
  <c r="A1804" i="3"/>
  <c r="D1803" i="3"/>
  <c r="A1803" i="3"/>
  <c r="A1801" i="3"/>
  <c r="A1798" i="3"/>
  <c r="A1797" i="3"/>
  <c r="A1796" i="3"/>
  <c r="A1795" i="3"/>
  <c r="A1794" i="3"/>
  <c r="A1793" i="3"/>
  <c r="D1792" i="3"/>
  <c r="A1792" i="3"/>
  <c r="A1791" i="3"/>
  <c r="A1790" i="3"/>
  <c r="D1789" i="3"/>
  <c r="A1789" i="3"/>
  <c r="A1788" i="3"/>
  <c r="A1787" i="3"/>
  <c r="D1786" i="3"/>
  <c r="A1786" i="3"/>
  <c r="A1785" i="3"/>
  <c r="A1784" i="3"/>
  <c r="A1783" i="3"/>
  <c r="A1782" i="3"/>
  <c r="D1781" i="3"/>
  <c r="A1781" i="3"/>
  <c r="A1780" i="3"/>
  <c r="D1779" i="3"/>
  <c r="A1778" i="3"/>
  <c r="D1777" i="3"/>
  <c r="A1777" i="3"/>
  <c r="A1776" i="3"/>
  <c r="D1774" i="3"/>
  <c r="A1774" i="3"/>
  <c r="A1772" i="3"/>
  <c r="D1771" i="3"/>
  <c r="D1770" i="3"/>
  <c r="A1770" i="3"/>
  <c r="A1769" i="3"/>
  <c r="A1768" i="3"/>
  <c r="A1767" i="3"/>
  <c r="A1765" i="3"/>
  <c r="D1764" i="3"/>
  <c r="A1764" i="3"/>
  <c r="D1763" i="3"/>
  <c r="A1762" i="3"/>
  <c r="D1761" i="3"/>
  <c r="A1761" i="3"/>
  <c r="A1760" i="3"/>
  <c r="A1759" i="3"/>
  <c r="A1758" i="3"/>
  <c r="A1757" i="3"/>
  <c r="D1756" i="3"/>
  <c r="A1756" i="3"/>
  <c r="D1755" i="3"/>
  <c r="A1755" i="3"/>
  <c r="A1754" i="3"/>
  <c r="D1753" i="3"/>
  <c r="A1752" i="3"/>
  <c r="D1751" i="3"/>
  <c r="A1750" i="3"/>
  <c r="D1749" i="3"/>
  <c r="A1749" i="3"/>
  <c r="A1748" i="3"/>
  <c r="D1747" i="3"/>
  <c r="A1747" i="3"/>
  <c r="D1746" i="3"/>
  <c r="A1746" i="3"/>
  <c r="A1741" i="3"/>
  <c r="A1739" i="3"/>
  <c r="A1736" i="3"/>
  <c r="A1733" i="3"/>
  <c r="A1732" i="3"/>
  <c r="A1729" i="3"/>
  <c r="A1717" i="3"/>
  <c r="D1715" i="3"/>
  <c r="D1713" i="3"/>
  <c r="D1712" i="3"/>
  <c r="D1708" i="3"/>
  <c r="A1708" i="3"/>
  <c r="D1705" i="3"/>
  <c r="A1705" i="3"/>
  <c r="A1704" i="3"/>
  <c r="A1703" i="3"/>
  <c r="D1702" i="3"/>
  <c r="A1702" i="3"/>
  <c r="A1700" i="3"/>
  <c r="A1699" i="3"/>
  <c r="A1698" i="3"/>
  <c r="A1697" i="3"/>
  <c r="D1693" i="3"/>
  <c r="A1690" i="3"/>
  <c r="D1688" i="3"/>
  <c r="D1687" i="3"/>
  <c r="A1687" i="3"/>
  <c r="D1686" i="3"/>
  <c r="A1686" i="3"/>
  <c r="A1685" i="3"/>
  <c r="D1683" i="3"/>
  <c r="A1680" i="3"/>
  <c r="D1674" i="3"/>
  <c r="A1666" i="3"/>
  <c r="A1665" i="3"/>
  <c r="A1663" i="3"/>
  <c r="D1659" i="3"/>
  <c r="A1658" i="3"/>
  <c r="A1656" i="3"/>
  <c r="A1655" i="3"/>
  <c r="A1654" i="3"/>
  <c r="A1653" i="3"/>
  <c r="D1652" i="3"/>
  <c r="A1652" i="3"/>
  <c r="A1647" i="3"/>
  <c r="D1646" i="3"/>
  <c r="A1646" i="3"/>
  <c r="A1644" i="3"/>
  <c r="A1643" i="3"/>
  <c r="A1642" i="3"/>
  <c r="A1640" i="3"/>
  <c r="A1639" i="3"/>
  <c r="A1638" i="3"/>
  <c r="A1637" i="3"/>
  <c r="A1636" i="3"/>
  <c r="A1635" i="3"/>
  <c r="A1634" i="3"/>
  <c r="A1633" i="3"/>
  <c r="A1632" i="3"/>
  <c r="A1631" i="3"/>
  <c r="A1630" i="3"/>
  <c r="A1627" i="3"/>
  <c r="A1626" i="3"/>
  <c r="A1625" i="3"/>
  <c r="D1624" i="3"/>
  <c r="A1624" i="3"/>
  <c r="A1623" i="3"/>
  <c r="D1622" i="3"/>
  <c r="A1621" i="3"/>
  <c r="A1620" i="3"/>
  <c r="A1619" i="3"/>
  <c r="A1618" i="3"/>
  <c r="A1617" i="3"/>
  <c r="A1614" i="3"/>
  <c r="A1613" i="3"/>
  <c r="A1612" i="3"/>
  <c r="A1610" i="3"/>
  <c r="D1608" i="3"/>
  <c r="A1606" i="3"/>
  <c r="A1605" i="3"/>
  <c r="A1604" i="3"/>
  <c r="D1603" i="3"/>
  <c r="A1603" i="3"/>
  <c r="A1602" i="3"/>
  <c r="D1601" i="3"/>
  <c r="A1601" i="3"/>
  <c r="A1600" i="3"/>
  <c r="D1597" i="3"/>
  <c r="A1597" i="3"/>
  <c r="A1596" i="3"/>
  <c r="D1595" i="3"/>
  <c r="A1594" i="3"/>
  <c r="A1593" i="3"/>
  <c r="A1592" i="3"/>
  <c r="A1591" i="3"/>
  <c r="A1590" i="3"/>
  <c r="D1589" i="3"/>
  <c r="A1588" i="3"/>
  <c r="A1587" i="3"/>
  <c r="A1586" i="3"/>
  <c r="A1584" i="3"/>
  <c r="A1583" i="3"/>
  <c r="A1582" i="3"/>
  <c r="A1581" i="3"/>
  <c r="A1579" i="3"/>
  <c r="A1578" i="3"/>
  <c r="A1577" i="3"/>
  <c r="D1576" i="3"/>
  <c r="A1576" i="3"/>
  <c r="D1574" i="3"/>
  <c r="A1573" i="3"/>
  <c r="A1572" i="3"/>
  <c r="A1571" i="3"/>
  <c r="A1570" i="3"/>
  <c r="A1569" i="3"/>
  <c r="A1568" i="3"/>
  <c r="D1567" i="3"/>
  <c r="A1567" i="3"/>
  <c r="D1566" i="3"/>
  <c r="A1564" i="3"/>
  <c r="D1563" i="3"/>
  <c r="A1563" i="3"/>
  <c r="A1561" i="3"/>
  <c r="D1560" i="3"/>
  <c r="A1560" i="3"/>
  <c r="A1559" i="3"/>
  <c r="D1558" i="3"/>
  <c r="D1557" i="3"/>
  <c r="A1557" i="3"/>
  <c r="A1556" i="3"/>
  <c r="A1555" i="3"/>
  <c r="A1552" i="3"/>
  <c r="A1551" i="3"/>
  <c r="A1550" i="3"/>
  <c r="D1549" i="3"/>
  <c r="A1549" i="3"/>
  <c r="A1548" i="3"/>
  <c r="D1547" i="3"/>
  <c r="A1547" i="3"/>
  <c r="D1546" i="3"/>
  <c r="A1546" i="3"/>
  <c r="A1545" i="3"/>
  <c r="D1544" i="3"/>
  <c r="A1544" i="3"/>
  <c r="A1543" i="3"/>
  <c r="D1542" i="3"/>
  <c r="A1541" i="3"/>
  <c r="A1540" i="3"/>
  <c r="A1539" i="3"/>
  <c r="D1538" i="3"/>
  <c r="A1538" i="3"/>
  <c r="A1537" i="3"/>
  <c r="A1536" i="3"/>
  <c r="D1535" i="3"/>
  <c r="A1534" i="3"/>
  <c r="D1532" i="3"/>
  <c r="D1531" i="3"/>
  <c r="A1530" i="3"/>
  <c r="D1529" i="3"/>
  <c r="D1528" i="3"/>
  <c r="A1527" i="3"/>
  <c r="D1526" i="3"/>
  <c r="A1526" i="3"/>
  <c r="A1525" i="3"/>
  <c r="A1524" i="3"/>
  <c r="D1523" i="3"/>
  <c r="A1523" i="3"/>
  <c r="A1522" i="3"/>
  <c r="A1521" i="3"/>
  <c r="A1520" i="3"/>
  <c r="D1519" i="3"/>
  <c r="A1519" i="3"/>
  <c r="D1518" i="3"/>
  <c r="A1518" i="3"/>
  <c r="A1517" i="3"/>
  <c r="D1516" i="3"/>
  <c r="A1516" i="3"/>
  <c r="A1515" i="3"/>
  <c r="A1514" i="3"/>
  <c r="A1513" i="3"/>
  <c r="A1512" i="3"/>
  <c r="D1511" i="3"/>
  <c r="A1510" i="3"/>
  <c r="D1509" i="3"/>
  <c r="A1508" i="3"/>
  <c r="D1507" i="3"/>
  <c r="A1507" i="3"/>
  <c r="A1506" i="3"/>
  <c r="D1504" i="3"/>
  <c r="A1504" i="3"/>
  <c r="A1503" i="3"/>
  <c r="A1502" i="3"/>
  <c r="A1501" i="3"/>
  <c r="D1500" i="3"/>
  <c r="A1500" i="3"/>
  <c r="A1499" i="3"/>
  <c r="A1498" i="3"/>
  <c r="D1497" i="3"/>
  <c r="D1496" i="3"/>
  <c r="A1496" i="3"/>
  <c r="A1495" i="3"/>
  <c r="A1493" i="3"/>
  <c r="A1492" i="3"/>
  <c r="A1491" i="3"/>
  <c r="A1490" i="3"/>
  <c r="A1489" i="3"/>
  <c r="A1488" i="3"/>
  <c r="A1487" i="3"/>
  <c r="A1486" i="3"/>
  <c r="A1485" i="3"/>
  <c r="A1484" i="3"/>
  <c r="A1483" i="3"/>
  <c r="A1482" i="3"/>
  <c r="D1481" i="3"/>
  <c r="A1481" i="3"/>
  <c r="A1480" i="3"/>
  <c r="A1479" i="3"/>
  <c r="A1478" i="3"/>
  <c r="A1477" i="3"/>
  <c r="D1476" i="3"/>
  <c r="D1475" i="3"/>
  <c r="A1475" i="3"/>
  <c r="D1474" i="3"/>
  <c r="A1473" i="3"/>
  <c r="A1472" i="3"/>
  <c r="A1471" i="3"/>
  <c r="A1470" i="3"/>
  <c r="A1469" i="3"/>
  <c r="A1468" i="3"/>
  <c r="A1467" i="3"/>
  <c r="A1466" i="3"/>
  <c r="A1465" i="3"/>
  <c r="A1464" i="3"/>
  <c r="D1463" i="3"/>
  <c r="A1462" i="3"/>
  <c r="A1461" i="3"/>
  <c r="A1460" i="3"/>
  <c r="A1459" i="3"/>
  <c r="A1457" i="3"/>
  <c r="A1456" i="3"/>
  <c r="D1455" i="3"/>
  <c r="A1455" i="3"/>
  <c r="A1454" i="3"/>
  <c r="D1453" i="3"/>
  <c r="A1453" i="3"/>
  <c r="D1452" i="3"/>
  <c r="D1451" i="3"/>
  <c r="A1451" i="3"/>
  <c r="D1450" i="3"/>
  <c r="A1450" i="3"/>
  <c r="A1449" i="3"/>
  <c r="D1448" i="3"/>
  <c r="A1448" i="3"/>
  <c r="D1447" i="3"/>
  <c r="D1446" i="3"/>
  <c r="A1446" i="3"/>
  <c r="A1445" i="3"/>
  <c r="D1444" i="3"/>
  <c r="A1444" i="3"/>
  <c r="D1443" i="3"/>
  <c r="D1442" i="3"/>
  <c r="A1442" i="3"/>
  <c r="D1441" i="3"/>
  <c r="A1440" i="3"/>
  <c r="A1439" i="3"/>
  <c r="A1437" i="3"/>
  <c r="D1436" i="3"/>
  <c r="A1436" i="3"/>
  <c r="A1435" i="3"/>
  <c r="D1434" i="3"/>
  <c r="D1433" i="3"/>
  <c r="D1432" i="3"/>
  <c r="D1431" i="3"/>
  <c r="A1431" i="3"/>
  <c r="A1430" i="3"/>
  <c r="A1428" i="3"/>
  <c r="D1427" i="3"/>
  <c r="A1427" i="3"/>
  <c r="D1426" i="3"/>
  <c r="A1426" i="3"/>
  <c r="A1425" i="3"/>
  <c r="A1424" i="3"/>
  <c r="D1423" i="3"/>
  <c r="A1422" i="3"/>
  <c r="D1421" i="3"/>
  <c r="A1421" i="3"/>
  <c r="A1419" i="3"/>
  <c r="D1418" i="3"/>
  <c r="A1418" i="3"/>
  <c r="D1417" i="3"/>
  <c r="A1416" i="3"/>
  <c r="A1415" i="3"/>
  <c r="D1414" i="3"/>
  <c r="D1413" i="3"/>
  <c r="A1412" i="3"/>
  <c r="A1411" i="3"/>
  <c r="D1410" i="3"/>
  <c r="A1410" i="3"/>
  <c r="D1409" i="3"/>
  <c r="A1409" i="3"/>
  <c r="D1408" i="3"/>
  <c r="D1407" i="3"/>
  <c r="A1407" i="3"/>
  <c r="D1406" i="3"/>
  <c r="A1406" i="3"/>
  <c r="A1405" i="3"/>
  <c r="D1404" i="3"/>
  <c r="A1404" i="3"/>
  <c r="D1403" i="3"/>
  <c r="A1403" i="3"/>
  <c r="A1402" i="3"/>
  <c r="D1400" i="3"/>
  <c r="A1400" i="3"/>
  <c r="D1399" i="3"/>
  <c r="A1399" i="3"/>
  <c r="D1398" i="3"/>
  <c r="D1397" i="3"/>
  <c r="A1396" i="3"/>
  <c r="D1395" i="3"/>
  <c r="A1395" i="3"/>
  <c r="A1394" i="3"/>
  <c r="D1393" i="3"/>
  <c r="A1393" i="3"/>
  <c r="A1392" i="3"/>
  <c r="D1391" i="3"/>
  <c r="A1391" i="3"/>
  <c r="D1390" i="3"/>
  <c r="A1390" i="3"/>
  <c r="A1389" i="3"/>
  <c r="D1388" i="3"/>
  <c r="A1388" i="3"/>
  <c r="A1387" i="3"/>
  <c r="D1386" i="3"/>
  <c r="A1386" i="3"/>
  <c r="D1385" i="3"/>
  <c r="A1385" i="3"/>
  <c r="D1384" i="3"/>
  <c r="A1384" i="3"/>
  <c r="D1383" i="3"/>
  <c r="A1383" i="3"/>
  <c r="D1382" i="3"/>
  <c r="A1382" i="3"/>
  <c r="D1381" i="3"/>
  <c r="D1380" i="3"/>
  <c r="D1378" i="3"/>
  <c r="A1378" i="3"/>
  <c r="A1377" i="3"/>
  <c r="A1376" i="3"/>
  <c r="A1375" i="3"/>
  <c r="A1374" i="3"/>
  <c r="A1373" i="3"/>
  <c r="A1372" i="3"/>
  <c r="A1371" i="3"/>
  <c r="D1370" i="3"/>
  <c r="A1370" i="3"/>
  <c r="D1368" i="3"/>
  <c r="A1368" i="3"/>
  <c r="D1367" i="3"/>
  <c r="D1366" i="3"/>
  <c r="A1366" i="3"/>
  <c r="A1365" i="3"/>
  <c r="D1364" i="3"/>
  <c r="A1364" i="3"/>
  <c r="D1363" i="3"/>
  <c r="A1363" i="3"/>
  <c r="D1362" i="3"/>
  <c r="A1362" i="3"/>
  <c r="D1361" i="3"/>
  <c r="A1360" i="3"/>
  <c r="A1359" i="3"/>
  <c r="A1358" i="3"/>
  <c r="A1357" i="3"/>
  <c r="D1356" i="3"/>
  <c r="A1353" i="3"/>
  <c r="D1345" i="3"/>
  <c r="A1345" i="3"/>
  <c r="A1344" i="3"/>
  <c r="A1337" i="3"/>
  <c r="D1333" i="3"/>
  <c r="A1333" i="3"/>
  <c r="D1330" i="3"/>
  <c r="A1327" i="3"/>
  <c r="A1323" i="3"/>
  <c r="D1320" i="3"/>
  <c r="A1320" i="3"/>
  <c r="D1318" i="3"/>
  <c r="A1315" i="3"/>
  <c r="D1298" i="3"/>
  <c r="A1286" i="3"/>
  <c r="A1285" i="3"/>
  <c r="A1280" i="3"/>
  <c r="A1279" i="3"/>
  <c r="D1278" i="3"/>
  <c r="A1278" i="3"/>
  <c r="A1277" i="3"/>
  <c r="A1276" i="3"/>
  <c r="A1275" i="3"/>
  <c r="A1274" i="3"/>
  <c r="A1273" i="3"/>
  <c r="D1272" i="3"/>
  <c r="A1272" i="3"/>
  <c r="D1271" i="3"/>
  <c r="A1270" i="3"/>
  <c r="A1268" i="3"/>
  <c r="A1267" i="3"/>
  <c r="A1266" i="3"/>
  <c r="A1265" i="3"/>
  <c r="A1264" i="3"/>
  <c r="A1263" i="3"/>
  <c r="D1260" i="3"/>
  <c r="A1260" i="3"/>
  <c r="A1259" i="3"/>
  <c r="D1256" i="3"/>
  <c r="A1254" i="3"/>
  <c r="D1253" i="3"/>
  <c r="A1252" i="3"/>
  <c r="D1250" i="3"/>
  <c r="A1250" i="3"/>
  <c r="A1249" i="3"/>
  <c r="D1248" i="3"/>
  <c r="A1248" i="3"/>
  <c r="D1247" i="3"/>
  <c r="A1246" i="3"/>
  <c r="A1245" i="3"/>
  <c r="D1244" i="3"/>
  <c r="A1244" i="3"/>
  <c r="D1242" i="3"/>
  <c r="A1242" i="3"/>
  <c r="A1241" i="3"/>
  <c r="D1238" i="3"/>
  <c r="A1237" i="3"/>
  <c r="A1236" i="3"/>
  <c r="D1233" i="3"/>
  <c r="A1233" i="3"/>
  <c r="A1231" i="3"/>
  <c r="D1230" i="3"/>
  <c r="A1230" i="3"/>
  <c r="D1229" i="3"/>
  <c r="A1229" i="3"/>
  <c r="A1228" i="3"/>
  <c r="D1227" i="3"/>
  <c r="A1227" i="3"/>
  <c r="D1226" i="3"/>
  <c r="A1225" i="3"/>
  <c r="D1224" i="3"/>
  <c r="A1223" i="3"/>
  <c r="A1222" i="3"/>
  <c r="A1221" i="3"/>
  <c r="D1220" i="3"/>
  <c r="D1219" i="3"/>
  <c r="D1218" i="3"/>
  <c r="D1217" i="3"/>
  <c r="A1217" i="3"/>
  <c r="A1216" i="3"/>
  <c r="A1215" i="3"/>
  <c r="A1214" i="3"/>
  <c r="A1213" i="3"/>
  <c r="A1212" i="3"/>
  <c r="D1211" i="3"/>
  <c r="A1211" i="3"/>
  <c r="D1210" i="3"/>
  <c r="A1210" i="3"/>
  <c r="D1209" i="3"/>
  <c r="A1209" i="3"/>
  <c r="A1208" i="3"/>
  <c r="A1207" i="3"/>
  <c r="D1206" i="3"/>
  <c r="A1206" i="3"/>
  <c r="D1204" i="3"/>
  <c r="A1203" i="3"/>
  <c r="A1202" i="3"/>
  <c r="A1201" i="3"/>
  <c r="A1200" i="3"/>
  <c r="D1199" i="3"/>
  <c r="D1198" i="3"/>
  <c r="A1198" i="3"/>
  <c r="A1197" i="3"/>
  <c r="A1196" i="3"/>
  <c r="A1195" i="3"/>
  <c r="D1194" i="3"/>
  <c r="D1193" i="3"/>
  <c r="D1192" i="3"/>
  <c r="A1191" i="3"/>
  <c r="A1190" i="3"/>
  <c r="D1189" i="3"/>
  <c r="A1188" i="3"/>
  <c r="A1187" i="3"/>
  <c r="D1186" i="3"/>
  <c r="A1186" i="3"/>
  <c r="A1185" i="3"/>
  <c r="A1184" i="3"/>
  <c r="D1183" i="3"/>
  <c r="A1183" i="3"/>
  <c r="A1182" i="3"/>
  <c r="A1181" i="3"/>
  <c r="A1179" i="3"/>
  <c r="A1178" i="3"/>
  <c r="A1177" i="3"/>
  <c r="A1176" i="3"/>
  <c r="D1175" i="3"/>
  <c r="D1174" i="3"/>
  <c r="A1174" i="3"/>
  <c r="A1173" i="3"/>
  <c r="D1172" i="3"/>
  <c r="A1172" i="3"/>
  <c r="D1171" i="3"/>
  <c r="A1171" i="3"/>
  <c r="A1170" i="3"/>
  <c r="A1169" i="3"/>
  <c r="D1168" i="3"/>
  <c r="A1168" i="3"/>
  <c r="D1167" i="3"/>
  <c r="A1167" i="3"/>
  <c r="D1166" i="3"/>
  <c r="A1165" i="3"/>
  <c r="D1164" i="3"/>
  <c r="D1163" i="3"/>
  <c r="D1162" i="3"/>
  <c r="A1162" i="3"/>
  <c r="D1161" i="3"/>
  <c r="D1160" i="3"/>
  <c r="A1160" i="3"/>
  <c r="D1158" i="3"/>
  <c r="A1158" i="3"/>
  <c r="A1157" i="3"/>
  <c r="A1156" i="3"/>
  <c r="A1155" i="3"/>
  <c r="A1154" i="3"/>
  <c r="A1153" i="3"/>
  <c r="A1152" i="3"/>
  <c r="A1151" i="3"/>
  <c r="D1150" i="3"/>
  <c r="A1150" i="3"/>
  <c r="D1149" i="3"/>
  <c r="A1149" i="3"/>
  <c r="D1148" i="3"/>
  <c r="A1148" i="3"/>
  <c r="A1147" i="3"/>
  <c r="A1146" i="3"/>
  <c r="A1145" i="3"/>
  <c r="A1144" i="3"/>
  <c r="A1143" i="3"/>
  <c r="A1142" i="3"/>
  <c r="D1139" i="3"/>
  <c r="A1137" i="3"/>
  <c r="A1125" i="3"/>
  <c r="A1123" i="3"/>
  <c r="A1121" i="3"/>
  <c r="A1120" i="3"/>
  <c r="A1113" i="3"/>
  <c r="A1111" i="3"/>
  <c r="A1107" i="3"/>
  <c r="A1101" i="3"/>
  <c r="A1100" i="3"/>
  <c r="A1096" i="3"/>
  <c r="A1094" i="3"/>
  <c r="D1092" i="3"/>
  <c r="D1088" i="3"/>
  <c r="A1086" i="3"/>
  <c r="D1085" i="3"/>
  <c r="A1085" i="3"/>
  <c r="D1075" i="3"/>
  <c r="A1070" i="3"/>
  <c r="A1062" i="3"/>
  <c r="A1056" i="3"/>
  <c r="A1053" i="3"/>
  <c r="A1050" i="3"/>
  <c r="A1049" i="3"/>
  <c r="D1047" i="3"/>
  <c r="D1046" i="3"/>
  <c r="A1046" i="3"/>
  <c r="D1045" i="3"/>
  <c r="A1045" i="3"/>
  <c r="D1044" i="3"/>
  <c r="A1041" i="3"/>
  <c r="A1038" i="3"/>
  <c r="D1035" i="3"/>
  <c r="D1033" i="3"/>
  <c r="D1032" i="3"/>
  <c r="A1030" i="3"/>
  <c r="A1029" i="3"/>
  <c r="A1025" i="3"/>
  <c r="A1023" i="3"/>
  <c r="A1022" i="3"/>
  <c r="A1020" i="3"/>
  <c r="D1018" i="3"/>
  <c r="A1018" i="3"/>
  <c r="D1013" i="3"/>
  <c r="A1012" i="3"/>
  <c r="A1009" i="3"/>
  <c r="A1005" i="3"/>
  <c r="A1002" i="3"/>
  <c r="A991" i="3"/>
  <c r="A990" i="3"/>
  <c r="D983" i="3"/>
  <c r="A983" i="3"/>
  <c r="D977" i="3"/>
  <c r="A976" i="3"/>
  <c r="A972" i="3"/>
  <c r="D971" i="3"/>
  <c r="D968" i="3"/>
  <c r="A968" i="3"/>
  <c r="D946" i="3"/>
  <c r="A946" i="3"/>
  <c r="A944" i="3"/>
  <c r="A938" i="3"/>
  <c r="A932" i="3"/>
  <c r="D931" i="3"/>
  <c r="D930" i="3"/>
  <c r="A930" i="3"/>
  <c r="A926" i="3"/>
  <c r="D924" i="3"/>
  <c r="A922" i="3"/>
  <c r="A920" i="3"/>
  <c r="D919" i="3"/>
  <c r="A919" i="3"/>
  <c r="A914" i="3"/>
  <c r="D913" i="3"/>
  <c r="A913" i="3"/>
  <c r="A912" i="3"/>
  <c r="A911" i="3"/>
  <c r="A910" i="3"/>
  <c r="A909" i="3"/>
  <c r="A906" i="3"/>
  <c r="A904" i="3"/>
  <c r="A903" i="3"/>
  <c r="A902" i="3"/>
  <c r="A900" i="3"/>
  <c r="D899" i="3"/>
  <c r="A899" i="3"/>
  <c r="A891" i="3"/>
  <c r="A890" i="3"/>
  <c r="A889" i="3"/>
  <c r="A888" i="3"/>
  <c r="A887" i="3"/>
  <c r="A885" i="3"/>
  <c r="A884" i="3"/>
  <c r="A883" i="3"/>
  <c r="A882" i="3"/>
  <c r="A881" i="3"/>
  <c r="A880" i="3"/>
  <c r="A879" i="3"/>
  <c r="A878" i="3"/>
  <c r="A877" i="3"/>
  <c r="A876" i="3"/>
  <c r="A875" i="3"/>
  <c r="A874" i="3"/>
  <c r="D873" i="3"/>
  <c r="A873" i="3"/>
  <c r="D872" i="3"/>
  <c r="A872" i="3"/>
  <c r="A869" i="3"/>
  <c r="A868" i="3"/>
  <c r="D867" i="3"/>
  <c r="A867" i="3"/>
  <c r="A866" i="3"/>
  <c r="A865" i="3"/>
  <c r="A864" i="3"/>
  <c r="A863" i="3"/>
  <c r="A862" i="3"/>
  <c r="A861" i="3"/>
  <c r="A859" i="3"/>
  <c r="A858" i="3"/>
  <c r="D857" i="3"/>
  <c r="A857" i="3"/>
  <c r="A855" i="3"/>
  <c r="A854" i="3"/>
  <c r="A853" i="3"/>
  <c r="A852" i="3"/>
  <c r="A851" i="3"/>
  <c r="A850" i="3"/>
  <c r="A847" i="3"/>
  <c r="A846" i="3"/>
  <c r="D842" i="3"/>
  <c r="A842" i="3"/>
  <c r="A837" i="3"/>
  <c r="A832" i="3"/>
  <c r="A831" i="3"/>
  <c r="D830" i="3"/>
  <c r="D829" i="3"/>
  <c r="A829" i="3"/>
  <c r="A828" i="3"/>
  <c r="D827" i="3"/>
  <c r="D826" i="3"/>
  <c r="D825" i="3"/>
  <c r="A824" i="3"/>
  <c r="D822" i="3"/>
  <c r="A822" i="3"/>
  <c r="A821" i="3"/>
  <c r="A820" i="3"/>
  <c r="D819" i="3"/>
  <c r="A818" i="3"/>
  <c r="A817" i="3"/>
  <c r="A816" i="3"/>
  <c r="A815" i="3"/>
  <c r="A814" i="3"/>
  <c r="A813" i="3"/>
  <c r="A812" i="3"/>
  <c r="A811" i="3"/>
  <c r="D810" i="3"/>
  <c r="A810" i="3"/>
  <c r="D808" i="3"/>
  <c r="A807" i="3"/>
  <c r="A806" i="3"/>
  <c r="D805" i="3"/>
  <c r="A805" i="3"/>
  <c r="A804" i="3"/>
  <c r="A803" i="3"/>
  <c r="A802" i="3"/>
  <c r="A801" i="3"/>
  <c r="A800" i="3"/>
  <c r="D799" i="3"/>
  <c r="A798" i="3"/>
  <c r="A797" i="3"/>
  <c r="A796" i="3"/>
  <c r="D795" i="3"/>
  <c r="A795" i="3"/>
  <c r="A794" i="3"/>
  <c r="A793" i="3"/>
  <c r="D792" i="3"/>
  <c r="A792" i="3"/>
  <c r="A791" i="3"/>
  <c r="A790" i="3"/>
  <c r="A789" i="3"/>
  <c r="D788" i="3"/>
  <c r="D786" i="3"/>
  <c r="A785" i="3"/>
  <c r="A784" i="3"/>
  <c r="D783" i="3"/>
  <c r="A783" i="3"/>
  <c r="D782" i="3"/>
  <c r="A781" i="3"/>
  <c r="D780" i="3"/>
  <c r="A779" i="3"/>
  <c r="D778" i="3"/>
  <c r="D777" i="3"/>
  <c r="A777" i="3"/>
  <c r="D776" i="3"/>
  <c r="A776" i="3"/>
  <c r="A775" i="3"/>
  <c r="D774" i="3"/>
  <c r="A774" i="3"/>
  <c r="D773" i="3"/>
  <c r="A773" i="3"/>
  <c r="A772" i="3"/>
  <c r="A770" i="3"/>
  <c r="A768" i="3"/>
  <c r="A767" i="3"/>
  <c r="D766" i="3"/>
  <c r="A766" i="3"/>
  <c r="A765" i="3"/>
  <c r="A764" i="3"/>
  <c r="A763" i="3"/>
  <c r="A762" i="3"/>
  <c r="A761" i="3"/>
  <c r="A760" i="3"/>
  <c r="A759" i="3"/>
  <c r="A758" i="3"/>
  <c r="D757" i="3"/>
  <c r="A756" i="3"/>
  <c r="A755" i="3"/>
  <c r="A754" i="3"/>
  <c r="A753" i="3"/>
  <c r="A752" i="3"/>
  <c r="A751" i="3"/>
  <c r="A750" i="3"/>
  <c r="A749" i="3"/>
  <c r="A748" i="3"/>
  <c r="A747" i="3"/>
  <c r="D746" i="3"/>
  <c r="A745" i="3"/>
  <c r="A744" i="3"/>
  <c r="D743" i="3"/>
  <c r="A743" i="3"/>
  <c r="D742" i="3"/>
  <c r="A742" i="3"/>
  <c r="A741" i="3"/>
  <c r="A740" i="3"/>
  <c r="A739" i="3"/>
  <c r="A738" i="3"/>
  <c r="D737" i="3"/>
  <c r="A737" i="3"/>
  <c r="A736" i="3"/>
  <c r="A735" i="3"/>
  <c r="A734" i="3"/>
  <c r="A733" i="3"/>
  <c r="A732" i="3"/>
  <c r="A731" i="3"/>
  <c r="A730" i="3"/>
  <c r="D729" i="3"/>
  <c r="D728" i="3"/>
  <c r="A728" i="3"/>
  <c r="D727" i="3"/>
  <c r="A727" i="3"/>
  <c r="A726" i="3"/>
  <c r="A725" i="3"/>
  <c r="A724" i="3"/>
  <c r="A723" i="3"/>
  <c r="A722" i="3"/>
  <c r="A720" i="3"/>
  <c r="A719" i="3"/>
  <c r="A718" i="3"/>
  <c r="D717" i="3"/>
  <c r="A716" i="3"/>
  <c r="D715" i="3"/>
  <c r="A715" i="3"/>
  <c r="A714" i="3"/>
  <c r="D713" i="3"/>
  <c r="A711" i="3"/>
  <c r="A710" i="3"/>
  <c r="D709" i="3"/>
  <c r="A708" i="3"/>
  <c r="A707" i="3"/>
  <c r="A706" i="3"/>
  <c r="D705" i="3"/>
  <c r="A705" i="3"/>
  <c r="D704" i="3"/>
  <c r="A704" i="3"/>
  <c r="D703" i="3"/>
  <c r="A703" i="3"/>
  <c r="A702" i="3"/>
  <c r="D701" i="3"/>
  <c r="A701" i="3"/>
  <c r="A700" i="3"/>
  <c r="A699" i="3"/>
  <c r="A698" i="3"/>
  <c r="D697" i="3"/>
  <c r="A697" i="3"/>
  <c r="D695" i="3"/>
  <c r="A695" i="3"/>
  <c r="A694" i="3"/>
  <c r="D693" i="3"/>
  <c r="A693" i="3"/>
  <c r="D692" i="3"/>
  <c r="A692" i="3"/>
  <c r="D689" i="3"/>
  <c r="D688" i="3"/>
  <c r="A688" i="3"/>
  <c r="D687" i="3"/>
  <c r="A687" i="3"/>
  <c r="D686" i="3"/>
  <c r="A686" i="3"/>
  <c r="D684" i="3"/>
  <c r="A684" i="3"/>
  <c r="D683" i="3"/>
  <c r="A683" i="3"/>
  <c r="A682" i="3"/>
  <c r="A681" i="3"/>
  <c r="A680" i="3"/>
  <c r="A679" i="3"/>
  <c r="D678" i="3"/>
  <c r="A678" i="3"/>
  <c r="D677" i="3"/>
  <c r="A677" i="3"/>
  <c r="A676" i="3"/>
  <c r="D674" i="3"/>
  <c r="A673" i="3"/>
  <c r="D672" i="3"/>
  <c r="D671" i="3"/>
  <c r="D670" i="3"/>
  <c r="D669" i="3"/>
  <c r="A669" i="3"/>
  <c r="A667" i="3"/>
  <c r="A665" i="3"/>
  <c r="A650" i="3"/>
  <c r="A643" i="3"/>
  <c r="A639" i="3"/>
  <c r="D637" i="3"/>
  <c r="A637" i="3"/>
  <c r="D627" i="3"/>
  <c r="A627" i="3"/>
  <c r="D626" i="3"/>
  <c r="D625" i="3"/>
  <c r="D622" i="3"/>
  <c r="A622" i="3"/>
  <c r="D610" i="3"/>
  <c r="A601" i="3"/>
  <c r="A597" i="3"/>
  <c r="A595" i="3"/>
  <c r="D594" i="3"/>
  <c r="A594" i="3"/>
  <c r="A592" i="3"/>
  <c r="A591" i="3"/>
  <c r="A584" i="3"/>
  <c r="A577" i="3"/>
  <c r="D569" i="3"/>
  <c r="A569" i="3"/>
  <c r="A566" i="3"/>
  <c r="A565" i="3"/>
  <c r="A563" i="3"/>
  <c r="D561" i="3"/>
  <c r="D560" i="3"/>
  <c r="A560" i="3"/>
  <c r="A559" i="3"/>
  <c r="D558" i="3"/>
  <c r="A557" i="3"/>
  <c r="D555" i="3"/>
  <c r="A555" i="3"/>
  <c r="D554" i="3"/>
  <c r="A554" i="3"/>
  <c r="A553" i="3"/>
  <c r="A552" i="3"/>
  <c r="A551" i="3"/>
  <c r="A550" i="3"/>
  <c r="A549" i="3"/>
  <c r="D548" i="3"/>
  <c r="A547" i="3"/>
  <c r="A546" i="3"/>
  <c r="A545" i="3"/>
  <c r="A544" i="3"/>
  <c r="D543" i="3"/>
  <c r="A543" i="3"/>
  <c r="A542" i="3"/>
  <c r="D541" i="3"/>
  <c r="A541" i="3"/>
  <c r="D540" i="3"/>
  <c r="A540" i="3"/>
  <c r="A539" i="3"/>
  <c r="D538" i="3"/>
  <c r="A538" i="3"/>
  <c r="D537" i="3"/>
  <c r="A537" i="3"/>
  <c r="A536" i="3"/>
  <c r="D535" i="3"/>
  <c r="A535" i="3"/>
  <c r="A534" i="3"/>
  <c r="A533" i="3"/>
  <c r="A532" i="3"/>
  <c r="D531" i="3"/>
  <c r="A531" i="3"/>
  <c r="A530" i="3"/>
  <c r="D528" i="3"/>
  <c r="A528" i="3"/>
  <c r="A527" i="3"/>
  <c r="A526" i="3"/>
  <c r="A525" i="3"/>
  <c r="A521" i="3"/>
  <c r="D520" i="3"/>
  <c r="A520" i="3"/>
  <c r="A519" i="3"/>
  <c r="D518" i="3"/>
  <c r="A518" i="3"/>
  <c r="D517" i="3"/>
  <c r="A517" i="3"/>
  <c r="A516" i="3"/>
  <c r="D515" i="3"/>
  <c r="D514" i="3"/>
  <c r="A514" i="3"/>
  <c r="A513" i="3"/>
  <c r="D512" i="3"/>
  <c r="A512" i="3"/>
  <c r="A510" i="3"/>
  <c r="A509" i="3"/>
  <c r="A508" i="3"/>
  <c r="D505" i="3"/>
  <c r="A504" i="3"/>
  <c r="A503" i="3"/>
  <c r="A502" i="3"/>
  <c r="A501" i="3"/>
  <c r="A498" i="3"/>
  <c r="A497" i="3"/>
  <c r="A496" i="3"/>
  <c r="A495" i="3"/>
  <c r="A494" i="3"/>
  <c r="A492" i="3"/>
  <c r="A484" i="3"/>
  <c r="A483" i="3"/>
  <c r="D482" i="3"/>
  <c r="A480" i="3"/>
  <c r="A479" i="3"/>
  <c r="A475" i="3"/>
  <c r="D473" i="3"/>
  <c r="D472" i="3"/>
  <c r="A472" i="3"/>
  <c r="D471" i="3"/>
  <c r="A471" i="3"/>
  <c r="A470" i="3"/>
  <c r="A468" i="3"/>
  <c r="A467" i="3"/>
  <c r="A466" i="3"/>
  <c r="D462" i="3"/>
  <c r="A462" i="3"/>
  <c r="A461" i="3"/>
  <c r="A460" i="3"/>
  <c r="D458" i="3"/>
  <c r="A458" i="3"/>
  <c r="A457" i="3"/>
  <c r="D453" i="3"/>
  <c r="A448" i="3"/>
  <c r="A447" i="3"/>
  <c r="A446" i="3"/>
  <c r="A445" i="3"/>
  <c r="D444" i="3"/>
  <c r="A444" i="3"/>
  <c r="A443" i="3"/>
  <c r="A442" i="3"/>
  <c r="A438" i="3"/>
  <c r="D433" i="3"/>
  <c r="A433" i="3"/>
  <c r="A432" i="3"/>
  <c r="A431" i="3"/>
  <c r="A430" i="3"/>
  <c r="A429" i="3"/>
  <c r="A427" i="3"/>
  <c r="A426" i="3"/>
  <c r="A425" i="3"/>
  <c r="D422" i="3"/>
  <c r="A422" i="3"/>
  <c r="A421" i="3"/>
  <c r="A420" i="3"/>
  <c r="A419" i="3"/>
  <c r="A418" i="3"/>
  <c r="A416" i="3"/>
  <c r="A415" i="3"/>
  <c r="A414" i="3"/>
  <c r="A412" i="3"/>
  <c r="A411" i="3"/>
  <c r="A409" i="3"/>
  <c r="D408" i="3"/>
  <c r="D407" i="3"/>
  <c r="A406" i="3"/>
  <c r="A404" i="3"/>
  <c r="A403" i="3"/>
  <c r="A400" i="3"/>
  <c r="D399" i="3"/>
  <c r="A398" i="3"/>
  <c r="A396" i="3"/>
  <c r="A395" i="3"/>
  <c r="A393" i="3"/>
  <c r="D392" i="3"/>
  <c r="A392" i="3"/>
  <c r="A389" i="3"/>
  <c r="A388" i="3"/>
  <c r="A387" i="3"/>
  <c r="A386" i="3"/>
  <c r="A385" i="3"/>
  <c r="D384" i="3"/>
  <c r="A384" i="3"/>
  <c r="A383" i="3"/>
  <c r="A382" i="3"/>
  <c r="A381" i="3"/>
  <c r="A380" i="3"/>
  <c r="D378" i="3"/>
  <c r="A378" i="3"/>
  <c r="D377" i="3"/>
  <c r="A377" i="3"/>
  <c r="A376" i="3"/>
  <c r="A375" i="3"/>
  <c r="D374" i="3"/>
  <c r="A374" i="3"/>
  <c r="A373" i="3"/>
  <c r="D372" i="3"/>
  <c r="A372" i="3"/>
  <c r="A371" i="3"/>
  <c r="A370" i="3"/>
  <c r="D369" i="3"/>
  <c r="A369" i="3"/>
  <c r="A368" i="3"/>
  <c r="A367" i="3"/>
  <c r="A366" i="3"/>
  <c r="D365" i="3"/>
  <c r="A365" i="3"/>
  <c r="A363" i="3"/>
  <c r="A362" i="3"/>
  <c r="A361" i="3"/>
  <c r="A360" i="3"/>
  <c r="A359" i="3"/>
  <c r="A357" i="3"/>
  <c r="A356" i="3"/>
  <c r="A355" i="3"/>
  <c r="A354" i="3"/>
  <c r="A353" i="3"/>
  <c r="A352" i="3"/>
  <c r="A351" i="3"/>
  <c r="A350" i="3"/>
  <c r="A349" i="3"/>
  <c r="A348" i="3"/>
  <c r="A347" i="3"/>
  <c r="A346" i="3"/>
  <c r="A345" i="3"/>
  <c r="A344" i="3"/>
  <c r="D343" i="3"/>
  <c r="D342" i="3"/>
  <c r="A342" i="3"/>
  <c r="A341" i="3"/>
  <c r="A340" i="3"/>
  <c r="D339" i="3"/>
  <c r="A338" i="3"/>
  <c r="A337" i="3"/>
  <c r="A336" i="3"/>
  <c r="A335" i="3"/>
  <c r="A334" i="3"/>
  <c r="D333" i="3"/>
  <c r="A331" i="3"/>
  <c r="A330" i="3"/>
  <c r="A329" i="3"/>
  <c r="A328" i="3"/>
  <c r="D327" i="3"/>
  <c r="A327" i="3"/>
  <c r="A326" i="3"/>
  <c r="A325" i="3"/>
  <c r="D323" i="3"/>
  <c r="A323" i="3"/>
  <c r="D321" i="3"/>
  <c r="A321" i="3"/>
  <c r="A320" i="3"/>
  <c r="D319" i="3"/>
  <c r="A319" i="3"/>
  <c r="A318" i="3"/>
  <c r="D317" i="3"/>
  <c r="A315" i="3"/>
  <c r="A314" i="3"/>
  <c r="A312" i="3"/>
  <c r="A311" i="3"/>
  <c r="A308" i="3"/>
  <c r="A306" i="3"/>
  <c r="A305" i="3"/>
  <c r="A303" i="3"/>
  <c r="D302" i="3"/>
  <c r="A301" i="3"/>
  <c r="D300" i="3"/>
  <c r="A300" i="3"/>
  <c r="A298" i="3"/>
  <c r="A295" i="3"/>
  <c r="A294" i="3"/>
  <c r="A293" i="3"/>
  <c r="A292" i="3"/>
  <c r="A291" i="3"/>
  <c r="A290" i="3"/>
  <c r="D289" i="3"/>
  <c r="A287" i="3"/>
  <c r="A286" i="3"/>
  <c r="A285" i="3"/>
  <c r="A284" i="3"/>
  <c r="A283" i="3"/>
  <c r="A281" i="3"/>
  <c r="A280" i="3"/>
  <c r="A279" i="3"/>
  <c r="A278" i="3"/>
  <c r="A277" i="3"/>
  <c r="A276" i="3"/>
  <c r="D274" i="3"/>
  <c r="A274" i="3"/>
  <c r="D273" i="3"/>
  <c r="A273" i="3"/>
  <c r="A272" i="3"/>
  <c r="D270" i="3"/>
  <c r="A264" i="3"/>
  <c r="A262" i="3"/>
  <c r="A258" i="3"/>
  <c r="A256" i="3"/>
  <c r="A255" i="3"/>
  <c r="A254" i="3"/>
  <c r="A250" i="3"/>
  <c r="A249" i="3"/>
  <c r="D246" i="3"/>
  <c r="A246" i="3"/>
  <c r="A242" i="3"/>
  <c r="A241" i="3"/>
  <c r="A240" i="3"/>
  <c r="A238" i="3"/>
  <c r="D236" i="3"/>
  <c r="A236" i="3"/>
  <c r="D235" i="3"/>
  <c r="A235" i="3"/>
  <c r="A233" i="3"/>
  <c r="A231" i="3"/>
  <c r="A230" i="3"/>
  <c r="A228" i="3"/>
  <c r="A227" i="3"/>
  <c r="A226" i="3"/>
  <c r="D222" i="3"/>
  <c r="D221" i="3"/>
  <c r="A221" i="3"/>
  <c r="A220" i="3"/>
  <c r="D218" i="3"/>
  <c r="A217" i="3"/>
  <c r="A216" i="3"/>
  <c r="A213" i="3"/>
  <c r="A212" i="3"/>
  <c r="A211" i="3"/>
  <c r="A210" i="3"/>
  <c r="A209" i="3"/>
  <c r="A208" i="3"/>
  <c r="A206" i="3"/>
  <c r="A205" i="3"/>
  <c r="A202" i="3"/>
  <c r="D201" i="3"/>
  <c r="A201" i="3"/>
  <c r="A200" i="3"/>
  <c r="A199" i="3"/>
  <c r="A198" i="3"/>
  <c r="A197" i="3"/>
  <c r="A196" i="3"/>
  <c r="A195" i="3"/>
  <c r="A194" i="3"/>
  <c r="A192" i="3"/>
  <c r="A191" i="3"/>
  <c r="A190" i="3"/>
  <c r="A188" i="3"/>
  <c r="A187" i="3"/>
  <c r="A186" i="3"/>
  <c r="A185" i="3"/>
  <c r="A184" i="3"/>
  <c r="A183" i="3"/>
  <c r="A182" i="3"/>
  <c r="A180" i="3"/>
  <c r="A178" i="3"/>
  <c r="A177" i="3"/>
  <c r="D176" i="3"/>
  <c r="D174" i="3"/>
  <c r="A174" i="3"/>
  <c r="A172" i="3"/>
  <c r="A169" i="3"/>
  <c r="A167" i="3"/>
  <c r="A164" i="3"/>
  <c r="A162" i="3"/>
  <c r="A161" i="3"/>
  <c r="D160" i="3"/>
  <c r="A160" i="3"/>
  <c r="D159" i="3"/>
  <c r="A158" i="3"/>
  <c r="A157" i="3"/>
  <c r="A156" i="3"/>
  <c r="A155" i="3"/>
  <c r="A154" i="3"/>
  <c r="A153" i="3"/>
  <c r="A152" i="3"/>
  <c r="A151" i="3"/>
  <c r="A150" i="3"/>
  <c r="A149" i="3"/>
  <c r="A148" i="3"/>
  <c r="A147" i="3"/>
  <c r="A146" i="3"/>
  <c r="A145" i="3"/>
  <c r="A144" i="3"/>
  <c r="A143" i="3"/>
  <c r="D142" i="3"/>
  <c r="D141" i="3"/>
  <c r="A140" i="3"/>
  <c r="A138" i="3"/>
  <c r="D137" i="3"/>
  <c r="A137" i="3"/>
  <c r="A133" i="3"/>
  <c r="A132" i="3"/>
  <c r="D130" i="3"/>
  <c r="A128" i="3"/>
  <c r="A127" i="3"/>
  <c r="A126" i="3"/>
  <c r="D125" i="3"/>
  <c r="A124" i="3"/>
  <c r="A120" i="3"/>
  <c r="A118" i="3"/>
  <c r="A116" i="3"/>
  <c r="A115" i="3"/>
  <c r="A112" i="3"/>
  <c r="A111" i="3"/>
  <c r="D109" i="3"/>
  <c r="A100" i="3"/>
  <c r="A99" i="3"/>
  <c r="A88" i="3"/>
  <c r="A82" i="3"/>
  <c r="A81" i="3"/>
  <c r="A80" i="3"/>
  <c r="A79" i="3"/>
  <c r="A75" i="3"/>
  <c r="D74" i="3"/>
  <c r="A71" i="3"/>
  <c r="D70" i="3"/>
  <c r="A69" i="3"/>
  <c r="A68" i="3"/>
  <c r="A67" i="3"/>
  <c r="D65" i="3"/>
  <c r="A65" i="3"/>
  <c r="A58" i="3"/>
  <c r="A57" i="3"/>
  <c r="A55" i="3"/>
  <c r="D54" i="3"/>
  <c r="A54" i="3"/>
  <c r="A53" i="3"/>
  <c r="A51" i="3"/>
  <c r="A49" i="3"/>
  <c r="A48" i="3"/>
  <c r="A47" i="3"/>
  <c r="A46" i="3"/>
  <c r="A35" i="3"/>
  <c r="A33" i="3"/>
  <c r="A32" i="3"/>
  <c r="A31" i="3"/>
  <c r="A30" i="3"/>
  <c r="A29" i="3"/>
  <c r="A28" i="3"/>
  <c r="A26" i="3"/>
  <c r="A25" i="3"/>
  <c r="D23" i="3"/>
  <c r="A23" i="3"/>
  <c r="A22" i="3"/>
  <c r="A21" i="3"/>
  <c r="A20" i="3"/>
  <c r="A19" i="3"/>
  <c r="A18" i="3"/>
  <c r="A15" i="3"/>
  <c r="A14" i="3"/>
  <c r="A13" i="3"/>
  <c r="A12" i="3"/>
  <c r="A10" i="3"/>
  <c r="A9" i="3"/>
  <c r="A8" i="3"/>
  <c r="A6" i="3"/>
  <c r="A5" i="3"/>
  <c r="A3" i="3"/>
  <c r="A2" i="3"/>
  <c r="D5711" i="2"/>
  <c r="A5711" i="2"/>
  <c r="D5709" i="2"/>
  <c r="A5709" i="2"/>
  <c r="A5708" i="2"/>
  <c r="A5707" i="2"/>
  <c r="A5706" i="2"/>
  <c r="A5705" i="2"/>
  <c r="A5704" i="2"/>
  <c r="A5703" i="2"/>
  <c r="D5702" i="2"/>
  <c r="A5702" i="2"/>
  <c r="A5701" i="2"/>
  <c r="A5700" i="2"/>
  <c r="A5699" i="2"/>
  <c r="A5697" i="2"/>
  <c r="A5696" i="2"/>
  <c r="D5695" i="2"/>
  <c r="A5695" i="2"/>
  <c r="D5694" i="2"/>
  <c r="A5694" i="2"/>
  <c r="A5693" i="2"/>
  <c r="A5692" i="2"/>
  <c r="D5691" i="2"/>
  <c r="D5690" i="2"/>
  <c r="A5690" i="2"/>
  <c r="A5689" i="2"/>
  <c r="A5688" i="2"/>
  <c r="A5687" i="2"/>
  <c r="A5686" i="2"/>
  <c r="D5685" i="2"/>
  <c r="A5685" i="2"/>
  <c r="D5684" i="2"/>
  <c r="A5684" i="2"/>
  <c r="A5683" i="2"/>
  <c r="A5682" i="2"/>
  <c r="D5681" i="2"/>
  <c r="A5680" i="2"/>
  <c r="A5679" i="2"/>
  <c r="A5678" i="2"/>
  <c r="A5677" i="2"/>
  <c r="D5676" i="2"/>
  <c r="A5675" i="2"/>
  <c r="D5674" i="2"/>
  <c r="D5673" i="2"/>
  <c r="D5672" i="2"/>
  <c r="A5672" i="2"/>
  <c r="A5670" i="2"/>
  <c r="A5669" i="2"/>
  <c r="D5668" i="2"/>
  <c r="D5667" i="2"/>
  <c r="A5667" i="2"/>
  <c r="A5665" i="2"/>
  <c r="A5664" i="2"/>
  <c r="D5663" i="2"/>
  <c r="A5663" i="2"/>
  <c r="A5662" i="2"/>
  <c r="A5661" i="2"/>
  <c r="A5660" i="2"/>
  <c r="D5659" i="2"/>
  <c r="A5658" i="2"/>
  <c r="A5657" i="2"/>
  <c r="A5656" i="2"/>
  <c r="A5655" i="2"/>
  <c r="A5654" i="2"/>
  <c r="A5653" i="2"/>
  <c r="A5650" i="2"/>
  <c r="A5649" i="2"/>
  <c r="A5648" i="2"/>
  <c r="D5647" i="2"/>
  <c r="D5646" i="2"/>
  <c r="A5646" i="2"/>
  <c r="A5645" i="2"/>
  <c r="A5644" i="2"/>
  <c r="A5643" i="2"/>
  <c r="D5642" i="2"/>
  <c r="A5642" i="2"/>
  <c r="A5641" i="2"/>
  <c r="A5640" i="2"/>
  <c r="A5639" i="2"/>
  <c r="A5638" i="2"/>
  <c r="A5637" i="2"/>
  <c r="A5636" i="2"/>
  <c r="A5635" i="2"/>
  <c r="A5634" i="2"/>
  <c r="A5633" i="2"/>
  <c r="A5632" i="2"/>
  <c r="A5631" i="2"/>
  <c r="A5630" i="2"/>
  <c r="A5629" i="2"/>
  <c r="A5628" i="2"/>
  <c r="A5627" i="2"/>
  <c r="D5626" i="2"/>
  <c r="A5626" i="2"/>
  <c r="A5625" i="2"/>
  <c r="D5624" i="2"/>
  <c r="A5624" i="2"/>
  <c r="A5623" i="2"/>
  <c r="D5622" i="2"/>
  <c r="A5622" i="2"/>
  <c r="A5621" i="2"/>
  <c r="A5620" i="2"/>
  <c r="A5619" i="2"/>
  <c r="A5618" i="2"/>
  <c r="A5617" i="2"/>
  <c r="A5616" i="2"/>
  <c r="D5615" i="2"/>
  <c r="A5615" i="2"/>
  <c r="A5614" i="2"/>
  <c r="A5613" i="2"/>
  <c r="A5612" i="2"/>
  <c r="A5611" i="2"/>
  <c r="A5610" i="2"/>
  <c r="A5609" i="2"/>
  <c r="D5608" i="2"/>
  <c r="A5608" i="2"/>
  <c r="D5607" i="2"/>
  <c r="A5607" i="2"/>
  <c r="A5605" i="2"/>
  <c r="D5604" i="2"/>
  <c r="A5604" i="2"/>
  <c r="D5603" i="2"/>
  <c r="A5603" i="2"/>
  <c r="A5602" i="2"/>
  <c r="A5601" i="2"/>
  <c r="D5600" i="2"/>
  <c r="A5600" i="2"/>
  <c r="A5599" i="2"/>
  <c r="A5598" i="2"/>
  <c r="D5597" i="2"/>
  <c r="D5596" i="2"/>
  <c r="D5595" i="2"/>
  <c r="D5594" i="2"/>
  <c r="A5594" i="2"/>
  <c r="A5593" i="2"/>
  <c r="D5592" i="2"/>
  <c r="A5591" i="2"/>
  <c r="A5590" i="2"/>
  <c r="A5589" i="2"/>
  <c r="A5588" i="2"/>
  <c r="A5587" i="2"/>
  <c r="D5586" i="2"/>
  <c r="A5586" i="2"/>
  <c r="A5585" i="2"/>
  <c r="D5584" i="2"/>
  <c r="A5584" i="2"/>
  <c r="D5583" i="2"/>
  <c r="A5583" i="2"/>
  <c r="A5582" i="2"/>
  <c r="A5581" i="2"/>
  <c r="A5580" i="2"/>
  <c r="A5579" i="2"/>
  <c r="A5578" i="2"/>
  <c r="D5577" i="2"/>
  <c r="A5577" i="2"/>
  <c r="A5576" i="2"/>
  <c r="A5575" i="2"/>
  <c r="D5574" i="2"/>
  <c r="A5574" i="2"/>
  <c r="A5573" i="2"/>
  <c r="A5572" i="2"/>
  <c r="A5571" i="2"/>
  <c r="A5570" i="2"/>
  <c r="A5569" i="2"/>
  <c r="A5568" i="2"/>
  <c r="A5567" i="2"/>
  <c r="A5566" i="2"/>
  <c r="D5565" i="2"/>
  <c r="A5565" i="2"/>
  <c r="A5564" i="2"/>
  <c r="D5563" i="2"/>
  <c r="A5563" i="2"/>
  <c r="D5562" i="2"/>
  <c r="A5562" i="2"/>
  <c r="D5561" i="2"/>
  <c r="A5561" i="2"/>
  <c r="D5560" i="2"/>
  <c r="D5559" i="2"/>
  <c r="D5558" i="2"/>
  <c r="A5558" i="2"/>
  <c r="D5557" i="2"/>
  <c r="A5557" i="2"/>
  <c r="D5556" i="2"/>
  <c r="A5556" i="2"/>
  <c r="A5555" i="2"/>
  <c r="A5554" i="2"/>
  <c r="A5553" i="2"/>
  <c r="D5552" i="2"/>
  <c r="D5551" i="2"/>
  <c r="A5551" i="2"/>
  <c r="D5550" i="2"/>
  <c r="A5549" i="2"/>
  <c r="A5548" i="2"/>
  <c r="A5547" i="2"/>
  <c r="A5546" i="2"/>
  <c r="D5545" i="2"/>
  <c r="A5545" i="2"/>
  <c r="A5544" i="2"/>
  <c r="A5543" i="2"/>
  <c r="A5542" i="2"/>
  <c r="A5540" i="2"/>
  <c r="A5539" i="2"/>
  <c r="A5537" i="2"/>
  <c r="A5536" i="2"/>
  <c r="D5535" i="2"/>
  <c r="A5535" i="2"/>
  <c r="A5534" i="2"/>
  <c r="D5533" i="2"/>
  <c r="A5533" i="2"/>
  <c r="A5532" i="2"/>
  <c r="A5531" i="2"/>
  <c r="A5530" i="2"/>
  <c r="D5529" i="2"/>
  <c r="A5529" i="2"/>
  <c r="A5528" i="2"/>
  <c r="D5527" i="2"/>
  <c r="D5526" i="2"/>
  <c r="A5526" i="2"/>
  <c r="A5525" i="2"/>
  <c r="A5524" i="2"/>
  <c r="A5523" i="2"/>
  <c r="A5522" i="2"/>
  <c r="A5521" i="2"/>
  <c r="D5520" i="2"/>
  <c r="A5520" i="2"/>
  <c r="A5519" i="2"/>
  <c r="D5518" i="2"/>
  <c r="A5518" i="2"/>
  <c r="A5517" i="2"/>
  <c r="A5516" i="2"/>
  <c r="D5515" i="2"/>
  <c r="D5513" i="2"/>
  <c r="D5511" i="2"/>
  <c r="A5510" i="2"/>
  <c r="A5508" i="2"/>
  <c r="A5507" i="2"/>
  <c r="D5506" i="2"/>
  <c r="A5505" i="2"/>
  <c r="A5504" i="2"/>
  <c r="A5503" i="2"/>
  <c r="A5502" i="2"/>
  <c r="A5501" i="2"/>
  <c r="A5500" i="2"/>
  <c r="A5499" i="2"/>
  <c r="A5498" i="2"/>
  <c r="D5495" i="2"/>
  <c r="A5495" i="2"/>
  <c r="A5494" i="2"/>
  <c r="A5493" i="2"/>
  <c r="A5492" i="2"/>
  <c r="A5491" i="2"/>
  <c r="A5490" i="2"/>
  <c r="A5489" i="2"/>
  <c r="A5488" i="2"/>
  <c r="D5486" i="2"/>
  <c r="A5486" i="2"/>
  <c r="A5485" i="2"/>
  <c r="D5484" i="2"/>
  <c r="A5484" i="2"/>
  <c r="A5483" i="2"/>
  <c r="A5481" i="2"/>
  <c r="D5480" i="2"/>
  <c r="A5480" i="2"/>
  <c r="A5479" i="2"/>
  <c r="A5477" i="2"/>
  <c r="D5476" i="2"/>
  <c r="A5476" i="2"/>
  <c r="D5475" i="2"/>
  <c r="A5473" i="2"/>
  <c r="A5472" i="2"/>
  <c r="A5470" i="2"/>
  <c r="A5468" i="2"/>
  <c r="A5467" i="2"/>
  <c r="D5466" i="2"/>
  <c r="A5466" i="2"/>
  <c r="D5465" i="2"/>
  <c r="A5465" i="2"/>
  <c r="D5464" i="2"/>
  <c r="A5464" i="2"/>
  <c r="A5463" i="2"/>
  <c r="D5462" i="2"/>
  <c r="A5462" i="2"/>
  <c r="A5461" i="2"/>
  <c r="A5460" i="2"/>
  <c r="A5458" i="2"/>
  <c r="A5456" i="2"/>
  <c r="A5455" i="2"/>
  <c r="A5453" i="2"/>
  <c r="A5452" i="2"/>
  <c r="A5451" i="2"/>
  <c r="D5450" i="2"/>
  <c r="A5449" i="2"/>
  <c r="A5448" i="2"/>
  <c r="A5447" i="2"/>
  <c r="A5446" i="2"/>
  <c r="D5444" i="2"/>
  <c r="A5444" i="2"/>
  <c r="D5443" i="2"/>
  <c r="A5443" i="2"/>
  <c r="D5441" i="2"/>
  <c r="D5440" i="2"/>
  <c r="D5439" i="2"/>
  <c r="D5438" i="2"/>
  <c r="D5437" i="2"/>
  <c r="D5436" i="2"/>
  <c r="D5435" i="2"/>
  <c r="A5433" i="2"/>
  <c r="A5432" i="2"/>
  <c r="A5431" i="2"/>
  <c r="A5430" i="2"/>
  <c r="A5429" i="2"/>
  <c r="D5428" i="2"/>
  <c r="A5427" i="2"/>
  <c r="A5425" i="2"/>
  <c r="D5423" i="2"/>
  <c r="D5422" i="2"/>
  <c r="D5420" i="2"/>
  <c r="A5419" i="2"/>
  <c r="D5418" i="2"/>
  <c r="D5415" i="2"/>
  <c r="A5413" i="2"/>
  <c r="A5412" i="2"/>
  <c r="A5410" i="2"/>
  <c r="D5409" i="2"/>
  <c r="A5408" i="2"/>
  <c r="A5406" i="2"/>
  <c r="A5405" i="2"/>
  <c r="D5404" i="2"/>
  <c r="D5400" i="2"/>
  <c r="A5400" i="2"/>
  <c r="A5399" i="2"/>
  <c r="D5395" i="2"/>
  <c r="A5395" i="2"/>
  <c r="D5394" i="2"/>
  <c r="A5393" i="2"/>
  <c r="A5392" i="2"/>
  <c r="A5389" i="2"/>
  <c r="D5388" i="2"/>
  <c r="A5388" i="2"/>
  <c r="D5387" i="2"/>
  <c r="A5387" i="2"/>
  <c r="D5386" i="2"/>
  <c r="D5384" i="2"/>
  <c r="D5383" i="2"/>
  <c r="A5381" i="2"/>
  <c r="A5380" i="2"/>
  <c r="A5377" i="2"/>
  <c r="A5376" i="2"/>
  <c r="A5373" i="2"/>
  <c r="A5371" i="2"/>
  <c r="D5369" i="2"/>
  <c r="A5369" i="2"/>
  <c r="A5368" i="2"/>
  <c r="A5367" i="2"/>
  <c r="D5362" i="2"/>
  <c r="A5358" i="2"/>
  <c r="D5357" i="2"/>
  <c r="D5356" i="2"/>
  <c r="A5356" i="2"/>
  <c r="A5355" i="2"/>
  <c r="D5353" i="2"/>
  <c r="A5352" i="2"/>
  <c r="A5351" i="2"/>
  <c r="A5350" i="2"/>
  <c r="A5349" i="2"/>
  <c r="A5348" i="2"/>
  <c r="D5347" i="2"/>
  <c r="A5347" i="2"/>
  <c r="D5346" i="2"/>
  <c r="A5346" i="2"/>
  <c r="D5345" i="2"/>
  <c r="A5345" i="2"/>
  <c r="A5344" i="2"/>
  <c r="A5340" i="2"/>
  <c r="D5339" i="2"/>
  <c r="D5338" i="2"/>
  <c r="A5337" i="2"/>
  <c r="A5336" i="2"/>
  <c r="A5335" i="2"/>
  <c r="A5334" i="2"/>
  <c r="D5333" i="2"/>
  <c r="D5331" i="2"/>
  <c r="D5330" i="2"/>
  <c r="D5329" i="2"/>
  <c r="A5329" i="2"/>
  <c r="A5328" i="2"/>
  <c r="D5326" i="2"/>
  <c r="A5326" i="2"/>
  <c r="A5325" i="2"/>
  <c r="A5324" i="2"/>
  <c r="A5323" i="2"/>
  <c r="A5322" i="2"/>
  <c r="A5321" i="2"/>
  <c r="A5320" i="2"/>
  <c r="A5319" i="2"/>
  <c r="D5318" i="2"/>
  <c r="A5317" i="2"/>
  <c r="D5314" i="2"/>
  <c r="A5313" i="2"/>
  <c r="D5312" i="2"/>
  <c r="A5312" i="2"/>
  <c r="D5311" i="2"/>
  <c r="A5311" i="2"/>
  <c r="D5310" i="2"/>
  <c r="A5310" i="2"/>
  <c r="D5309" i="2"/>
  <c r="A5309" i="2"/>
  <c r="D5307" i="2"/>
  <c r="A5307" i="2"/>
  <c r="D5306" i="2"/>
  <c r="A5306" i="2"/>
  <c r="A5305" i="2"/>
  <c r="D5304" i="2"/>
  <c r="A5304" i="2"/>
  <c r="A5303" i="2"/>
  <c r="D5302" i="2"/>
  <c r="A5302" i="2"/>
  <c r="D5301" i="2"/>
  <c r="A5300" i="2"/>
  <c r="D5299" i="2"/>
  <c r="A5298" i="2"/>
  <c r="A5297" i="2"/>
  <c r="A5296" i="2"/>
  <c r="D5295" i="2"/>
  <c r="A5295" i="2"/>
  <c r="D5294" i="2"/>
  <c r="D5292" i="2"/>
  <c r="A5292" i="2"/>
  <c r="D5290" i="2"/>
  <c r="D5289" i="2"/>
  <c r="A5287" i="2"/>
  <c r="D5283" i="2"/>
  <c r="A5283" i="2"/>
  <c r="A5281" i="2"/>
  <c r="A5280" i="2"/>
  <c r="A5279" i="2"/>
  <c r="A5278" i="2"/>
  <c r="A5277" i="2"/>
  <c r="A5276" i="2"/>
  <c r="D5275" i="2"/>
  <c r="A5274" i="2"/>
  <c r="D5273" i="2"/>
  <c r="A5271" i="2"/>
  <c r="A5270" i="2"/>
  <c r="A5269" i="2"/>
  <c r="A5268" i="2"/>
  <c r="D5267" i="2"/>
  <c r="A5267" i="2"/>
  <c r="A5266" i="2"/>
  <c r="A5265" i="2"/>
  <c r="A5264" i="2"/>
  <c r="A5263" i="2"/>
  <c r="A5262" i="2"/>
  <c r="D5261" i="2"/>
  <c r="A5261" i="2"/>
  <c r="D5260" i="2"/>
  <c r="A5260" i="2"/>
  <c r="D5259" i="2"/>
  <c r="D5258" i="2"/>
  <c r="A5258" i="2"/>
  <c r="D5257" i="2"/>
  <c r="A5256" i="2"/>
  <c r="A5255" i="2"/>
  <c r="D5254" i="2"/>
  <c r="A5254" i="2"/>
  <c r="D5253" i="2"/>
  <c r="A5253" i="2"/>
  <c r="A5252" i="2"/>
  <c r="A5251" i="2"/>
  <c r="A5250" i="2"/>
  <c r="A5249" i="2"/>
  <c r="A5248" i="2"/>
  <c r="A5247" i="2"/>
  <c r="A5246" i="2"/>
  <c r="D5237" i="2"/>
  <c r="A5236" i="2"/>
  <c r="A5234" i="2"/>
  <c r="A5232" i="2"/>
  <c r="A5231" i="2"/>
  <c r="D5229" i="2"/>
  <c r="A5229" i="2"/>
  <c r="A5228" i="2"/>
  <c r="A5227" i="2"/>
  <c r="A5222" i="2"/>
  <c r="A5221" i="2"/>
  <c r="A5219" i="2"/>
  <c r="A5218" i="2"/>
  <c r="A5217" i="2"/>
  <c r="A5216" i="2"/>
  <c r="A5215" i="2"/>
  <c r="A5214" i="2"/>
  <c r="A5212" i="2"/>
  <c r="A5211" i="2"/>
  <c r="A5210" i="2"/>
  <c r="A5209" i="2"/>
  <c r="A5208" i="2"/>
  <c r="A5206" i="2"/>
  <c r="A5205" i="2"/>
  <c r="A5204" i="2"/>
  <c r="A5202" i="2"/>
  <c r="A5201" i="2"/>
  <c r="A5200" i="2"/>
  <c r="D5199" i="2"/>
  <c r="A5198" i="2"/>
  <c r="A5195" i="2"/>
  <c r="A5194" i="2"/>
  <c r="A5191" i="2"/>
  <c r="A5190" i="2"/>
  <c r="A5189" i="2"/>
  <c r="A5188" i="2"/>
  <c r="A5187" i="2"/>
  <c r="A5186" i="2"/>
  <c r="A5185" i="2"/>
  <c r="D5184" i="2"/>
  <c r="A5184" i="2"/>
  <c r="D5183" i="2"/>
  <c r="A5183" i="2"/>
  <c r="A5182" i="2"/>
  <c r="A5181" i="2"/>
  <c r="A5180" i="2"/>
  <c r="A5179" i="2"/>
  <c r="A5178" i="2"/>
  <c r="A5177" i="2"/>
  <c r="A5172" i="2"/>
  <c r="A5170" i="2"/>
  <c r="A5169" i="2"/>
  <c r="A5168" i="2"/>
  <c r="A5167" i="2"/>
  <c r="A5166" i="2"/>
  <c r="A5164" i="2"/>
  <c r="A5163" i="2"/>
  <c r="A5161" i="2"/>
  <c r="A5160" i="2"/>
  <c r="A5159" i="2"/>
  <c r="A5158" i="2"/>
  <c r="A5157" i="2"/>
  <c r="A5156" i="2"/>
  <c r="A5155" i="2"/>
  <c r="A5154" i="2"/>
  <c r="A5153" i="2"/>
  <c r="A5152" i="2"/>
  <c r="A5151" i="2"/>
  <c r="D5148" i="2"/>
  <c r="A5147" i="2"/>
  <c r="D5146" i="2"/>
  <c r="D5145" i="2"/>
  <c r="D5142" i="2"/>
  <c r="A5141" i="2"/>
  <c r="A5140" i="2"/>
  <c r="A5139" i="2"/>
  <c r="A5137" i="2"/>
  <c r="D5136" i="2"/>
  <c r="A5136" i="2"/>
  <c r="A5135" i="2"/>
  <c r="D5133" i="2"/>
  <c r="A5133" i="2"/>
  <c r="A5132" i="2"/>
  <c r="A5131" i="2"/>
  <c r="D5130" i="2"/>
  <c r="A5130" i="2"/>
  <c r="A5129" i="2"/>
  <c r="D5128" i="2"/>
  <c r="A5127" i="2"/>
  <c r="A5126" i="2"/>
  <c r="A5125" i="2"/>
  <c r="A5118" i="2"/>
  <c r="A5117" i="2"/>
  <c r="A5114" i="2"/>
  <c r="A5112" i="2"/>
  <c r="D5111" i="2"/>
  <c r="A5109" i="2"/>
  <c r="D5108" i="2"/>
  <c r="A5107" i="2"/>
  <c r="D5103" i="2"/>
  <c r="D5102" i="2"/>
  <c r="D5101" i="2"/>
  <c r="A5101" i="2"/>
  <c r="D5100" i="2"/>
  <c r="A5100" i="2"/>
  <c r="D5097" i="2"/>
  <c r="A5096" i="2"/>
  <c r="A5094" i="2"/>
  <c r="A5093" i="2"/>
  <c r="A5091" i="2"/>
  <c r="D5089" i="2"/>
  <c r="A5089" i="2"/>
  <c r="A5088" i="2"/>
  <c r="A5084" i="2"/>
  <c r="A5083" i="2"/>
  <c r="A5082" i="2"/>
  <c r="A5081" i="2"/>
  <c r="A5079" i="2"/>
  <c r="A5078" i="2"/>
  <c r="A5077" i="2"/>
  <c r="A5076" i="2"/>
  <c r="A5075" i="2"/>
  <c r="D5074" i="2"/>
  <c r="A5074" i="2"/>
  <c r="D5073" i="2"/>
  <c r="A5073" i="2"/>
  <c r="D5072" i="2"/>
  <c r="A5072" i="2"/>
  <c r="A5071" i="2"/>
  <c r="A5070" i="2"/>
  <c r="A5069" i="2"/>
  <c r="D5068" i="2"/>
  <c r="D5067" i="2"/>
  <c r="D5066" i="2"/>
  <c r="A5065" i="2"/>
  <c r="D5064" i="2"/>
  <c r="D5063" i="2"/>
  <c r="D5062" i="2"/>
  <c r="D5059" i="2"/>
  <c r="D5058" i="2"/>
  <c r="D5057" i="2"/>
  <c r="A5056" i="2"/>
  <c r="A5055" i="2"/>
  <c r="D5054" i="2"/>
  <c r="A5052" i="2"/>
  <c r="A5050" i="2"/>
  <c r="A5049" i="2"/>
  <c r="A5047" i="2"/>
  <c r="D5046" i="2"/>
  <c r="A5046" i="2"/>
  <c r="A5045" i="2"/>
  <c r="D5044" i="2"/>
  <c r="A5044" i="2"/>
  <c r="A5040" i="2"/>
  <c r="A5039" i="2"/>
  <c r="A5037" i="2"/>
  <c r="A5033" i="2"/>
  <c r="A5032" i="2"/>
  <c r="A5028" i="2"/>
  <c r="A5026" i="2"/>
  <c r="A5025" i="2"/>
  <c r="D5024" i="2"/>
  <c r="D5022" i="2"/>
  <c r="A5022" i="2"/>
  <c r="A5021" i="2"/>
  <c r="A5020" i="2"/>
  <c r="D5019" i="2"/>
  <c r="A5016" i="2"/>
  <c r="D5012" i="2"/>
  <c r="D5011" i="2"/>
  <c r="D5007" i="2"/>
  <c r="A5007" i="2"/>
  <c r="D5003" i="2"/>
  <c r="A5003" i="2"/>
  <c r="A5002" i="2"/>
  <c r="A4997" i="2"/>
  <c r="A4996" i="2"/>
  <c r="D4995" i="2"/>
  <c r="A4993" i="2"/>
  <c r="A4984" i="2"/>
  <c r="A4981" i="2"/>
  <c r="D4978" i="2"/>
  <c r="A4978" i="2"/>
  <c r="A4977" i="2"/>
  <c r="A4975" i="2"/>
  <c r="A4974" i="2"/>
  <c r="D4973" i="2"/>
  <c r="A4970" i="2"/>
  <c r="A4969" i="2"/>
  <c r="A4968" i="2"/>
  <c r="A4967" i="2"/>
  <c r="A4966" i="2"/>
  <c r="D4964" i="2"/>
  <c r="D4962" i="2"/>
  <c r="A4962" i="2"/>
  <c r="A4961" i="2"/>
  <c r="A4960" i="2"/>
  <c r="D4958" i="2"/>
  <c r="A4955" i="2"/>
  <c r="A4954" i="2"/>
  <c r="A4953" i="2"/>
  <c r="D4952" i="2"/>
  <c r="A4950" i="2"/>
  <c r="D4947" i="2"/>
  <c r="A4946" i="2"/>
  <c r="D4945" i="2"/>
  <c r="D4944" i="2"/>
  <c r="A4942" i="2"/>
  <c r="A4941" i="2"/>
  <c r="A4940" i="2"/>
  <c r="A4939" i="2"/>
  <c r="A4938" i="2"/>
  <c r="D4937" i="2"/>
  <c r="D4936" i="2"/>
  <c r="D4934" i="2"/>
  <c r="D4932" i="2"/>
  <c r="A4930" i="2"/>
  <c r="A4929" i="2"/>
  <c r="A4928" i="2"/>
  <c r="A4926" i="2"/>
  <c r="A4925" i="2"/>
  <c r="D4924" i="2"/>
  <c r="A4923" i="2"/>
  <c r="D4922" i="2"/>
  <c r="A4921" i="2"/>
  <c r="A4920" i="2"/>
  <c r="A4919" i="2"/>
  <c r="D4918" i="2"/>
  <c r="A4918" i="2"/>
  <c r="D4917" i="2"/>
  <c r="D4916" i="2"/>
  <c r="A4916" i="2"/>
  <c r="D4915" i="2"/>
  <c r="A4912" i="2"/>
  <c r="A4910" i="2"/>
  <c r="D4909" i="2"/>
  <c r="A4908" i="2"/>
  <c r="A4907" i="2"/>
  <c r="A4906" i="2"/>
  <c r="D4905" i="2"/>
  <c r="A4904" i="2"/>
  <c r="A4900" i="2"/>
  <c r="A4890" i="2"/>
  <c r="A4889" i="2"/>
  <c r="D4888" i="2"/>
  <c r="A4888" i="2"/>
  <c r="A4887" i="2"/>
  <c r="D4886" i="2"/>
  <c r="A4886" i="2"/>
  <c r="A4884" i="2"/>
  <c r="D4883" i="2"/>
  <c r="A4883" i="2"/>
  <c r="D4882" i="2"/>
  <c r="D4877" i="2"/>
  <c r="A4876" i="2"/>
  <c r="D4874" i="2"/>
  <c r="D4873" i="2"/>
  <c r="A4873" i="2"/>
  <c r="A4870" i="2"/>
  <c r="D4869" i="2"/>
  <c r="A4866" i="2"/>
  <c r="A4865" i="2"/>
  <c r="D4863" i="2"/>
  <c r="A4862" i="2"/>
  <c r="D4859" i="2"/>
  <c r="D4857" i="2"/>
  <c r="D4856" i="2"/>
  <c r="D4855" i="2"/>
  <c r="A4854" i="2"/>
  <c r="A4853" i="2"/>
  <c r="A4851" i="2"/>
  <c r="D4850" i="2"/>
  <c r="D4848" i="2"/>
  <c r="A4847" i="2"/>
  <c r="A4846" i="2"/>
  <c r="A4845" i="2"/>
  <c r="A4843" i="2"/>
  <c r="A4842" i="2"/>
  <c r="A4841" i="2"/>
  <c r="D4840" i="2"/>
  <c r="D4839" i="2"/>
  <c r="A4838" i="2"/>
  <c r="D4837" i="2"/>
  <c r="A4836" i="2"/>
  <c r="D4835" i="2"/>
  <c r="A4835" i="2"/>
  <c r="A4834" i="2"/>
  <c r="A4832" i="2"/>
  <c r="D4831" i="2"/>
  <c r="A4831" i="2"/>
  <c r="A4830" i="2"/>
  <c r="A4828" i="2"/>
  <c r="D4824" i="2"/>
  <c r="A4823" i="2"/>
  <c r="A4822" i="2"/>
  <c r="A4820" i="2"/>
  <c r="A4819" i="2"/>
  <c r="A4816" i="2"/>
  <c r="A4815" i="2"/>
  <c r="A4814" i="2"/>
  <c r="A4813" i="2"/>
  <c r="A4812" i="2"/>
  <c r="A4811" i="2"/>
  <c r="A4810" i="2"/>
  <c r="D4808" i="2"/>
  <c r="D4807" i="2"/>
  <c r="A4807" i="2"/>
  <c r="D4806" i="2"/>
  <c r="A4806" i="2"/>
  <c r="D4805" i="2"/>
  <c r="A4804" i="2"/>
  <c r="D4803" i="2"/>
  <c r="D4798" i="2"/>
  <c r="D4797" i="2"/>
  <c r="A4797" i="2"/>
  <c r="D4796" i="2"/>
  <c r="A4796" i="2"/>
  <c r="D4788" i="2"/>
  <c r="A4788" i="2"/>
  <c r="A4785" i="2"/>
  <c r="A4781" i="2"/>
  <c r="A4772" i="2"/>
  <c r="A4771" i="2"/>
  <c r="A4770" i="2"/>
  <c r="D4769" i="2"/>
  <c r="D4767" i="2"/>
  <c r="A4767" i="2"/>
  <c r="A4766" i="2"/>
  <c r="A4763" i="2"/>
  <c r="A4761" i="2"/>
  <c r="D4757" i="2"/>
  <c r="A4757" i="2"/>
  <c r="D4756" i="2"/>
  <c r="D4753" i="2"/>
  <c r="A4752" i="2"/>
  <c r="A4750" i="2"/>
  <c r="D4747" i="2"/>
  <c r="D4746" i="2"/>
  <c r="D4731" i="2"/>
  <c r="D4730" i="2"/>
  <c r="D4728" i="2"/>
  <c r="D4727" i="2"/>
  <c r="A4727" i="2"/>
  <c r="D4726" i="2"/>
  <c r="A4726" i="2"/>
  <c r="D4722" i="2"/>
  <c r="D4721" i="2"/>
  <c r="A4721" i="2"/>
  <c r="D4720" i="2"/>
  <c r="A4720" i="2"/>
  <c r="D4719" i="2"/>
  <c r="A4717" i="2"/>
  <c r="A4716" i="2"/>
  <c r="A4715" i="2"/>
  <c r="A4714" i="2"/>
  <c r="A4713" i="2"/>
  <c r="D4712" i="2"/>
  <c r="A4710" i="2"/>
  <c r="D4709" i="2"/>
  <c r="A4709" i="2"/>
  <c r="A4708" i="2"/>
  <c r="D4706" i="2"/>
  <c r="A4706" i="2"/>
  <c r="A4705" i="2"/>
  <c r="D4704" i="2"/>
  <c r="A4704" i="2"/>
  <c r="D4702" i="2"/>
  <c r="D4700" i="2"/>
  <c r="A4700" i="2"/>
  <c r="D4699" i="2"/>
  <c r="A4698" i="2"/>
  <c r="A4696" i="2"/>
  <c r="A4693" i="2"/>
  <c r="D4692" i="2"/>
  <c r="A4691" i="2"/>
  <c r="A4687" i="2"/>
  <c r="A4685" i="2"/>
  <c r="A4683" i="2"/>
  <c r="A4682" i="2"/>
  <c r="A4680" i="2"/>
  <c r="A4679" i="2"/>
  <c r="A4675" i="2"/>
  <c r="A4669" i="2"/>
  <c r="D4668" i="2"/>
  <c r="A4668" i="2"/>
  <c r="D4667" i="2"/>
  <c r="D4666" i="2"/>
  <c r="D4665" i="2"/>
  <c r="A4664" i="2"/>
  <c r="A4661" i="2"/>
  <c r="A4659" i="2"/>
  <c r="A4653" i="2"/>
  <c r="A4652" i="2"/>
  <c r="D4651" i="2"/>
  <c r="A4651" i="2"/>
  <c r="A4649" i="2"/>
  <c r="A4648" i="2"/>
  <c r="A4647" i="2"/>
  <c r="A4640" i="2"/>
  <c r="D4639" i="2"/>
  <c r="D4638" i="2"/>
  <c r="D4635" i="2"/>
  <c r="D4634" i="2"/>
  <c r="A4634" i="2"/>
  <c r="A4633" i="2"/>
  <c r="D4630" i="2"/>
  <c r="A4629" i="2"/>
  <c r="A4627" i="2"/>
  <c r="D4626" i="2"/>
  <c r="D4625" i="2"/>
  <c r="A4624" i="2"/>
  <c r="A4622" i="2"/>
  <c r="A4621" i="2"/>
  <c r="A4619" i="2"/>
  <c r="D4618" i="2"/>
  <c r="A4618" i="2"/>
  <c r="D4617" i="2"/>
  <c r="D4616" i="2"/>
  <c r="D4615" i="2"/>
  <c r="A4614" i="2"/>
  <c r="A4613" i="2"/>
  <c r="A4612" i="2"/>
  <c r="D4611" i="2"/>
  <c r="D4610" i="2"/>
  <c r="A4610" i="2"/>
  <c r="A4609" i="2"/>
  <c r="A4605" i="2"/>
  <c r="A4599" i="2"/>
  <c r="A4598" i="2"/>
  <c r="A4597" i="2"/>
  <c r="A4592" i="2"/>
  <c r="A4590" i="2"/>
  <c r="A4589" i="2"/>
  <c r="A4587" i="2"/>
  <c r="A4586" i="2"/>
  <c r="A4585" i="2"/>
  <c r="A4583" i="2"/>
  <c r="A4582" i="2"/>
  <c r="A4581" i="2"/>
  <c r="A4580" i="2"/>
  <c r="A4578" i="2"/>
  <c r="D4577" i="2"/>
  <c r="A4575" i="2"/>
  <c r="A4567" i="2"/>
  <c r="A4566" i="2"/>
  <c r="A4565" i="2"/>
  <c r="A4563" i="2"/>
  <c r="D4560" i="2"/>
  <c r="D4555" i="2"/>
  <c r="A4555" i="2"/>
  <c r="D4538" i="2"/>
  <c r="A4538" i="2"/>
  <c r="A4534" i="2"/>
  <c r="D4532" i="2"/>
  <c r="A4532" i="2"/>
  <c r="A4531" i="2"/>
  <c r="D4530" i="2"/>
  <c r="A4530" i="2"/>
  <c r="A4528" i="2"/>
  <c r="D4527" i="2"/>
  <c r="A4527" i="2"/>
  <c r="A4526" i="2"/>
  <c r="A4525" i="2"/>
  <c r="D4524" i="2"/>
  <c r="D4523" i="2"/>
  <c r="A4523" i="2"/>
  <c r="D4522" i="2"/>
  <c r="A4522" i="2"/>
  <c r="A4521" i="2"/>
  <c r="A4520" i="2"/>
  <c r="D4519" i="2"/>
  <c r="A4519" i="2"/>
  <c r="D4518" i="2"/>
  <c r="A4517" i="2"/>
  <c r="A4516" i="2"/>
  <c r="A4515" i="2"/>
  <c r="A4513" i="2"/>
  <c r="D4511" i="2"/>
  <c r="A4510" i="2"/>
  <c r="A4509" i="2"/>
  <c r="A4508" i="2"/>
  <c r="A4506" i="2"/>
  <c r="A4504" i="2"/>
  <c r="A4503" i="2"/>
  <c r="D4502" i="2"/>
  <c r="A4501" i="2"/>
  <c r="A4497" i="2"/>
  <c r="A4496" i="2"/>
  <c r="A4495" i="2"/>
  <c r="A4492" i="2"/>
  <c r="A4488" i="2"/>
  <c r="A4487" i="2"/>
  <c r="A4486" i="2"/>
  <c r="A4483" i="2"/>
  <c r="D4482" i="2"/>
  <c r="D4481" i="2"/>
  <c r="A4481" i="2"/>
  <c r="D4479" i="2"/>
  <c r="A4478" i="2"/>
  <c r="A4476" i="2"/>
  <c r="A4475" i="2"/>
  <c r="D4474" i="2"/>
  <c r="A4474" i="2"/>
  <c r="A4472" i="2"/>
  <c r="A4471" i="2"/>
  <c r="D4469" i="2"/>
  <c r="A4469" i="2"/>
  <c r="A4466" i="2"/>
  <c r="A4465" i="2"/>
  <c r="A4464" i="2"/>
  <c r="D4463" i="2"/>
  <c r="A4463" i="2"/>
  <c r="A4462" i="2"/>
  <c r="A4461" i="2"/>
  <c r="A4460" i="2"/>
  <c r="D4459" i="2"/>
  <c r="A4459" i="2"/>
  <c r="D4458" i="2"/>
  <c r="A4458" i="2"/>
  <c r="D4453" i="2"/>
  <c r="A4452" i="2"/>
  <c r="A4451" i="2"/>
  <c r="A4445" i="2"/>
  <c r="A4443" i="2"/>
  <c r="D4442" i="2"/>
  <c r="D4441" i="2"/>
  <c r="A4440" i="2"/>
  <c r="D4434" i="2"/>
  <c r="A4432" i="2"/>
  <c r="A4431" i="2"/>
  <c r="A4428" i="2"/>
  <c r="A4427" i="2"/>
  <c r="A4425" i="2"/>
  <c r="A4424" i="2"/>
  <c r="A4423" i="2"/>
  <c r="A4422" i="2"/>
  <c r="A4421" i="2"/>
  <c r="A4420" i="2"/>
  <c r="A4419" i="2"/>
  <c r="D4417" i="2"/>
  <c r="D4415" i="2"/>
  <c r="A4415" i="2"/>
  <c r="A4413" i="2"/>
  <c r="D4409" i="2"/>
  <c r="A4407" i="2"/>
  <c r="A4404" i="2"/>
  <c r="A4403" i="2"/>
  <c r="D4402" i="2"/>
  <c r="A4400" i="2"/>
  <c r="A4399" i="2"/>
  <c r="A4398" i="2"/>
  <c r="A4397" i="2"/>
  <c r="A4396" i="2"/>
  <c r="A4395" i="2"/>
  <c r="A4394" i="2"/>
  <c r="A4393" i="2"/>
  <c r="A4392" i="2"/>
  <c r="A4391" i="2"/>
  <c r="A4390" i="2"/>
  <c r="A4389" i="2"/>
  <c r="A4387" i="2"/>
  <c r="A4386" i="2"/>
  <c r="D4381" i="2"/>
  <c r="A4381" i="2"/>
  <c r="A4380" i="2"/>
  <c r="A4378" i="2"/>
  <c r="A4377" i="2"/>
  <c r="D4376" i="2"/>
  <c r="A4376" i="2"/>
  <c r="A4375" i="2"/>
  <c r="A4374" i="2"/>
  <c r="A4373" i="2"/>
  <c r="D4371" i="2"/>
  <c r="A4371" i="2"/>
  <c r="A4370" i="2"/>
  <c r="A4369" i="2"/>
  <c r="A4366" i="2"/>
  <c r="A4365" i="2"/>
  <c r="A4364" i="2"/>
  <c r="A4363" i="2"/>
  <c r="A4362" i="2"/>
  <c r="A4359" i="2"/>
  <c r="A4358" i="2"/>
  <c r="A4356" i="2"/>
  <c r="D4354" i="2"/>
  <c r="A4354" i="2"/>
  <c r="D4353" i="2"/>
  <c r="A4353" i="2"/>
  <c r="A4352" i="2"/>
  <c r="A4351" i="2"/>
  <c r="A4350" i="2"/>
  <c r="A4349" i="2"/>
  <c r="A4348" i="2"/>
  <c r="A4347" i="2"/>
  <c r="D4346" i="2"/>
  <c r="A4345" i="2"/>
  <c r="A4344" i="2"/>
  <c r="A4343" i="2"/>
  <c r="A4342" i="2"/>
  <c r="A4341" i="2"/>
  <c r="D4338" i="2"/>
  <c r="D4334" i="2"/>
  <c r="D4332" i="2"/>
  <c r="A4330" i="2"/>
  <c r="D4322" i="2"/>
  <c r="A4321" i="2"/>
  <c r="A4319" i="2"/>
  <c r="A4317" i="2"/>
  <c r="A4316" i="2"/>
  <c r="D4315" i="2"/>
  <c r="D4314" i="2"/>
  <c r="A4314" i="2"/>
  <c r="D4313" i="2"/>
  <c r="A4312" i="2"/>
  <c r="A4311" i="2"/>
  <c r="A4310" i="2"/>
  <c r="D4308" i="2"/>
  <c r="D4306" i="2"/>
  <c r="D4305" i="2"/>
  <c r="A4303" i="2"/>
  <c r="A4296" i="2"/>
  <c r="A4295" i="2"/>
  <c r="A4293" i="2"/>
  <c r="A4292" i="2"/>
  <c r="A4289" i="2"/>
  <c r="A4287" i="2"/>
  <c r="A4286" i="2"/>
  <c r="D4284" i="2"/>
  <c r="A4284" i="2"/>
  <c r="A4281" i="2"/>
  <c r="A4279" i="2"/>
  <c r="D4277" i="2"/>
  <c r="D4276" i="2"/>
  <c r="A4276" i="2"/>
  <c r="A4275" i="2"/>
  <c r="A4274" i="2"/>
  <c r="D4273" i="2"/>
  <c r="A4272" i="2"/>
  <c r="A4270" i="2"/>
  <c r="A4269" i="2"/>
  <c r="D4267" i="2"/>
  <c r="A4265" i="2"/>
  <c r="A4263" i="2"/>
  <c r="A4262" i="2"/>
  <c r="A4261" i="2"/>
  <c r="D4258" i="2"/>
  <c r="D4257" i="2"/>
  <c r="A4256" i="2"/>
  <c r="D4255" i="2"/>
  <c r="A4255" i="2"/>
  <c r="D4254" i="2"/>
  <c r="A4253" i="2"/>
  <c r="D4249" i="2"/>
  <c r="A4248" i="2"/>
  <c r="D4246" i="2"/>
  <c r="A4245" i="2"/>
  <c r="A4244" i="2"/>
  <c r="A4243" i="2"/>
  <c r="A4242" i="2"/>
  <c r="A4241" i="2"/>
  <c r="A4238" i="2"/>
  <c r="A4237" i="2"/>
  <c r="A4233" i="2"/>
  <c r="A4232" i="2"/>
  <c r="A4226" i="2"/>
  <c r="A4220" i="2"/>
  <c r="D4219" i="2"/>
  <c r="A4210" i="2"/>
  <c r="D4209" i="2"/>
  <c r="A4209" i="2"/>
  <c r="D4207" i="2"/>
  <c r="D4206" i="2"/>
  <c r="A4204" i="2"/>
  <c r="D4203" i="2"/>
  <c r="A4203" i="2"/>
  <c r="A4202" i="2"/>
  <c r="D4199" i="2"/>
  <c r="D4197" i="2"/>
  <c r="A4197" i="2"/>
  <c r="D4196" i="2"/>
  <c r="D4195" i="2"/>
  <c r="A4194" i="2"/>
  <c r="A4191" i="2"/>
  <c r="D4190" i="2"/>
  <c r="A4190" i="2"/>
  <c r="A4189" i="2"/>
  <c r="D4188" i="2"/>
  <c r="A4187" i="2"/>
  <c r="D4186" i="2"/>
  <c r="A4185" i="2"/>
  <c r="A4184" i="2"/>
  <c r="A4181" i="2"/>
  <c r="A4176" i="2"/>
  <c r="A4175" i="2"/>
  <c r="A4174" i="2"/>
  <c r="A4172" i="2"/>
  <c r="D4171" i="2"/>
  <c r="A4171" i="2"/>
  <c r="A4168" i="2"/>
  <c r="A4165" i="2"/>
  <c r="A4163" i="2"/>
  <c r="A4162" i="2"/>
  <c r="A4161" i="2"/>
  <c r="A4159" i="2"/>
  <c r="A4157" i="2"/>
  <c r="A4156" i="2"/>
  <c r="A4155" i="2"/>
  <c r="A4154" i="2"/>
  <c r="A4153" i="2"/>
  <c r="D4152" i="2"/>
  <c r="A4152" i="2"/>
  <c r="A4151" i="2"/>
  <c r="A4150" i="2"/>
  <c r="A4149" i="2"/>
  <c r="A4148" i="2"/>
  <c r="A4147" i="2"/>
  <c r="A4146" i="2"/>
  <c r="D4145" i="2"/>
  <c r="A4145" i="2"/>
  <c r="A4144" i="2"/>
  <c r="A4143" i="2"/>
  <c r="A4142" i="2"/>
  <c r="A4141" i="2"/>
  <c r="A4140" i="2"/>
  <c r="A4139" i="2"/>
  <c r="A4138" i="2"/>
  <c r="A4137" i="2"/>
  <c r="A4132" i="2"/>
  <c r="A4131" i="2"/>
  <c r="A4130" i="2"/>
  <c r="A4128" i="2"/>
  <c r="A4127" i="2"/>
  <c r="A4126" i="2"/>
  <c r="A4125" i="2"/>
  <c r="A4122" i="2"/>
  <c r="A4121" i="2"/>
  <c r="A4119" i="2"/>
  <c r="A4115" i="2"/>
  <c r="D4114" i="2"/>
  <c r="A4113" i="2"/>
  <c r="D4112" i="2"/>
  <c r="A4112" i="2"/>
  <c r="A4110" i="2"/>
  <c r="A4109" i="2"/>
  <c r="D4108" i="2"/>
  <c r="D4107" i="2"/>
  <c r="A4106" i="2"/>
  <c r="A4105" i="2"/>
  <c r="D4103" i="2"/>
  <c r="D4102" i="2"/>
  <c r="A4102" i="2"/>
  <c r="A4097" i="2"/>
  <c r="A4096" i="2"/>
  <c r="A4095" i="2"/>
  <c r="A4094" i="2"/>
  <c r="A4093" i="2"/>
  <c r="A4092" i="2"/>
  <c r="A4091" i="2"/>
  <c r="A4090" i="2"/>
  <c r="A4089" i="2"/>
  <c r="A4088" i="2"/>
  <c r="D4087" i="2"/>
  <c r="A4087" i="2"/>
  <c r="A4086" i="2"/>
  <c r="A4085" i="2"/>
  <c r="D4084" i="2"/>
  <c r="A4084" i="2"/>
  <c r="A4083" i="2"/>
  <c r="A4082" i="2"/>
  <c r="D4081" i="2"/>
  <c r="A4081" i="2"/>
  <c r="A4080" i="2"/>
  <c r="A4079" i="2"/>
  <c r="A4078" i="2"/>
  <c r="A4077" i="2"/>
  <c r="A4076" i="2"/>
  <c r="A4075" i="2"/>
  <c r="A4074" i="2"/>
  <c r="D4073" i="2"/>
  <c r="A4073" i="2"/>
  <c r="A4072" i="2"/>
  <c r="A4071" i="2"/>
  <c r="A4070" i="2"/>
  <c r="A4069" i="2"/>
  <c r="A4068" i="2"/>
  <c r="A4067" i="2"/>
  <c r="A4066" i="2"/>
  <c r="A4065" i="2"/>
  <c r="D4064" i="2"/>
  <c r="A4064" i="2"/>
  <c r="D4063" i="2"/>
  <c r="A4062" i="2"/>
  <c r="A4061" i="2"/>
  <c r="D4060" i="2"/>
  <c r="A4060" i="2"/>
  <c r="A4058" i="2"/>
  <c r="A4057" i="2"/>
  <c r="D4056" i="2"/>
  <c r="A4056" i="2"/>
  <c r="A4055" i="2"/>
  <c r="A4054" i="2"/>
  <c r="A4053" i="2"/>
  <c r="A4052" i="2"/>
  <c r="A4051" i="2"/>
  <c r="A4050" i="2"/>
  <c r="D4049" i="2"/>
  <c r="A4049" i="2"/>
  <c r="A4048" i="2"/>
  <c r="D4046" i="2"/>
  <c r="D4045" i="2"/>
  <c r="A4045" i="2"/>
  <c r="D4044" i="2"/>
  <c r="A4044" i="2"/>
  <c r="D4042" i="2"/>
  <c r="A4035" i="2"/>
  <c r="A4034" i="2"/>
  <c r="D4033" i="2"/>
  <c r="A4033" i="2"/>
  <c r="A4032" i="2"/>
  <c r="A4031" i="2"/>
  <c r="A4030" i="2"/>
  <c r="D4029" i="2"/>
  <c r="A4029" i="2"/>
  <c r="D4028" i="2"/>
  <c r="A4027" i="2"/>
  <c r="A4026" i="2"/>
  <c r="A4025" i="2"/>
  <c r="A4024" i="2"/>
  <c r="A4023" i="2"/>
  <c r="A4022" i="2"/>
  <c r="A4020" i="2"/>
  <c r="A4019" i="2"/>
  <c r="A4017" i="2"/>
  <c r="A4016" i="2"/>
  <c r="A4015" i="2"/>
  <c r="A4014" i="2"/>
  <c r="D4013" i="2"/>
  <c r="A4013" i="2"/>
  <c r="A4012" i="2"/>
  <c r="A4008" i="2"/>
  <c r="A4007" i="2"/>
  <c r="D4006" i="2"/>
  <c r="A4006" i="2"/>
  <c r="A4004" i="2"/>
  <c r="D4003" i="2"/>
  <c r="A4003" i="2"/>
  <c r="A4002" i="2"/>
  <c r="A4001" i="2"/>
  <c r="D4000" i="2"/>
  <c r="A4000" i="2"/>
  <c r="D3997" i="2"/>
  <c r="D3994" i="2"/>
  <c r="A3988" i="2"/>
  <c r="A3982" i="2"/>
  <c r="D3981" i="2"/>
  <c r="A3980" i="2"/>
  <c r="A3979" i="2"/>
  <c r="A3978" i="2"/>
  <c r="A3977" i="2"/>
  <c r="D3976" i="2"/>
  <c r="A3976" i="2"/>
  <c r="A3975" i="2"/>
  <c r="A3974" i="2"/>
  <c r="A3973" i="2"/>
  <c r="A3972" i="2"/>
  <c r="A3969" i="2"/>
  <c r="A3966" i="2"/>
  <c r="A3965" i="2"/>
  <c r="D3964" i="2"/>
  <c r="A3962" i="2"/>
  <c r="A3961" i="2"/>
  <c r="A3960" i="2"/>
  <c r="A3959" i="2"/>
  <c r="A3957" i="2"/>
  <c r="A3956" i="2"/>
  <c r="A3954" i="2"/>
  <c r="A3953" i="2"/>
  <c r="A3949" i="2"/>
  <c r="D3948" i="2"/>
  <c r="A3947" i="2"/>
  <c r="D3946" i="2"/>
  <c r="D3932" i="2"/>
  <c r="D3931" i="2"/>
  <c r="A3931" i="2"/>
  <c r="A3930" i="2"/>
  <c r="A3929" i="2"/>
  <c r="D3928" i="2"/>
  <c r="A3928" i="2"/>
  <c r="D3927" i="2"/>
  <c r="D3926" i="2"/>
  <c r="A3926" i="2"/>
  <c r="D3925" i="2"/>
  <c r="A3925" i="2"/>
  <c r="D3924" i="2"/>
  <c r="A3923" i="2"/>
  <c r="D3922" i="2"/>
  <c r="A3922" i="2"/>
  <c r="A3921" i="2"/>
  <c r="D3920" i="2"/>
  <c r="A3920" i="2"/>
  <c r="A3919" i="2"/>
  <c r="A3918" i="2"/>
  <c r="A3917" i="2"/>
  <c r="D3916" i="2"/>
  <c r="A3915" i="2"/>
  <c r="D3914" i="2"/>
  <c r="A3914" i="2"/>
  <c r="D3913" i="2"/>
  <c r="A3913" i="2"/>
  <c r="A3912" i="2"/>
  <c r="D3911" i="2"/>
  <c r="A3911" i="2"/>
  <c r="A3910" i="2"/>
  <c r="A3909" i="2"/>
  <c r="A3908" i="2"/>
  <c r="A3907" i="2"/>
  <c r="D3906" i="2"/>
  <c r="A3906" i="2"/>
  <c r="A3905" i="2"/>
  <c r="D3904" i="2"/>
  <c r="A3904" i="2"/>
  <c r="A3903" i="2"/>
  <c r="A3902" i="2"/>
  <c r="A3900" i="2"/>
  <c r="A3899" i="2"/>
  <c r="A3896" i="2"/>
  <c r="A3893" i="2"/>
  <c r="D3890" i="2"/>
  <c r="A3890" i="2"/>
  <c r="D3889" i="2"/>
  <c r="A3889" i="2"/>
  <c r="A3888" i="2"/>
  <c r="A3887" i="2"/>
  <c r="D3886" i="2"/>
  <c r="A3885" i="2"/>
  <c r="A3884" i="2"/>
  <c r="D3883" i="2"/>
  <c r="A3883" i="2"/>
  <c r="D3882" i="2"/>
  <c r="D3881" i="2"/>
  <c r="A3879" i="2"/>
  <c r="D3878" i="2"/>
  <c r="D3876" i="2"/>
  <c r="A3875" i="2"/>
  <c r="A3874" i="2"/>
  <c r="D3873" i="2"/>
  <c r="A3872" i="2"/>
  <c r="A3864" i="2"/>
  <c r="D3862" i="2"/>
  <c r="D3860" i="2"/>
  <c r="A3860" i="2"/>
  <c r="A3859" i="2"/>
  <c r="D3858" i="2"/>
  <c r="A3858" i="2"/>
  <c r="A3857" i="2"/>
  <c r="D3856" i="2"/>
  <c r="D3854" i="2"/>
  <c r="D3853" i="2"/>
  <c r="D3852" i="2"/>
  <c r="D3851" i="2"/>
  <c r="A3850" i="2"/>
  <c r="A3849" i="2"/>
  <c r="A3848" i="2"/>
  <c r="A3847" i="2"/>
  <c r="D3845" i="2"/>
  <c r="D3844" i="2"/>
  <c r="D3842" i="2"/>
  <c r="A3841" i="2"/>
  <c r="D3839" i="2"/>
  <c r="D3838" i="2"/>
  <c r="A3838" i="2"/>
  <c r="D3837" i="2"/>
  <c r="A3837" i="2"/>
  <c r="D3836" i="2"/>
  <c r="A3832" i="2"/>
  <c r="A3831" i="2"/>
  <c r="D3830" i="2"/>
  <c r="A3830" i="2"/>
  <c r="D3828" i="2"/>
  <c r="A3827" i="2"/>
  <c r="D3826" i="2"/>
  <c r="D3824" i="2"/>
  <c r="A3824" i="2"/>
  <c r="D3823" i="2"/>
  <c r="A3823" i="2"/>
  <c r="A3822" i="2"/>
  <c r="D3821" i="2"/>
  <c r="A3820" i="2"/>
  <c r="D3818" i="2"/>
  <c r="A3818" i="2"/>
  <c r="A3816" i="2"/>
  <c r="D3813" i="2"/>
  <c r="A3813" i="2"/>
  <c r="A3812" i="2"/>
  <c r="A3811" i="2"/>
  <c r="A3810" i="2"/>
  <c r="D3808" i="2"/>
  <c r="A3806" i="2"/>
  <c r="D3805" i="2"/>
  <c r="A3804" i="2"/>
  <c r="A3803" i="2"/>
  <c r="D3802" i="2"/>
  <c r="A3801" i="2"/>
  <c r="A3798" i="2"/>
  <c r="D3793" i="2"/>
  <c r="D3790" i="2"/>
  <c r="D3789" i="2"/>
  <c r="D3788" i="2"/>
  <c r="A3788" i="2"/>
  <c r="A3787" i="2"/>
  <c r="A3786" i="2"/>
  <c r="D3784" i="2"/>
  <c r="D3783" i="2"/>
  <c r="A3782" i="2"/>
  <c r="D3781" i="2"/>
  <c r="A3781" i="2"/>
  <c r="A3780" i="2"/>
  <c r="A3779" i="2"/>
  <c r="A3778" i="2"/>
  <c r="D3775" i="2"/>
  <c r="A3774" i="2"/>
  <c r="D3770" i="2"/>
  <c r="A3770" i="2"/>
  <c r="D3769" i="2"/>
  <c r="A3769" i="2"/>
  <c r="D3768" i="2"/>
  <c r="A3768" i="2"/>
  <c r="D3767" i="2"/>
  <c r="A3766" i="2"/>
  <c r="D3765" i="2"/>
  <c r="A3765" i="2"/>
  <c r="D3763" i="2"/>
  <c r="A3762" i="2"/>
  <c r="D3760" i="2"/>
  <c r="A3759" i="2"/>
  <c r="A3758" i="2"/>
  <c r="D3757" i="2"/>
  <c r="D3756" i="2"/>
  <c r="A3756" i="2"/>
  <c r="A3755" i="2"/>
  <c r="D3754" i="2"/>
  <c r="A3753" i="2"/>
  <c r="D3752" i="2"/>
  <c r="D3751" i="2"/>
  <c r="A3751" i="2"/>
  <c r="D3750" i="2"/>
  <c r="A3750" i="2"/>
  <c r="D3749" i="2"/>
  <c r="A3749" i="2"/>
  <c r="D3748" i="2"/>
  <c r="A3748" i="2"/>
  <c r="D3745" i="2"/>
  <c r="A3745" i="2"/>
  <c r="D3744" i="2"/>
  <c r="A3744" i="2"/>
  <c r="D3739" i="2"/>
  <c r="A3735" i="2"/>
  <c r="D3733" i="2"/>
  <c r="D3728" i="2"/>
  <c r="A3728" i="2"/>
  <c r="A3726" i="2"/>
  <c r="A3725" i="2"/>
  <c r="A3723" i="2"/>
  <c r="A3722" i="2"/>
  <c r="A3721" i="2"/>
  <c r="D3720" i="2"/>
  <c r="A3720" i="2"/>
  <c r="A3719" i="2"/>
  <c r="A3718" i="2"/>
  <c r="A3716" i="2"/>
  <c r="D3715" i="2"/>
  <c r="A3715" i="2"/>
  <c r="D3711" i="2"/>
  <c r="D3709" i="2"/>
  <c r="A3709" i="2"/>
  <c r="D3706" i="2"/>
  <c r="D3705" i="2"/>
  <c r="D3704" i="2"/>
  <c r="D3701" i="2"/>
  <c r="A3701" i="2"/>
  <c r="D3699" i="2"/>
  <c r="D3697" i="2"/>
  <c r="D3696" i="2"/>
  <c r="A3696" i="2"/>
  <c r="D3694" i="2"/>
  <c r="D3693" i="2"/>
  <c r="D3692" i="2"/>
  <c r="D3691" i="2"/>
  <c r="D3689" i="2"/>
  <c r="A3689" i="2"/>
  <c r="D3688" i="2"/>
  <c r="A3688" i="2"/>
  <c r="D3687" i="2"/>
  <c r="D3686" i="2"/>
  <c r="A3686" i="2"/>
  <c r="D3685" i="2"/>
  <c r="A3683" i="2"/>
  <c r="A3682" i="2"/>
  <c r="D3680" i="2"/>
  <c r="A3678" i="2"/>
  <c r="D3676" i="2"/>
  <c r="A3675" i="2"/>
  <c r="A3674" i="2"/>
  <c r="D3671" i="2"/>
  <c r="A3671" i="2"/>
  <c r="D3669" i="2"/>
  <c r="A3669" i="2"/>
  <c r="D3668" i="2"/>
  <c r="A3665" i="2"/>
  <c r="A3664" i="2"/>
  <c r="A3663" i="2"/>
  <c r="A3659" i="2"/>
  <c r="D3658" i="2"/>
  <c r="A3657" i="2"/>
  <c r="D3656" i="2"/>
  <c r="A3655" i="2"/>
  <c r="D3654" i="2"/>
  <c r="D3653" i="2"/>
  <c r="A3653" i="2"/>
  <c r="D3652" i="2"/>
  <c r="A3650" i="2"/>
  <c r="A3649" i="2"/>
  <c r="A3648" i="2"/>
  <c r="A3647" i="2"/>
  <c r="A3645" i="2"/>
  <c r="D3644" i="2"/>
  <c r="A3644" i="2"/>
  <c r="D3643" i="2"/>
  <c r="A3642" i="2"/>
  <c r="D3641" i="2"/>
  <c r="D3638" i="2"/>
  <c r="A3638" i="2"/>
  <c r="D3637" i="2"/>
  <c r="A3637" i="2"/>
  <c r="D3635" i="2"/>
  <c r="A3634" i="2"/>
  <c r="D3631" i="2"/>
  <c r="A3631" i="2"/>
  <c r="D3629" i="2"/>
  <c r="A3627" i="2"/>
  <c r="D3625" i="2"/>
  <c r="A3625" i="2"/>
  <c r="D3624" i="2"/>
  <c r="A3624" i="2"/>
  <c r="D3622" i="2"/>
  <c r="A3620" i="2"/>
  <c r="D3619" i="2"/>
  <c r="A3619" i="2"/>
  <c r="D3618" i="2"/>
  <c r="A3618" i="2"/>
  <c r="A3617" i="2"/>
  <c r="D3616" i="2"/>
  <c r="D3612" i="2"/>
  <c r="D3611" i="2"/>
  <c r="D3610" i="2"/>
  <c r="D3609" i="2"/>
  <c r="A3608" i="2"/>
  <c r="A3607" i="2"/>
  <c r="A3606" i="2"/>
  <c r="D3605" i="2"/>
  <c r="D3602" i="2"/>
  <c r="A3602" i="2"/>
  <c r="D3601" i="2"/>
  <c r="A3601" i="2"/>
  <c r="A3600" i="2"/>
  <c r="D3599" i="2"/>
  <c r="A3599" i="2"/>
  <c r="D3596" i="2"/>
  <c r="D3594" i="2"/>
  <c r="D3593" i="2"/>
  <c r="D3592" i="2"/>
  <c r="D3591" i="2"/>
  <c r="A3589" i="2"/>
  <c r="D3588" i="2"/>
  <c r="D3586" i="2"/>
  <c r="D3585" i="2"/>
  <c r="A3585" i="2"/>
  <c r="D3584" i="2"/>
  <c r="A3584" i="2"/>
  <c r="A3583" i="2"/>
  <c r="D3581" i="2"/>
  <c r="A3581" i="2"/>
  <c r="D3580" i="2"/>
  <c r="A3580" i="2"/>
  <c r="D3579" i="2"/>
  <c r="A3577" i="2"/>
  <c r="A3576" i="2"/>
  <c r="A3575" i="2"/>
  <c r="A3572" i="2"/>
  <c r="A3571" i="2"/>
  <c r="A3570" i="2"/>
  <c r="D3562" i="2"/>
  <c r="D3560" i="2"/>
  <c r="D3557" i="2"/>
  <c r="A3555" i="2"/>
  <c r="D3554" i="2"/>
  <c r="A3554" i="2"/>
  <c r="D3551" i="2"/>
  <c r="D3550" i="2"/>
  <c r="A3550" i="2"/>
  <c r="A3549" i="2"/>
  <c r="A3548" i="2"/>
  <c r="D3547" i="2"/>
  <c r="A3547" i="2"/>
  <c r="D3546" i="2"/>
  <c r="A3546" i="2"/>
  <c r="D3545" i="2"/>
  <c r="A3545" i="2"/>
  <c r="D3540" i="2"/>
  <c r="A3538" i="2"/>
  <c r="A3537" i="2"/>
  <c r="A3536" i="2"/>
  <c r="A3535" i="2"/>
  <c r="D3534" i="2"/>
  <c r="A3534" i="2"/>
  <c r="A3533" i="2"/>
  <c r="A3532" i="2"/>
  <c r="D3527" i="2"/>
  <c r="A3527" i="2"/>
  <c r="D3526" i="2"/>
  <c r="A3526" i="2"/>
  <c r="D3525" i="2"/>
  <c r="A3525" i="2"/>
  <c r="D3524" i="2"/>
  <c r="A3524" i="2"/>
  <c r="A3522" i="2"/>
  <c r="D3518" i="2"/>
  <c r="D3514" i="2"/>
  <c r="D3510" i="2"/>
  <c r="A3509" i="2"/>
  <c r="D3508" i="2"/>
  <c r="A3508" i="2"/>
  <c r="D3507" i="2"/>
  <c r="A3507" i="2"/>
  <c r="A3505" i="2"/>
  <c r="A3504" i="2"/>
  <c r="A3503" i="2"/>
  <c r="D3502" i="2"/>
  <c r="D3501" i="2"/>
  <c r="A3500" i="2"/>
  <c r="A3499" i="2"/>
  <c r="A3498" i="2"/>
  <c r="D3497" i="2"/>
  <c r="A3497" i="2"/>
  <c r="A3495" i="2"/>
  <c r="D3493" i="2"/>
  <c r="A3493" i="2"/>
  <c r="A3492" i="2"/>
  <c r="A3491" i="2"/>
  <c r="A3490" i="2"/>
  <c r="A3489" i="2"/>
  <c r="D3487" i="2"/>
  <c r="D3485" i="2"/>
  <c r="D3482" i="2"/>
  <c r="A3480" i="2"/>
  <c r="A3476" i="2"/>
  <c r="A3474" i="2"/>
  <c r="D3473" i="2"/>
  <c r="A3473" i="2"/>
  <c r="A3472" i="2"/>
  <c r="A3471" i="2"/>
  <c r="D3470" i="2"/>
  <c r="D3469" i="2"/>
  <c r="D3468" i="2"/>
  <c r="A3468" i="2"/>
  <c r="D3466" i="2"/>
  <c r="A3466" i="2"/>
  <c r="A3465" i="2"/>
  <c r="A3464" i="2"/>
  <c r="A3463" i="2"/>
  <c r="A3462" i="2"/>
  <c r="A3461" i="2"/>
  <c r="D3460" i="2"/>
  <c r="A3460" i="2"/>
  <c r="D3459" i="2"/>
  <c r="A3459" i="2"/>
  <c r="D3458" i="2"/>
  <c r="D3457" i="2"/>
  <c r="A3457" i="2"/>
  <c r="A3455" i="2"/>
  <c r="D3454" i="2"/>
  <c r="A3454" i="2"/>
  <c r="A3453" i="2"/>
  <c r="A3452" i="2"/>
  <c r="D3450" i="2"/>
  <c r="D3449" i="2"/>
  <c r="D3447" i="2"/>
  <c r="D3446" i="2"/>
  <c r="D3445" i="2"/>
  <c r="A3445" i="2"/>
  <c r="D3444" i="2"/>
  <c r="A3444" i="2"/>
  <c r="A3443" i="2"/>
  <c r="D3442" i="2"/>
  <c r="A3442" i="2"/>
  <c r="A3441" i="2"/>
  <c r="A3440" i="2"/>
  <c r="A3439" i="2"/>
  <c r="A3438" i="2"/>
  <c r="D3437" i="2"/>
  <c r="A3437" i="2"/>
  <c r="D3436" i="2"/>
  <c r="A3436" i="2"/>
  <c r="A3435" i="2"/>
  <c r="D3434" i="2"/>
  <c r="A3434" i="2"/>
  <c r="A3433" i="2"/>
  <c r="A3432" i="2"/>
  <c r="A3431" i="2"/>
  <c r="A3430" i="2"/>
  <c r="A3427" i="2"/>
  <c r="D3426" i="2"/>
  <c r="A3426" i="2"/>
  <c r="A3425" i="2"/>
  <c r="A3424" i="2"/>
  <c r="A3423" i="2"/>
  <c r="A3422" i="2"/>
  <c r="A3421" i="2"/>
  <c r="A3420" i="2"/>
  <c r="A3419" i="2"/>
  <c r="A3410" i="2"/>
  <c r="A3409" i="2"/>
  <c r="A3407" i="2"/>
  <c r="D3405" i="2"/>
  <c r="D3404" i="2"/>
  <c r="A3403" i="2"/>
  <c r="A3400" i="2"/>
  <c r="A3399" i="2"/>
  <c r="D3398" i="2"/>
  <c r="A3398" i="2"/>
  <c r="A3396" i="2"/>
  <c r="A3395" i="2"/>
  <c r="A3394" i="2"/>
  <c r="A3391" i="2"/>
  <c r="D3390" i="2"/>
  <c r="A3390" i="2"/>
  <c r="D3389" i="2"/>
  <c r="A3389" i="2"/>
  <c r="A3388" i="2"/>
  <c r="A3387" i="2"/>
  <c r="A3386" i="2"/>
  <c r="D3385" i="2"/>
  <c r="D3384" i="2"/>
  <c r="D3380" i="2"/>
  <c r="A3379" i="2"/>
  <c r="A3378" i="2"/>
  <c r="D3377" i="2"/>
  <c r="A3376" i="2"/>
  <c r="D3375" i="2"/>
  <c r="A3374" i="2"/>
  <c r="D3371" i="2"/>
  <c r="A3371" i="2"/>
  <c r="D3370" i="2"/>
  <c r="D3368" i="2"/>
  <c r="D3367" i="2"/>
  <c r="A3367" i="2"/>
  <c r="D3366" i="2"/>
  <c r="D3360" i="2"/>
  <c r="A3360" i="2"/>
  <c r="A3358" i="2"/>
  <c r="A3356" i="2"/>
  <c r="D3355" i="2"/>
  <c r="D3353" i="2"/>
  <c r="A3353" i="2"/>
  <c r="A3352" i="2"/>
  <c r="A3350" i="2"/>
  <c r="A3349" i="2"/>
  <c r="A3347" i="2"/>
  <c r="A3344" i="2"/>
  <c r="A3343" i="2"/>
  <c r="A3340" i="2"/>
  <c r="D3338" i="2"/>
  <c r="D3333" i="2"/>
  <c r="D3332" i="2"/>
  <c r="D3325" i="2"/>
  <c r="A3322" i="2"/>
  <c r="A3321" i="2"/>
  <c r="A3320" i="2"/>
  <c r="A3315" i="2"/>
  <c r="A3314" i="2"/>
  <c r="A3313" i="2"/>
  <c r="A3312" i="2"/>
  <c r="A3311" i="2"/>
  <c r="A3310" i="2"/>
  <c r="A3309" i="2"/>
  <c r="A3308" i="2"/>
  <c r="D3306" i="2"/>
  <c r="A3304" i="2"/>
  <c r="A3303" i="2"/>
  <c r="A3302" i="2"/>
  <c r="A3301" i="2"/>
  <c r="A3299" i="2"/>
  <c r="A3298" i="2"/>
  <c r="A3297" i="2"/>
  <c r="D3296" i="2"/>
  <c r="A3296" i="2"/>
  <c r="A3295" i="2"/>
  <c r="A3293" i="2"/>
  <c r="A3292" i="2"/>
  <c r="A3291" i="2"/>
  <c r="A3290" i="2"/>
  <c r="A3288" i="2"/>
  <c r="A3287" i="2"/>
  <c r="A3286" i="2"/>
  <c r="A3285" i="2"/>
  <c r="A3284" i="2"/>
  <c r="D3283" i="2"/>
  <c r="A3282" i="2"/>
  <c r="A3281" i="2"/>
  <c r="D3280" i="2"/>
  <c r="A3279" i="2"/>
  <c r="A3278" i="2"/>
  <c r="A3277" i="2"/>
  <c r="D3276" i="2"/>
  <c r="A3275" i="2"/>
  <c r="D3274" i="2"/>
  <c r="A3274" i="2"/>
  <c r="A3273" i="2"/>
  <c r="A3270" i="2"/>
  <c r="A3268" i="2"/>
  <c r="D3267" i="2"/>
  <c r="A3267" i="2"/>
  <c r="A3266" i="2"/>
  <c r="A3265" i="2"/>
  <c r="A3263" i="2"/>
  <c r="D3262" i="2"/>
  <c r="A3262" i="2"/>
  <c r="D3261" i="2"/>
  <c r="A3261" i="2"/>
  <c r="A3260" i="2"/>
  <c r="A3259" i="2"/>
  <c r="D3258" i="2"/>
  <c r="A3258" i="2"/>
  <c r="A3257" i="2"/>
  <c r="A3256" i="2"/>
  <c r="A3255" i="2"/>
  <c r="A3254" i="2"/>
  <c r="D3253" i="2"/>
  <c r="D3252" i="2"/>
  <c r="A3251" i="2"/>
  <c r="A3249" i="2"/>
  <c r="A3248" i="2"/>
  <c r="D3244" i="2"/>
  <c r="A3243" i="2"/>
  <c r="A3242" i="2"/>
  <c r="A3241" i="2"/>
  <c r="D3240" i="2"/>
  <c r="A3240" i="2"/>
  <c r="A3238" i="2"/>
  <c r="D3236" i="2"/>
  <c r="A3236" i="2"/>
  <c r="D3235" i="2"/>
  <c r="A3235" i="2"/>
  <c r="A3233" i="2"/>
  <c r="D3232" i="2"/>
  <c r="A3232" i="2"/>
  <c r="A3230" i="2"/>
  <c r="A3229" i="2"/>
  <c r="A3227" i="2"/>
  <c r="D3225" i="2"/>
  <c r="A3225" i="2"/>
  <c r="D3223" i="2"/>
  <c r="A3223" i="2"/>
  <c r="D3222" i="2"/>
  <c r="A3222" i="2"/>
  <c r="A3221" i="2"/>
  <c r="A3219" i="2"/>
  <c r="A3218" i="2"/>
  <c r="D3217" i="2"/>
  <c r="A3217" i="2"/>
  <c r="A3216" i="2"/>
  <c r="A3215" i="2"/>
  <c r="A3214" i="2"/>
  <c r="D3212" i="2"/>
  <c r="A3212" i="2"/>
  <c r="A3211" i="2"/>
  <c r="A3210" i="2"/>
  <c r="D3204" i="2"/>
  <c r="A3204" i="2"/>
  <c r="D3203" i="2"/>
  <c r="A3203" i="2"/>
  <c r="D3199" i="2"/>
  <c r="A3199" i="2"/>
  <c r="D3197" i="2"/>
  <c r="A3197" i="2"/>
  <c r="D3195" i="2"/>
  <c r="A3195" i="2"/>
  <c r="A3194" i="2"/>
  <c r="A3193" i="2"/>
  <c r="A3192" i="2"/>
  <c r="A3191" i="2"/>
  <c r="D3190" i="2"/>
  <c r="A3190" i="2"/>
  <c r="A3188" i="2"/>
  <c r="A3180" i="2"/>
  <c r="A3178" i="2"/>
  <c r="A3177" i="2"/>
  <c r="D3176" i="2"/>
  <c r="A3175" i="2"/>
  <c r="A3171" i="2"/>
  <c r="A3169" i="2"/>
  <c r="A3166" i="2"/>
  <c r="A3158" i="2"/>
  <c r="A3157" i="2"/>
  <c r="A3156" i="2"/>
  <c r="D3154" i="2"/>
  <c r="A3154" i="2"/>
  <c r="A3153" i="2"/>
  <c r="A3152" i="2"/>
  <c r="A3145" i="2"/>
  <c r="A3144" i="2"/>
  <c r="D3143" i="2"/>
  <c r="A3143" i="2"/>
  <c r="A3139" i="2"/>
  <c r="A3138" i="2"/>
  <c r="A3137" i="2"/>
  <c r="A3136" i="2"/>
  <c r="A3135" i="2"/>
  <c r="A3134" i="2"/>
  <c r="D3133" i="2"/>
  <c r="A3133" i="2"/>
  <c r="A3132" i="2"/>
  <c r="A3128" i="2"/>
  <c r="D3126" i="2"/>
  <c r="A3126" i="2"/>
  <c r="A3117" i="2"/>
  <c r="A3116" i="2"/>
  <c r="A3115" i="2"/>
  <c r="D3113" i="2"/>
  <c r="A3112" i="2"/>
  <c r="A3111" i="2"/>
  <c r="A3108" i="2"/>
  <c r="D3106" i="2"/>
  <c r="D3104" i="2"/>
  <c r="A3099" i="2"/>
  <c r="D3098" i="2"/>
  <c r="A3096" i="2"/>
  <c r="D3095" i="2"/>
  <c r="A3094" i="2"/>
  <c r="A3093" i="2"/>
  <c r="A3091" i="2"/>
  <c r="A3090" i="2"/>
  <c r="A3089" i="2"/>
  <c r="A3087" i="2"/>
  <c r="A3086" i="2"/>
  <c r="A3085" i="2"/>
  <c r="A3080" i="2"/>
  <c r="A3075" i="2"/>
  <c r="D3074" i="2"/>
  <c r="A3073" i="2"/>
  <c r="D3072" i="2"/>
  <c r="A3072" i="2"/>
  <c r="A3068" i="2"/>
  <c r="A3067" i="2"/>
  <c r="A3065" i="2"/>
  <c r="D3063" i="2"/>
  <c r="A3063" i="2"/>
  <c r="A3062" i="2"/>
  <c r="D3061" i="2"/>
  <c r="A3061" i="2"/>
  <c r="D3060" i="2"/>
  <c r="A3060" i="2"/>
  <c r="D3058" i="2"/>
  <c r="A3057" i="2"/>
  <c r="A3054" i="2"/>
  <c r="A3050" i="2"/>
  <c r="A3045" i="2"/>
  <c r="A3044" i="2"/>
  <c r="A3043" i="2"/>
  <c r="A3042" i="2"/>
  <c r="A3035" i="2"/>
  <c r="D3034" i="2"/>
  <c r="D3033" i="2"/>
  <c r="D3032" i="2"/>
  <c r="D3031" i="2"/>
  <c r="A3031" i="2"/>
  <c r="D3030" i="2"/>
  <c r="A3021" i="2"/>
  <c r="D3020" i="2"/>
  <c r="A3019" i="2"/>
  <c r="A3018" i="2"/>
  <c r="A3015" i="2"/>
  <c r="D3013" i="2"/>
  <c r="D3010" i="2"/>
  <c r="D3008" i="2"/>
  <c r="A3006" i="2"/>
  <c r="A3005" i="2"/>
  <c r="A3004" i="2"/>
  <c r="A3003" i="2"/>
  <c r="A3002" i="2"/>
  <c r="A3001" i="2"/>
  <c r="A3000" i="2"/>
  <c r="A2998" i="2"/>
  <c r="A2997" i="2"/>
  <c r="A2991" i="2"/>
  <c r="A2989" i="2"/>
  <c r="A2988" i="2"/>
  <c r="A2986" i="2"/>
  <c r="A2985" i="2"/>
  <c r="A2983" i="2"/>
  <c r="A2982" i="2"/>
  <c r="A2981" i="2"/>
  <c r="A2980" i="2"/>
  <c r="D2979" i="2"/>
  <c r="A2979" i="2"/>
  <c r="D2978" i="2"/>
  <c r="A2977" i="2"/>
  <c r="A2976" i="2"/>
  <c r="A2975" i="2"/>
  <c r="D2974" i="2"/>
  <c r="A2974" i="2"/>
  <c r="A2972" i="2"/>
  <c r="A2971" i="2"/>
  <c r="A2968" i="2"/>
  <c r="A2966" i="2"/>
  <c r="A2965" i="2"/>
  <c r="A2964" i="2"/>
  <c r="A2963" i="2"/>
  <c r="A2962" i="2"/>
  <c r="D2961" i="2"/>
  <c r="A2960" i="2"/>
  <c r="A2959" i="2"/>
  <c r="A2958" i="2"/>
  <c r="A2957" i="2"/>
  <c r="D2956" i="2"/>
  <c r="A2956" i="2"/>
  <c r="D2955" i="2"/>
  <c r="A2954" i="2"/>
  <c r="A2953" i="2"/>
  <c r="D2950" i="2"/>
  <c r="A2950" i="2"/>
  <c r="A2949" i="2"/>
  <c r="A2948" i="2"/>
  <c r="D2946" i="2"/>
  <c r="A2945" i="2"/>
  <c r="D2944" i="2"/>
  <c r="A2943" i="2"/>
  <c r="A2942" i="2"/>
  <c r="A2941" i="2"/>
  <c r="A2938" i="2"/>
  <c r="A2936" i="2"/>
  <c r="A2935" i="2"/>
  <c r="A2934" i="2"/>
  <c r="A2933" i="2"/>
  <c r="A2932" i="2"/>
  <c r="A2931" i="2"/>
  <c r="A2930" i="2"/>
  <c r="A2929" i="2"/>
  <c r="D2928" i="2"/>
  <c r="A2928" i="2"/>
  <c r="A2927" i="2"/>
  <c r="A2926" i="2"/>
  <c r="A2925" i="2"/>
  <c r="A2924" i="2"/>
  <c r="D2923" i="2"/>
  <c r="D2921" i="2"/>
  <c r="A2921" i="2"/>
  <c r="D2918" i="2"/>
  <c r="A2918" i="2"/>
  <c r="D2917" i="2"/>
  <c r="A2917" i="2"/>
  <c r="D2916" i="2"/>
  <c r="A2916" i="2"/>
  <c r="D2915" i="2"/>
  <c r="A2915" i="2"/>
  <c r="D2914" i="2"/>
  <c r="A2914" i="2"/>
  <c r="A2913" i="2"/>
  <c r="D2912" i="2"/>
  <c r="D2911" i="2"/>
  <c r="A2911" i="2"/>
  <c r="D2910" i="2"/>
  <c r="A2909" i="2"/>
  <c r="A2908" i="2"/>
  <c r="A2907" i="2"/>
  <c r="D2906" i="2"/>
  <c r="D2905" i="2"/>
  <c r="A2905" i="2"/>
  <c r="A2904" i="2"/>
  <c r="A2903" i="2"/>
  <c r="D2901" i="2"/>
  <c r="A2901" i="2"/>
  <c r="A2900" i="2"/>
  <c r="A2899" i="2"/>
  <c r="A2898" i="2"/>
  <c r="A2893" i="2"/>
  <c r="A2891" i="2"/>
  <c r="A2890" i="2"/>
  <c r="A2889" i="2"/>
  <c r="D2888" i="2"/>
  <c r="A2888" i="2"/>
  <c r="A2887" i="2"/>
  <c r="A2883" i="2"/>
  <c r="D2882" i="2"/>
  <c r="A2882" i="2"/>
  <c r="A2881" i="2"/>
  <c r="D2879" i="2"/>
  <c r="A2879" i="2"/>
  <c r="A2878" i="2"/>
  <c r="A2877" i="2"/>
  <c r="D2875" i="2"/>
  <c r="A2875" i="2"/>
  <c r="D2874" i="2"/>
  <c r="A2874" i="2"/>
  <c r="A2873" i="2"/>
  <c r="D2872" i="2"/>
  <c r="A2872" i="2"/>
  <c r="A2871" i="2"/>
  <c r="A2870" i="2"/>
  <c r="D2869" i="2"/>
  <c r="A2868" i="2"/>
  <c r="D2867" i="2"/>
  <c r="A2867" i="2"/>
  <c r="A2866" i="2"/>
  <c r="A2865" i="2"/>
  <c r="A2864" i="2"/>
  <c r="A2863" i="2"/>
  <c r="A2862" i="2"/>
  <c r="A2861" i="2"/>
  <c r="D2858" i="2"/>
  <c r="A2858" i="2"/>
  <c r="D2856" i="2"/>
  <c r="A2853" i="2"/>
  <c r="A2852" i="2"/>
  <c r="A2851" i="2"/>
  <c r="D2850" i="2"/>
  <c r="D2848" i="2"/>
  <c r="A2837" i="2"/>
  <c r="D2832" i="2"/>
  <c r="A2832" i="2"/>
  <c r="A2831" i="2"/>
  <c r="D2830" i="2"/>
  <c r="A2829" i="2"/>
  <c r="D2828" i="2"/>
  <c r="D2827" i="2"/>
  <c r="A2826" i="2"/>
  <c r="D2825" i="2"/>
  <c r="D2824" i="2"/>
  <c r="D2823" i="2"/>
  <c r="D2821" i="2"/>
  <c r="A2821" i="2"/>
  <c r="D2819" i="2"/>
  <c r="A2817" i="2"/>
  <c r="A2816" i="2"/>
  <c r="A2815" i="2"/>
  <c r="D2814" i="2"/>
  <c r="A2814" i="2"/>
  <c r="D2811" i="2"/>
  <c r="D2810" i="2"/>
  <c r="A2810" i="2"/>
  <c r="A2809" i="2"/>
  <c r="D2808" i="2"/>
  <c r="D2807" i="2"/>
  <c r="A2806" i="2"/>
  <c r="D2805" i="2"/>
  <c r="A2805" i="2"/>
  <c r="D2804" i="2"/>
  <c r="D2803" i="2"/>
  <c r="A2803" i="2"/>
  <c r="D2802" i="2"/>
  <c r="A2802" i="2"/>
  <c r="D2801" i="2"/>
  <c r="A2800" i="2"/>
  <c r="D2799" i="2"/>
  <c r="D2798" i="2"/>
  <c r="D2797" i="2"/>
  <c r="D2796" i="2"/>
  <c r="A2794" i="2"/>
  <c r="D2791" i="2"/>
  <c r="A2791" i="2"/>
  <c r="A2790" i="2"/>
  <c r="D2786" i="2"/>
  <c r="D2785" i="2"/>
  <c r="D2780" i="2"/>
  <c r="A2780" i="2"/>
  <c r="D2779" i="2"/>
  <c r="D2778" i="2"/>
  <c r="A2778" i="2"/>
  <c r="D2777" i="2"/>
  <c r="A2775" i="2"/>
  <c r="D2773" i="2"/>
  <c r="D2772" i="2"/>
  <c r="D2771" i="2"/>
  <c r="D2770" i="2"/>
  <c r="D2765" i="2"/>
  <c r="D2762" i="2"/>
  <c r="A2762" i="2"/>
  <c r="D2761" i="2"/>
  <c r="D2760" i="2"/>
  <c r="D2758" i="2"/>
  <c r="A2758" i="2"/>
  <c r="A2757" i="2"/>
  <c r="D2755" i="2"/>
  <c r="A2752" i="2"/>
  <c r="D2750" i="2"/>
  <c r="D2744" i="2"/>
  <c r="A2744" i="2"/>
  <c r="D2743" i="2"/>
  <c r="A2743" i="2"/>
  <c r="D2741" i="2"/>
  <c r="A2741" i="2"/>
  <c r="D2740" i="2"/>
  <c r="D2739" i="2"/>
  <c r="D2736" i="2"/>
  <c r="D2735" i="2"/>
  <c r="A2735" i="2"/>
  <c r="A2734" i="2"/>
  <c r="A2733" i="2"/>
  <c r="D2731" i="2"/>
  <c r="D2728" i="2"/>
  <c r="D2727" i="2"/>
  <c r="A2727" i="2"/>
  <c r="D2726" i="2"/>
  <c r="D2725" i="2"/>
  <c r="D2724" i="2"/>
  <c r="A2724" i="2"/>
  <c r="D2719" i="2"/>
  <c r="A2717" i="2"/>
  <c r="D2716" i="2"/>
  <c r="A2715" i="2"/>
  <c r="D2714" i="2"/>
  <c r="D2713" i="2"/>
  <c r="D2712" i="2"/>
  <c r="D2711" i="2"/>
  <c r="D2710" i="2"/>
  <c r="D2709" i="2"/>
  <c r="D2707" i="2"/>
  <c r="A2707" i="2"/>
  <c r="A2706" i="2"/>
  <c r="A2705" i="2"/>
  <c r="D2703" i="2"/>
  <c r="A2703" i="2"/>
  <c r="D2702" i="2"/>
  <c r="A2702" i="2"/>
  <c r="D2700" i="2"/>
  <c r="A2699" i="2"/>
  <c r="D2698" i="2"/>
  <c r="A2698" i="2"/>
  <c r="A2697" i="2"/>
  <c r="A2694" i="2"/>
  <c r="D2693" i="2"/>
  <c r="A2692" i="2"/>
  <c r="D2683" i="2"/>
  <c r="A2682" i="2"/>
  <c r="A2678" i="2"/>
  <c r="D2677" i="2"/>
  <c r="D2674" i="2"/>
  <c r="A2674" i="2"/>
  <c r="D2668" i="2"/>
  <c r="A2668" i="2"/>
  <c r="D2666" i="2"/>
  <c r="D2659" i="2"/>
  <c r="A2659" i="2"/>
  <c r="D2658" i="2"/>
  <c r="A2658" i="2"/>
  <c r="A2657" i="2"/>
  <c r="D2656" i="2"/>
  <c r="D2654" i="2"/>
  <c r="A2653" i="2"/>
  <c r="D2652" i="2"/>
  <c r="A2652" i="2"/>
  <c r="D2651" i="2"/>
  <c r="A2651" i="2"/>
  <c r="D2650" i="2"/>
  <c r="A2650" i="2"/>
  <c r="A2649" i="2"/>
  <c r="D2648" i="2"/>
  <c r="D2647" i="2"/>
  <c r="D2646" i="2"/>
  <c r="A2645" i="2"/>
  <c r="D2643" i="2"/>
  <c r="D2642" i="2"/>
  <c r="A2642" i="2"/>
  <c r="A2641" i="2"/>
  <c r="A2640" i="2"/>
  <c r="D2639" i="2"/>
  <c r="A2639" i="2"/>
  <c r="D2637" i="2"/>
  <c r="A2637" i="2"/>
  <c r="D2635" i="2"/>
  <c r="D2633" i="2"/>
  <c r="A2632" i="2"/>
  <c r="D2631" i="2"/>
  <c r="A2631" i="2"/>
  <c r="D2628" i="2"/>
  <c r="A2628" i="2"/>
  <c r="A2627" i="2"/>
  <c r="D2626" i="2"/>
  <c r="D2625" i="2"/>
  <c r="D2624" i="2"/>
  <c r="D2623" i="2"/>
  <c r="D2622" i="2"/>
  <c r="D2621" i="2"/>
  <c r="D2617" i="2"/>
  <c r="A2617" i="2"/>
  <c r="A2608" i="2"/>
  <c r="D2603" i="2"/>
  <c r="A2603" i="2"/>
  <c r="D2602" i="2"/>
  <c r="A2601" i="2"/>
  <c r="D2600" i="2"/>
  <c r="A2600" i="2"/>
  <c r="A2599" i="2"/>
  <c r="D2598" i="2"/>
  <c r="A2598" i="2"/>
  <c r="A2597" i="2"/>
  <c r="D2596" i="2"/>
  <c r="A2596" i="2"/>
  <c r="A2595" i="2"/>
  <c r="D2594" i="2"/>
  <c r="D2593" i="2"/>
  <c r="A2592" i="2"/>
  <c r="A2591" i="2"/>
  <c r="D2590" i="2"/>
  <c r="D2587" i="2"/>
  <c r="D2586" i="2"/>
  <c r="A2586" i="2"/>
  <c r="D2584" i="2"/>
  <c r="A2584" i="2"/>
  <c r="D2583" i="2"/>
  <c r="A2583" i="2"/>
  <c r="A2582" i="2"/>
  <c r="D2581" i="2"/>
  <c r="D2579" i="2"/>
  <c r="A2579" i="2"/>
  <c r="D2578" i="2"/>
  <c r="D2577" i="2"/>
  <c r="D2576" i="2"/>
  <c r="D2575" i="2"/>
  <c r="A2575" i="2"/>
  <c r="A2574" i="2"/>
  <c r="D2573" i="2"/>
  <c r="A2573" i="2"/>
  <c r="D2564" i="2"/>
  <c r="D2559" i="2"/>
  <c r="A2558" i="2"/>
  <c r="A2554" i="2"/>
  <c r="A2553" i="2"/>
  <c r="A2552" i="2"/>
  <c r="D2551" i="2"/>
  <c r="A2548" i="2"/>
  <c r="A2546" i="2"/>
  <c r="A2544" i="2"/>
  <c r="A2542" i="2"/>
  <c r="A2539" i="2"/>
  <c r="A2538" i="2"/>
  <c r="A2534" i="2"/>
  <c r="D2533" i="2"/>
  <c r="A2533" i="2"/>
  <c r="A2532" i="2"/>
  <c r="A2530" i="2"/>
  <c r="D2527" i="2"/>
  <c r="D2526" i="2"/>
  <c r="A2523" i="2"/>
  <c r="A2522" i="2"/>
  <c r="A2521" i="2"/>
  <c r="A2520" i="2"/>
  <c r="A2518" i="2"/>
  <c r="A2516" i="2"/>
  <c r="D2515" i="2"/>
  <c r="A2513" i="2"/>
  <c r="D2512" i="2"/>
  <c r="A2512" i="2"/>
  <c r="D2511" i="2"/>
  <c r="D2510" i="2"/>
  <c r="A2509" i="2"/>
  <c r="D2508" i="2"/>
  <c r="A2507" i="2"/>
  <c r="D2506" i="2"/>
  <c r="A2505" i="2"/>
  <c r="D2503" i="2"/>
  <c r="A2501" i="2"/>
  <c r="A2499" i="2"/>
  <c r="A2498" i="2"/>
  <c r="D2497" i="2"/>
  <c r="D2495" i="2"/>
  <c r="A2494" i="2"/>
  <c r="A2493" i="2"/>
  <c r="D2492" i="2"/>
  <c r="A2488" i="2"/>
  <c r="A2487" i="2"/>
  <c r="A2486" i="2"/>
  <c r="D2485" i="2"/>
  <c r="D2483" i="2"/>
  <c r="A2482" i="2"/>
  <c r="D2481" i="2"/>
  <c r="A2481" i="2"/>
  <c r="A2480" i="2"/>
  <c r="A2479" i="2"/>
  <c r="D2476" i="2"/>
  <c r="A2476" i="2"/>
  <c r="A2475" i="2"/>
  <c r="D2474" i="2"/>
  <c r="D2472" i="2"/>
  <c r="A2472" i="2"/>
  <c r="A2471" i="2"/>
  <c r="A2470" i="2"/>
  <c r="A2469" i="2"/>
  <c r="D2466" i="2"/>
  <c r="A2464" i="2"/>
  <c r="A2462" i="2"/>
  <c r="D2461" i="2"/>
  <c r="D2460" i="2"/>
  <c r="A2460" i="2"/>
  <c r="D2459" i="2"/>
  <c r="D2457" i="2"/>
  <c r="D2456" i="2"/>
  <c r="A2455" i="2"/>
  <c r="D2454" i="2"/>
  <c r="D2453" i="2"/>
  <c r="A2452" i="2"/>
  <c r="A2451" i="2"/>
  <c r="D2450" i="2"/>
  <c r="A2450" i="2"/>
  <c r="A2449" i="2"/>
  <c r="D2448" i="2"/>
  <c r="A2448" i="2"/>
  <c r="A2447" i="2"/>
  <c r="D2446" i="2"/>
  <c r="A2446" i="2"/>
  <c r="D2445" i="2"/>
  <c r="D2444" i="2"/>
  <c r="D2443" i="2"/>
  <c r="A2442" i="2"/>
  <c r="D2441" i="2"/>
  <c r="D2439" i="2"/>
  <c r="A2439" i="2"/>
  <c r="D2438" i="2"/>
  <c r="A2438" i="2"/>
  <c r="D2437" i="2"/>
  <c r="A2437" i="2"/>
  <c r="A2436" i="2"/>
  <c r="A2435" i="2"/>
  <c r="A2434" i="2"/>
  <c r="D2433" i="2"/>
  <c r="A2433" i="2"/>
  <c r="D2432" i="2"/>
  <c r="D2431" i="2"/>
  <c r="D2430" i="2"/>
  <c r="D2429" i="2"/>
  <c r="D2428" i="2"/>
  <c r="A2423" i="2"/>
  <c r="D2422" i="2"/>
  <c r="D2421" i="2"/>
  <c r="A2420" i="2"/>
  <c r="D2418" i="2"/>
  <c r="D2417" i="2"/>
  <c r="A2415" i="2"/>
  <c r="D2414" i="2"/>
  <c r="D2413" i="2"/>
  <c r="A2412" i="2"/>
  <c r="A2411" i="2"/>
  <c r="A2409" i="2"/>
  <c r="A2408" i="2"/>
  <c r="A2407" i="2"/>
  <c r="A2406" i="2"/>
  <c r="D2405" i="2"/>
  <c r="A2405" i="2"/>
  <c r="D2403" i="2"/>
  <c r="A2403" i="2"/>
  <c r="D2402" i="2"/>
  <c r="D2400" i="2"/>
  <c r="D2393" i="2"/>
  <c r="A2387" i="2"/>
  <c r="D2385" i="2"/>
  <c r="D2383" i="2"/>
  <c r="D2371" i="2"/>
  <c r="A2371" i="2"/>
  <c r="D2370" i="2"/>
  <c r="A2369" i="2"/>
  <c r="D2368" i="2"/>
  <c r="A2368" i="2"/>
  <c r="D2355" i="2"/>
  <c r="A2355" i="2"/>
  <c r="A2353" i="2"/>
  <c r="A2347" i="2"/>
  <c r="A2341" i="2"/>
  <c r="A2340" i="2"/>
  <c r="D2337" i="2"/>
  <c r="A2328" i="2"/>
  <c r="A2327" i="2"/>
  <c r="A2326" i="2"/>
  <c r="A2325" i="2"/>
  <c r="A2324" i="2"/>
  <c r="A2323" i="2"/>
  <c r="A2322" i="2"/>
  <c r="A2321" i="2"/>
  <c r="A2318" i="2"/>
  <c r="A2317" i="2"/>
  <c r="A2316" i="2"/>
  <c r="A2310" i="2"/>
  <c r="A2309" i="2"/>
  <c r="A2308" i="2"/>
  <c r="A2307" i="2"/>
  <c r="A2306" i="2"/>
  <c r="A2305" i="2"/>
  <c r="A2304" i="2"/>
  <c r="A2303" i="2"/>
  <c r="A2299" i="2"/>
  <c r="A2296" i="2"/>
  <c r="A2295" i="2"/>
  <c r="D2294" i="2"/>
  <c r="A2294" i="2"/>
  <c r="A2293" i="2"/>
  <c r="A2292" i="2"/>
  <c r="A2291" i="2"/>
  <c r="A2290" i="2"/>
  <c r="D2289" i="2"/>
  <c r="D2288" i="2"/>
  <c r="A2288" i="2"/>
  <c r="D2287" i="2"/>
  <c r="D2286" i="2"/>
  <c r="A2286" i="2"/>
  <c r="A2285" i="2"/>
  <c r="A2284" i="2"/>
  <c r="A2283" i="2"/>
  <c r="A2282" i="2"/>
  <c r="D2281" i="2"/>
  <c r="D2280" i="2"/>
  <c r="D2279" i="2"/>
  <c r="A2279" i="2"/>
  <c r="A2278" i="2"/>
  <c r="A2277" i="2"/>
  <c r="D2276" i="2"/>
  <c r="A2276" i="2"/>
  <c r="D2275" i="2"/>
  <c r="A2275" i="2"/>
  <c r="A2274" i="2"/>
  <c r="D2273" i="2"/>
  <c r="D2272" i="2"/>
  <c r="A2272" i="2"/>
  <c r="D2271" i="2"/>
  <c r="A2271" i="2"/>
  <c r="A2270" i="2"/>
  <c r="A2269" i="2"/>
  <c r="A2268" i="2"/>
  <c r="A2267" i="2"/>
  <c r="A2266" i="2"/>
  <c r="A2264" i="2"/>
  <c r="A2263" i="2"/>
  <c r="A2262" i="2"/>
  <c r="A2261" i="2"/>
  <c r="D2260" i="2"/>
  <c r="D2257" i="2"/>
  <c r="D2254" i="2"/>
  <c r="A2253" i="2"/>
  <c r="A2252" i="2"/>
  <c r="D2251" i="2"/>
  <c r="A2250" i="2"/>
  <c r="D2249" i="2"/>
  <c r="A2248" i="2"/>
  <c r="D2247" i="2"/>
  <c r="A2246" i="2"/>
  <c r="D2245" i="2"/>
  <c r="D2243" i="2"/>
  <c r="A2243" i="2"/>
  <c r="A2241" i="2"/>
  <c r="A2237" i="2"/>
  <c r="A2236" i="2"/>
  <c r="A2235" i="2"/>
  <c r="D2234" i="2"/>
  <c r="A2234" i="2"/>
  <c r="A2233" i="2"/>
  <c r="A2232" i="2"/>
  <c r="D2231" i="2"/>
  <c r="A2231" i="2"/>
  <c r="A2230" i="2"/>
  <c r="A2229" i="2"/>
  <c r="A2228" i="2"/>
  <c r="D2227" i="2"/>
  <c r="A2227" i="2"/>
  <c r="D2224" i="2"/>
  <c r="A2224" i="2"/>
  <c r="A2223" i="2"/>
  <c r="A2222" i="2"/>
  <c r="A2218" i="2"/>
  <c r="A2217" i="2"/>
  <c r="D2216" i="2"/>
  <c r="A2215" i="2"/>
  <c r="A2214" i="2"/>
  <c r="A2213" i="2"/>
  <c r="D2212" i="2"/>
  <c r="A2211" i="2"/>
  <c r="A2210" i="2"/>
  <c r="A2209" i="2"/>
  <c r="A2208" i="2"/>
  <c r="D2207" i="2"/>
  <c r="A2207" i="2"/>
  <c r="A2206" i="2"/>
  <c r="A2205" i="2"/>
  <c r="D2204" i="2"/>
  <c r="A2204" i="2"/>
  <c r="D2203" i="2"/>
  <c r="A2203" i="2"/>
  <c r="D2202" i="2"/>
  <c r="A2201" i="2"/>
  <c r="A2200" i="2"/>
  <c r="D2199" i="2"/>
  <c r="D2198" i="2"/>
  <c r="A2198" i="2"/>
  <c r="D2196" i="2"/>
  <c r="A2195" i="2"/>
  <c r="A2194" i="2"/>
  <c r="A2193" i="2"/>
  <c r="A2192" i="2"/>
  <c r="A2189" i="2"/>
  <c r="A2187" i="2"/>
  <c r="A2186" i="2"/>
  <c r="A2185" i="2"/>
  <c r="A2184" i="2"/>
  <c r="A2183" i="2"/>
  <c r="A2182" i="2"/>
  <c r="A2177" i="2"/>
  <c r="A2176" i="2"/>
  <c r="A2175" i="2"/>
  <c r="A2174" i="2"/>
  <c r="A2173" i="2"/>
  <c r="A2172" i="2"/>
  <c r="A2171" i="2"/>
  <c r="A2170" i="2"/>
  <c r="A2169" i="2"/>
  <c r="A2168" i="2"/>
  <c r="A2165" i="2"/>
  <c r="A2164" i="2"/>
  <c r="A2163" i="2"/>
  <c r="A2159" i="2"/>
  <c r="A2158" i="2"/>
  <c r="A2157" i="2"/>
  <c r="D2156" i="2"/>
  <c r="A2155" i="2"/>
  <c r="A2154" i="2"/>
  <c r="A2153" i="2"/>
  <c r="A2151" i="2"/>
  <c r="A2147" i="2"/>
  <c r="A2146" i="2"/>
  <c r="A2145" i="2"/>
  <c r="A2144" i="2"/>
  <c r="A2143" i="2"/>
  <c r="A2142" i="2"/>
  <c r="A2141" i="2"/>
  <c r="A2140" i="2"/>
  <c r="A2139" i="2"/>
  <c r="A2138" i="2"/>
  <c r="A2137" i="2"/>
  <c r="D2136" i="2"/>
  <c r="A2136" i="2"/>
  <c r="D2135" i="2"/>
  <c r="A2135" i="2"/>
  <c r="A2133" i="2"/>
  <c r="A2132" i="2"/>
  <c r="A2131" i="2"/>
  <c r="A2130" i="2"/>
  <c r="A2129" i="2"/>
  <c r="A2128" i="2"/>
  <c r="A2127" i="2"/>
  <c r="A2125" i="2"/>
  <c r="D2124" i="2"/>
  <c r="A2124" i="2"/>
  <c r="D2123" i="2"/>
  <c r="A2123" i="2"/>
  <c r="A2120" i="2"/>
  <c r="A2119" i="2"/>
  <c r="A2118" i="2"/>
  <c r="D2117" i="2"/>
  <c r="A2115" i="2"/>
  <c r="A2114" i="2"/>
  <c r="A2113" i="2"/>
  <c r="A2112" i="2"/>
  <c r="A2111" i="2"/>
  <c r="A2109" i="2"/>
  <c r="A2108" i="2"/>
  <c r="A2105" i="2"/>
  <c r="A2104" i="2"/>
  <c r="A2103" i="2"/>
  <c r="A2102" i="2"/>
  <c r="A2101" i="2"/>
  <c r="A2100" i="2"/>
  <c r="A2099" i="2"/>
  <c r="A2098" i="2"/>
  <c r="A2097" i="2"/>
  <c r="A2096" i="2"/>
  <c r="A2095" i="2"/>
  <c r="A2094" i="2"/>
  <c r="D2093" i="2"/>
  <c r="A2091" i="2"/>
  <c r="A2090" i="2"/>
  <c r="A2089" i="2"/>
  <c r="D2087" i="2"/>
  <c r="A2086" i="2"/>
  <c r="A2084" i="2"/>
  <c r="A2083" i="2"/>
  <c r="A2082" i="2"/>
  <c r="A2077" i="2"/>
  <c r="A2076" i="2"/>
  <c r="A2075" i="2"/>
  <c r="A2072" i="2"/>
  <c r="D2070" i="2"/>
  <c r="A2068" i="2"/>
  <c r="A2067" i="2"/>
  <c r="A2066" i="2"/>
  <c r="A2065" i="2"/>
  <c r="A2063" i="2"/>
  <c r="A2062" i="2"/>
  <c r="A2061" i="2"/>
  <c r="A2060" i="2"/>
  <c r="D2059" i="2"/>
  <c r="A2056" i="2"/>
  <c r="A2055" i="2"/>
  <c r="A2054" i="2"/>
  <c r="A2053" i="2"/>
  <c r="A2052" i="2"/>
  <c r="A2051" i="2"/>
  <c r="D2050" i="2"/>
  <c r="A2050" i="2"/>
  <c r="D2049" i="2"/>
  <c r="A2049" i="2"/>
  <c r="D2048" i="2"/>
  <c r="A2048" i="2"/>
  <c r="A2047" i="2"/>
  <c r="A2046" i="2"/>
  <c r="D2045" i="2"/>
  <c r="D2042" i="2"/>
  <c r="A2042" i="2"/>
  <c r="A2041" i="2"/>
  <c r="D2038" i="2"/>
  <c r="A2037" i="2"/>
  <c r="A2035" i="2"/>
  <c r="D2034" i="2"/>
  <c r="A2034" i="2"/>
  <c r="D2033" i="2"/>
  <c r="A2033" i="2"/>
  <c r="A2032" i="2"/>
  <c r="D2031" i="2"/>
  <c r="A2031" i="2"/>
  <c r="A2030" i="2"/>
  <c r="A2029" i="2"/>
  <c r="A2028" i="2"/>
  <c r="D2027" i="2"/>
  <c r="A2027" i="2"/>
  <c r="A2026" i="2"/>
  <c r="A2025" i="2"/>
  <c r="A2024" i="2"/>
  <c r="A2023" i="2"/>
  <c r="A2022" i="2"/>
  <c r="D2021" i="2"/>
  <c r="A2021" i="2"/>
  <c r="A2020" i="2"/>
  <c r="A2019" i="2"/>
  <c r="D2018" i="2"/>
  <c r="A2017" i="2"/>
  <c r="A2016" i="2"/>
  <c r="D2015" i="2"/>
  <c r="A2015" i="2"/>
  <c r="A2013" i="2"/>
  <c r="A2012" i="2"/>
  <c r="A2010" i="2"/>
  <c r="A2009" i="2"/>
  <c r="A2007" i="2"/>
  <c r="A2006" i="2"/>
  <c r="A2005" i="2"/>
  <c r="A2004" i="2"/>
  <c r="A2003" i="2"/>
  <c r="A2002" i="2"/>
  <c r="A2001" i="2"/>
  <c r="A2000" i="2"/>
  <c r="D1999" i="2"/>
  <c r="A1999" i="2"/>
  <c r="A1998" i="2"/>
  <c r="A1997" i="2"/>
  <c r="A1996" i="2"/>
  <c r="A1995" i="2"/>
  <c r="A1994" i="2"/>
  <c r="A1993" i="2"/>
  <c r="A1992" i="2"/>
  <c r="A1991" i="2"/>
  <c r="A1990" i="2"/>
  <c r="A1989" i="2"/>
  <c r="A1988" i="2"/>
  <c r="A1987" i="2"/>
  <c r="A1986" i="2"/>
  <c r="D1985" i="2"/>
  <c r="A1984" i="2"/>
  <c r="A1983" i="2"/>
  <c r="A1982" i="2"/>
  <c r="A1981" i="2"/>
  <c r="D1980" i="2"/>
  <c r="A1980" i="2"/>
  <c r="A1979" i="2"/>
  <c r="A1977" i="2"/>
  <c r="A1974" i="2"/>
  <c r="A1973" i="2"/>
  <c r="A1969" i="2"/>
  <c r="A1968" i="2"/>
  <c r="A1967" i="2"/>
  <c r="A1966" i="2"/>
  <c r="A1965" i="2"/>
  <c r="A1960" i="2"/>
  <c r="A1959" i="2"/>
  <c r="A1958" i="2"/>
  <c r="A1957" i="2"/>
  <c r="A1955" i="2"/>
  <c r="D1954" i="2"/>
  <c r="A1954" i="2"/>
  <c r="A1953" i="2"/>
  <c r="D1950" i="2"/>
  <c r="A1949" i="2"/>
  <c r="D1948" i="2"/>
  <c r="A1948" i="2"/>
  <c r="D1947" i="2"/>
  <c r="D1946" i="2"/>
  <c r="A1945" i="2"/>
  <c r="D1944" i="2"/>
  <c r="A1944" i="2"/>
  <c r="A1943" i="2"/>
  <c r="D1942" i="2"/>
  <c r="A1942" i="2"/>
  <c r="A1941" i="2"/>
  <c r="A1940" i="2"/>
  <c r="A1938" i="2"/>
  <c r="A1937" i="2"/>
  <c r="D1933" i="2"/>
  <c r="A1933" i="2"/>
  <c r="A1932" i="2"/>
  <c r="A1930" i="2"/>
  <c r="A1929" i="2"/>
  <c r="A1926" i="2"/>
  <c r="A1925" i="2"/>
  <c r="A1924" i="2"/>
  <c r="A1923" i="2"/>
  <c r="A1922" i="2"/>
  <c r="A1921" i="2"/>
  <c r="A1920" i="2"/>
  <c r="A1919" i="2"/>
  <c r="A1916" i="2"/>
  <c r="A1915" i="2"/>
  <c r="A1913" i="2"/>
  <c r="A1912" i="2"/>
  <c r="A1911" i="2"/>
  <c r="A1910" i="2"/>
  <c r="A1909" i="2"/>
  <c r="A1908" i="2"/>
  <c r="A1907" i="2"/>
  <c r="A1906" i="2"/>
  <c r="A1905" i="2"/>
  <c r="A1904" i="2"/>
  <c r="D1903" i="2"/>
  <c r="A1903" i="2"/>
  <c r="A1902" i="2"/>
  <c r="D1901" i="2"/>
  <c r="A1901" i="2"/>
  <c r="D1900" i="2"/>
  <c r="A1900" i="2"/>
  <c r="A1898" i="2"/>
  <c r="A1897" i="2"/>
  <c r="A1896" i="2"/>
  <c r="A1894" i="2"/>
  <c r="A1893" i="2"/>
  <c r="A1892" i="2"/>
  <c r="A1891" i="2"/>
  <c r="A1889" i="2"/>
  <c r="D1887" i="2"/>
  <c r="A1884" i="2"/>
  <c r="D1882" i="2"/>
  <c r="D1881" i="2"/>
  <c r="D1879" i="2"/>
  <c r="D1877" i="2"/>
  <c r="D1874" i="2"/>
  <c r="A1874" i="2"/>
  <c r="D1872" i="2"/>
  <c r="A1872" i="2"/>
  <c r="D1869" i="2"/>
  <c r="A1868" i="2"/>
  <c r="D1864" i="2"/>
  <c r="A1863" i="2"/>
  <c r="A1861" i="2"/>
  <c r="A1860" i="2"/>
  <c r="A1859" i="2"/>
  <c r="D1854" i="2"/>
  <c r="D1853" i="2"/>
  <c r="A1852" i="2"/>
  <c r="D1851" i="2"/>
  <c r="D1849" i="2"/>
  <c r="A1849" i="2"/>
  <c r="D1848" i="2"/>
  <c r="A1847" i="2"/>
  <c r="D1846" i="2"/>
  <c r="A1846" i="2"/>
  <c r="A1845" i="2"/>
  <c r="A1844" i="2"/>
  <c r="D1841" i="2"/>
  <c r="A1841" i="2"/>
  <c r="A1840" i="2"/>
  <c r="A1839" i="2"/>
  <c r="A1838" i="2"/>
  <c r="A1837" i="2"/>
  <c r="D1836" i="2"/>
  <c r="A1836" i="2"/>
  <c r="D1835" i="2"/>
  <c r="A1835" i="2"/>
  <c r="A1831" i="2"/>
  <c r="A1829" i="2"/>
  <c r="A1828" i="2"/>
  <c r="A1827" i="2"/>
  <c r="A1825" i="2"/>
  <c r="A1824" i="2"/>
  <c r="D1823" i="2"/>
  <c r="A1823" i="2"/>
  <c r="D1821" i="2"/>
  <c r="A1821" i="2"/>
  <c r="A1820" i="2"/>
  <c r="D1819" i="2"/>
  <c r="A1819" i="2"/>
  <c r="A1817" i="2"/>
  <c r="D1816" i="2"/>
  <c r="D1815" i="2"/>
  <c r="A1813" i="2"/>
  <c r="D1812" i="2"/>
  <c r="A1812" i="2"/>
  <c r="D1809" i="2"/>
  <c r="D1808" i="2"/>
  <c r="A1808" i="2"/>
  <c r="D1807" i="2"/>
  <c r="D1806" i="2"/>
  <c r="D1805" i="2"/>
  <c r="A1805" i="2"/>
  <c r="A1804" i="2"/>
  <c r="A1803" i="2"/>
  <c r="D1802" i="2"/>
  <c r="A1802" i="2"/>
  <c r="D1801" i="2"/>
  <c r="A1801" i="2"/>
  <c r="D1800" i="2"/>
  <c r="A1800" i="2"/>
  <c r="A1799" i="2"/>
  <c r="A1797" i="2"/>
  <c r="A1796" i="2"/>
  <c r="A1794" i="2"/>
  <c r="D1793" i="2"/>
  <c r="D1792" i="2"/>
  <c r="A1792" i="2"/>
  <c r="D1788" i="2"/>
  <c r="A1787" i="2"/>
  <c r="A1786" i="2"/>
  <c r="A1784" i="2"/>
  <c r="A1783" i="2"/>
  <c r="A1782" i="2"/>
  <c r="D1780" i="2"/>
  <c r="A1779" i="2"/>
  <c r="A1777" i="2"/>
  <c r="A1776" i="2"/>
  <c r="A1775" i="2"/>
  <c r="D1772" i="2"/>
  <c r="D1770" i="2"/>
  <c r="A1770" i="2"/>
  <c r="A1766" i="2"/>
  <c r="D1765" i="2"/>
  <c r="D1764" i="2"/>
  <c r="A1764" i="2"/>
  <c r="A1763" i="2"/>
  <c r="A1762" i="2"/>
  <c r="A1761" i="2"/>
  <c r="A1758" i="2"/>
  <c r="D1756" i="2"/>
  <c r="A1756" i="2"/>
  <c r="D1753" i="2"/>
  <c r="A1752" i="2"/>
  <c r="D1751" i="2"/>
  <c r="D1750" i="2"/>
  <c r="A1749" i="2"/>
  <c r="A1748" i="2"/>
  <c r="A1747" i="2"/>
  <c r="A1744" i="2"/>
  <c r="A1743" i="2"/>
  <c r="A1741" i="2"/>
  <c r="A1740" i="2"/>
  <c r="A1736" i="2"/>
  <c r="A1734" i="2"/>
  <c r="A1732" i="2"/>
  <c r="A1727" i="2"/>
  <c r="A1726" i="2"/>
  <c r="D1725" i="2"/>
  <c r="A1724" i="2"/>
  <c r="D1722" i="2"/>
  <c r="A1717" i="2"/>
  <c r="A1715" i="2"/>
  <c r="A1714" i="2"/>
  <c r="A1713" i="2"/>
  <c r="A1711" i="2"/>
  <c r="A1710" i="2"/>
  <c r="D1708" i="2"/>
  <c r="A1704" i="2"/>
  <c r="A1703" i="2"/>
  <c r="A1701" i="2"/>
  <c r="D1700" i="2"/>
  <c r="A1700" i="2"/>
  <c r="A1699" i="2"/>
  <c r="D1698" i="2"/>
  <c r="A1698" i="2"/>
  <c r="A1697" i="2"/>
  <c r="A1696" i="2"/>
  <c r="A1695" i="2"/>
  <c r="A1694" i="2"/>
  <c r="D1693" i="2"/>
  <c r="A1693" i="2"/>
  <c r="D1692" i="2"/>
  <c r="A1692" i="2"/>
  <c r="D1691" i="2"/>
  <c r="A1690" i="2"/>
  <c r="A1689" i="2"/>
  <c r="A1688" i="2"/>
  <c r="A1687" i="2"/>
  <c r="A1685" i="2"/>
  <c r="D1683" i="2"/>
  <c r="A1683" i="2"/>
  <c r="A1682" i="2"/>
  <c r="A1681" i="2"/>
  <c r="A1678" i="2"/>
  <c r="A1677" i="2"/>
  <c r="A1674" i="2"/>
  <c r="A1673" i="2"/>
  <c r="D1672" i="2"/>
  <c r="A1672" i="2"/>
  <c r="A1671" i="2"/>
  <c r="A1670" i="2"/>
  <c r="A1669" i="2"/>
  <c r="A1668" i="2"/>
  <c r="A1667" i="2"/>
  <c r="A1666" i="2"/>
  <c r="A1665" i="2"/>
  <c r="D1661" i="2"/>
  <c r="D1657" i="2"/>
  <c r="D1656" i="2"/>
  <c r="D1655" i="2"/>
  <c r="A1653" i="2"/>
  <c r="A1652" i="2"/>
  <c r="A1651" i="2"/>
  <c r="A1650" i="2"/>
  <c r="D1646" i="2"/>
  <c r="A1646" i="2"/>
  <c r="D1643" i="2"/>
  <c r="A1638" i="2"/>
  <c r="A1632" i="2"/>
  <c r="D1631" i="2"/>
  <c r="D1630" i="2"/>
  <c r="A1629" i="2"/>
  <c r="D1627" i="2"/>
  <c r="A1627" i="2"/>
  <c r="D1626" i="2"/>
  <c r="D1625" i="2"/>
  <c r="A1625" i="2"/>
  <c r="A1624" i="2"/>
  <c r="D1623" i="2"/>
  <c r="A1621" i="2"/>
  <c r="D1620" i="2"/>
  <c r="D1619" i="2"/>
  <c r="A1619" i="2"/>
  <c r="A1618" i="2"/>
  <c r="A1616" i="2"/>
  <c r="D1615" i="2"/>
  <c r="A1615" i="2"/>
  <c r="A1614" i="2"/>
  <c r="A1612" i="2"/>
  <c r="A1611" i="2"/>
  <c r="A1610" i="2"/>
  <c r="D1609" i="2"/>
  <c r="D1608" i="2"/>
  <c r="D1607" i="2"/>
  <c r="A1607" i="2"/>
  <c r="A1606" i="2"/>
  <c r="A1605" i="2"/>
  <c r="D1604" i="2"/>
  <c r="D1603" i="2"/>
  <c r="A1603" i="2"/>
  <c r="A1602" i="2"/>
  <c r="A1601" i="2"/>
  <c r="A1600" i="2"/>
  <c r="A1599" i="2"/>
  <c r="D1598" i="2"/>
  <c r="A1597" i="2"/>
  <c r="D1596" i="2"/>
  <c r="A1595" i="2"/>
  <c r="A1594" i="2"/>
  <c r="A1593" i="2"/>
  <c r="A1591" i="2"/>
  <c r="A1590" i="2"/>
  <c r="A1588" i="2"/>
  <c r="A1585" i="2"/>
  <c r="A1584" i="2"/>
  <c r="D1583" i="2"/>
  <c r="A1583" i="2"/>
  <c r="A1581" i="2"/>
  <c r="A1579" i="2"/>
  <c r="A1578" i="2"/>
  <c r="D1577" i="2"/>
  <c r="D1576" i="2"/>
  <c r="A1576" i="2"/>
  <c r="D1575" i="2"/>
  <c r="A1574" i="2"/>
  <c r="D1573" i="2"/>
  <c r="A1573" i="2"/>
  <c r="D1572" i="2"/>
  <c r="A1572" i="2"/>
  <c r="A1571" i="2"/>
  <c r="A1569" i="2"/>
  <c r="D1568" i="2"/>
  <c r="A1568" i="2"/>
  <c r="A1567" i="2"/>
  <c r="D1566" i="2"/>
  <c r="A1566" i="2"/>
  <c r="A1565" i="2"/>
  <c r="D1564" i="2"/>
  <c r="A1564" i="2"/>
  <c r="D1563" i="2"/>
  <c r="A1563" i="2"/>
  <c r="D1562" i="2"/>
  <c r="A1562" i="2"/>
  <c r="D1560" i="2"/>
  <c r="D1556" i="2"/>
  <c r="A1556" i="2"/>
  <c r="A1555" i="2"/>
  <c r="A1553" i="2"/>
  <c r="D1550" i="2"/>
  <c r="D1549" i="2"/>
  <c r="A1548" i="2"/>
  <c r="D1546" i="2"/>
  <c r="A1546" i="2"/>
  <c r="A1543" i="2"/>
  <c r="D1540" i="2"/>
  <c r="A1532" i="2"/>
  <c r="D1530" i="2"/>
  <c r="A1528" i="2"/>
  <c r="D1526" i="2"/>
  <c r="A1526" i="2"/>
  <c r="A1523" i="2"/>
  <c r="D1522" i="2"/>
  <c r="A1522" i="2"/>
  <c r="D1521" i="2"/>
  <c r="A1520" i="2"/>
  <c r="A1519" i="2"/>
  <c r="D1518" i="2"/>
  <c r="A1518" i="2"/>
  <c r="D1517" i="2"/>
  <c r="A1517" i="2"/>
  <c r="D1516" i="2"/>
  <c r="A1515" i="2"/>
  <c r="D1514" i="2"/>
  <c r="D1510" i="2"/>
  <c r="D1509" i="2"/>
  <c r="D1508" i="2"/>
  <c r="A1508" i="2"/>
  <c r="A1506" i="2"/>
  <c r="D1505" i="2"/>
  <c r="A1505" i="2"/>
  <c r="D1504" i="2"/>
  <c r="A1503" i="2"/>
  <c r="A1501" i="2"/>
  <c r="A1500" i="2"/>
  <c r="D1499" i="2"/>
  <c r="A1499" i="2"/>
  <c r="A1498" i="2"/>
  <c r="A1495" i="2"/>
  <c r="A1490" i="2"/>
  <c r="A1488" i="2"/>
  <c r="A1485" i="2"/>
  <c r="D1483" i="2"/>
  <c r="A1479" i="2"/>
  <c r="D1478" i="2"/>
  <c r="A1477" i="2"/>
  <c r="A1476" i="2"/>
  <c r="D1475" i="2"/>
  <c r="A1472" i="2"/>
  <c r="D1471" i="2"/>
  <c r="A1466" i="2"/>
  <c r="A1465" i="2"/>
  <c r="A1463" i="2"/>
  <c r="A1462" i="2"/>
  <c r="A1460" i="2"/>
  <c r="A1458" i="2"/>
  <c r="D1456" i="2"/>
  <c r="A1454" i="2"/>
  <c r="A1452" i="2"/>
  <c r="A1448" i="2"/>
  <c r="A1447" i="2"/>
  <c r="D1446" i="2"/>
  <c r="D1444" i="2"/>
  <c r="A1443" i="2"/>
  <c r="A1442" i="2"/>
  <c r="A1441" i="2"/>
  <c r="D1437" i="2"/>
  <c r="A1437" i="2"/>
  <c r="A1436" i="2"/>
  <c r="D1435" i="2"/>
  <c r="A1434" i="2"/>
  <c r="A1433" i="2"/>
  <c r="A1432" i="2"/>
  <c r="D1430" i="2"/>
  <c r="A1430" i="2"/>
  <c r="A1429" i="2"/>
  <c r="D1428" i="2"/>
  <c r="A1427" i="2"/>
  <c r="A1426" i="2"/>
  <c r="A1425" i="2"/>
  <c r="A1424" i="2"/>
  <c r="A1423" i="2"/>
  <c r="A1422" i="2"/>
  <c r="D1421" i="2"/>
  <c r="A1421" i="2"/>
  <c r="A1420" i="2"/>
  <c r="D1419" i="2"/>
  <c r="D1417" i="2"/>
  <c r="A1417" i="2"/>
  <c r="A1413" i="2"/>
  <c r="D1411" i="2"/>
  <c r="A1410" i="2"/>
  <c r="A1409" i="2"/>
  <c r="A1406" i="2"/>
  <c r="A1405" i="2"/>
  <c r="A1402" i="2"/>
  <c r="D1401" i="2"/>
  <c r="A1401" i="2"/>
  <c r="A1400" i="2"/>
  <c r="A1399" i="2"/>
  <c r="A1390" i="2"/>
  <c r="A1389" i="2"/>
  <c r="A1388" i="2"/>
  <c r="A1387" i="2"/>
  <c r="A1386" i="2"/>
  <c r="A1385" i="2"/>
  <c r="A1384" i="2"/>
  <c r="D1381" i="2"/>
  <c r="A1380" i="2"/>
  <c r="A1379" i="2"/>
  <c r="A1378" i="2"/>
  <c r="A1377" i="2"/>
  <c r="A1376" i="2"/>
  <c r="A1375" i="2"/>
  <c r="D1374" i="2"/>
  <c r="A1374" i="2"/>
  <c r="A1373" i="2"/>
  <c r="A1372" i="2"/>
  <c r="A1371" i="2"/>
  <c r="D1370" i="2"/>
  <c r="D1369" i="2"/>
  <c r="A1369" i="2"/>
  <c r="A1368" i="2"/>
  <c r="A1367" i="2"/>
  <c r="A1366" i="2"/>
  <c r="A1365" i="2"/>
  <c r="D1364" i="2"/>
  <c r="A1364" i="2"/>
  <c r="D1363" i="2"/>
  <c r="A1362" i="2"/>
  <c r="D1361" i="2"/>
  <c r="D1360" i="2"/>
  <c r="A1360" i="2"/>
  <c r="A1359" i="2"/>
  <c r="A1358" i="2"/>
  <c r="A1357" i="2"/>
  <c r="A1356" i="2"/>
  <c r="A1355" i="2"/>
  <c r="D1354" i="2"/>
  <c r="A1354" i="2"/>
  <c r="A1353" i="2"/>
  <c r="A1352" i="2"/>
  <c r="A1351" i="2"/>
  <c r="A1350" i="2"/>
  <c r="A1348" i="2"/>
  <c r="A1344" i="2"/>
  <c r="A1343" i="2"/>
  <c r="A1342" i="2"/>
  <c r="A1337" i="2"/>
  <c r="A1336" i="2"/>
  <c r="A1334" i="2"/>
  <c r="A1333" i="2"/>
  <c r="D1327" i="2"/>
  <c r="D1322" i="2"/>
  <c r="A1320" i="2"/>
  <c r="A1319" i="2"/>
  <c r="A1318" i="2"/>
  <c r="A1317" i="2"/>
  <c r="A1316" i="2"/>
  <c r="A1315" i="2"/>
  <c r="A1313" i="2"/>
  <c r="D1312" i="2"/>
  <c r="A1312" i="2"/>
  <c r="D1311" i="2"/>
  <c r="A1311" i="2"/>
  <c r="D1310" i="2"/>
  <c r="A1310" i="2"/>
  <c r="A1309" i="2"/>
  <c r="A1308" i="2"/>
  <c r="A1307" i="2"/>
  <c r="A1306" i="2"/>
  <c r="A1304" i="2"/>
  <c r="A1303" i="2"/>
  <c r="A1302" i="2"/>
  <c r="A1299" i="2"/>
  <c r="A1298" i="2"/>
  <c r="A1297" i="2"/>
  <c r="D1296" i="2"/>
  <c r="A1296" i="2"/>
  <c r="A1295" i="2"/>
  <c r="A1294" i="2"/>
  <c r="A1293" i="2"/>
  <c r="A1292" i="2"/>
  <c r="A1291" i="2"/>
  <c r="A1290" i="2"/>
  <c r="D1289" i="2"/>
  <c r="A1288" i="2"/>
  <c r="A1286" i="2"/>
  <c r="A1282" i="2"/>
  <c r="A1281" i="2"/>
  <c r="D1279" i="2"/>
  <c r="A1278" i="2"/>
  <c r="A1274" i="2"/>
  <c r="A1273" i="2"/>
  <c r="A1272" i="2"/>
  <c r="A1271" i="2"/>
  <c r="A1270" i="2"/>
  <c r="D1269" i="2"/>
  <c r="A1269" i="2"/>
  <c r="A1268" i="2"/>
  <c r="A1267" i="2"/>
  <c r="D1266" i="2"/>
  <c r="A1266" i="2"/>
  <c r="D1265" i="2"/>
  <c r="A1265" i="2"/>
  <c r="D1263" i="2"/>
  <c r="D1262" i="2"/>
  <c r="A1262" i="2"/>
  <c r="D1261" i="2"/>
  <c r="A1261" i="2"/>
  <c r="D1260" i="2"/>
  <c r="D1259" i="2"/>
  <c r="A1258" i="2"/>
  <c r="D1257" i="2"/>
  <c r="A1257" i="2"/>
  <c r="A1255" i="2"/>
  <c r="A1254" i="2"/>
  <c r="D1253" i="2"/>
  <c r="A1253" i="2"/>
  <c r="A1252" i="2"/>
  <c r="A1251" i="2"/>
  <c r="A1250" i="2"/>
  <c r="A1248" i="2"/>
  <c r="D1247" i="2"/>
  <c r="D1246" i="2"/>
  <c r="A1246" i="2"/>
  <c r="A1245" i="2"/>
  <c r="D1244" i="2"/>
  <c r="A1243" i="2"/>
  <c r="A1241" i="2"/>
  <c r="D1240" i="2"/>
  <c r="A1240" i="2"/>
  <c r="A1238" i="2"/>
  <c r="A1236" i="2"/>
  <c r="A1235" i="2"/>
  <c r="A1234" i="2"/>
  <c r="A1233" i="2"/>
  <c r="A1232" i="2"/>
  <c r="A1231" i="2"/>
  <c r="A1230" i="2"/>
  <c r="A1229" i="2"/>
  <c r="D1228" i="2"/>
  <c r="A1228" i="2"/>
  <c r="A1227" i="2"/>
  <c r="D1226" i="2"/>
  <c r="A1226" i="2"/>
  <c r="A1225" i="2"/>
  <c r="A1224" i="2"/>
  <c r="A1223" i="2"/>
  <c r="A1222" i="2"/>
  <c r="A1220" i="2"/>
  <c r="A1219" i="2"/>
  <c r="A1218" i="2"/>
  <c r="A1216" i="2"/>
  <c r="A1215" i="2"/>
  <c r="A1214" i="2"/>
  <c r="A1213" i="2"/>
  <c r="A1212" i="2"/>
  <c r="A1211" i="2"/>
  <c r="A1210" i="2"/>
  <c r="A1209" i="2"/>
  <c r="D1208" i="2"/>
  <c r="A1208" i="2"/>
  <c r="A1207" i="2"/>
  <c r="A1206" i="2"/>
  <c r="D1205" i="2"/>
  <c r="D1204" i="2"/>
  <c r="A1204" i="2"/>
  <c r="A1203" i="2"/>
  <c r="A1201" i="2"/>
  <c r="A1200" i="2"/>
  <c r="A1199" i="2"/>
  <c r="A1198" i="2"/>
  <c r="A1197" i="2"/>
  <c r="A1196" i="2"/>
  <c r="D1195" i="2"/>
  <c r="A1194" i="2"/>
  <c r="A1193" i="2"/>
  <c r="A1192" i="2"/>
  <c r="D1191" i="2"/>
  <c r="A1191" i="2"/>
  <c r="D1190" i="2"/>
  <c r="A1190" i="2"/>
  <c r="A1189" i="2"/>
  <c r="A1188" i="2"/>
  <c r="A1187" i="2"/>
  <c r="A1186" i="2"/>
  <c r="D1185" i="2"/>
  <c r="A1185" i="2"/>
  <c r="A1184" i="2"/>
  <c r="A1183" i="2"/>
  <c r="A1182" i="2"/>
  <c r="A1181" i="2"/>
  <c r="A1180" i="2"/>
  <c r="A1179" i="2"/>
  <c r="A1178" i="2"/>
  <c r="D1177" i="2"/>
  <c r="A1177" i="2"/>
  <c r="A1176" i="2"/>
  <c r="A1175" i="2"/>
  <c r="A1174" i="2"/>
  <c r="A1173" i="2"/>
  <c r="A1170" i="2"/>
  <c r="A1168" i="2"/>
  <c r="A1167" i="2"/>
  <c r="A1166" i="2"/>
  <c r="A1164" i="2"/>
  <c r="D1163" i="2"/>
  <c r="A1163" i="2"/>
  <c r="A1155" i="2"/>
  <c r="A1154" i="2"/>
  <c r="A1153" i="2"/>
  <c r="A1152" i="2"/>
  <c r="A1151" i="2"/>
  <c r="D1150" i="2"/>
  <c r="A1149" i="2"/>
  <c r="A1148" i="2"/>
  <c r="D1147" i="2"/>
  <c r="A1146" i="2"/>
  <c r="A1145" i="2"/>
  <c r="A1144" i="2"/>
  <c r="A1143" i="2"/>
  <c r="A1142" i="2"/>
  <c r="A1141" i="2"/>
  <c r="A1140" i="2"/>
  <c r="A1139" i="2"/>
  <c r="A1138" i="2"/>
  <c r="A1137" i="2"/>
  <c r="D1136" i="2"/>
  <c r="D1135" i="2"/>
  <c r="A1135" i="2"/>
  <c r="A1134" i="2"/>
  <c r="A1133" i="2"/>
  <c r="A1131" i="2"/>
  <c r="A1130" i="2"/>
  <c r="A1129" i="2"/>
  <c r="A1128" i="2"/>
  <c r="D1127" i="2"/>
  <c r="A1127" i="2"/>
  <c r="A1126" i="2"/>
  <c r="D1124" i="2"/>
  <c r="A1124" i="2"/>
  <c r="A1123" i="2"/>
  <c r="A1122" i="2"/>
  <c r="A1121" i="2"/>
  <c r="A1120" i="2"/>
  <c r="A1118" i="2"/>
  <c r="A1117" i="2"/>
  <c r="A1116" i="2"/>
  <c r="A1115" i="2"/>
  <c r="A1114" i="2"/>
  <c r="A1113" i="2"/>
  <c r="A1112" i="2"/>
  <c r="A1111" i="2"/>
  <c r="A1109" i="2"/>
  <c r="A1108" i="2"/>
  <c r="A1107" i="2"/>
  <c r="D1106" i="2"/>
  <c r="D1105" i="2"/>
  <c r="A1105" i="2"/>
  <c r="A1104" i="2"/>
  <c r="D1102" i="2"/>
  <c r="A1102" i="2"/>
  <c r="D1101" i="2"/>
  <c r="A1101" i="2"/>
  <c r="A1100" i="2"/>
  <c r="D1097" i="2"/>
  <c r="D1095" i="2"/>
  <c r="D1091" i="2"/>
  <c r="D1089" i="2"/>
  <c r="D1087" i="2"/>
  <c r="D1085" i="2"/>
  <c r="A1085" i="2"/>
  <c r="A1084" i="2"/>
  <c r="D1083" i="2"/>
  <c r="D1081" i="2"/>
  <c r="A1079" i="2"/>
  <c r="A1075" i="2"/>
  <c r="D1072" i="2"/>
  <c r="D1071" i="2"/>
  <c r="A1071" i="2"/>
  <c r="D1070" i="2"/>
  <c r="D1069" i="2"/>
  <c r="D1068" i="2"/>
  <c r="A1068" i="2"/>
  <c r="D1067" i="2"/>
  <c r="D1066" i="2"/>
  <c r="A1065" i="2"/>
  <c r="A1063" i="2"/>
  <c r="A1062" i="2"/>
  <c r="A1061" i="2"/>
  <c r="D1060" i="2"/>
  <c r="A1058" i="2"/>
  <c r="A1056" i="2"/>
  <c r="D1055" i="2"/>
  <c r="A1055" i="2"/>
  <c r="A1054" i="2"/>
  <c r="D1053" i="2"/>
  <c r="A1053" i="2"/>
  <c r="A1052" i="2"/>
  <c r="D1051" i="2"/>
  <c r="D1050" i="2"/>
  <c r="A1050" i="2"/>
  <c r="D1049" i="2"/>
  <c r="A1048" i="2"/>
  <c r="A1047" i="2"/>
  <c r="A1046" i="2"/>
  <c r="A1045" i="2"/>
  <c r="D1044" i="2"/>
  <c r="A1043" i="2"/>
  <c r="A1042" i="2"/>
  <c r="A1041" i="2"/>
  <c r="A1040" i="2"/>
  <c r="A1039" i="2"/>
  <c r="A1037" i="2"/>
  <c r="A1036" i="2"/>
  <c r="A1035" i="2"/>
  <c r="D1034" i="2"/>
  <c r="A1034" i="2"/>
  <c r="D1033" i="2"/>
  <c r="D1032" i="2"/>
  <c r="A1031" i="2"/>
  <c r="A1030" i="2"/>
  <c r="D1029" i="2"/>
  <c r="A1029" i="2"/>
  <c r="A1028" i="2"/>
  <c r="D1027" i="2"/>
  <c r="A1026" i="2"/>
  <c r="A1025" i="2"/>
  <c r="A1024" i="2"/>
  <c r="A1023" i="2"/>
  <c r="D1022" i="2"/>
  <c r="A1021" i="2"/>
  <c r="D1020" i="2"/>
  <c r="A1020" i="2"/>
  <c r="A1019" i="2"/>
  <c r="D1018" i="2"/>
  <c r="A1018" i="2"/>
  <c r="A1012" i="2"/>
  <c r="A1010" i="2"/>
  <c r="A1009" i="2"/>
  <c r="A1008" i="2"/>
  <c r="A1007" i="2"/>
  <c r="D1006" i="2"/>
  <c r="A1006" i="2"/>
  <c r="A1005" i="2"/>
  <c r="A1004" i="2"/>
  <c r="D1002" i="2"/>
  <c r="A1002" i="2"/>
  <c r="A1001" i="2"/>
  <c r="A999" i="2"/>
  <c r="A998" i="2"/>
  <c r="D997" i="2"/>
  <c r="A996" i="2"/>
  <c r="A995" i="2"/>
  <c r="D994" i="2"/>
  <c r="A994" i="2"/>
  <c r="A993" i="2"/>
  <c r="D992" i="2"/>
  <c r="A991" i="2"/>
  <c r="D990" i="2"/>
  <c r="A990" i="2"/>
  <c r="A988" i="2"/>
  <c r="A987" i="2"/>
  <c r="A986" i="2"/>
  <c r="A985" i="2"/>
  <c r="A984" i="2"/>
  <c r="A983" i="2"/>
  <c r="D982" i="2"/>
  <c r="A982" i="2"/>
  <c r="A981" i="2"/>
  <c r="D980" i="2"/>
  <c r="A980" i="2"/>
  <c r="D979" i="2"/>
  <c r="A979" i="2"/>
  <c r="A978" i="2"/>
  <c r="D977" i="2"/>
  <c r="A976" i="2"/>
  <c r="D975" i="2"/>
  <c r="A975" i="2"/>
  <c r="A974" i="2"/>
  <c r="D973" i="2"/>
  <c r="A973" i="2"/>
  <c r="D972" i="2"/>
  <c r="A972" i="2"/>
  <c r="D971" i="2"/>
  <c r="D970" i="2"/>
  <c r="A970" i="2"/>
  <c r="D969" i="2"/>
  <c r="A969" i="2"/>
  <c r="D968" i="2"/>
  <c r="A968" i="2"/>
  <c r="D967" i="2"/>
  <c r="D966" i="2"/>
  <c r="A966" i="2"/>
  <c r="A965" i="2"/>
  <c r="A964" i="2"/>
  <c r="A963" i="2"/>
  <c r="A962" i="2"/>
  <c r="A961" i="2"/>
  <c r="A960" i="2"/>
  <c r="D958" i="2"/>
  <c r="A958" i="2"/>
  <c r="A957" i="2"/>
  <c r="D956" i="2"/>
  <c r="A955" i="2"/>
  <c r="D954" i="2"/>
  <c r="A954" i="2"/>
  <c r="D953" i="2"/>
  <c r="A953" i="2"/>
  <c r="D952" i="2"/>
  <c r="A952" i="2"/>
  <c r="A951" i="2"/>
  <c r="D950" i="2"/>
  <c r="A950" i="2"/>
  <c r="A948" i="2"/>
  <c r="A947" i="2"/>
  <c r="A946" i="2"/>
  <c r="D945" i="2"/>
  <c r="A945" i="2"/>
  <c r="D944" i="2"/>
  <c r="A943" i="2"/>
  <c r="A942" i="2"/>
  <c r="A941" i="2"/>
  <c r="A940" i="2"/>
  <c r="D939" i="2"/>
  <c r="D938" i="2"/>
  <c r="A938" i="2"/>
  <c r="A937" i="2"/>
  <c r="A936" i="2"/>
  <c r="A935" i="2"/>
  <c r="A934" i="2"/>
  <c r="A933" i="2"/>
  <c r="A932" i="2"/>
  <c r="A931" i="2"/>
  <c r="D930" i="2"/>
  <c r="A930" i="2"/>
  <c r="A929" i="2"/>
  <c r="A928" i="2"/>
  <c r="A927" i="2"/>
  <c r="A926" i="2"/>
  <c r="A925" i="2"/>
  <c r="A924" i="2"/>
  <c r="A923" i="2"/>
  <c r="D922" i="2"/>
  <c r="A921" i="2"/>
  <c r="D920" i="2"/>
  <c r="A920" i="2"/>
  <c r="D919" i="2"/>
  <c r="A918" i="2"/>
  <c r="D917" i="2"/>
  <c r="A916" i="2"/>
  <c r="A915" i="2"/>
  <c r="A914" i="2"/>
  <c r="A913" i="2"/>
  <c r="A912" i="2"/>
  <c r="D911" i="2"/>
  <c r="A911" i="2"/>
  <c r="D910" i="2"/>
  <c r="A910" i="2"/>
  <c r="A909" i="2"/>
  <c r="A908" i="2"/>
  <c r="A907" i="2"/>
  <c r="D906" i="2"/>
  <c r="A906" i="2"/>
  <c r="A905" i="2"/>
  <c r="D904" i="2"/>
  <c r="A904" i="2"/>
  <c r="D903" i="2"/>
  <c r="A902" i="2"/>
  <c r="D901" i="2"/>
  <c r="D900" i="2"/>
  <c r="A900" i="2"/>
  <c r="A899" i="2"/>
  <c r="A898" i="2"/>
  <c r="A897" i="2"/>
  <c r="D896" i="2"/>
  <c r="A896" i="2"/>
  <c r="A895" i="2"/>
  <c r="D894" i="2"/>
  <c r="A894" i="2"/>
  <c r="D893" i="2"/>
  <c r="A893" i="2"/>
  <c r="D892" i="2"/>
  <c r="A891" i="2"/>
  <c r="A890" i="2"/>
  <c r="A889" i="2"/>
  <c r="A888" i="2"/>
  <c r="A887" i="2"/>
  <c r="D886" i="2"/>
  <c r="A886" i="2"/>
  <c r="A885" i="2"/>
  <c r="D884" i="2"/>
  <c r="A883" i="2"/>
  <c r="A882" i="2"/>
  <c r="A881" i="2"/>
  <c r="D880" i="2"/>
  <c r="A880" i="2"/>
  <c r="A879" i="2"/>
  <c r="A877" i="2"/>
  <c r="A876" i="2"/>
  <c r="A875" i="2"/>
  <c r="D874" i="2"/>
  <c r="A874" i="2"/>
  <c r="A873" i="2"/>
  <c r="D872" i="2"/>
  <c r="A872" i="2"/>
  <c r="D871" i="2"/>
  <c r="A871" i="2"/>
  <c r="A870" i="2"/>
  <c r="D869" i="2"/>
  <c r="A868" i="2"/>
  <c r="A866" i="2"/>
  <c r="A865" i="2"/>
  <c r="A864" i="2"/>
  <c r="A863" i="2"/>
  <c r="A862" i="2"/>
  <c r="A861" i="2"/>
  <c r="D860" i="2"/>
  <c r="A860" i="2"/>
  <c r="D859" i="2"/>
  <c r="A859" i="2"/>
  <c r="D858" i="2"/>
  <c r="A858" i="2"/>
  <c r="D857" i="2"/>
  <c r="A857" i="2"/>
  <c r="A856" i="2"/>
  <c r="A855" i="2"/>
  <c r="D854" i="2"/>
  <c r="A854" i="2"/>
  <c r="D853" i="2"/>
  <c r="A852" i="2"/>
  <c r="A851" i="2"/>
  <c r="A850" i="2"/>
  <c r="A849" i="2"/>
  <c r="A848" i="2"/>
  <c r="A847" i="2"/>
  <c r="A846" i="2"/>
  <c r="A845" i="2"/>
  <c r="D844" i="2"/>
  <c r="A844" i="2"/>
  <c r="D843" i="2"/>
  <c r="A843" i="2"/>
  <c r="A840" i="2"/>
  <c r="A839" i="2"/>
  <c r="A838" i="2"/>
  <c r="A837" i="2"/>
  <c r="A836" i="2"/>
  <c r="A835" i="2"/>
  <c r="D834" i="2"/>
  <c r="A834" i="2"/>
  <c r="A833" i="2"/>
  <c r="D832" i="2"/>
  <c r="A832" i="2"/>
  <c r="A831" i="2"/>
  <c r="A830" i="2"/>
  <c r="A829" i="2"/>
  <c r="D828" i="2"/>
  <c r="A828" i="2"/>
  <c r="A827" i="2"/>
  <c r="A826" i="2"/>
  <c r="A825" i="2"/>
  <c r="A823" i="2"/>
  <c r="A822" i="2"/>
  <c r="A821" i="2"/>
  <c r="A819" i="2"/>
  <c r="A818" i="2"/>
  <c r="A817" i="2"/>
  <c r="A816" i="2"/>
  <c r="A815" i="2"/>
  <c r="A814" i="2"/>
  <c r="A813" i="2"/>
  <c r="A812" i="2"/>
  <c r="A811" i="2"/>
  <c r="A810" i="2"/>
  <c r="A809" i="2"/>
  <c r="A807" i="2"/>
  <c r="A806" i="2"/>
  <c r="A804" i="2"/>
  <c r="A803" i="2"/>
  <c r="A802" i="2"/>
  <c r="A801" i="2"/>
  <c r="A800" i="2"/>
  <c r="A799" i="2"/>
  <c r="A798" i="2"/>
  <c r="A797" i="2"/>
  <c r="A796" i="2"/>
  <c r="A795" i="2"/>
  <c r="D792" i="2"/>
  <c r="A792" i="2"/>
  <c r="D791" i="2"/>
  <c r="A791" i="2"/>
  <c r="A790" i="2"/>
  <c r="A788" i="2"/>
  <c r="A787" i="2"/>
  <c r="D786" i="2"/>
  <c r="A786" i="2"/>
  <c r="A785" i="2"/>
  <c r="A784" i="2"/>
  <c r="A783" i="2"/>
  <c r="D782" i="2"/>
  <c r="A782" i="2"/>
  <c r="D781" i="2"/>
  <c r="A781" i="2"/>
  <c r="A780" i="2"/>
  <c r="A779" i="2"/>
  <c r="A778" i="2"/>
  <c r="D777" i="2"/>
  <c r="A777" i="2"/>
  <c r="A776" i="2"/>
  <c r="D772" i="2"/>
  <c r="A772" i="2"/>
  <c r="A771" i="2"/>
  <c r="D768" i="2"/>
  <c r="A768" i="2"/>
  <c r="A765" i="2"/>
  <c r="D764" i="2"/>
  <c r="A762" i="2"/>
  <c r="A760" i="2"/>
  <c r="A758" i="2"/>
  <c r="D757" i="2"/>
  <c r="A756" i="2"/>
  <c r="A755" i="2"/>
  <c r="A754" i="2"/>
  <c r="A753" i="2"/>
  <c r="A752" i="2"/>
  <c r="D751" i="2"/>
  <c r="D750" i="2"/>
  <c r="A750" i="2"/>
  <c r="D749" i="2"/>
  <c r="A748" i="2"/>
  <c r="D747" i="2"/>
  <c r="A747" i="2"/>
  <c r="D746" i="2"/>
  <c r="A745" i="2"/>
  <c r="A739" i="2"/>
  <c r="A736" i="2"/>
  <c r="A735" i="2"/>
  <c r="A734" i="2"/>
  <c r="A733" i="2"/>
  <c r="A732" i="2"/>
  <c r="A729" i="2"/>
  <c r="A728" i="2"/>
  <c r="A727" i="2"/>
  <c r="A726" i="2"/>
  <c r="A725" i="2"/>
  <c r="D724" i="2"/>
  <c r="A724" i="2"/>
  <c r="D723" i="2"/>
  <c r="D719" i="2"/>
  <c r="A719" i="2"/>
  <c r="D718" i="2"/>
  <c r="A718" i="2"/>
  <c r="D717" i="2"/>
  <c r="A717" i="2"/>
  <c r="D716" i="2"/>
  <c r="A716" i="2"/>
  <c r="D715" i="2"/>
  <c r="D713" i="2"/>
  <c r="A713" i="2"/>
  <c r="A711" i="2"/>
  <c r="A710" i="2"/>
  <c r="A708" i="2"/>
  <c r="A707" i="2"/>
  <c r="D706" i="2"/>
  <c r="A705" i="2"/>
  <c r="A704" i="2"/>
  <c r="A702" i="2"/>
  <c r="A697" i="2"/>
  <c r="D696" i="2"/>
  <c r="A696" i="2"/>
  <c r="A695" i="2"/>
  <c r="A693" i="2"/>
  <c r="A692" i="2"/>
  <c r="A691" i="2"/>
  <c r="A690" i="2"/>
  <c r="A689" i="2"/>
  <c r="A688" i="2"/>
  <c r="A686" i="2"/>
  <c r="A685" i="2"/>
  <c r="A683" i="2"/>
  <c r="A682" i="2"/>
  <c r="A681" i="2"/>
  <c r="A679" i="2"/>
  <c r="A678" i="2"/>
  <c r="D677" i="2"/>
  <c r="A677" i="2"/>
  <c r="A676" i="2"/>
  <c r="A675" i="2"/>
  <c r="A674" i="2"/>
  <c r="A667" i="2"/>
  <c r="A666" i="2"/>
  <c r="A665" i="2"/>
  <c r="D663" i="2"/>
  <c r="A661" i="2"/>
  <c r="A660" i="2"/>
  <c r="A659" i="2"/>
  <c r="A658" i="2"/>
  <c r="A657" i="2"/>
  <c r="A656" i="2"/>
  <c r="A655" i="2"/>
  <c r="A654" i="2"/>
  <c r="A653" i="2"/>
  <c r="D652" i="2"/>
  <c r="A652" i="2"/>
  <c r="A650" i="2"/>
  <c r="A649" i="2"/>
  <c r="A648" i="2"/>
  <c r="A647" i="2"/>
  <c r="D646" i="2"/>
  <c r="A646" i="2"/>
  <c r="A645" i="2"/>
  <c r="A644" i="2"/>
  <c r="A641" i="2"/>
  <c r="A640" i="2"/>
  <c r="D639" i="2"/>
  <c r="A637" i="2"/>
  <c r="A636" i="2"/>
  <c r="A635" i="2"/>
  <c r="A634" i="2"/>
  <c r="A633" i="2"/>
  <c r="D630" i="2"/>
  <c r="A629" i="2"/>
  <c r="A628" i="2"/>
  <c r="A626" i="2"/>
  <c r="A625" i="2"/>
  <c r="A624" i="2"/>
  <c r="A623" i="2"/>
  <c r="A622" i="2"/>
  <c r="A621" i="2"/>
  <c r="A620" i="2"/>
  <c r="D619" i="2"/>
  <c r="A619" i="2"/>
  <c r="A617" i="2"/>
  <c r="D616" i="2"/>
  <c r="A615" i="2"/>
  <c r="A614" i="2"/>
  <c r="A613" i="2"/>
  <c r="D612" i="2"/>
  <c r="A612" i="2"/>
  <c r="D611" i="2"/>
  <c r="A611" i="2"/>
  <c r="A610" i="2"/>
  <c r="A609" i="2"/>
  <c r="D608" i="2"/>
  <c r="A608" i="2"/>
  <c r="A607" i="2"/>
  <c r="D606" i="2"/>
  <c r="A606" i="2"/>
  <c r="A605" i="2"/>
  <c r="A603" i="2"/>
  <c r="A601" i="2"/>
  <c r="D600" i="2"/>
  <c r="A600" i="2"/>
  <c r="A599" i="2"/>
  <c r="A598" i="2"/>
  <c r="D597" i="2"/>
  <c r="A597" i="2"/>
  <c r="A596" i="2"/>
  <c r="A595" i="2"/>
  <c r="A594" i="2"/>
  <c r="A582" i="2"/>
  <c r="A579" i="2"/>
  <c r="A577" i="2"/>
  <c r="A574" i="2"/>
  <c r="A557" i="2"/>
  <c r="A554" i="2"/>
  <c r="D552" i="2"/>
  <c r="A552" i="2"/>
  <c r="D551" i="2"/>
  <c r="D549" i="2"/>
  <c r="A549" i="2"/>
  <c r="A539" i="2"/>
  <c r="D533" i="2"/>
  <c r="A530" i="2"/>
  <c r="A528" i="2"/>
  <c r="A527" i="2"/>
  <c r="A525" i="2"/>
  <c r="A523" i="2"/>
  <c r="D522" i="2"/>
  <c r="D521" i="2"/>
  <c r="A516" i="2"/>
  <c r="D514" i="2"/>
  <c r="A513" i="2"/>
  <c r="D512" i="2"/>
  <c r="D509" i="2"/>
  <c r="A506" i="2"/>
  <c r="D505" i="2"/>
  <c r="D504" i="2"/>
  <c r="D502" i="2"/>
  <c r="A499" i="2"/>
  <c r="D496" i="2"/>
  <c r="A494" i="2"/>
  <c r="A493" i="2"/>
  <c r="A492" i="2"/>
  <c r="A491" i="2"/>
  <c r="D490" i="2"/>
  <c r="A487" i="2"/>
  <c r="A486" i="2"/>
  <c r="A485" i="2"/>
  <c r="A484" i="2"/>
  <c r="A483" i="2"/>
  <c r="A482" i="2"/>
  <c r="A481" i="2"/>
  <c r="A480" i="2"/>
  <c r="D479" i="2"/>
  <c r="A478" i="2"/>
  <c r="A477" i="2"/>
  <c r="A476" i="2"/>
  <c r="A475" i="2"/>
  <c r="A474" i="2"/>
  <c r="A472" i="2"/>
  <c r="A471" i="2"/>
  <c r="D470" i="2"/>
  <c r="A469" i="2"/>
  <c r="A468" i="2"/>
  <c r="D466" i="2"/>
  <c r="A466" i="2"/>
  <c r="D465" i="2"/>
  <c r="A465" i="2"/>
  <c r="A464" i="2"/>
  <c r="D463" i="2"/>
  <c r="D462" i="2"/>
  <c r="A462" i="2"/>
  <c r="A461" i="2"/>
  <c r="D459" i="2"/>
  <c r="A459" i="2"/>
  <c r="A458" i="2"/>
  <c r="A457" i="2"/>
  <c r="A455" i="2"/>
  <c r="A454" i="2"/>
  <c r="D453" i="2"/>
  <c r="A453" i="2"/>
  <c r="A452" i="2"/>
  <c r="A451" i="2"/>
  <c r="A450" i="2"/>
  <c r="A449" i="2"/>
  <c r="A448" i="2"/>
  <c r="A447" i="2"/>
  <c r="D446" i="2"/>
  <c r="A446" i="2"/>
  <c r="D445" i="2"/>
  <c r="A445" i="2"/>
  <c r="A444" i="2"/>
  <c r="A442" i="2"/>
  <c r="A441" i="2"/>
  <c r="A440" i="2"/>
  <c r="A438" i="2"/>
  <c r="A437" i="2"/>
  <c r="A436" i="2"/>
  <c r="D435" i="2"/>
  <c r="A434" i="2"/>
  <c r="A433" i="2"/>
  <c r="A432" i="2"/>
  <c r="A431" i="2"/>
  <c r="A430" i="2"/>
  <c r="D429" i="2"/>
  <c r="A429" i="2"/>
  <c r="D428" i="2"/>
  <c r="A427" i="2"/>
  <c r="D426" i="2"/>
  <c r="A426" i="2"/>
  <c r="A425" i="2"/>
  <c r="D424" i="2"/>
  <c r="A424" i="2"/>
  <c r="D423" i="2"/>
  <c r="A423" i="2"/>
  <c r="D422" i="2"/>
  <c r="A422" i="2"/>
  <c r="D421" i="2"/>
  <c r="D420" i="2"/>
  <c r="A420" i="2"/>
  <c r="A419" i="2"/>
  <c r="A418" i="2"/>
  <c r="D417" i="2"/>
  <c r="A417" i="2"/>
  <c r="A416" i="2"/>
  <c r="A415" i="2"/>
  <c r="A414" i="2"/>
  <c r="A413" i="2"/>
  <c r="D409" i="2"/>
  <c r="D408" i="2"/>
  <c r="D406" i="2"/>
  <c r="A405" i="2"/>
  <c r="D401" i="2"/>
  <c r="A389" i="2"/>
  <c r="D388" i="2"/>
  <c r="D386" i="2"/>
  <c r="A386" i="2"/>
  <c r="D376" i="2"/>
  <c r="A376" i="2"/>
  <c r="A375" i="2"/>
  <c r="A374" i="2"/>
  <c r="D371" i="2"/>
  <c r="A371" i="2"/>
  <c r="D369" i="2"/>
  <c r="A369" i="2"/>
  <c r="A356" i="2"/>
  <c r="A348" i="2"/>
  <c r="A344" i="2"/>
  <c r="A338" i="2"/>
  <c r="D337" i="2"/>
  <c r="A336" i="2"/>
  <c r="A335" i="2"/>
  <c r="A334" i="2"/>
  <c r="A333" i="2"/>
  <c r="A330" i="2"/>
  <c r="A329" i="2"/>
  <c r="A328" i="2"/>
  <c r="A318" i="2"/>
  <c r="A316" i="2"/>
  <c r="A315" i="2"/>
  <c r="A314" i="2"/>
  <c r="A313" i="2"/>
  <c r="D311" i="2"/>
  <c r="A309" i="2"/>
  <c r="D308" i="2"/>
  <c r="A306" i="2"/>
  <c r="A304" i="2"/>
  <c r="A302" i="2"/>
  <c r="A301" i="2"/>
  <c r="A300" i="2"/>
  <c r="D299" i="2"/>
  <c r="A299" i="2"/>
  <c r="A298" i="2"/>
  <c r="A296" i="2"/>
  <c r="A294" i="2"/>
  <c r="A288" i="2"/>
  <c r="A283" i="2"/>
  <c r="A282" i="2"/>
  <c r="A281" i="2"/>
  <c r="A280" i="2"/>
  <c r="A279" i="2"/>
  <c r="A278" i="2"/>
  <c r="D277" i="2"/>
  <c r="A277" i="2"/>
  <c r="A276" i="2"/>
  <c r="A275" i="2"/>
  <c r="D274" i="2"/>
  <c r="A273" i="2"/>
  <c r="A272" i="2"/>
  <c r="A271" i="2"/>
  <c r="A270" i="2"/>
  <c r="D269" i="2"/>
  <c r="A268" i="2"/>
  <c r="A267" i="2"/>
  <c r="D266" i="2"/>
  <c r="A266" i="2"/>
  <c r="A265" i="2"/>
  <c r="A264" i="2"/>
  <c r="A263" i="2"/>
  <c r="A262" i="2"/>
  <c r="A260" i="2"/>
  <c r="A259" i="2"/>
  <c r="A257" i="2"/>
  <c r="A256" i="2"/>
  <c r="D255" i="2"/>
  <c r="A254" i="2"/>
  <c r="A250" i="2"/>
  <c r="A245" i="2"/>
  <c r="A244" i="2"/>
  <c r="A241" i="2"/>
  <c r="A240" i="2"/>
  <c r="D238" i="2"/>
  <c r="A238" i="2"/>
  <c r="A236" i="2"/>
  <c r="A234" i="2"/>
  <c r="A233" i="2"/>
  <c r="A232" i="2"/>
  <c r="D230" i="2"/>
  <c r="A230" i="2"/>
  <c r="A229" i="2"/>
  <c r="A228" i="2"/>
  <c r="A227" i="2"/>
  <c r="A226" i="2"/>
  <c r="D224" i="2"/>
  <c r="A219" i="2"/>
  <c r="A216" i="2"/>
  <c r="D212" i="2"/>
  <c r="A210" i="2"/>
  <c r="D206" i="2"/>
  <c r="A202" i="2"/>
  <c r="A201" i="2"/>
  <c r="D199" i="2"/>
  <c r="D198" i="2"/>
  <c r="A197" i="2"/>
  <c r="A196" i="2"/>
  <c r="A194" i="2"/>
  <c r="A193" i="2"/>
  <c r="A191" i="2"/>
  <c r="A190" i="2"/>
  <c r="D189" i="2"/>
  <c r="D188" i="2"/>
  <c r="A187" i="2"/>
  <c r="A183" i="2"/>
  <c r="A182" i="2"/>
  <c r="A181" i="2"/>
  <c r="D179" i="2"/>
  <c r="A179" i="2"/>
  <c r="D178" i="2"/>
  <c r="A178" i="2"/>
  <c r="A176" i="2"/>
  <c r="D174" i="2"/>
  <c r="A174" i="2"/>
  <c r="D173" i="2"/>
  <c r="A172" i="2"/>
  <c r="A171" i="2"/>
  <c r="A170" i="2"/>
  <c r="A169" i="2"/>
  <c r="A168" i="2"/>
  <c r="A166" i="2"/>
  <c r="A165" i="2"/>
  <c r="A164" i="2"/>
  <c r="A163" i="2"/>
  <c r="A160" i="2"/>
  <c r="A159" i="2"/>
  <c r="A158" i="2"/>
  <c r="D157" i="2"/>
  <c r="A156" i="2"/>
  <c r="A155" i="2"/>
  <c r="A154" i="2"/>
  <c r="A153" i="2"/>
  <c r="A152" i="2"/>
  <c r="A150" i="2"/>
  <c r="A148" i="2"/>
  <c r="A145" i="2"/>
  <c r="A144" i="2"/>
  <c r="D143" i="2"/>
  <c r="D142" i="2"/>
  <c r="A141" i="2"/>
  <c r="A140" i="2"/>
  <c r="A139" i="2"/>
  <c r="A138" i="2"/>
  <c r="A137" i="2"/>
  <c r="A136" i="2"/>
  <c r="A135" i="2"/>
  <c r="A134" i="2"/>
  <c r="A130" i="2"/>
  <c r="D129" i="2"/>
  <c r="A128" i="2"/>
  <c r="A127" i="2"/>
  <c r="D126" i="2"/>
  <c r="D125" i="2"/>
  <c r="A125" i="2"/>
  <c r="D124" i="2"/>
  <c r="A124" i="2"/>
  <c r="A122" i="2"/>
  <c r="A119" i="2"/>
  <c r="A118" i="2"/>
  <c r="A116" i="2"/>
  <c r="A115" i="2"/>
  <c r="A114" i="2"/>
  <c r="A113" i="2"/>
  <c r="A112" i="2"/>
  <c r="A111" i="2"/>
  <c r="A110" i="2"/>
  <c r="A108" i="2"/>
  <c r="A106" i="2"/>
  <c r="A104" i="2"/>
  <c r="A103" i="2"/>
  <c r="A102" i="2"/>
  <c r="A101" i="2"/>
  <c r="D100" i="2"/>
  <c r="A99" i="2"/>
  <c r="A98" i="2"/>
  <c r="A97" i="2"/>
  <c r="D96" i="2"/>
  <c r="A95" i="2"/>
  <c r="A94" i="2"/>
  <c r="D93" i="2"/>
  <c r="A93" i="2"/>
  <c r="D92" i="2"/>
  <c r="A91" i="2"/>
  <c r="A90" i="2"/>
  <c r="D88" i="2"/>
  <c r="A86" i="2"/>
  <c r="A85" i="2"/>
  <c r="D83" i="2"/>
  <c r="A83" i="2"/>
  <c r="A82" i="2"/>
  <c r="A81" i="2"/>
  <c r="D80" i="2"/>
  <c r="A80" i="2"/>
  <c r="D79" i="2"/>
  <c r="A79" i="2"/>
  <c r="D78" i="2"/>
  <c r="A78" i="2"/>
  <c r="A77" i="2"/>
  <c r="A76" i="2"/>
  <c r="D75" i="2"/>
  <c r="A75" i="2"/>
  <c r="A74" i="2"/>
  <c r="A72" i="2"/>
  <c r="A68" i="2"/>
  <c r="A67" i="2"/>
  <c r="A66" i="2"/>
  <c r="D65" i="2"/>
  <c r="D64" i="2"/>
  <c r="A64" i="2"/>
  <c r="A63" i="2"/>
  <c r="D62" i="2"/>
  <c r="A62" i="2"/>
  <c r="A61" i="2"/>
  <c r="D60" i="2"/>
  <c r="A60" i="2"/>
  <c r="A59" i="2"/>
  <c r="D58" i="2"/>
  <c r="A58" i="2"/>
  <c r="D57" i="2"/>
  <c r="A56" i="2"/>
  <c r="A55" i="2"/>
  <c r="A54" i="2"/>
  <c r="A53" i="2"/>
  <c r="A51" i="2"/>
  <c r="A50" i="2"/>
  <c r="D49" i="2"/>
  <c r="A49" i="2"/>
  <c r="D48" i="2"/>
  <c r="A48" i="2"/>
  <c r="A47" i="2"/>
  <c r="D46" i="2"/>
  <c r="A46" i="2"/>
  <c r="D45" i="2"/>
  <c r="A45" i="2"/>
  <c r="D44" i="2"/>
  <c r="A44" i="2"/>
  <c r="A43" i="2"/>
  <c r="A42" i="2"/>
  <c r="A41" i="2"/>
  <c r="A40" i="2"/>
  <c r="A37" i="2"/>
  <c r="A36" i="2"/>
  <c r="A35" i="2"/>
  <c r="A32" i="2"/>
  <c r="A31" i="2"/>
  <c r="D30" i="2"/>
  <c r="A30" i="2"/>
  <c r="A29" i="2"/>
  <c r="A28" i="2"/>
  <c r="A27" i="2"/>
  <c r="A26" i="2"/>
  <c r="A25" i="2"/>
  <c r="A24" i="2"/>
  <c r="A23" i="2"/>
  <c r="A20" i="2"/>
  <c r="A18" i="2"/>
  <c r="A15" i="2"/>
  <c r="A14" i="2"/>
  <c r="A12" i="2"/>
  <c r="A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100-000001000000}">
      <text>
        <r>
          <rPr>
            <sz val="10"/>
            <color rgb="FF000000"/>
            <rFont val="Arial"/>
            <scheme val="minor"/>
          </rPr>
          <t>Using python, I found 136 deadlink here. I should fix soon.</t>
        </r>
      </text>
    </comment>
    <comment ref="A597" authorId="0" shapeId="0" xr:uid="{00000000-0006-0000-0100-000002000000}">
      <text>
        <r>
          <rPr>
            <sz val="10"/>
            <color rgb="FF000000"/>
            <rFont val="Arial"/>
            <scheme val="minor"/>
          </rPr>
          <t>Read correct text from: https://szkopul.edu.pl/problemset/problem/7JrCYZ7LhEK4nBR5zbAXpcmM/site/?key=statement</t>
        </r>
      </text>
    </comment>
    <comment ref="A875" authorId="0" shapeId="0" xr:uid="{00000000-0006-0000-0100-000003000000}">
      <text>
        <r>
          <rPr>
            <sz val="10"/>
            <color rgb="FF000000"/>
            <rFont val="Arial"/>
            <scheme val="minor"/>
          </rPr>
          <t>Read problem caefully</t>
        </r>
      </text>
    </comment>
    <comment ref="A1060" authorId="0" shapeId="0" xr:uid="{00000000-0006-0000-0100-000004000000}">
      <text>
        <r>
          <rPr>
            <sz val="10"/>
            <color rgb="FF000000"/>
            <rFont val="Arial"/>
            <scheme val="minor"/>
          </rPr>
          <t>Josephus problem</t>
        </r>
      </text>
    </comment>
    <comment ref="A2368" authorId="0" shapeId="0" xr:uid="{00000000-0006-0000-0100-000005000000}">
      <text>
        <r>
          <rPr>
            <sz val="10"/>
            <color rgb="FF000000"/>
            <rFont val="Arial"/>
            <scheme val="minor"/>
          </rPr>
          <t>There are collinear points</t>
        </r>
      </text>
    </comment>
    <comment ref="D2740" authorId="0" shapeId="0" xr:uid="{00000000-0006-0000-0100-000006000000}">
      <text>
        <r>
          <rPr>
            <sz val="10"/>
            <color rgb="FF000000"/>
            <rFont val="Arial"/>
            <scheme val="minor"/>
          </rPr>
          <t>Also https://codeforces.com/blog/entry/2775</t>
        </r>
      </text>
    </comment>
    <comment ref="A3501" authorId="0" shapeId="0" xr:uid="{00000000-0006-0000-0100-000007000000}">
      <text>
        <r>
          <rPr>
            <sz val="10"/>
            <color rgb="FF000000"/>
            <rFont val="Arial"/>
            <scheme val="minor"/>
          </rPr>
          <t>FIRST read about De Bruijn
https://en.wikipedia.org/wiki/De_Bruijn_sequence
https://en.wikipedia.org/wiki/De_Bruijn_graph</t>
        </r>
      </text>
    </comment>
    <comment ref="A3807" authorId="0" shapeId="0" xr:uid="{00000000-0006-0000-0100-000008000000}">
      <text>
        <r>
          <rPr>
            <sz val="10"/>
            <color rgb="FF000000"/>
            <rFont val="Arial"/>
            <scheme val="minor"/>
          </rPr>
          <t>Read statement carefully</t>
        </r>
      </text>
    </comment>
    <comment ref="A3814" authorId="0" shapeId="0" xr:uid="{00000000-0006-0000-0100-000009000000}">
      <text>
        <r>
          <rPr>
            <sz val="10"/>
            <color rgb="FF000000"/>
            <rFont val="Arial"/>
            <scheme val="minor"/>
          </rPr>
          <t>Read text carefully</t>
        </r>
      </text>
    </comment>
    <comment ref="D4376" authorId="0" shapeId="0" xr:uid="{00000000-0006-0000-0100-00000A000000}">
      <text>
        <r>
          <rPr>
            <sz val="10"/>
            <color rgb="FF000000"/>
            <rFont val="Arial"/>
            <scheme val="minor"/>
          </rPr>
          <t>By FloyGun
you have to learn stars and bars method (Or boxes and balls)
We have c boxes and n balls
We have to put balls into boxes
Say we have a robot that does it
His robotic hand is above box 1
He has 2 types of commands:
Put a ball inside of a current box
Move the hand to the next box
In his program there are exactly n commands 1 and c-1 commands 2. We can organize them into "programs" where those commands go in particular order. Of course, order matters, you can try and check that.
Each combination of all commands represents the unique way to distribute balls -&gt; unique way to distribute value n as a sum of c numbers
And the general number of programs is n + c - 1
The number of commands of type 2 is c - 1
So the number of ways is C(n+c-1,c-1)
Also you can see we solved it for exactly n balls
But what if the number of balls is &lt;= n?
It's not much harder: you should just add a c+1st box where you'll put all the balls that won't be in your array
So now there is a one more command of type 2
And the answer is C(n+c,c)
-1 is because we can't count a wall with 0 bricks
I'd suggest you finding this method in Antti Laaksonnen book where it's described well</t>
        </r>
      </text>
    </comment>
    <comment ref="A4770" authorId="0" shapeId="0" xr:uid="{00000000-0006-0000-0100-00000B000000}">
      <text>
        <r>
          <rPr>
            <sz val="10"/>
            <color rgb="FF000000"/>
            <rFont val="Arial"/>
            <scheme val="minor"/>
          </rPr>
          <t>Google first Goldbach's conjecture</t>
        </r>
      </text>
    </comment>
    <comment ref="A4905" authorId="0" shapeId="0" xr:uid="{00000000-0006-0000-0100-00000C000000}">
      <text>
        <r>
          <rPr>
            <sz val="10"/>
            <color rgb="FF000000"/>
            <rFont val="Arial"/>
            <scheme val="minor"/>
          </rPr>
          <t>Also available at https://codeforces.com/gym/100085/attachments</t>
        </r>
      </text>
    </comment>
    <comment ref="A5560" authorId="0" shapeId="0" xr:uid="{00000000-0006-0000-0100-00000D000000}">
      <text>
        <r>
          <rPr>
            <sz val="10"/>
            <color rgb="FF000000"/>
            <rFont val="Arial"/>
            <scheme val="minor"/>
          </rPr>
          <t>From a trainee: txt clarification: In this problem FJ can actually REARRANGE the plots and then groups them. * I misunderstood the statement by the word 'successive'</t>
        </r>
      </text>
    </comment>
    <comment ref="A5623" authorId="0" shapeId="0" xr:uid="{00000000-0006-0000-0100-00000E000000}">
      <text>
        <r>
          <rPr>
            <sz val="10"/>
            <color rgb="FF000000"/>
            <rFont val="Arial"/>
            <scheme val="minor"/>
          </rPr>
          <t>i guess u won't be able to submit</t>
        </r>
      </text>
    </comment>
    <comment ref="A5709" authorId="0" shapeId="0" xr:uid="{00000000-0006-0000-0100-00000F000000}">
      <text>
        <r>
          <rPr>
            <sz val="10"/>
            <color rgb="FF000000"/>
            <rFont val="Arial"/>
            <scheme val="minor"/>
          </rPr>
          <t xml:space="preserve">There are n balls and m baskets. There are e relationships such that ball u can be put into basket v. We can put at most 3 balls in each basket. And we want to put every ball into baskets. We want to maximize the number of baskets with at most 1 ball.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422" authorId="0" shapeId="0" xr:uid="{00000000-0006-0000-0200-000001000000}">
      <text>
        <r>
          <rPr>
            <sz val="10"/>
            <color rgb="FF000000"/>
            <rFont val="Arial"/>
            <scheme val="minor"/>
          </rPr>
          <t xml:space="preserve">There are n balls and m baskets. There are e relationships such that ball u can be put into basket v. We can put at most 3 balls in each basket. And we want to put every ball into baskets. We want to maximize the number of baskets with at most 1 ball. </t>
        </r>
      </text>
    </comment>
    <comment ref="D626" authorId="0" shapeId="0" xr:uid="{00000000-0006-0000-0200-000002000000}">
      <text>
        <r>
          <rPr>
            <sz val="10"/>
            <color rgb="FF000000"/>
            <rFont val="Arial"/>
            <scheme val="minor"/>
          </rPr>
          <t>Also https://codeforces.com/blog/entry/2775</t>
        </r>
      </text>
    </comment>
    <comment ref="A715" authorId="0" shapeId="0" xr:uid="{00000000-0006-0000-0200-000003000000}">
      <text>
        <r>
          <rPr>
            <sz val="10"/>
            <color rgb="FF000000"/>
            <rFont val="Arial"/>
            <scheme val="minor"/>
          </rPr>
          <t>Read correct text from: https://szkopul.edu.pl/problemset/problem/7JrCYZ7LhEK4nBR5zbAXpcmM/site/?key=statement</t>
        </r>
      </text>
    </comment>
    <comment ref="A1186" authorId="0" shapeId="0" xr:uid="{00000000-0006-0000-0200-000004000000}">
      <text>
        <r>
          <rPr>
            <sz val="10"/>
            <color rgb="FF000000"/>
            <rFont val="Arial"/>
            <scheme val="minor"/>
          </rPr>
          <t>There are collinear points</t>
        </r>
      </text>
    </comment>
    <comment ref="A1478" authorId="0" shapeId="0" xr:uid="{00000000-0006-0000-0200-000005000000}">
      <text>
        <r>
          <rPr>
            <sz val="10"/>
            <color rgb="FF000000"/>
            <rFont val="Arial"/>
            <scheme val="minor"/>
          </rPr>
          <t>Read problem caefully</t>
        </r>
      </text>
    </comment>
    <comment ref="A1482" authorId="0" shapeId="0" xr:uid="{00000000-0006-0000-0200-000006000000}">
      <text>
        <r>
          <rPr>
            <sz val="10"/>
            <color rgb="FF000000"/>
            <rFont val="Arial"/>
            <scheme val="minor"/>
          </rPr>
          <t>i guess u won't be able to submit</t>
        </r>
      </text>
    </comment>
    <comment ref="A1814" authorId="0" shapeId="0" xr:uid="{00000000-0006-0000-0200-000007000000}">
      <text>
        <r>
          <rPr>
            <sz val="10"/>
            <color rgb="FF000000"/>
            <rFont val="Arial"/>
            <scheme val="minor"/>
          </rPr>
          <t>Also available at https://codeforces.com/gym/100085/attachments</t>
        </r>
      </text>
    </comment>
    <comment ref="A1860" authorId="0" shapeId="0" xr:uid="{00000000-0006-0000-0200-000008000000}">
      <text>
        <r>
          <rPr>
            <sz val="10"/>
            <color rgb="FF000000"/>
            <rFont val="Arial"/>
            <scheme val="minor"/>
          </rPr>
          <t>Read statement carefully</t>
        </r>
      </text>
    </comment>
    <comment ref="A2035" authorId="0" shapeId="0" xr:uid="{00000000-0006-0000-0200-000009000000}">
      <text>
        <r>
          <rPr>
            <sz val="10"/>
            <color rgb="FF000000"/>
            <rFont val="Arial"/>
            <scheme val="minor"/>
          </rPr>
          <t>FIRST read about De Bruijn
https://en.wikipedia.org/wiki/De_Bruijn_sequence
https://en.wikipedia.org/wiki/De_Bruijn_graph</t>
        </r>
      </text>
    </comment>
    <comment ref="A2160" authorId="0" shapeId="0" xr:uid="{00000000-0006-0000-0200-00000A000000}">
      <text>
        <r>
          <rPr>
            <sz val="10"/>
            <color rgb="FF000000"/>
            <rFont val="Arial"/>
            <scheme val="minor"/>
          </rPr>
          <t>From a trainee: txt clarification: In this problem FJ can actually REARRANGE the plots and then groups them. * I misunderstood the statement by the word 'successive'</t>
        </r>
      </text>
    </comment>
    <comment ref="D2298" authorId="0" shapeId="0" xr:uid="{00000000-0006-0000-0200-00000B000000}">
      <text>
        <r>
          <rPr>
            <sz val="10"/>
            <color rgb="FF000000"/>
            <rFont val="Arial"/>
            <scheme val="minor"/>
          </rPr>
          <t>By FloyGun
you have to learn stars and bars method (Or boxes and balls)
We have c boxes and n balls
We have to put balls into boxes
Say we have a robot that does it
His robotic hand is above box 1
He has 2 types of commands:
Put a ball inside of a current box
Move the hand to the next box
In his program there are exactly n commands 1 and c-1 commands 2. We can organize them into "programs" where those commands go in particular order. Of course, order matters, you can try and check that.
Each combination of all commands represents the unique way to distribute balls -&gt; unique way to distribute value n as a sum of c numbers
And the general number of programs is n + c - 1
The number of commands of type 2 is c - 1
So the number of ways is C(n+c-1,c-1)
Also you can see we solved it for exactly n balls
But what if the number of balls is &lt;= n?
It's not much harder: you should just add a c+1st box where you'll put all the balls that won't be in your array
So now there is a one more command of type 2
And the answer is C(n+c,c)
-1 is because we can't count a wall with 0 bricks
I'd suggest you finding this method in Antti Laaksonnen book where it's described well</t>
        </r>
      </text>
    </comment>
    <comment ref="A2946" authorId="0" shapeId="0" xr:uid="{00000000-0006-0000-0200-00000C000000}">
      <text>
        <r>
          <rPr>
            <sz val="10"/>
            <color rgb="FF000000"/>
            <rFont val="Arial"/>
            <scheme val="minor"/>
          </rPr>
          <t>Josephus problem</t>
        </r>
      </text>
    </comment>
    <comment ref="A3521" authorId="0" shapeId="0" xr:uid="{00000000-0006-0000-0200-00000D000000}">
      <text>
        <r>
          <rPr>
            <sz val="10"/>
            <color rgb="FF000000"/>
            <rFont val="Arial"/>
            <scheme val="minor"/>
          </rPr>
          <t>Read text carefully</t>
        </r>
      </text>
    </comment>
    <comment ref="A4676" authorId="0" shapeId="0" xr:uid="{00000000-0006-0000-0200-00000E000000}">
      <text>
        <r>
          <rPr>
            <sz val="10"/>
            <color rgb="FF000000"/>
            <rFont val="Arial"/>
            <scheme val="minor"/>
          </rPr>
          <t>Google first Goldbach's conjecture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38" authorId="0" shapeId="0" xr:uid="{00000000-0006-0000-0300-000001000000}">
      <text>
        <r>
          <rPr>
            <sz val="10"/>
            <color rgb="FF000000"/>
            <rFont val="Arial"/>
            <scheme val="minor"/>
          </rPr>
          <t>Another OJ https://www.acmicpc.net/problem/5496</t>
        </r>
      </text>
    </comment>
    <comment ref="A41" authorId="0" shapeId="0" xr:uid="{00000000-0006-0000-0300-000002000000}">
      <text>
        <r>
          <rPr>
            <sz val="10"/>
            <color rgb="FF000000"/>
            <rFont val="Arial"/>
            <scheme val="minor"/>
          </rPr>
          <t>Notice the given: device.h</t>
        </r>
      </text>
    </comment>
    <comment ref="A42" authorId="0" shapeId="0" xr:uid="{00000000-0006-0000-0300-000003000000}">
      <text>
        <r>
          <rPr>
            <sz val="10"/>
            <color rgb="FF000000"/>
            <rFont val="Arial"/>
            <scheme val="minor"/>
          </rPr>
          <t xml:space="preserve">WARNING. A lot of precision issues. You may try using EPS of 1e-9   and use long doubles. At least worked well in 1 solution. </t>
        </r>
      </text>
    </comment>
    <comment ref="A72" authorId="0" shapeId="0" xr:uid="{00000000-0006-0000-0300-000004000000}">
      <text>
        <r>
          <rPr>
            <sz val="10"/>
            <color rgb="FF000000"/>
            <rFont val="Arial"/>
            <scheme val="minor"/>
          </rPr>
          <t>English txt ceoi.inf.elte.hu/tasks-archive/</t>
        </r>
      </text>
    </comment>
    <comment ref="A89" authorId="0" shapeId="0" xr:uid="{00000000-0006-0000-0300-000005000000}">
      <text>
        <r>
          <rPr>
            <sz val="10"/>
            <color rgb="FF000000"/>
            <rFont val="Arial"/>
            <scheme val="minor"/>
          </rPr>
          <t>Google Translate should be ok</t>
        </r>
      </text>
    </comment>
    <comment ref="A266" authorId="0" shapeId="0" xr:uid="{00000000-0006-0000-0300-000006000000}">
      <text>
        <r>
          <rPr>
            <sz val="10"/>
            <color rgb="FF000000"/>
            <rFont val="Arial"/>
            <scheme val="minor"/>
          </rPr>
          <t>Given a n*n matrix with latin lowercase letters, find how many submatrices exist such that upper left and lower right corner letters are bigger
than all other letters</t>
        </r>
      </text>
    </comment>
    <comment ref="D269" authorId="0" shapeId="0" xr:uid="{00000000-0006-0000-0300-000007000000}">
      <text>
        <r>
          <rPr>
            <sz val="10"/>
            <color rgb="FF000000"/>
            <rFont val="Arial"/>
            <scheme val="minor"/>
          </rPr>
          <t>https://github.com/QuickSorting/CompetitiveProgramming/blob/master/Olympiad/USACO/USACO%2018mar-sortgold.cpp</t>
        </r>
      </text>
    </comment>
    <comment ref="A288" authorId="0" shapeId="0" xr:uid="{00000000-0006-0000-0300-000008000000}">
      <text>
        <r>
          <rPr>
            <sz val="10"/>
            <color rgb="FF000000"/>
            <rFont val="Arial"/>
            <scheme val="minor"/>
          </rPr>
          <t>Given a tree with n nodes and M queries of type S, find for each of the queries the jth longest path starting from Si.
j = the number of times S was already in input</t>
        </r>
      </text>
    </comment>
    <comment ref="A292" authorId="0" shapeId="0" xr:uid="{00000000-0006-0000-0300-000009000000}">
      <text>
        <r>
          <rPr>
            <sz val="10"/>
            <color rgb="FF000000"/>
            <rFont val="Arial"/>
            <scheme val="minor"/>
          </rPr>
          <t>Given a permutation of the first n natural numbers, perform the following algorithm: at step i, find the position of value i and put
all the elements left of i at the end of the array, while keeping the original order of the array and remove i from array. Output the sum of positions</t>
        </r>
      </text>
    </comment>
    <comment ref="A323" authorId="0" shapeId="0" xr:uid="{00000000-0006-0000-0300-00000A000000}">
      <text>
        <r>
          <rPr>
            <sz val="10"/>
            <color rgb="FF000000"/>
            <rFont val="Arial"/>
            <scheme val="minor"/>
          </rPr>
          <t>You could use this grader https://github.com/quangloc99/CompetitiveProgramming/tree/master/olympiad/CEOI/2016/icc-custom-grader</t>
        </r>
      </text>
    </comment>
    <comment ref="A331" authorId="0" shapeId="0" xr:uid="{00000000-0006-0000-0300-00000B000000}">
      <text>
        <r>
          <rPr>
            <sz val="10"/>
            <color rgb="FF000000"/>
            <rFont val="Arial"/>
            <scheme val="minor"/>
          </rPr>
          <t>Easier version: infoarena interact</t>
        </r>
      </text>
    </comment>
    <comment ref="A338" authorId="0" shapeId="0" xr:uid="{00000000-0006-0000-0300-00000C000000}">
      <text>
        <r>
          <rPr>
            <sz val="10"/>
            <color rgb="FF000000"/>
            <rFont val="Arial"/>
            <scheme val="minor"/>
          </rPr>
          <t>english txt: http://apio-olympiad.org/2008/apio-en.pdf</t>
        </r>
      </text>
    </comment>
    <comment ref="A400" authorId="0" shapeId="0" xr:uid="{00000000-0006-0000-0300-00000D000000}">
      <text>
        <r>
          <rPr>
            <sz val="10"/>
            <color rgb="FF000000"/>
            <rFont val="Arial"/>
            <scheme val="minor"/>
          </rPr>
          <t>You may solve CSA41-E first</t>
        </r>
      </text>
    </comment>
    <comment ref="A418" authorId="0" shapeId="0" xr:uid="{00000000-0006-0000-0300-00000E000000}">
      <text>
        <r>
          <rPr>
            <sz val="10"/>
            <color rgb="FF000000"/>
            <rFont val="Arial"/>
            <scheme val="minor"/>
          </rPr>
          <t>Given an array of N elements, initially empty and M queries of type a b c, add for each element i in range [a, b], c + (i - a)th
Fibonacci number modulo 666013 and print the array resulting</t>
        </r>
      </text>
    </comment>
    <comment ref="A424" authorId="0" shapeId="0" xr:uid="{00000000-0006-0000-0300-00000F000000}">
      <text>
        <r>
          <rPr>
            <sz val="10"/>
            <color rgb="FF000000"/>
            <rFont val="Arial"/>
            <scheme val="minor"/>
          </rPr>
          <t>Similar to https://csacademy.com/contest/round-41/task/candles/</t>
        </r>
      </text>
    </comment>
    <comment ref="A429" authorId="0" shapeId="0" xr:uid="{00000000-0006-0000-0300-000010000000}">
      <text>
        <r>
          <rPr>
            <sz val="10"/>
            <color rgb="FF000000"/>
            <rFont val="Arial"/>
            <scheme val="minor"/>
          </rPr>
          <t>Google translate should work well</t>
        </r>
      </text>
    </comment>
    <comment ref="A451" authorId="0" shapeId="0" xr:uid="{00000000-0006-0000-0300-000011000000}">
      <text>
        <r>
          <rPr>
            <sz val="10"/>
            <color rgb="FF000000"/>
            <rFont val="Arial"/>
            <scheme val="minor"/>
          </rPr>
          <t>Use google translate
NOTE:  "\n" in end of file is required for AC</t>
        </r>
      </text>
    </comment>
    <comment ref="A479" authorId="0" shapeId="0" xr:uid="{00000000-0006-0000-0300-000012000000}">
      <text>
        <r>
          <rPr>
            <sz val="10"/>
            <color rgb="FF000000"/>
            <rFont val="Arial"/>
            <scheme val="minor"/>
          </rPr>
          <t xml:space="preserve">You are given a 3d grid where some spaces are full of stone ('N') and some are full of air ('P')
You need to find a cuboid that is completely made up of stone, has two sides of equal length, and has the maximum value of 4*a*b, where a and b are the two different length values among the sides.
Print that maximum value of 4*a*b.
</t>
        </r>
      </text>
    </comment>
    <comment ref="A496" authorId="0" shapeId="0" xr:uid="{00000000-0006-0000-0300-000013000000}">
      <text>
        <r>
          <rPr>
            <sz val="10"/>
            <color rgb="FF000000"/>
            <rFont val="Arial"/>
            <scheme val="minor"/>
          </rPr>
          <t>Given the graph described in the statement, find how many pairs (a, b) exist such that we can get from (0, a) to (F-1, b)</t>
        </r>
      </text>
    </comment>
    <comment ref="A499" authorId="0" shapeId="0" xr:uid="{00000000-0006-0000-0300-000014000000}">
      <text>
        <r>
          <rPr>
            <sz val="10"/>
            <color rgb="FF000000"/>
            <rFont val="Arial"/>
            <scheme val="minor"/>
          </rPr>
          <t>Find the number of n*n binary matrices such that each line has two ones, each column has two ones and there are no
four ones such that they form a rectangle</t>
        </r>
      </text>
    </comment>
    <comment ref="A507" authorId="0" shapeId="0" xr:uid="{00000000-0006-0000-0300-000015000000}">
      <text>
        <r>
          <rPr>
            <sz val="10"/>
            <color rgb="FF000000"/>
            <rFont val="Arial"/>
            <scheme val="minor"/>
          </rPr>
          <t xml:space="preserve">find sum of all numbers x with n digits such that x doesn't have 0, x mod k = 0 and reverse(x) mod k = 0
</t>
        </r>
      </text>
    </comment>
    <comment ref="A524" authorId="0" shapeId="0" xr:uid="{00000000-0006-0000-0300-000016000000}">
      <text>
        <r>
          <rPr>
            <sz val="10"/>
            <color rgb="FF000000"/>
            <rFont val="Arial"/>
            <scheme val="minor"/>
          </rPr>
          <t>problem description : 
 given an array A of N integers. Find how many pairs of indices (i ,j) such that i &lt;= j and the number 
 of different bits in A[i] and A[j] binary representations is exactly equal to 4. (1 &lt;= N &lt;= 10^5 ,0 &lt;= A[i] &lt; 2^20)
sample case :
 N = 4 ,A = {15 ,0 ,10 ,5}
 pairs that differ by exactly 4 bits are (1 ,2) and (3 ,4) ,so answer = 2.</t>
        </r>
      </text>
    </comment>
    <comment ref="A525" authorId="0" shapeId="0" xr:uid="{00000000-0006-0000-0300-000017000000}">
      <text>
        <r>
          <rPr>
            <sz val="10"/>
            <color rgb="FF000000"/>
            <rFont val="Arial"/>
            <scheme val="minor"/>
          </rPr>
          <t>use google translator</t>
        </r>
      </text>
    </comment>
    <comment ref="A536" authorId="0" shapeId="0" xr:uid="{00000000-0006-0000-0300-000018000000}">
      <text>
        <r>
          <rPr>
            <sz val="10"/>
            <color rgb="FF000000"/>
            <rFont val="Arial"/>
            <scheme val="minor"/>
          </rPr>
          <t>Given n, s and an array a of n elements, find a subset of array a such that the sum of the elements in that subset is s and the OR
sum of the values in the array is as small as possible</t>
        </r>
      </text>
    </comment>
    <comment ref="A547" authorId="0" shapeId="0" xr:uid="{00000000-0006-0000-0300-000019000000}">
      <text>
        <r>
          <rPr>
            <sz val="10"/>
            <color rgb="FF000000"/>
            <rFont val="Arial"/>
            <scheme val="minor"/>
          </rPr>
          <t>Given n dwarfs, each one having a height and a length of hands, find the maximum number of dwarfs which can get out of a hole
with height D. A dwarf can get out of the hole if he can get to a height &gt;= D, using his hands, his height and possibly the heights of other
dwarfs</t>
        </r>
      </text>
    </comment>
    <comment ref="A548" authorId="0" shapeId="0" xr:uid="{00000000-0006-0000-0300-00001A000000}">
      <text>
        <r>
          <rPr>
            <sz val="10"/>
            <color rgb="FF000000"/>
            <rFont val="Arial"/>
            <scheme val="minor"/>
          </rPr>
          <t>read from console not file</t>
        </r>
      </text>
    </comment>
    <comment ref="A554" authorId="0" shapeId="0" xr:uid="{00000000-0006-0000-0300-00001B000000}">
      <text>
        <r>
          <rPr>
            <sz val="10"/>
            <color rgb="FF000000"/>
            <rFont val="Arial"/>
            <scheme val="minor"/>
          </rPr>
          <t>Given m*n grid, find how many ways to draw segments between points from consecutive lines
exist such that there are no intersecting segments, modulo 666013</t>
        </r>
      </text>
    </comment>
    <comment ref="A566" authorId="0" shapeId="0" xr:uid="{00000000-0006-0000-0300-00001C000000}">
      <text>
        <r>
          <rPr>
            <sz val="10"/>
            <color rgb="FF000000"/>
            <rFont val="Arial"/>
            <scheme val="minor"/>
          </rPr>
          <t>rephrasing: You need to select some elements and split the elements into two equal (by sum) parts. The sum of the left part should be minimum possible. The left part goes to casino and becomes two times greater.</t>
        </r>
      </text>
    </comment>
    <comment ref="A570" authorId="0" shapeId="0" xr:uid="{00000000-0006-0000-0300-00001D000000}">
      <text>
        <r>
          <rPr>
            <sz val="10"/>
            <color rgb="FF000000"/>
            <rFont val="Arial"/>
            <scheme val="minor"/>
          </rPr>
          <t xml:space="preserve">Given 4 numbers h, n, m, p, find the minimal effort one has to do such that one climbs n stairs with total height h and distinct lengths
for climbing 1 stair, the effort is the height of the stair, but for more than 1 stair, the effort is the mean value of the heights climbed + p"
</t>
        </r>
      </text>
    </comment>
    <comment ref="A572" authorId="0" shapeId="0" xr:uid="{00000000-0006-0000-0300-00001E000000}">
      <text>
        <r>
          <rPr>
            <sz val="10"/>
            <color rgb="FF000000"/>
            <rFont val="Arial"/>
            <scheme val="minor"/>
          </rPr>
          <t>Given an array of n elements, split it in k continuous sequences such that the sum of the costs of each of the
sequences is minimal. Cost of a sequence = abs(S - sum of values of sequence), where S is given in input too</t>
        </r>
      </text>
    </comment>
    <comment ref="A583" authorId="0" shapeId="0" xr:uid="{00000000-0006-0000-0300-00001F000000}">
      <text>
        <r>
          <rPr>
            <sz val="10"/>
            <color rgb="FF000000"/>
            <rFont val="Arial"/>
            <scheme val="minor"/>
          </rPr>
          <t>From google translated statement you may think that the first player can take any cake he wants and the rule of taking a cake next to some already taken cake didnt apply. This is not the case</t>
        </r>
      </text>
    </comment>
    <comment ref="A741" authorId="0" shapeId="0" xr:uid="{00000000-0006-0000-0300-000020000000}">
      <text>
        <r>
          <rPr>
            <sz val="10"/>
            <color rgb="FF000000"/>
            <rFont val="Arial"/>
            <scheme val="minor"/>
          </rPr>
          <t>Use long double</t>
        </r>
      </text>
    </comment>
    <comment ref="A771" authorId="0" shapeId="0" xr:uid="{00000000-0006-0000-0300-000021000000}">
      <text>
        <r>
          <rPr>
            <sz val="10"/>
            <color rgb="FF000000"/>
            <rFont val="Arial"/>
            <scheme val="minor"/>
          </rPr>
          <t>Given a string of size 2 * n + 2, where n of the positions have "B"(a boy sits on that chair),
n of the positons have "F"(a girl sits on that chair) and the remaining 2 positions have "S"(they are adjacent),
nobody sits there, use moves of type (we move kids on positions k and k + 1 to the free places) so that the girls are
on the left side, the boys are on the right side and the 2 free places separate the rows of boys and girls.</t>
        </r>
      </text>
    </comment>
    <comment ref="A783" authorId="0" shapeId="0" xr:uid="{00000000-0006-0000-0300-000022000000}">
      <text>
        <r>
          <rPr>
            <sz val="10"/>
            <color rgb="FF000000"/>
            <rFont val="Arial"/>
            <scheme val="minor"/>
          </rPr>
          <t>Google translate is ok</t>
        </r>
      </text>
    </comment>
    <comment ref="A785" authorId="0" shapeId="0" xr:uid="{00000000-0006-0000-0300-000023000000}">
      <text>
        <r>
          <rPr>
            <sz val="10"/>
            <color rgb="FF000000"/>
            <rFont val="Arial"/>
            <scheme val="minor"/>
          </rPr>
          <t>Given a subway line with n stations, m people, (ai, bi) = ith people arrives at station ai at time bi and k trains,
find a way to schedule the trains such that the sum of the costs of each train is minimal. The cost of a train is the maximum
amount of time one of its passengers had to wait for it</t>
        </r>
      </text>
    </comment>
    <comment ref="A830" authorId="0" shapeId="0" xr:uid="{00000000-0006-0000-0300-000024000000}">
      <text>
        <r>
          <rPr>
            <sz val="10"/>
            <color rgb="FF000000"/>
            <rFont val="Arial"/>
            <scheme val="minor"/>
          </rPr>
          <t>[use cout/cin not printf/scanf]</t>
        </r>
      </text>
    </comment>
    <comment ref="A869" authorId="0" shapeId="0" xr:uid="{00000000-0006-0000-0300-000025000000}">
      <text>
        <r>
          <rPr>
            <sz val="10"/>
            <color rgb="FF000000"/>
            <rFont val="Arial"/>
            <scheme val="minor"/>
          </rPr>
          <t>Given n &lt;= 2e5 points and m &lt;= 1e5 circles, find for each of the circles how many points has inside or on the circle. The surfaces covered by any pair
of two circles don't have common points</t>
        </r>
      </text>
    </comment>
    <comment ref="A876" authorId="0" shapeId="0" xr:uid="{00000000-0006-0000-0300-000026000000}">
      <text>
        <r>
          <rPr>
            <sz val="10"/>
            <color rgb="FF000000"/>
            <rFont val="Arial"/>
            <scheme val="minor"/>
          </rPr>
          <t>correction:  constraints for n is actually 2e5</t>
        </r>
      </text>
    </comment>
    <comment ref="D928" authorId="0" shapeId="0" xr:uid="{00000000-0006-0000-0300-000027000000}">
      <text>
        <r>
          <rPr>
            <sz val="10"/>
            <color rgb="FF000000"/>
            <rFont val="Arial"/>
            <scheme val="minor"/>
          </rPr>
          <t>https://github.com/updown2/OI-Practice/blob/master/COCI/2009%20Holmes.cpp</t>
        </r>
      </text>
    </comment>
    <comment ref="A931" authorId="0" shapeId="0" xr:uid="{00000000-0006-0000-0300-000028000000}">
      <text>
        <r>
          <rPr>
            <sz val="10"/>
            <color rgb="FF000000"/>
            <rFont val="Arial"/>
            <scheme val="minor"/>
          </rPr>
          <t>Find out the number of simple undirected graphs having N vertices with the property that in each
connected component the number of vertices is equal to the number of edges. In addition, every cycle's length must be at least K.</t>
        </r>
      </text>
    </comment>
    <comment ref="A936" authorId="0" shapeId="0" xr:uid="{00000000-0006-0000-0300-000029000000}">
      <text>
        <r>
          <rPr>
            <sz val="10"/>
            <color rgb="FF000000"/>
            <rFont val="Arial"/>
            <scheme val="minor"/>
          </rPr>
          <t>Given a tree with n nodes, there are two clans and Q days. On ith day, the second clan conquers from the first clan city Qi and we need
to print after each day, the max distance between two nodes in each of the sets(one can pass enemy nodes, but can't start or stop the trip there)</t>
        </r>
      </text>
    </comment>
    <comment ref="A937" authorId="0" shapeId="0" xr:uid="{00000000-0006-0000-0300-00002A000000}">
      <text>
        <r>
          <rPr>
            <sz val="10"/>
            <color rgb="FF000000"/>
            <rFont val="Arial"/>
            <scheme val="minor"/>
          </rPr>
          <t>English txt https://ioinformatics.org/files/ioi2002problem5.pdf</t>
        </r>
      </text>
    </comment>
    <comment ref="A996" authorId="0" shapeId="0" xr:uid="{00000000-0006-0000-0300-00002B000000}">
      <text>
        <r>
          <rPr>
            <sz val="10"/>
            <color rgb="FF000000"/>
            <rFont val="Arial"/>
            <scheme val="minor"/>
          </rPr>
          <t>Given an undirected graph with n vertexes and m edges, estimate in how many days the given graph will become complete.
During a certain day, if there is no edge between nodes a and b but there is another node c such that there are
edges between a and c, respectively b and c, there will be created an edge between a and b.</t>
        </r>
      </text>
    </comment>
    <comment ref="A1000" authorId="0" shapeId="0" xr:uid="{00000000-0006-0000-0300-00002C000000}">
      <text>
        <r>
          <rPr>
            <sz val="10"/>
            <color rgb="FF000000"/>
            <rFont val="Arial"/>
            <scheme val="minor"/>
          </rPr>
          <t>Given a 2 * N binary matrix and a number K, find the minimal amount of time to get from (1, 1) to some square on the last
column, by either moving to the adjacent squares from the same column, or by moving with at most K squares away on the other column</t>
        </r>
      </text>
    </comment>
    <comment ref="A1016" authorId="0" shapeId="0" xr:uid="{00000000-0006-0000-0300-00002D000000}">
      <text>
        <r>
          <rPr>
            <sz val="10"/>
            <color rgb="FF000000"/>
            <rFont val="Arial"/>
            <scheme val="minor"/>
          </rPr>
          <t>English text: http://apio-olympiad.org/2011/apio2011-English.pdf</t>
        </r>
      </text>
    </comment>
    <comment ref="A1053" authorId="0" shapeId="0" xr:uid="{00000000-0006-0000-0300-00002E000000}">
      <text>
        <r>
          <rPr>
            <sz val="10"/>
            <color rgb="FF000000"/>
            <rFont val="Arial"/>
            <scheme val="minor"/>
          </rPr>
          <t xml:space="preserve">Can u AC on https://www.spoj.com/problems/SPATHS/ ?
English text: https://github.com/mostafa-saad/MyCompetitiveProgramming/blob/master/Olympiad/Balkan/official/2012/2012-statements.pdf
</t>
        </r>
      </text>
    </comment>
    <comment ref="A1091" authorId="0" shapeId="0" xr:uid="{00000000-0006-0000-0300-00002F000000}">
      <text>
        <r>
          <rPr>
            <sz val="10"/>
            <color rgb="FF000000"/>
            <rFont val="Arial"/>
            <scheme val="minor"/>
          </rPr>
          <t>Given an array. Find the length of a subarray that its contains every number from 1 to the maximum number in it.</t>
        </r>
      </text>
    </comment>
    <comment ref="A1102" authorId="0" shapeId="0" xr:uid="{00000000-0006-0000-0300-000030000000}">
      <text>
        <r>
          <rPr>
            <sz val="10"/>
            <color rgb="FF000000"/>
            <rFont val="Arial"/>
            <scheme val="minor"/>
          </rPr>
          <t>Given a n*n matrix, find for q pairs of points the max cost of a road between the points in pair</t>
        </r>
      </text>
    </comment>
    <comment ref="D1113" authorId="0" shapeId="0" xr:uid="{00000000-0006-0000-0300-000031000000}">
      <text>
        <r>
          <rPr>
            <sz val="10"/>
            <color rgb="FF000000"/>
            <rFont val="Arial"/>
            <scheme val="minor"/>
          </rPr>
          <t>https://github.com/sofhiasouza/CompetitiveProgramming/blob/master/POI/banks.cpp</t>
        </r>
      </text>
    </comment>
    <comment ref="A1143" authorId="0" shapeId="0" xr:uid="{00000000-0006-0000-0300-000032000000}">
      <text>
        <r>
          <rPr>
            <sz val="10"/>
            <color rgb="FF000000"/>
            <rFont val="Arial"/>
            <scheme val="minor"/>
          </rPr>
          <t>Problem was available on https://oj.uz/problem/view/IOI10_saveit (e.g. see old submissions), then server disabled it!
IO in case: https://ioi2010.org/CompetitionTask.shtml</t>
        </r>
      </text>
    </comment>
    <comment ref="A1147" authorId="0" shapeId="0" xr:uid="{00000000-0006-0000-0300-000033000000}">
      <text>
        <r>
          <rPr>
            <sz val="10"/>
            <color rgb="FF000000"/>
            <rFont val="Arial"/>
            <scheme val="minor"/>
          </rPr>
          <t>Given a simple undirected graph with N &lt;= 100,000 nodes and M &lt;= 200,000 edges, with each edge having cost 0 or 1, determine a spanning tree that has a cost of exactly K. It is guaranteed that a solution exists. If there are multiple solutions, output any one of them. Output: n-1 lines, with each line representing one edge of the spanning tree</t>
        </r>
      </text>
    </comment>
    <comment ref="A1156" authorId="0" shapeId="0" xr:uid="{00000000-0006-0000-0300-000034000000}">
      <text>
        <r>
          <rPr>
            <sz val="10"/>
            <color rgb="FF000000"/>
            <rFont val="Arial"/>
            <scheme val="minor"/>
          </rPr>
          <t>Given a directed graph with n vertexes and m edges, find the popular vertexes in the graph. A popular vertex i is a vertex such that
	for each other node, one can either get from i to that node or one can get from that node to i</t>
        </r>
      </text>
    </comment>
    <comment ref="A1161" authorId="0" shapeId="0" xr:uid="{00000000-0006-0000-0300-000035000000}">
      <text>
        <r>
          <rPr>
            <sz val="10"/>
            <color rgb="FF000000"/>
            <rFont val="Arial"/>
            <scheme val="minor"/>
          </rPr>
          <t>English txt http://ceoi.inf.elte.hu/probarch/11/trazad.pdf</t>
        </r>
      </text>
    </comment>
    <comment ref="A1179" authorId="0" shapeId="0" xr:uid="{00000000-0006-0000-0300-000036000000}">
      <text>
        <r>
          <rPr>
            <sz val="10"/>
            <color rgb="FF000000"/>
            <rFont val="Arial"/>
            <scheme val="minor"/>
          </rPr>
          <t>Given a DAG with n nodes and m edges, find the LCA for all pairs of distinct nodes</t>
        </r>
      </text>
    </comment>
    <comment ref="A1181" authorId="0" shapeId="0" xr:uid="{00000000-0006-0000-0300-000037000000}">
      <text>
        <r>
          <rPr>
            <sz val="10"/>
            <color rgb="FF000000"/>
            <rFont val="Arial"/>
            <scheme val="minor"/>
          </rPr>
          <t>Given a tree with n nodes, where each edge has a cost, and M queries of type (a, b), find for each of the given queries
a position from an edge from the tree, which is at distance b from node a</t>
        </r>
      </text>
    </comment>
    <comment ref="A1204" authorId="0" shapeId="0" xr:uid="{00000000-0006-0000-0300-000038000000}">
      <text>
        <r>
          <rPr>
            <sz val="10"/>
            <color rgb="FF000000"/>
            <rFont val="Arial"/>
            <scheme val="minor"/>
          </rPr>
          <t>read first https://en.wikipedia.org/wiki/Round-robin_tournament#Scheduling_algorithm</t>
        </r>
      </text>
    </comment>
    <comment ref="A1211" authorId="0" shapeId="0" xr:uid="{00000000-0006-0000-0300-000039000000}">
      <text>
        <r>
          <rPr>
            <sz val="10"/>
            <color rgb="FF000000"/>
            <rFont val="Arial"/>
            <scheme val="minor"/>
          </rPr>
          <t>Google translate should work well</t>
        </r>
      </text>
    </comment>
    <comment ref="A1216" authorId="0" shapeId="0" xr:uid="{00000000-0006-0000-0300-00003A000000}">
      <text>
        <r>
          <rPr>
            <sz val="10"/>
            <color rgb="FF000000"/>
            <rFont val="Arial"/>
            <scheme val="minor"/>
          </rPr>
          <t>English txt ceoi.inf.elte.hu/tasks-archive/</t>
        </r>
      </text>
    </comment>
    <comment ref="A1258" authorId="0" shapeId="0" xr:uid="{00000000-0006-0000-0300-00003B000000}">
      <text>
        <r>
          <rPr>
            <sz val="10"/>
            <color rgb="FF000000"/>
            <rFont val="Arial"/>
            <scheme val="minor"/>
          </rPr>
          <t>Given n and k, find how many permutations of the first n numbers have a period = k. A period of a permutation is the number of 
	times such that if we multiply the permutation by itself, we will get back to the starting permutation</t>
        </r>
      </text>
    </comment>
    <comment ref="A1262" authorId="0" shapeId="0" xr:uid="{00000000-0006-0000-0300-00003C000000}">
      <text>
        <r>
          <rPr>
            <sz val="10"/>
            <color rgb="FF000000"/>
            <rFont val="Arial"/>
            <scheme val="minor"/>
          </rPr>
          <t>Given a permutation of length n, sort it in at most 2n moves of type P x(prefix of length x is reversed) or S x(suffix of length x is reversed)</t>
        </r>
      </text>
    </comment>
    <comment ref="A1265" authorId="0" shapeId="0" xr:uid="{00000000-0006-0000-0300-00003D000000}">
      <text>
        <r>
          <rPr>
            <sz val="10"/>
            <color rgb="FF000000"/>
            <rFont val="Arial"/>
            <scheme val="minor"/>
          </rPr>
          <t xml:space="preserve">You're given a tree with weighted edges. Define f(S) for some subset of the nodes as follows:
- First, take the xor sum of the weights of the nodes in S. Let this result be X
- Next, take the node with least weight on the shortest path between the nodes in S. Let the weight be Y
- f(S) = X ^ Y
E.g. if we have 1 -- 2 -- 3, then f({1, 3}) = v[1] ^ v[3] ^ v[k] where v[k] = min(v[1], v[2], v[3])
Find the sum of f(S) for all subsets of the nodes, modulo 1e9+7 </t>
        </r>
      </text>
    </comment>
    <comment ref="A1266" authorId="0" shapeId="0" xr:uid="{00000000-0006-0000-0300-00003E000000}">
      <text>
        <r>
          <rPr>
            <sz val="10"/>
            <color rgb="FF000000"/>
            <rFont val="Arial"/>
            <scheme val="minor"/>
          </rPr>
          <t>wrong samples??</t>
        </r>
      </text>
    </comment>
    <comment ref="A1273" authorId="0" shapeId="0" xr:uid="{00000000-0006-0000-0300-00003F000000}">
      <text>
        <r>
          <rPr>
            <sz val="10"/>
            <color rgb="FF000000"/>
            <rFont val="Arial"/>
            <scheme val="minor"/>
          </rPr>
          <t>English txt ceoi.inf.elte.hu/tasks-archive/</t>
        </r>
      </text>
    </comment>
    <comment ref="A1275" authorId="0" shapeId="0" xr:uid="{00000000-0006-0000-0300-000040000000}">
      <text>
        <r>
          <rPr>
            <sz val="10"/>
            <color rgb="FF000000"/>
            <rFont val="Arial"/>
            <scheme val="minor"/>
          </rPr>
          <t>Given an array of n(n &lt;= 1e6, v[i] &lt;= 1e6) numbers and q(q &lt;= 1e6) queries, find for each query if we can remove at most 1 element such that gcd of the range is &gt; 1)</t>
        </r>
      </text>
    </comment>
    <comment ref="A1301" authorId="0" shapeId="0" xr:uid="{00000000-0006-0000-0300-000041000000}">
      <text>
        <r>
          <rPr>
            <sz val="10"/>
            <color rgb="FF000000"/>
            <rFont val="Arial"/>
            <scheme val="minor"/>
          </rPr>
          <t>Eng txt http://ceoi.inf.elte.hu/probarch/11/matzad.pdf</t>
        </r>
      </text>
    </comment>
    <comment ref="A1386" authorId="0" shapeId="0" xr:uid="{00000000-0006-0000-0300-000042000000}">
      <text>
        <r>
          <rPr>
            <sz val="10"/>
            <color rgb="FF000000"/>
            <rFont val="Arial"/>
            <scheme val="minor"/>
          </rPr>
          <t>Given a array of size n and 2 numbers p and q, find the number of subarrays from that array which have at least p and at most q
distinct elements</t>
        </r>
      </text>
    </comment>
    <comment ref="A1393" authorId="0" shapeId="0" xr:uid="{00000000-0006-0000-0300-000043000000}">
      <text>
        <r>
          <rPr>
            <sz val="10"/>
            <color rgb="FF000000"/>
            <rFont val="Arial"/>
            <scheme val="minor"/>
          </rPr>
          <t>English txt ceoi.inf.elte.hu/tasks-archive/</t>
        </r>
      </text>
    </comment>
    <comment ref="A1411" authorId="0" shapeId="0" xr:uid="{00000000-0006-0000-0300-000044000000}">
      <text>
        <r>
          <rPr>
            <sz val="10"/>
            <color rgb="FF000000"/>
            <rFont val="Arial"/>
            <scheme val="minor"/>
          </rPr>
          <t>official cases are weak (used on oz.uz). Please AC on dmoj.
Print new line in end of your code</t>
        </r>
      </text>
    </comment>
    <comment ref="A1441" authorId="0" shapeId="0" xr:uid="{00000000-0006-0000-0300-000045000000}">
      <text>
        <r>
          <rPr>
            <sz val="10"/>
            <color rgb="FF000000"/>
            <rFont val="Arial"/>
            <scheme val="minor"/>
          </rPr>
          <t>Given N points on 2D plane and M points on Ox axis, find for each of the M points
the farthest point among the N points. Distance between 2 points is square of their Euclidean
distance</t>
        </r>
      </text>
    </comment>
    <comment ref="A1442" authorId="0" shapeId="0" xr:uid="{00000000-0006-0000-0300-000046000000}">
      <text>
        <r>
          <rPr>
            <sz val="10"/>
            <color rgb="FF000000"/>
            <rFont val="Arial"/>
            <scheme val="minor"/>
          </rPr>
          <t>Try google translate</t>
        </r>
      </text>
    </comment>
    <comment ref="A1444" authorId="0" shapeId="0" xr:uid="{00000000-0006-0000-0300-000047000000}">
      <text>
        <r>
          <rPr>
            <sz val="10"/>
            <color rgb="FF000000"/>
            <rFont val="Arial"/>
            <scheme val="minor"/>
          </rPr>
          <t>bigger constraints than POI 11 rot problem. For editorials, see rot</t>
        </r>
      </text>
    </comment>
    <comment ref="A1461" authorId="0" shapeId="0" xr:uid="{00000000-0006-0000-0300-000048000000}">
      <text>
        <r>
          <rPr>
            <sz val="10"/>
            <color rgb="FF000000"/>
            <rFont val="Arial"/>
            <scheme val="minor"/>
          </rPr>
          <t>Given a tree with n nodes, rooted at 1, where all values of nodes are initially empty, and m queries where at each of the queries,
we either add a value q to the subtree rooted at node p, or we have to report whether it exists a node with a value z or not.</t>
        </r>
      </text>
    </comment>
    <comment ref="A1478" authorId="0" shapeId="0" xr:uid="{00000000-0006-0000-0300-000049000000}">
      <text>
        <r>
          <rPr>
            <sz val="10"/>
            <color rgb="FF000000"/>
            <rFont val="Arial"/>
            <scheme val="minor"/>
          </rPr>
          <t>Download test data from CONTEST #6</t>
        </r>
      </text>
    </comment>
    <comment ref="A1486" authorId="0" shapeId="0" xr:uid="{00000000-0006-0000-0300-00004A000000}">
      <text>
        <r>
          <rPr>
            <sz val="10"/>
            <color rgb="FF000000"/>
            <rFont val="Arial"/>
            <scheme val="minor"/>
          </rPr>
          <t>Given a tree with n nodes, color the tree nodes in black or white so that the number of (unordered) pairs of twin nodes is maximum.
Two nodes are twinned if and only if both are white and either are bound directly by an edge, or the single elemental chain of them contains
only black nodes.</t>
        </r>
      </text>
    </comment>
    <comment ref="A1487" authorId="0" shapeId="0" xr:uid="{00000000-0006-0000-0300-00004B000000}">
      <text>
        <r>
          <rPr>
            <sz val="10"/>
            <color rgb="FF000000"/>
            <rFont val="Arial"/>
            <scheme val="minor"/>
          </rPr>
          <t>Given a tree with n nodes, rooted at node 1, a number p and the time we need to visit each of the n towns, find the number of ways we can 
block edges in the tree such that the sum of the visiting times of the cities we can visit from node 1 is exactly p modulo 31333. Two ways differ if
there is some edge (a, b) which is blocked in the first way but not in the second way</t>
        </r>
      </text>
    </comment>
    <comment ref="A1493" authorId="0" shapeId="0" xr:uid="{00000000-0006-0000-0300-00004C000000}">
      <text>
        <r>
          <rPr>
            <sz val="10"/>
            <color rgb="FF000000"/>
            <rFont val="Arial"/>
            <scheme val="minor"/>
          </rPr>
          <t>Given a tree with n nodes, find for each edge the maximum length of the diameter of the tree we can obtain
if we move that edge such that the given graph will keep being a tree</t>
        </r>
      </text>
    </comment>
    <comment ref="A1499" authorId="0" shapeId="0" xr:uid="{00000000-0006-0000-0300-00004D000000}">
      <text>
        <r>
          <rPr>
            <sz val="10"/>
            <color rgb="FF000000"/>
            <rFont val="Arial"/>
            <scheme val="minor"/>
          </rPr>
          <t>Use google translate</t>
        </r>
      </text>
    </comment>
    <comment ref="A1508" authorId="0" shapeId="0" xr:uid="{00000000-0006-0000-0300-00004E000000}">
      <text>
        <r>
          <rPr>
            <sz val="10"/>
            <color rgb="FF000000"/>
            <rFont val="Arial"/>
            <scheme val="minor"/>
          </rPr>
          <t>Given n lists of strings, each of them having size k and each string has size p, and m queries, find for each query whether there
exists a list from the n lists with similarity grade equal to a certain value x</t>
        </r>
      </text>
    </comment>
    <comment ref="A1513" authorId="0" shapeId="0" xr:uid="{00000000-0006-0000-0300-00004F000000}">
      <text>
        <r>
          <rPr>
            <sz val="10"/>
            <color rgb="FF000000"/>
            <rFont val="Arial"/>
            <scheme val="minor"/>
          </rPr>
          <t>English text: http://apio-olympiad.org/2011/apio2011-English.pdf</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30" authorId="0" shapeId="0" xr:uid="{00000000-0006-0000-0400-000001000000}">
      <text>
        <r>
          <rPr>
            <sz val="10"/>
            <color rgb="FF000000"/>
            <rFont val="Arial"/>
            <scheme val="minor"/>
          </rPr>
          <t>English text: http://apio-olympiad.org/2011/apio2011-English.pdf</t>
        </r>
      </text>
    </comment>
    <comment ref="A50" authorId="0" shapeId="0" xr:uid="{00000000-0006-0000-0400-000002000000}">
      <text>
        <r>
          <rPr>
            <sz val="10"/>
            <color rgb="FF000000"/>
            <rFont val="Arial"/>
            <scheme val="minor"/>
          </rPr>
          <t>correction:  constraints for n is actually 2e5</t>
        </r>
      </text>
    </comment>
    <comment ref="A137" authorId="0" shapeId="0" xr:uid="{00000000-0006-0000-0400-000003000000}">
      <text>
        <r>
          <rPr>
            <sz val="10"/>
            <color rgb="FF000000"/>
            <rFont val="Arial"/>
            <scheme val="minor"/>
          </rPr>
          <t>Given n &lt;= 2e5 points and m &lt;= 1e5 circles, find for each of the circles how many points has inside or on the circle. The surfaces covered by any pair
of two circles don't have common points</t>
        </r>
      </text>
    </comment>
    <comment ref="A142" authorId="0" shapeId="0" xr:uid="{00000000-0006-0000-0400-000004000000}">
      <text>
        <r>
          <rPr>
            <sz val="10"/>
            <color rgb="FF000000"/>
            <rFont val="Arial"/>
            <scheme val="minor"/>
          </rPr>
          <t xml:space="preserve">You are given a 3d grid where some spaces are full of stone ('N') and some are full of air ('P')
You need to find a cuboid that is completely made up of stone, has two sides of equal length, and has the maximum value of 4*a*b, where a and b are the two different length values among the sides.
Print that maximum value of 4*a*b.
</t>
        </r>
      </text>
    </comment>
    <comment ref="A191" authorId="0" shapeId="0" xr:uid="{00000000-0006-0000-0400-000005000000}">
      <text>
        <r>
          <rPr>
            <sz val="10"/>
            <color rgb="FF000000"/>
            <rFont val="Arial"/>
            <scheme val="minor"/>
          </rPr>
          <t>English text: http://apio-olympiad.org/2011/apio2011-English.pdf</t>
        </r>
      </text>
    </comment>
    <comment ref="A192" authorId="0" shapeId="0" xr:uid="{00000000-0006-0000-0400-000006000000}">
      <text>
        <r>
          <rPr>
            <sz val="10"/>
            <color rgb="FF000000"/>
            <rFont val="Arial"/>
            <scheme val="minor"/>
          </rPr>
          <t xml:space="preserve">Can u AC on https://www.spoj.com/problems/SPATHS/ ?
English text: https://github.com/mostafa-saad/MyCompetitiveProgramming/blob/master/Olympiad/Balkan/official/2012/2012-statements.pdf
</t>
        </r>
      </text>
    </comment>
    <comment ref="A202" authorId="0" shapeId="0" xr:uid="{00000000-0006-0000-0400-000007000000}">
      <text>
        <r>
          <rPr>
            <sz val="10"/>
            <color rgb="FF000000"/>
            <rFont val="Arial"/>
            <scheme val="minor"/>
          </rPr>
          <t>Problem was available on https://oj.uz/problem/view/IOI10_saveit (e.g. see old submissions), then server disabled it!
IO in case: https://ioi2010.org/CompetitionTask.shtml</t>
        </r>
      </text>
    </comment>
    <comment ref="A217" authorId="0" shapeId="0" xr:uid="{00000000-0006-0000-0400-000008000000}">
      <text>
        <r>
          <rPr>
            <sz val="10"/>
            <color rgb="FF000000"/>
            <rFont val="Arial"/>
            <scheme val="minor"/>
          </rPr>
          <t xml:space="preserve">You're given a tree with weighted edges. Define f(S) for some subset of the nodes as follows:
- First, take the xor sum of the weights of the nodes in S. Let this result be X
- Next, take the node with least weight on the shortest path between the nodes in S. Let the weight be Y
- f(S) = X ^ Y
E.g. if we have 1 -- 2 -- 3, then f({1, 3}) = v[1] ^ v[3] ^ v[k] where v[k] = min(v[1], v[2], v[3])
Find the sum of f(S) for all subsets of the nodes, modulo 1e9+7 </t>
        </r>
      </text>
    </comment>
    <comment ref="A219" authorId="0" shapeId="0" xr:uid="{00000000-0006-0000-0400-000009000000}">
      <text>
        <r>
          <rPr>
            <sz val="10"/>
            <color rgb="FF000000"/>
            <rFont val="Arial"/>
            <scheme val="minor"/>
          </rPr>
          <t>You could use this grader https://github.com/quangloc99/CompetitiveProgramming/tree/master/olympiad/CEOI/2016/icc-custom-grader</t>
        </r>
      </text>
    </comment>
    <comment ref="D286" authorId="0" shapeId="0" xr:uid="{00000000-0006-0000-0400-00000A000000}">
      <text>
        <r>
          <rPr>
            <sz val="10"/>
            <color rgb="FF000000"/>
            <rFont val="Arial"/>
            <scheme val="minor"/>
          </rPr>
          <t>https://github.com/updown2/OI-Practice/blob/master/COCI/2009%20Holmes.cpp</t>
        </r>
      </text>
    </comment>
    <comment ref="A291" authorId="0" shapeId="0" xr:uid="{00000000-0006-0000-0400-00000B000000}">
      <text>
        <r>
          <rPr>
            <sz val="10"/>
            <color rgb="FF000000"/>
            <rFont val="Arial"/>
            <scheme val="minor"/>
          </rPr>
          <t>Given a directed graph with n vertexes and m edges, find the popular vertexes in the graph. A popular vertex i is a vertex such that
	for each other node, one can either get from i to that node or one can get from that node to i</t>
        </r>
      </text>
    </comment>
    <comment ref="A299" authorId="0" shapeId="0" xr:uid="{00000000-0006-0000-0400-00000C000000}">
      <text>
        <r>
          <rPr>
            <sz val="10"/>
            <color rgb="FF000000"/>
            <rFont val="Arial"/>
            <scheme val="minor"/>
          </rPr>
          <t>Use google translate
NOTE:  "\n" in end of file is required for AC</t>
        </r>
      </text>
    </comment>
    <comment ref="A312" authorId="0" shapeId="0" xr:uid="{00000000-0006-0000-0400-00000D000000}">
      <text>
        <r>
          <rPr>
            <sz val="10"/>
            <color rgb="FF000000"/>
            <rFont val="Arial"/>
            <scheme val="minor"/>
          </rPr>
          <t>Given a n*n matrix with latin lowercase letters, find how many submatrices exist such that upper left and lower right corner letters are bigger
than all other letters</t>
        </r>
      </text>
    </comment>
    <comment ref="A340" authorId="0" shapeId="0" xr:uid="{00000000-0006-0000-0400-00000E000000}">
      <text>
        <r>
          <rPr>
            <sz val="10"/>
            <color rgb="FF000000"/>
            <rFont val="Arial"/>
            <scheme val="minor"/>
          </rPr>
          <t>Given the graph described in the statement, find how many pairs (a, b) exist such that we can get from (0, a) to (F-1, b)</t>
        </r>
      </text>
    </comment>
    <comment ref="A343" authorId="0" shapeId="0" xr:uid="{00000000-0006-0000-0400-00000F000000}">
      <text>
        <r>
          <rPr>
            <sz val="10"/>
            <color rgb="FF000000"/>
            <rFont val="Arial"/>
            <scheme val="minor"/>
          </rPr>
          <t>Find the number of n*n binary matrices such that each line has two ones, each column has two ones and there are no
four ones such that they form a rectangle</t>
        </r>
      </text>
    </comment>
    <comment ref="A347" authorId="0" shapeId="0" xr:uid="{00000000-0006-0000-0400-000010000000}">
      <text>
        <r>
          <rPr>
            <sz val="10"/>
            <color rgb="FF000000"/>
            <rFont val="Arial"/>
            <scheme val="minor"/>
          </rPr>
          <t>Find out the number of simple undirected graphs having N vertices with the property that in each
connected component the number of vertices is equal to the number of edges. In addition, every cycle's length must be at least K.</t>
        </r>
      </text>
    </comment>
    <comment ref="A349" authorId="0" shapeId="0" xr:uid="{00000000-0006-0000-0400-000011000000}">
      <text>
        <r>
          <rPr>
            <sz val="10"/>
            <color rgb="FF000000"/>
            <rFont val="Arial"/>
            <scheme val="minor"/>
          </rPr>
          <t>Given an array. Find the length of a subarray that its contains every number from 1 to the maximum number in it.</t>
        </r>
      </text>
    </comment>
    <comment ref="A394" authorId="0" shapeId="0" xr:uid="{00000000-0006-0000-0400-000012000000}">
      <text>
        <r>
          <rPr>
            <sz val="10"/>
            <color rgb="FF000000"/>
            <rFont val="Arial"/>
            <scheme val="minor"/>
          </rPr>
          <t xml:space="preserve">find sum of all numbers x with n digits such that x doesn't have 0, x mod k = 0 and reverse(x) mod k = 0
</t>
        </r>
      </text>
    </comment>
    <comment ref="A398" authorId="0" shapeId="0" xr:uid="{00000000-0006-0000-0400-000013000000}">
      <text>
        <r>
          <rPr>
            <sz val="10"/>
            <color rgb="FF000000"/>
            <rFont val="Arial"/>
            <scheme val="minor"/>
          </rPr>
          <t>Given an array of n(n &lt;= 1e6, v[i] &lt;= 1e6) numbers and q(q &lt;= 1e6) queries, find for each query if we can remove at most 1 element such that gcd of the range is &gt; 1)</t>
        </r>
      </text>
    </comment>
    <comment ref="A400" authorId="0" shapeId="0" xr:uid="{00000000-0006-0000-0400-000014000000}">
      <text>
        <r>
          <rPr>
            <sz val="10"/>
            <color rgb="FF000000"/>
            <rFont val="Arial"/>
            <scheme val="minor"/>
          </rPr>
          <t>You may solve CSA41-E first</t>
        </r>
      </text>
    </comment>
    <comment ref="D417" authorId="0" shapeId="0" xr:uid="{00000000-0006-0000-0400-000015000000}">
      <text>
        <r>
          <rPr>
            <sz val="10"/>
            <color rgb="FF000000"/>
            <rFont val="Arial"/>
            <scheme val="minor"/>
          </rPr>
          <t>https://github.com/QuickSorting/CompetitiveProgramming/blob/master/Olympiad/USACO/USACO%2018mar-sortgold.cpp</t>
        </r>
      </text>
    </comment>
    <comment ref="A418" authorId="0" shapeId="0" xr:uid="{00000000-0006-0000-0400-000016000000}">
      <text>
        <r>
          <rPr>
            <sz val="10"/>
            <color rgb="FF000000"/>
            <rFont val="Arial"/>
            <scheme val="minor"/>
          </rPr>
          <t>Another OJ https://www.acmicpc.net/problem/5496</t>
        </r>
      </text>
    </comment>
    <comment ref="A428" authorId="0" shapeId="0" xr:uid="{00000000-0006-0000-0400-000017000000}">
      <text>
        <r>
          <rPr>
            <sz val="10"/>
            <color rgb="FF000000"/>
            <rFont val="Arial"/>
            <scheme val="minor"/>
          </rPr>
          <t>Notice the given: device.h</t>
        </r>
      </text>
    </comment>
    <comment ref="A429" authorId="0" shapeId="0" xr:uid="{00000000-0006-0000-0400-000018000000}">
      <text>
        <r>
          <rPr>
            <sz val="10"/>
            <color rgb="FF000000"/>
            <rFont val="Arial"/>
            <scheme val="minor"/>
          </rPr>
          <t xml:space="preserve">WARNING. A lot of precision issues. You may try using EPS of 1e-9   and use long doubles. At least worked well in 1 solution. </t>
        </r>
      </text>
    </comment>
    <comment ref="A435" authorId="0" shapeId="0" xr:uid="{00000000-0006-0000-0400-000019000000}">
      <text>
        <r>
          <rPr>
            <sz val="10"/>
            <color rgb="FF000000"/>
            <rFont val="Arial"/>
            <scheme val="minor"/>
          </rPr>
          <t>Given a tree with n nodes, color the tree nodes in black or white so that the number of (unordered) pairs of twin nodes is maximum.
Two nodes are twinned if and only if both are white and either are bound directly by an edge, or the single elemental chain of them contains
only black nodes.</t>
        </r>
      </text>
    </comment>
    <comment ref="A436" authorId="0" shapeId="0" xr:uid="{00000000-0006-0000-0400-00001A000000}">
      <text>
        <r>
          <rPr>
            <sz val="10"/>
            <color rgb="FF000000"/>
            <rFont val="Arial"/>
            <scheme val="minor"/>
          </rPr>
          <t>Given a tree with n nodes, rooted at node 1, a number p and the time we need to visit each of the n towns, find the number of ways we can 
block edges in the tree such that the sum of the visiting times of the cities we can visit from node 1 is exactly p modulo 31333. Two ways differ if
there is some edge (a, b) which is blocked in the first way but not in the second way</t>
        </r>
      </text>
    </comment>
    <comment ref="A455" authorId="0" shapeId="0" xr:uid="{00000000-0006-0000-0400-00001B000000}">
      <text>
        <r>
          <rPr>
            <sz val="10"/>
            <color rgb="FF000000"/>
            <rFont val="Arial"/>
            <scheme val="minor"/>
          </rPr>
          <t>Given a tree with n nodes, there are two clans and Q days. On ith day, the second clan conquers from the first clan city Qi and we need
to print after each day, the max distance between two nodes in each of the sets(one can pass enemy nodes, but can't start or stop the trip there)</t>
        </r>
      </text>
    </comment>
    <comment ref="A456" authorId="0" shapeId="0" xr:uid="{00000000-0006-0000-0400-00001C000000}">
      <text>
        <r>
          <rPr>
            <sz val="10"/>
            <color rgb="FF000000"/>
            <rFont val="Arial"/>
            <scheme val="minor"/>
          </rPr>
          <t>English txt https://ioinformatics.org/files/ioi2002problem5.pdf</t>
        </r>
      </text>
    </comment>
    <comment ref="A458" authorId="0" shapeId="0" xr:uid="{00000000-0006-0000-0400-00001D000000}">
      <text>
        <r>
          <rPr>
            <sz val="10"/>
            <color rgb="FF000000"/>
            <rFont val="Arial"/>
            <scheme val="minor"/>
          </rPr>
          <t>Given an undirected graph with n vertexes and m edges, estimate in how many days the given graph will become complete.
During a certain day, if there is no edge between nodes a and b but there is another node c such that there are
edges between a and c, respectively b and c, there will be created an edge between a and b.</t>
        </r>
      </text>
    </comment>
    <comment ref="A463" authorId="0" shapeId="0" xr:uid="{00000000-0006-0000-0400-00001E000000}">
      <text>
        <r>
          <rPr>
            <sz val="10"/>
            <color rgb="FF000000"/>
            <rFont val="Arial"/>
            <scheme val="minor"/>
          </rPr>
          <t>Given a DAG with n nodes and m edges, find the LCA for all pairs of distinct nodes</t>
        </r>
      </text>
    </comment>
    <comment ref="A547" authorId="0" shapeId="0" xr:uid="{00000000-0006-0000-0400-00001F000000}">
      <text>
        <r>
          <rPr>
            <sz val="10"/>
            <color rgb="FF000000"/>
            <rFont val="Arial"/>
            <scheme val="minor"/>
          </rPr>
          <t>Given a tree with n nodes, where each edge has a cost, and M queries of type (a, b), find for each of the given queries
a position from an edge from the tree, which is at distance b from node a</t>
        </r>
      </text>
    </comment>
    <comment ref="A550" authorId="0" shapeId="0" xr:uid="{00000000-0006-0000-0400-000020000000}">
      <text>
        <r>
          <rPr>
            <sz val="10"/>
            <color rgb="FF000000"/>
            <rFont val="Arial"/>
            <scheme val="minor"/>
          </rPr>
          <t>problem description : 
 given an array A of N integers. Find how many pairs of indices (i ,j) such that i &lt;= j and the number 
 of different bits in A[i] and A[j] binary representations is exactly equal to 4. (1 &lt;= N &lt;= 10^5 ,0 &lt;= A[i] &lt; 2^20)
sample case :
 N = 4 ,A = {15 ,0 ,10 ,5}
 pairs that differ by exactly 4 bits are (1 ,2) and (3 ,4) ,so answer = 2.</t>
        </r>
      </text>
    </comment>
    <comment ref="A554" authorId="0" shapeId="0" xr:uid="{00000000-0006-0000-0400-000021000000}">
      <text>
        <r>
          <rPr>
            <sz val="10"/>
            <color rgb="FF000000"/>
            <rFont val="Arial"/>
            <scheme val="minor"/>
          </rPr>
          <t>use google translator</t>
        </r>
      </text>
    </comment>
    <comment ref="A555" authorId="0" shapeId="0" xr:uid="{00000000-0006-0000-0400-000022000000}">
      <text>
        <r>
          <rPr>
            <sz val="10"/>
            <color rgb="FF000000"/>
            <rFont val="Arial"/>
            <scheme val="minor"/>
          </rPr>
          <t>Use long double</t>
        </r>
      </text>
    </comment>
    <comment ref="A588" authorId="0" shapeId="0" xr:uid="{00000000-0006-0000-0400-000023000000}">
      <text>
        <r>
          <rPr>
            <sz val="10"/>
            <color rgb="FF000000"/>
            <rFont val="Arial"/>
            <scheme val="minor"/>
          </rPr>
          <t>wrong samples??</t>
        </r>
      </text>
    </comment>
    <comment ref="A589" authorId="0" shapeId="0" xr:uid="{00000000-0006-0000-0400-000024000000}">
      <text>
        <r>
          <rPr>
            <sz val="10"/>
            <color rgb="FF000000"/>
            <rFont val="Arial"/>
            <scheme val="minor"/>
          </rPr>
          <t>Easier version: infoarena interact</t>
        </r>
      </text>
    </comment>
    <comment ref="A623" authorId="0" shapeId="0" xr:uid="{00000000-0006-0000-0400-000025000000}">
      <text>
        <r>
          <rPr>
            <sz val="10"/>
            <color rgb="FF000000"/>
            <rFont val="Arial"/>
            <scheme val="minor"/>
          </rPr>
          <t>Given n, s and an array a of n elements, find a subset of array a such that the sum of the elements in that subset is s and the OR
sum of the values in the array is as small as possible</t>
        </r>
      </text>
    </comment>
    <comment ref="A636" authorId="0" shapeId="0" xr:uid="{00000000-0006-0000-0400-000026000000}">
      <text>
        <r>
          <rPr>
            <sz val="10"/>
            <color rgb="FF000000"/>
            <rFont val="Arial"/>
            <scheme val="minor"/>
          </rPr>
          <t>Given a permutation of length n, sort it in at most 2n moves of type P x(prefix of length x is reversed) or S x(suffix of length x is reversed)</t>
        </r>
      </text>
    </comment>
    <comment ref="A649" authorId="0" shapeId="0" xr:uid="{00000000-0006-0000-0400-000027000000}">
      <text>
        <r>
          <rPr>
            <sz val="10"/>
            <color rgb="FF000000"/>
            <rFont val="Arial"/>
            <scheme val="minor"/>
          </rPr>
          <t>read first https://en.wikipedia.org/wiki/Round-robin_tournament#Scheduling_algorithm</t>
        </r>
      </text>
    </comment>
    <comment ref="A718" authorId="0" shapeId="0" xr:uid="{00000000-0006-0000-0400-000028000000}">
      <text>
        <r>
          <rPr>
            <sz val="10"/>
            <color rgb="FF000000"/>
            <rFont val="Arial"/>
            <scheme val="minor"/>
          </rPr>
          <t>Given an array of N elements, initially empty and M queries of type a b c, add for each element i in range [a, b], c + (i - a)th
Fibonacci number modulo 666013 and print the array resulting</t>
        </r>
      </text>
    </comment>
    <comment ref="A719" authorId="0" shapeId="0" xr:uid="{00000000-0006-0000-0400-000029000000}">
      <text>
        <r>
          <rPr>
            <sz val="10"/>
            <color rgb="FF000000"/>
            <rFont val="Arial"/>
            <scheme val="minor"/>
          </rPr>
          <t>Given a tree with n nodes, find for each edge the maximum length of the diameter of the tree we can obtain
if we move that edge such that the given graph will keep being a tree</t>
        </r>
      </text>
    </comment>
    <comment ref="A721" authorId="0" shapeId="0" xr:uid="{00000000-0006-0000-0400-00002A000000}">
      <text>
        <r>
          <rPr>
            <sz val="10"/>
            <color rgb="FF000000"/>
            <rFont val="Arial"/>
            <scheme val="minor"/>
          </rPr>
          <t>Given n lists of strings, each of them having size k and each string has size p, and m queries, find for each query whether there
exists a list from the n lists with similarity grade equal to a certain value x</t>
        </r>
      </text>
    </comment>
    <comment ref="A723" authorId="0" shapeId="0" xr:uid="{00000000-0006-0000-0400-00002B000000}">
      <text>
        <r>
          <rPr>
            <sz val="10"/>
            <color rgb="FF000000"/>
            <rFont val="Arial"/>
            <scheme val="minor"/>
          </rPr>
          <t>Given n dwarfs, each one having a height and a length of hands, find the maximum number of dwarfs which can get out of a hole
with height D. A dwarf can get out of the hole if he can get to a height &gt;= D, using his hands, his height and possibly the heights of other
dwarfs</t>
        </r>
      </text>
    </comment>
    <comment ref="A724" authorId="0" shapeId="0" xr:uid="{00000000-0006-0000-0400-00002C000000}">
      <text>
        <r>
          <rPr>
            <sz val="10"/>
            <color rgb="FF000000"/>
            <rFont val="Arial"/>
            <scheme val="minor"/>
          </rPr>
          <t>read from console not file</t>
        </r>
      </text>
    </comment>
    <comment ref="A739" authorId="0" shapeId="0" xr:uid="{00000000-0006-0000-0400-00002D000000}">
      <text>
        <r>
          <rPr>
            <sz val="10"/>
            <color rgb="FF000000"/>
            <rFont val="Arial"/>
            <scheme val="minor"/>
          </rPr>
          <t>Given a simple undirected graph with N &lt;= 100,000 nodes and M &lt;= 200,000 edges, with each edge having cost 0 or 1, determine a spanning tree that has a cost of exactly K. It is guaranteed that a solution exists. If there are multiple solutions, output any one of them. Output: n-1 lines, with each line representing one edge of the spanning tree</t>
        </r>
      </text>
    </comment>
    <comment ref="A740" authorId="0" shapeId="0" xr:uid="{00000000-0006-0000-0400-00002E000000}">
      <text>
        <r>
          <rPr>
            <sz val="10"/>
            <color rgb="FF000000"/>
            <rFont val="Arial"/>
            <scheme val="minor"/>
          </rPr>
          <t>English txt http://ceoi.inf.elte.hu/probarch/11/trazad.pdf</t>
        </r>
      </text>
    </comment>
    <comment ref="A749" authorId="0" shapeId="0" xr:uid="{00000000-0006-0000-0400-00002F000000}">
      <text>
        <r>
          <rPr>
            <sz val="10"/>
            <color rgb="FF000000"/>
            <rFont val="Arial"/>
            <scheme val="minor"/>
          </rPr>
          <t>Given a tree with n nodes, rooted at 1, where all values of nodes are initially empty, and m queries where at each of the queries,
we either add a value q to the subtree rooted at node p, or we have to report whether it exists a node with a value z or not.</t>
        </r>
      </text>
    </comment>
    <comment ref="A758" authorId="0" shapeId="0" xr:uid="{00000000-0006-0000-0400-000030000000}">
      <text>
        <r>
          <rPr>
            <sz val="10"/>
            <color rgb="FF000000"/>
            <rFont val="Arial"/>
            <scheme val="minor"/>
          </rPr>
          <t>Given m*n grid, find how many ways to draw segments between points from consecutive lines
exist such that there are no intersecting segments, modulo 666013</t>
        </r>
      </text>
    </comment>
    <comment ref="A771" authorId="0" shapeId="0" xr:uid="{00000000-0006-0000-0400-000031000000}">
      <text>
        <r>
          <rPr>
            <sz val="10"/>
            <color rgb="FF000000"/>
            <rFont val="Arial"/>
            <scheme val="minor"/>
          </rPr>
          <t>Given a n*n matrix, find for q pairs of points the max cost of a road between the points in pair</t>
        </r>
      </text>
    </comment>
    <comment ref="A774" authorId="0" shapeId="0" xr:uid="{00000000-0006-0000-0400-000032000000}">
      <text>
        <r>
          <rPr>
            <sz val="10"/>
            <color rgb="FF000000"/>
            <rFont val="Arial"/>
            <scheme val="minor"/>
          </rPr>
          <t>Google translate should work well</t>
        </r>
      </text>
    </comment>
    <comment ref="A787" authorId="0" shapeId="0" xr:uid="{00000000-0006-0000-0400-000033000000}">
      <text>
        <r>
          <rPr>
            <sz val="10"/>
            <color rgb="FF000000"/>
            <rFont val="Arial"/>
            <scheme val="minor"/>
          </rPr>
          <t>Eng txt http://ceoi.inf.elte.hu/probarch/11/matzad.pdf</t>
        </r>
      </text>
    </comment>
    <comment ref="A798" authorId="0" shapeId="0" xr:uid="{00000000-0006-0000-0400-000034000000}">
      <text>
        <r>
          <rPr>
            <sz val="10"/>
            <color rgb="FF000000"/>
            <rFont val="Arial"/>
            <scheme val="minor"/>
          </rPr>
          <t>Similar to https://csacademy.com/contest/round-41/task/candles/</t>
        </r>
      </text>
    </comment>
    <comment ref="A858" authorId="0" shapeId="0" xr:uid="{00000000-0006-0000-0400-000035000000}">
      <text>
        <r>
          <rPr>
            <sz val="10"/>
            <color rgb="FF000000"/>
            <rFont val="Arial"/>
            <scheme val="minor"/>
          </rPr>
          <t>english txt: http://apio-olympiad.org/2008/apio-en.pdf</t>
        </r>
      </text>
    </comment>
    <comment ref="A870" authorId="0" shapeId="0" xr:uid="{00000000-0006-0000-0400-000036000000}">
      <text>
        <r>
          <rPr>
            <sz val="10"/>
            <color rgb="FF000000"/>
            <rFont val="Arial"/>
            <scheme val="minor"/>
          </rPr>
          <t>rephrasing: You need to select some elements and split the elements into two equal (by sum) parts. The sum of the left part should be minimum possible. The left part goes to casino and becomes two times greater.</t>
        </r>
      </text>
    </comment>
    <comment ref="A874" authorId="0" shapeId="0" xr:uid="{00000000-0006-0000-0400-000037000000}">
      <text>
        <r>
          <rPr>
            <sz val="10"/>
            <color rgb="FF000000"/>
            <rFont val="Arial"/>
            <scheme val="minor"/>
          </rPr>
          <t xml:space="preserve">Given 4 numbers h, n, m, p, find the minimal effort one has to do such that one climbs n stairs with total height h and distinct lengths
for climbing 1 stair, the effort is the height of the stair, but for more than 1 stair, the effort is the mean value of the heights climbed + p"
</t>
        </r>
      </text>
    </comment>
    <comment ref="A876" authorId="0" shapeId="0" xr:uid="{00000000-0006-0000-0400-000038000000}">
      <text>
        <r>
          <rPr>
            <sz val="10"/>
            <color rgb="FF000000"/>
            <rFont val="Arial"/>
            <scheme val="minor"/>
          </rPr>
          <t>Given a tree with n nodes and M queries of type S, find for each of the queries the jth longest path starting from Si.
j = the number of times S was already in input</t>
        </r>
      </text>
    </comment>
    <comment ref="A881" authorId="0" shapeId="0" xr:uid="{00000000-0006-0000-0400-000039000000}">
      <text>
        <r>
          <rPr>
            <sz val="10"/>
            <color rgb="FF000000"/>
            <rFont val="Arial"/>
            <scheme val="minor"/>
          </rPr>
          <t>official cases are weak (used on oz.uz). Please AC on dmoj.
Print new line in end of your code</t>
        </r>
      </text>
    </comment>
    <comment ref="A884" authorId="0" shapeId="0" xr:uid="{00000000-0006-0000-0400-00003A000000}">
      <text>
        <r>
          <rPr>
            <sz val="10"/>
            <color rgb="FF000000"/>
            <rFont val="Arial"/>
            <scheme val="minor"/>
          </rPr>
          <t>Given an array of n elements, split it in k continuous sequences such that the sum of the costs of each of the
sequences is minimal. Cost of a sequence = abs(S - sum of values of sequence), where S is given in input too</t>
        </r>
      </text>
    </comment>
    <comment ref="A888" authorId="0" shapeId="0" xr:uid="{00000000-0006-0000-0400-00003B000000}">
      <text>
        <r>
          <rPr>
            <sz val="10"/>
            <color rgb="FF000000"/>
            <rFont val="Arial"/>
            <scheme val="minor"/>
          </rPr>
          <t>English txt ceoi.inf.elte.hu/tasks-archive/</t>
        </r>
      </text>
    </comment>
    <comment ref="A895" authorId="0" shapeId="0" xr:uid="{00000000-0006-0000-0400-00003C000000}">
      <text>
        <r>
          <rPr>
            <sz val="10"/>
            <color rgb="FF000000"/>
            <rFont val="Arial"/>
            <scheme val="minor"/>
          </rPr>
          <t>English txt ceoi.inf.elte.hu/tasks-archive/</t>
        </r>
      </text>
    </comment>
    <comment ref="A911" authorId="0" shapeId="0" xr:uid="{00000000-0006-0000-0400-00003D000000}">
      <text>
        <r>
          <rPr>
            <sz val="10"/>
            <color rgb="FF000000"/>
            <rFont val="Arial"/>
            <scheme val="minor"/>
          </rPr>
          <t>Given N points on 2D plane and M points on Ox axis, find for each of the M points
the farthest point among the N points. Distance between 2 points is square of their Euclidean
distance</t>
        </r>
      </text>
    </comment>
    <comment ref="A914" authorId="0" shapeId="0" xr:uid="{00000000-0006-0000-0400-00003E000000}">
      <text>
        <r>
          <rPr>
            <sz val="10"/>
            <color rgb="FF000000"/>
            <rFont val="Arial"/>
            <scheme val="minor"/>
          </rPr>
          <t>Google translate should work well</t>
        </r>
      </text>
    </comment>
    <comment ref="A931" authorId="0" shapeId="0" xr:uid="{00000000-0006-0000-0400-00003F000000}">
      <text>
        <r>
          <rPr>
            <sz val="10"/>
            <color rgb="FF000000"/>
            <rFont val="Arial"/>
            <scheme val="minor"/>
          </rPr>
          <t>Given a permutation of the first n natural numbers, perform the following algorithm: at step i, find the position of value i and put
all the elements left of i at the end of the array, while keeping the original order of the array and remove i from array. Output the sum of positions</t>
        </r>
      </text>
    </comment>
    <comment ref="A944" authorId="0" shapeId="0" xr:uid="{00000000-0006-0000-0400-000040000000}">
      <text>
        <r>
          <rPr>
            <sz val="10"/>
            <color rgb="FF000000"/>
            <rFont val="Arial"/>
            <scheme val="minor"/>
          </rPr>
          <t>English txt ceoi.inf.elte.hu/tasks-archive/</t>
        </r>
      </text>
    </comment>
    <comment ref="A951" authorId="0" shapeId="0" xr:uid="{00000000-0006-0000-0400-000041000000}">
      <text>
        <r>
          <rPr>
            <sz val="10"/>
            <color rgb="FF000000"/>
            <rFont val="Arial"/>
            <scheme val="minor"/>
          </rPr>
          <t>From google translated statement you may think that the first player can take any cake he wants and the rule of taking a cake next to some already taken cake didnt apply. This is not the case</t>
        </r>
      </text>
    </comment>
    <comment ref="A958" authorId="0" shapeId="0" xr:uid="{00000000-0006-0000-0400-000042000000}">
      <text>
        <r>
          <rPr>
            <sz val="10"/>
            <color rgb="FF000000"/>
            <rFont val="Arial"/>
            <scheme val="minor"/>
          </rPr>
          <t>Given a string of size 2 * n + 2, where n of the positions have "B"(a boy sits on that chair),
n of the positons have "F"(a girl sits on that chair) and the remaining 2 positions have "S"(they are adjacent),
nobody sits there, use moves of type (we move kids on positions k and k + 1 to the free places) so that the girls are
on the left side, the boys are on the right side and the 2 free places separate the rows of boys and girls.</t>
        </r>
      </text>
    </comment>
    <comment ref="A970" authorId="0" shapeId="0" xr:uid="{00000000-0006-0000-0400-000043000000}">
      <text>
        <r>
          <rPr>
            <sz val="10"/>
            <color rgb="FF000000"/>
            <rFont val="Arial"/>
            <scheme val="minor"/>
          </rPr>
          <t>Given n and k, find how many permutations of the first n numbers have a period = k. A period of a permutation is the number of 
	times such that if we multiply the permutation by itself, we will get back to the starting permutation</t>
        </r>
      </text>
    </comment>
    <comment ref="A987" authorId="0" shapeId="0" xr:uid="{00000000-0006-0000-0400-000044000000}">
      <text>
        <r>
          <rPr>
            <sz val="10"/>
            <color rgb="FF000000"/>
            <rFont val="Arial"/>
            <scheme val="minor"/>
          </rPr>
          <t>bigger constraints than POI 11 rot problem. For editorials, see rot</t>
        </r>
      </text>
    </comment>
    <comment ref="A989" authorId="0" shapeId="0" xr:uid="{00000000-0006-0000-0400-000045000000}">
      <text>
        <r>
          <rPr>
            <sz val="10"/>
            <color rgb="FF000000"/>
            <rFont val="Arial"/>
            <scheme val="minor"/>
          </rPr>
          <t>Use google translate</t>
        </r>
      </text>
    </comment>
    <comment ref="A1023" authorId="0" shapeId="0" xr:uid="{00000000-0006-0000-0400-000046000000}">
      <text>
        <r>
          <rPr>
            <sz val="10"/>
            <color rgb="FF000000"/>
            <rFont val="Arial"/>
            <scheme val="minor"/>
          </rPr>
          <t>[use cout/cin not printf/scanf]</t>
        </r>
      </text>
    </comment>
    <comment ref="A1029" authorId="0" shapeId="0" xr:uid="{00000000-0006-0000-0400-000047000000}">
      <text>
        <r>
          <rPr>
            <sz val="10"/>
            <color rgb="FF000000"/>
            <rFont val="Arial"/>
            <scheme val="minor"/>
          </rPr>
          <t>Given a 2 * N binary matrix and a number K, find the minimal amount of time to get from (1, 1) to some square on the last
column, by either moving to the adjacent squares from the same column, or by moving with at most K squares away on the other column</t>
        </r>
      </text>
    </comment>
    <comment ref="A1070" authorId="0" shapeId="0" xr:uid="{00000000-0006-0000-0400-000048000000}">
      <text>
        <r>
          <rPr>
            <sz val="10"/>
            <color rgb="FF000000"/>
            <rFont val="Arial"/>
            <scheme val="minor"/>
          </rPr>
          <t>Google Translate should be ok</t>
        </r>
      </text>
    </comment>
    <comment ref="A1088" authorId="0" shapeId="0" xr:uid="{00000000-0006-0000-0400-000049000000}">
      <text>
        <r>
          <rPr>
            <sz val="10"/>
            <color rgb="FF000000"/>
            <rFont val="Arial"/>
            <scheme val="minor"/>
          </rPr>
          <t>Google translate is ok</t>
        </r>
      </text>
    </comment>
    <comment ref="A1090" authorId="0" shapeId="0" xr:uid="{00000000-0006-0000-0400-00004A000000}">
      <text>
        <r>
          <rPr>
            <sz val="10"/>
            <color rgb="FF000000"/>
            <rFont val="Arial"/>
            <scheme val="minor"/>
          </rPr>
          <t>Given a subway line with n stations, m people, (ai, bi) = ith people arrives at station ai at time bi and k trains,
find a way to schedule the trains such that the sum of the costs of each train is minimal. The cost of a train is the maximum
amount of time one of its passengers had to wait for it</t>
        </r>
      </text>
    </comment>
    <comment ref="A1113" authorId="0" shapeId="0" xr:uid="{00000000-0006-0000-0400-00004B000000}">
      <text>
        <r>
          <rPr>
            <sz val="10"/>
            <color rgb="FF000000"/>
            <rFont val="Arial"/>
            <scheme val="minor"/>
          </rPr>
          <t>Try google translate</t>
        </r>
      </text>
    </comment>
    <comment ref="A1183" authorId="0" shapeId="0" xr:uid="{00000000-0006-0000-0400-00004C000000}">
      <text>
        <r>
          <rPr>
            <sz val="10"/>
            <color rgb="FF000000"/>
            <rFont val="Arial"/>
            <scheme val="minor"/>
          </rPr>
          <t>Download test data from CONTEST #6</t>
        </r>
      </text>
    </comment>
    <comment ref="A1283" authorId="0" shapeId="0" xr:uid="{00000000-0006-0000-0400-00004D000000}">
      <text>
        <r>
          <rPr>
            <sz val="10"/>
            <color rgb="FF000000"/>
            <rFont val="Arial"/>
            <scheme val="minor"/>
          </rPr>
          <t>English txt ceoi.inf.elte.hu/tasks-archive/</t>
        </r>
      </text>
    </comment>
    <comment ref="A1355" authorId="0" shapeId="0" xr:uid="{00000000-0006-0000-0400-00004E000000}">
      <text>
        <r>
          <rPr>
            <sz val="10"/>
            <color rgb="FF000000"/>
            <rFont val="Arial"/>
            <scheme val="minor"/>
          </rPr>
          <t>Given a array of size n and 2 numbers p and q, find the number of subarrays from that array which have at least p and at most q
distinct elements</t>
        </r>
      </text>
    </comment>
    <comment ref="D1417" authorId="0" shapeId="0" xr:uid="{00000000-0006-0000-0400-00004F000000}">
      <text>
        <r>
          <rPr>
            <sz val="10"/>
            <color rgb="FF000000"/>
            <rFont val="Arial"/>
            <scheme val="minor"/>
          </rPr>
          <t>https://github.com/sofhiasouza/CompetitiveProgramming/blob/master/POI/banks.cpp</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0500-000001000000}">
      <text>
        <r>
          <rPr>
            <sz val="10"/>
            <color rgb="FF000000"/>
            <rFont val="Arial"/>
            <scheme val="minor"/>
          </rPr>
          <t>english txt: http://apio-olympiad.org/2008/apio-en.pdf</t>
        </r>
      </text>
    </comment>
    <comment ref="A14" authorId="0" shapeId="0" xr:uid="{00000000-0006-0000-0500-000002000000}">
      <text>
        <r>
          <rPr>
            <sz val="10"/>
            <color rgb="FF000000"/>
            <rFont val="Arial"/>
            <scheme val="minor"/>
          </rPr>
          <t>English text: http://apio-olympiad.org/2011/apio2011-English.pdf</t>
        </r>
      </text>
    </comment>
    <comment ref="A15" authorId="0" shapeId="0" xr:uid="{00000000-0006-0000-0500-000003000000}">
      <text>
        <r>
          <rPr>
            <sz val="10"/>
            <color rgb="FF000000"/>
            <rFont val="Arial"/>
            <scheme val="minor"/>
          </rPr>
          <t>English text: http://apio-olympiad.org/2011/apio2011-English.pdf</t>
        </r>
      </text>
    </comment>
    <comment ref="A63" authorId="0" shapeId="0" xr:uid="{00000000-0006-0000-0500-000004000000}">
      <text>
        <r>
          <rPr>
            <sz val="10"/>
            <color rgb="FF000000"/>
            <rFont val="Arial"/>
            <scheme val="minor"/>
          </rPr>
          <t xml:space="preserve">Can u AC on https://www.spoj.com/problems/SPATHS/ ?
English text: https://github.com/mostafa-saad/MyCompetitiveProgramming/blob/master/Olympiad/Balkan/official/2012/2012-statements.pdf
</t>
        </r>
      </text>
    </comment>
    <comment ref="A90" authorId="0" shapeId="0" xr:uid="{00000000-0006-0000-0500-000005000000}">
      <text>
        <r>
          <rPr>
            <sz val="10"/>
            <color rgb="FF000000"/>
            <rFont val="Arial"/>
            <scheme val="minor"/>
          </rPr>
          <t>read from console not file</t>
        </r>
      </text>
    </comment>
    <comment ref="A115" authorId="0" shapeId="0" xr:uid="{00000000-0006-0000-0500-000006000000}">
      <text>
        <r>
          <rPr>
            <sz val="10"/>
            <color rgb="FF000000"/>
            <rFont val="Arial"/>
            <scheme val="minor"/>
          </rPr>
          <t xml:space="preserve">You are given a 3d grid where some spaces are full of stone ('N') and some are full of air ('P')
You need to find a cuboid that is completely made up of stone, has two sides of equal length, and has the maximum value of 4*a*b, where a and b are the two different length values among the sides.
Print that maximum value of 4*a*b.
</t>
        </r>
      </text>
    </comment>
    <comment ref="A117" authorId="0" shapeId="0" xr:uid="{00000000-0006-0000-0500-000007000000}">
      <text>
        <r>
          <rPr>
            <sz val="10"/>
            <color rgb="FF000000"/>
            <rFont val="Arial"/>
            <scheme val="minor"/>
          </rPr>
          <t>Use long double</t>
        </r>
      </text>
    </comment>
    <comment ref="A132" authorId="0" shapeId="0" xr:uid="{00000000-0006-0000-0500-000008000000}">
      <text>
        <r>
          <rPr>
            <sz val="10"/>
            <color rgb="FF000000"/>
            <rFont val="Arial"/>
            <scheme val="minor"/>
          </rPr>
          <t>Similar to https://csacademy.com/contest/round-41/task/candles/</t>
        </r>
      </text>
    </comment>
    <comment ref="A213" authorId="0" shapeId="0" xr:uid="{00000000-0006-0000-0500-000009000000}">
      <text>
        <r>
          <rPr>
            <sz val="10"/>
            <color rgb="FF000000"/>
            <rFont val="Arial"/>
            <scheme val="minor"/>
          </rPr>
          <t>English txt ceoi.inf.elte.hu/tasks-archive/</t>
        </r>
      </text>
    </comment>
    <comment ref="A214" authorId="0" shapeId="0" xr:uid="{00000000-0006-0000-0500-00000A000000}">
      <text>
        <r>
          <rPr>
            <sz val="10"/>
            <color rgb="FF000000"/>
            <rFont val="Arial"/>
            <scheme val="minor"/>
          </rPr>
          <t>English txt ceoi.inf.elte.hu/tasks-archive/</t>
        </r>
      </text>
    </comment>
    <comment ref="A215" authorId="0" shapeId="0" xr:uid="{00000000-0006-0000-0500-00000B000000}">
      <text>
        <r>
          <rPr>
            <sz val="10"/>
            <color rgb="FF000000"/>
            <rFont val="Arial"/>
            <scheme val="minor"/>
          </rPr>
          <t>English txt ceoi.inf.elte.hu/tasks-archive/</t>
        </r>
      </text>
    </comment>
    <comment ref="A216" authorId="0" shapeId="0" xr:uid="{00000000-0006-0000-0500-00000C000000}">
      <text>
        <r>
          <rPr>
            <sz val="10"/>
            <color rgb="FF000000"/>
            <rFont val="Arial"/>
            <scheme val="minor"/>
          </rPr>
          <t>English txt ceoi.inf.elte.hu/tasks-archive/</t>
        </r>
      </text>
    </comment>
    <comment ref="A218" authorId="0" shapeId="0" xr:uid="{00000000-0006-0000-0500-00000D000000}">
      <text>
        <r>
          <rPr>
            <sz val="10"/>
            <color rgb="FF000000"/>
            <rFont val="Arial"/>
            <scheme val="minor"/>
          </rPr>
          <t>read first https://en.wikipedia.org/wiki/Round-robin_tournament#Scheduling_algorithm</t>
        </r>
      </text>
    </comment>
    <comment ref="A260" authorId="0" shapeId="0" xr:uid="{00000000-0006-0000-0500-00000E000000}">
      <text>
        <r>
          <rPr>
            <sz val="10"/>
            <color rgb="FF000000"/>
            <rFont val="Arial"/>
            <scheme val="minor"/>
          </rPr>
          <t>Eng txt http://ceoi.inf.elte.hu/probarch/11/matzad.pdf</t>
        </r>
      </text>
    </comment>
    <comment ref="A263" authorId="0" shapeId="0" xr:uid="{00000000-0006-0000-0500-00000F000000}">
      <text>
        <r>
          <rPr>
            <sz val="10"/>
            <color rgb="FF000000"/>
            <rFont val="Arial"/>
            <scheme val="minor"/>
          </rPr>
          <t>English txt http://ceoi.inf.elte.hu/probarch/11/trazad.pdf</t>
        </r>
      </text>
    </comment>
    <comment ref="A264" authorId="0" shapeId="0" xr:uid="{00000000-0006-0000-0500-000010000000}">
      <text>
        <r>
          <rPr>
            <sz val="10"/>
            <color rgb="FF000000"/>
            <rFont val="Arial"/>
            <scheme val="minor"/>
          </rPr>
          <t>correction:  constraints for n is actually 2e5</t>
        </r>
      </text>
    </comment>
    <comment ref="A285" authorId="0" shapeId="0" xr:uid="{00000000-0006-0000-0500-000011000000}">
      <text>
        <r>
          <rPr>
            <sz val="10"/>
            <color rgb="FF000000"/>
            <rFont val="Arial"/>
            <scheme val="minor"/>
          </rPr>
          <t>You could use this grader https://github.com/quangloc99/CompetitiveProgramming/tree/master/olympiad/CEOI/2016/icc-custom-grader</t>
        </r>
      </text>
    </comment>
    <comment ref="A425" authorId="0" shapeId="0" xr:uid="{00000000-0006-0000-0500-000012000000}">
      <text>
        <r>
          <rPr>
            <sz val="10"/>
            <color rgb="FF000000"/>
            <rFont val="Arial"/>
            <scheme val="minor"/>
          </rPr>
          <t>wrong samples??</t>
        </r>
      </text>
    </comment>
    <comment ref="D438" authorId="0" shapeId="0" xr:uid="{00000000-0006-0000-0500-000013000000}">
      <text>
        <r>
          <rPr>
            <sz val="10"/>
            <color rgb="FF000000"/>
            <rFont val="Arial"/>
            <scheme val="minor"/>
          </rPr>
          <t>https://github.com/updown2/OI-Practice/blob/master/COCI/2009%20Holmes.cpp</t>
        </r>
      </text>
    </comment>
    <comment ref="A471" authorId="0" shapeId="0" xr:uid="{00000000-0006-0000-0500-000014000000}">
      <text>
        <r>
          <rPr>
            <sz val="10"/>
            <color rgb="FF000000"/>
            <rFont val="Arial"/>
            <scheme val="minor"/>
          </rPr>
          <t>Download test data from CONTEST #6</t>
        </r>
      </text>
    </comment>
    <comment ref="A554" authorId="0" shapeId="0" xr:uid="{00000000-0006-0000-0500-000015000000}">
      <text>
        <r>
          <rPr>
            <sz val="10"/>
            <color rgb="FF000000"/>
            <rFont val="Arial"/>
            <scheme val="minor"/>
          </rPr>
          <t>official cases are weak (used on oz.uz). Please AC on dmoj.
Print new line in end of your code</t>
        </r>
      </text>
    </comment>
    <comment ref="A587" authorId="0" shapeId="0" xr:uid="{00000000-0006-0000-0500-000016000000}">
      <text>
        <r>
          <rPr>
            <sz val="10"/>
            <color rgb="FF000000"/>
            <rFont val="Arial"/>
            <scheme val="minor"/>
          </rPr>
          <t>rephrasing: You need to select some elements and split the elements into two equal (by sum) parts. The sum of the left part should be minimum possible. The left part goes to casino and becomes two times greater.</t>
        </r>
      </text>
    </comment>
    <comment ref="A795" authorId="0" shapeId="0" xr:uid="{00000000-0006-0000-0500-000017000000}">
      <text>
        <r>
          <rPr>
            <sz val="10"/>
            <color rgb="FF000000"/>
            <rFont val="Arial"/>
            <scheme val="minor"/>
          </rPr>
          <t>problem description : 
 given an array A of N integers. Find how many pairs of indices (i ,j) such that i &lt;= j and the number 
 of different bits in A[i] and A[j] binary representations is exactly equal to 4. (1 &lt;= N &lt;= 10^5 ,0 &lt;= A[i] &lt; 2^20)
sample case :
 N = 4 ,A = {15 ,0 ,10 ,5}
 pairs that differ by exactly 4 bits are (1 ,2) and (3 ,4) ,so answer = 2.</t>
        </r>
      </text>
    </comment>
    <comment ref="A799" authorId="0" shapeId="0" xr:uid="{00000000-0006-0000-0500-000018000000}">
      <text>
        <r>
          <rPr>
            <sz val="10"/>
            <color rgb="FF000000"/>
            <rFont val="Arial"/>
            <scheme val="minor"/>
          </rPr>
          <t>Given an undirected graph with n vertexes and m edges, estimate in how many days the given graph will become complete.
During a certain day, if there is no edge between nodes a and b but there is another node c such that there are
edges between a and c, respectively b and c, there will be created an edge between a and b.</t>
        </r>
      </text>
    </comment>
    <comment ref="A801" authorId="0" shapeId="0" xr:uid="{00000000-0006-0000-0500-000019000000}">
      <text>
        <r>
          <rPr>
            <sz val="10"/>
            <color rgb="FF000000"/>
            <rFont val="Arial"/>
            <scheme val="minor"/>
          </rPr>
          <t>Given a string of size 2 * n + 2, where n of the positions have "B"(a boy sits on that chair),
n of the positons have "F"(a girl sits on that chair) and the remaining 2 positions have "S"(they are adjacent),
nobody sits there, use moves of type (we move kids on positions k and k + 1 to the free places) so that the girls are
on the left side, the boys are on the right side and the 2 free places separate the rows of boys and girls.</t>
        </r>
      </text>
    </comment>
    <comment ref="A805" authorId="0" shapeId="0" xr:uid="{00000000-0006-0000-0500-00001A000000}">
      <text>
        <r>
          <rPr>
            <sz val="10"/>
            <color rgb="FF000000"/>
            <rFont val="Arial"/>
            <scheme val="minor"/>
          </rPr>
          <t>Given a tree with n nodes, rooted at 1, where all values of nodes are initially empty, and m queries where at each of the queries,
we either add a value q to the subtree rooted at node p, or we have to report whether it exists a node with a value z or not.</t>
        </r>
      </text>
    </comment>
    <comment ref="A806" authorId="0" shapeId="0" xr:uid="{00000000-0006-0000-0500-00001B000000}">
      <text>
        <r>
          <rPr>
            <sz val="10"/>
            <color rgb="FF000000"/>
            <rFont val="Arial"/>
            <scheme val="minor"/>
          </rPr>
          <t>Use google translate</t>
        </r>
      </text>
    </comment>
    <comment ref="A809" authorId="0" shapeId="0" xr:uid="{00000000-0006-0000-0500-00001C000000}">
      <text>
        <r>
          <rPr>
            <sz val="10"/>
            <color rgb="FF000000"/>
            <rFont val="Arial"/>
            <scheme val="minor"/>
          </rPr>
          <t>Google Translate should be ok</t>
        </r>
      </text>
    </comment>
    <comment ref="A810" authorId="0" shapeId="0" xr:uid="{00000000-0006-0000-0500-00001D000000}">
      <text>
        <r>
          <rPr>
            <sz val="10"/>
            <color rgb="FF000000"/>
            <rFont val="Arial"/>
            <scheme val="minor"/>
          </rPr>
          <t>Google translate is ok</t>
        </r>
      </text>
    </comment>
    <comment ref="A815" authorId="0" shapeId="0" xr:uid="{00000000-0006-0000-0500-00001E000000}">
      <text>
        <r>
          <rPr>
            <sz val="10"/>
            <color rgb="FF000000"/>
            <rFont val="Arial"/>
            <scheme val="minor"/>
          </rPr>
          <t>Given a DAG with n nodes and m edges, find the LCA for all pairs of distinct nodes</t>
        </r>
      </text>
    </comment>
    <comment ref="A819" authorId="0" shapeId="0" xr:uid="{00000000-0006-0000-0500-00001F000000}">
      <text>
        <r>
          <rPr>
            <sz val="10"/>
            <color rgb="FF000000"/>
            <rFont val="Arial"/>
            <scheme val="minor"/>
          </rPr>
          <t>Given n and k, find how many permutations of the first n numbers have a period = k. A period of a permutation is the number of 
	times such that if we multiply the permutation by itself, we will get back to the starting permutation</t>
        </r>
      </text>
    </comment>
    <comment ref="A826" authorId="0" shapeId="0" xr:uid="{00000000-0006-0000-0500-000020000000}">
      <text>
        <r>
          <rPr>
            <sz val="10"/>
            <color rgb="FF000000"/>
            <rFont val="Arial"/>
            <scheme val="minor"/>
          </rPr>
          <t xml:space="preserve">You're given a tree with weighted edges. Define f(S) for some subset of the nodes as follows:
- First, take the xor sum of the weights of the nodes in S. Let this result be X
- Next, take the node with least weight on the shortest path between the nodes in S. Let the weight be Y
- f(S) = X ^ Y
E.g. if we have 1 -- 2 -- 3, then f({1, 3}) = v[1] ^ v[3] ^ v[k] where v[k] = min(v[1], v[2], v[3])
Find the sum of f(S) for all subsets of the nodes, modulo 1e9+7 </t>
        </r>
      </text>
    </comment>
    <comment ref="A834" authorId="0" shapeId="0" xr:uid="{00000000-0006-0000-0500-000021000000}">
      <text>
        <r>
          <rPr>
            <sz val="10"/>
            <color rgb="FF000000"/>
            <rFont val="Arial"/>
            <scheme val="minor"/>
          </rPr>
          <t>Given an array of n(n &lt;= 1e6, v[i] &lt;= 1e6) numbers and q(q &lt;= 1e6) queries, find for each query if we can remove at most 1 element such that gcd of the range is &gt; 1)</t>
        </r>
      </text>
    </comment>
    <comment ref="A835" authorId="0" shapeId="0" xr:uid="{00000000-0006-0000-0500-000022000000}">
      <text>
        <r>
          <rPr>
            <sz val="10"/>
            <color rgb="FF000000"/>
            <rFont val="Arial"/>
            <scheme val="minor"/>
          </rPr>
          <t>use google translator</t>
        </r>
      </text>
    </comment>
    <comment ref="A838" authorId="0" shapeId="0" xr:uid="{00000000-0006-0000-0500-000023000000}">
      <text>
        <r>
          <rPr>
            <sz val="10"/>
            <color rgb="FF000000"/>
            <rFont val="Arial"/>
            <scheme val="minor"/>
          </rPr>
          <t>Given a directed graph with n vertexes and m edges, find the popular vertexes in the graph. A popular vertex i is a vertex such that
	for each other node, one can either get from i to that node or one can get from that node to i</t>
        </r>
      </text>
    </comment>
    <comment ref="A841" authorId="0" shapeId="0" xr:uid="{00000000-0006-0000-0500-000024000000}">
      <text>
        <r>
          <rPr>
            <sz val="10"/>
            <color rgb="FF000000"/>
            <rFont val="Arial"/>
            <scheme val="minor"/>
          </rPr>
          <t>Given the graph described in the statement, find how many pairs (a, b) exist such that we can get from (0, a) to (F-1, b)</t>
        </r>
      </text>
    </comment>
    <comment ref="A842" authorId="0" shapeId="0" xr:uid="{00000000-0006-0000-0500-000025000000}">
      <text>
        <r>
          <rPr>
            <sz val="10"/>
            <color rgb="FF000000"/>
            <rFont val="Arial"/>
            <scheme val="minor"/>
          </rPr>
          <t>Given an array of N elements, initially empty and M queries of type a b c, add for each element i in range [a, b], c + (i - a)th
Fibonacci number modulo 666013 and print the array resulting</t>
        </r>
      </text>
    </comment>
    <comment ref="A843" authorId="0" shapeId="0" xr:uid="{00000000-0006-0000-0500-000026000000}">
      <text>
        <r>
          <rPr>
            <sz val="10"/>
            <color rgb="FF000000"/>
            <rFont val="Arial"/>
            <scheme val="minor"/>
          </rPr>
          <t>Given a 2 * N binary matrix and a number K, find the minimal amount of time to get from (1, 1) to some square on the last
column, by either moving to the adjacent squares from the same column, or by moving with at most K squares away on the other column</t>
        </r>
      </text>
    </comment>
    <comment ref="A845" authorId="0" shapeId="0" xr:uid="{00000000-0006-0000-0500-000027000000}">
      <text>
        <r>
          <rPr>
            <sz val="10"/>
            <color rgb="FF000000"/>
            <rFont val="Arial"/>
            <scheme val="minor"/>
          </rPr>
          <t>Given a tree with n nodes, where each edge has a cost, and M queries of type (a, b), find for each of the given queries
a position from an edge from the tree, which is at distance b from node a</t>
        </r>
      </text>
    </comment>
    <comment ref="A852" authorId="0" shapeId="0" xr:uid="{00000000-0006-0000-0500-000028000000}">
      <text>
        <r>
          <rPr>
            <sz val="10"/>
            <color rgb="FF000000"/>
            <rFont val="Arial"/>
            <scheme val="minor"/>
          </rPr>
          <t>Given a simple undirected graph with N &lt;= 100,000 nodes and M &lt;= 200,000 edges, with each edge having cost 0 or 1, determine a spanning tree that has a cost of exactly K. It is guaranteed that a solution exists. If there are multiple solutions, output any one of them. Output: n-1 lines, with each line representing one edge of the spanning tree</t>
        </r>
      </text>
    </comment>
    <comment ref="A857" authorId="0" shapeId="0" xr:uid="{00000000-0006-0000-0500-000029000000}">
      <text>
        <r>
          <rPr>
            <sz val="10"/>
            <color rgb="FF000000"/>
            <rFont val="Arial"/>
            <scheme val="minor"/>
          </rPr>
          <t>Given a array of size n and 2 numbers p and q, find the number of subarrays from that array which have at least p and at most q
distinct elements</t>
        </r>
      </text>
    </comment>
    <comment ref="A860" authorId="0" shapeId="0" xr:uid="{00000000-0006-0000-0500-00002A000000}">
      <text>
        <r>
          <rPr>
            <sz val="10"/>
            <color rgb="FF000000"/>
            <rFont val="Arial"/>
            <scheme val="minor"/>
          </rPr>
          <t>Find the number of n*n binary matrices such that each line has two ones, each column has two ones and there are no
four ones such that they form a rectangle</t>
        </r>
      </text>
    </comment>
    <comment ref="A861" authorId="0" shapeId="0" xr:uid="{00000000-0006-0000-0500-00002B000000}">
      <text>
        <r>
          <rPr>
            <sz val="10"/>
            <color rgb="FF000000"/>
            <rFont val="Arial"/>
            <scheme val="minor"/>
          </rPr>
          <t>Google translate should work well</t>
        </r>
      </text>
    </comment>
    <comment ref="A862" authorId="0" shapeId="0" xr:uid="{00000000-0006-0000-0500-00002C000000}">
      <text>
        <r>
          <rPr>
            <sz val="10"/>
            <color rgb="FF000000"/>
            <rFont val="Arial"/>
            <scheme val="minor"/>
          </rPr>
          <t>Given a n*n matrix, find for q pairs of points the max cost of a road between the points in pair</t>
        </r>
      </text>
    </comment>
    <comment ref="A863" authorId="0" shapeId="0" xr:uid="{00000000-0006-0000-0500-00002D000000}">
      <text>
        <r>
          <rPr>
            <sz val="10"/>
            <color rgb="FF000000"/>
            <rFont val="Arial"/>
            <scheme val="minor"/>
          </rPr>
          <t>Given a tree with n nodes, there are two clans and Q days. On ith day, the second clan conquers from the first clan city Qi and we need
to print after each day, the max distance between two nodes in each of the sets(one can pass enemy nodes, but can't start or stop the trip there)</t>
        </r>
      </text>
    </comment>
    <comment ref="A865" authorId="0" shapeId="0" xr:uid="{00000000-0006-0000-0500-00002E000000}">
      <text>
        <r>
          <rPr>
            <sz val="10"/>
            <color rgb="FF000000"/>
            <rFont val="Arial"/>
            <scheme val="minor"/>
          </rPr>
          <t>Given a subway line with n stations, m people, (ai, bi) = ith people arrives at station ai at time bi and k trains,
find a way to schedule the trains such that the sum of the costs of each train is minimal. The cost of a train is the maximum
amount of time one of its passengers had to wait for it</t>
        </r>
      </text>
    </comment>
    <comment ref="A874" authorId="0" shapeId="0" xr:uid="{00000000-0006-0000-0500-00002F000000}">
      <text>
        <r>
          <rPr>
            <sz val="10"/>
            <color rgb="FF000000"/>
            <rFont val="Arial"/>
            <scheme val="minor"/>
          </rPr>
          <t>Given n &lt;= 2e5 points and m &lt;= 1e5 circles, find for each of the circles how many points has inside or on the circle. The surfaces covered by any pair
of two circles don't have common points</t>
        </r>
      </text>
    </comment>
    <comment ref="A880" authorId="0" shapeId="0" xr:uid="{00000000-0006-0000-0500-000030000000}">
      <text>
        <r>
          <rPr>
            <sz val="10"/>
            <color rgb="FF000000"/>
            <rFont val="Arial"/>
            <scheme val="minor"/>
          </rPr>
          <t>Easier version: infoarena interact</t>
        </r>
      </text>
    </comment>
    <comment ref="A884" authorId="0" shapeId="0" xr:uid="{00000000-0006-0000-0500-000031000000}">
      <text>
        <r>
          <rPr>
            <sz val="10"/>
            <color rgb="FF000000"/>
            <rFont val="Arial"/>
            <scheme val="minor"/>
          </rPr>
          <t>Given a permutation of the first n natural numbers, perform the following algorithm: at step i, find the position of value i and put
all the elements left of i at the end of the array, while keeping the original order of the array and remove i from array. Output the sum of positions</t>
        </r>
      </text>
    </comment>
    <comment ref="A885" authorId="0" shapeId="0" xr:uid="{00000000-0006-0000-0500-000032000000}">
      <text>
        <r>
          <rPr>
            <sz val="10"/>
            <color rgb="FF000000"/>
            <rFont val="Arial"/>
            <scheme val="minor"/>
          </rPr>
          <t>Given a permutation of length n, sort it in at most 2n moves of type P x(prefix of length x is reversed) or S x(suffix of length x is reversed)</t>
        </r>
      </text>
    </comment>
    <comment ref="A888" authorId="0" shapeId="0" xr:uid="{00000000-0006-0000-0500-000033000000}">
      <text>
        <r>
          <rPr>
            <sz val="10"/>
            <color rgb="FF000000"/>
            <rFont val="Arial"/>
            <scheme val="minor"/>
          </rPr>
          <t>Given n dwarfs, each one having a height and a length of hands, find the maximum number of dwarfs which can get out of a hole
with height D. A dwarf can get out of the hole if he can get to a height &gt;= D, using his hands, his height and possibly the heights of other
dwarfs</t>
        </r>
      </text>
    </comment>
    <comment ref="A889" authorId="0" shapeId="0" xr:uid="{00000000-0006-0000-0500-000034000000}">
      <text>
        <r>
          <rPr>
            <sz val="10"/>
            <color rgb="FF000000"/>
            <rFont val="Arial"/>
            <scheme val="minor"/>
          </rPr>
          <t>Given a tree with n nodes, find for each edge the maximum length of the diameter of the tree we can obtain
if we move that edge such that the given graph will keep being a tree</t>
        </r>
      </text>
    </comment>
    <comment ref="A895" authorId="0" shapeId="0" xr:uid="{00000000-0006-0000-0500-000035000000}">
      <text>
        <r>
          <rPr>
            <sz val="10"/>
            <color rgb="FF000000"/>
            <rFont val="Arial"/>
            <scheme val="minor"/>
          </rPr>
          <t>Given N points on 2D plane and M points on Ox axis, find for each of the M points
the farthest point among the N points. Distance between 2 points is square of their Euclidean
distance</t>
        </r>
      </text>
    </comment>
    <comment ref="A896" authorId="0" shapeId="0" xr:uid="{00000000-0006-0000-0500-000036000000}">
      <text>
        <r>
          <rPr>
            <sz val="10"/>
            <color rgb="FF000000"/>
            <rFont val="Arial"/>
            <scheme val="minor"/>
          </rPr>
          <t>Given a tree with n nodes, rooted at node 1, a number p and the time we need to visit each of the n towns, find the number of ways we can 
block edges in the tree such that the sum of the visiting times of the cities we can visit from node 1 is exactly p modulo 31333. Two ways differ if
there is some edge (a, b) which is blocked in the first way but not in the second way</t>
        </r>
      </text>
    </comment>
    <comment ref="A898" authorId="0" shapeId="0" xr:uid="{00000000-0006-0000-0500-000037000000}">
      <text>
        <r>
          <rPr>
            <sz val="10"/>
            <color rgb="FF000000"/>
            <rFont val="Arial"/>
            <scheme val="minor"/>
          </rPr>
          <t>Given a tree with n nodes and M queries of type S, find for each of the queries the jth longest path starting from Si.
j = the number of times S was already in input</t>
        </r>
      </text>
    </comment>
    <comment ref="A899" authorId="0" shapeId="0" xr:uid="{00000000-0006-0000-0500-000038000000}">
      <text>
        <r>
          <rPr>
            <sz val="10"/>
            <color rgb="FF000000"/>
            <rFont val="Arial"/>
            <scheme val="minor"/>
          </rPr>
          <t>Given m*n grid, find how many ways to draw segments between points from consecutive lines
exist such that there are no intersecting segments, modulo 666013</t>
        </r>
      </text>
    </comment>
    <comment ref="A901" authorId="0" shapeId="0" xr:uid="{00000000-0006-0000-0500-000039000000}">
      <text>
        <r>
          <rPr>
            <sz val="10"/>
            <color rgb="FF000000"/>
            <rFont val="Arial"/>
            <scheme val="minor"/>
          </rPr>
          <t>Given n lists of strings, each of them having size k and each string has size p, and m queries, find for each query whether there
exists a list from the n lists with similarity grade equal to a certain value x</t>
        </r>
      </text>
    </comment>
    <comment ref="A902" authorId="0" shapeId="0" xr:uid="{00000000-0006-0000-0500-00003A000000}">
      <text>
        <r>
          <rPr>
            <sz val="10"/>
            <color rgb="FF000000"/>
            <rFont val="Arial"/>
            <scheme val="minor"/>
          </rPr>
          <t xml:space="preserve">Given 4 numbers h, n, m, p, find the minimal effort one has to do such that one climbs n stairs with total height h and distinct lengths
for climbing 1 stair, the effort is the height of the stair, but for more than 1 stair, the effort is the mean value of the heights climbed + p"
</t>
        </r>
      </text>
    </comment>
    <comment ref="A903" authorId="0" shapeId="0" xr:uid="{00000000-0006-0000-0500-00003B000000}">
      <text>
        <r>
          <rPr>
            <sz val="10"/>
            <color rgb="FF000000"/>
            <rFont val="Arial"/>
            <scheme val="minor"/>
          </rPr>
          <t>Given an array of n elements, split it in k continuous sequences such that the sum of the costs of each of the
sequences is minimal. Cost of a sequence = abs(S - sum of values of sequence), where S is given in input too</t>
        </r>
      </text>
    </comment>
    <comment ref="A905" authorId="0" shapeId="0" xr:uid="{00000000-0006-0000-0500-00003C000000}">
      <text>
        <r>
          <rPr>
            <sz val="10"/>
            <color rgb="FF000000"/>
            <rFont val="Arial"/>
            <scheme val="minor"/>
          </rPr>
          <t>Find out the number of simple undirected graphs having N vertices with the property that in each
connected component the number of vertices is equal to the number of edges. In addition, every cycle's length must be at least K.</t>
        </r>
      </text>
    </comment>
    <comment ref="A906" authorId="0" shapeId="0" xr:uid="{00000000-0006-0000-0500-00003D000000}">
      <text>
        <r>
          <rPr>
            <sz val="10"/>
            <color rgb="FF000000"/>
            <rFont val="Arial"/>
            <scheme val="minor"/>
          </rPr>
          <t>Google translate should work well</t>
        </r>
      </text>
    </comment>
    <comment ref="A909" authorId="0" shapeId="0" xr:uid="{00000000-0006-0000-0500-00003E000000}">
      <text>
        <r>
          <rPr>
            <sz val="10"/>
            <color rgb="FF000000"/>
            <rFont val="Arial"/>
            <scheme val="minor"/>
          </rPr>
          <t>Given n, s and an array a of n elements, find a subset of array a such that the sum of the elements in that subset is s and the OR
sum of the values in the array is as small as possible</t>
        </r>
      </text>
    </comment>
    <comment ref="A910" authorId="0" shapeId="0" xr:uid="{00000000-0006-0000-0500-00003F000000}">
      <text>
        <r>
          <rPr>
            <sz val="10"/>
            <color rgb="FF000000"/>
            <rFont val="Arial"/>
            <scheme val="minor"/>
          </rPr>
          <t>Given a n*n matrix with latin lowercase letters, find how many submatrices exist such that upper left and lower right corner letters are bigger
than all other letters</t>
        </r>
      </text>
    </comment>
    <comment ref="A914" authorId="0" shapeId="0" xr:uid="{00000000-0006-0000-0500-000040000000}">
      <text>
        <r>
          <rPr>
            <sz val="10"/>
            <color rgb="FF000000"/>
            <rFont val="Arial"/>
            <scheme val="minor"/>
          </rPr>
          <t>Given a tree with n nodes, color the tree nodes in black or white so that the number of (unordered) pairs of twin nodes is maximum.
Two nodes are twinned if and only if both are white and either are bound directly by an edge, or the single elemental chain of them contains
only black nodes.</t>
        </r>
      </text>
    </comment>
    <comment ref="A917" authorId="0" shapeId="0" xr:uid="{00000000-0006-0000-0500-000041000000}">
      <text>
        <r>
          <rPr>
            <sz val="10"/>
            <color rgb="FF000000"/>
            <rFont val="Arial"/>
            <scheme val="minor"/>
          </rPr>
          <t>Given an array. Find the length of a subarray that its contains every number from 1 to the maximum number in it.</t>
        </r>
      </text>
    </comment>
    <comment ref="A919" authorId="0" shapeId="0" xr:uid="{00000000-0006-0000-0500-000042000000}">
      <text>
        <r>
          <rPr>
            <sz val="10"/>
            <color rgb="FF000000"/>
            <rFont val="Arial"/>
            <scheme val="minor"/>
          </rPr>
          <t>Try google translate</t>
        </r>
      </text>
    </comment>
    <comment ref="A921" authorId="0" shapeId="0" xr:uid="{00000000-0006-0000-0500-000043000000}">
      <text>
        <r>
          <rPr>
            <sz val="10"/>
            <color rgb="FF000000"/>
            <rFont val="Arial"/>
            <scheme val="minor"/>
          </rPr>
          <t xml:space="preserve">find sum of all numbers x with n digits such that x doesn't have 0, x mod k = 0 and reverse(x) mod k = 0
</t>
        </r>
      </text>
    </comment>
    <comment ref="A935" authorId="0" shapeId="0" xr:uid="{00000000-0006-0000-0500-000044000000}">
      <text>
        <r>
          <rPr>
            <sz val="10"/>
            <color rgb="FF000000"/>
            <rFont val="Arial"/>
            <scheme val="minor"/>
          </rPr>
          <t>Notice the given: device.h</t>
        </r>
      </text>
    </comment>
    <comment ref="A945" authorId="0" shapeId="0" xr:uid="{00000000-0006-0000-0500-000045000000}">
      <text>
        <r>
          <rPr>
            <sz val="10"/>
            <color rgb="FF000000"/>
            <rFont val="Arial"/>
            <scheme val="minor"/>
          </rPr>
          <t>English txt https://ioinformatics.org/files/ioi2002problem5.pdf</t>
        </r>
      </text>
    </comment>
    <comment ref="A947" authorId="0" shapeId="0" xr:uid="{00000000-0006-0000-0500-000046000000}">
      <text>
        <r>
          <rPr>
            <sz val="10"/>
            <color rgb="FF000000"/>
            <rFont val="Arial"/>
            <scheme val="minor"/>
          </rPr>
          <t>Another OJ https://www.acmicpc.net/problem/5496</t>
        </r>
      </text>
    </comment>
    <comment ref="A962" authorId="0" shapeId="0" xr:uid="{00000000-0006-0000-0500-000047000000}">
      <text>
        <r>
          <rPr>
            <sz val="10"/>
            <color rgb="FF000000"/>
            <rFont val="Arial"/>
            <scheme val="minor"/>
          </rPr>
          <t>[use cout/cin not printf/scanf]</t>
        </r>
      </text>
    </comment>
    <comment ref="A977" authorId="0" shapeId="0" xr:uid="{00000000-0006-0000-0500-000048000000}">
      <text>
        <r>
          <rPr>
            <sz val="10"/>
            <color rgb="FF000000"/>
            <rFont val="Arial"/>
            <scheme val="minor"/>
          </rPr>
          <t>You may solve CSA41-E first</t>
        </r>
      </text>
    </comment>
    <comment ref="A999" authorId="0" shapeId="0" xr:uid="{00000000-0006-0000-0500-000049000000}">
      <text>
        <r>
          <rPr>
            <sz val="10"/>
            <color rgb="FF000000"/>
            <rFont val="Arial"/>
            <scheme val="minor"/>
          </rPr>
          <t>Problem was available on https://oj.uz/problem/view/IOI10_saveit (e.g. see old submissions), then server disabled it!
IO in case: https://ioi2010.org/CompetitionTask.shtml</t>
        </r>
      </text>
    </comment>
    <comment ref="A1144" authorId="0" shapeId="0" xr:uid="{00000000-0006-0000-0500-00004A000000}">
      <text>
        <r>
          <rPr>
            <sz val="10"/>
            <color rgb="FF000000"/>
            <rFont val="Arial"/>
            <scheme val="minor"/>
          </rPr>
          <t>Use google translate
NOTE:  "\n" in end of file is required for AC</t>
        </r>
      </text>
    </comment>
    <comment ref="A1155" authorId="0" shapeId="0" xr:uid="{00000000-0006-0000-0500-00004B000000}">
      <text>
        <r>
          <rPr>
            <sz val="10"/>
            <color rgb="FF000000"/>
            <rFont val="Arial"/>
            <scheme val="minor"/>
          </rPr>
          <t>From google translated statement you may think that the first player can take any cake he wants and the rule of taking a cake next to some already taken cake didnt apply. This is not the case</t>
        </r>
      </text>
    </comment>
    <comment ref="D1472" authorId="0" shapeId="0" xr:uid="{00000000-0006-0000-0500-00004C000000}">
      <text>
        <r>
          <rPr>
            <sz val="10"/>
            <color rgb="FF000000"/>
            <rFont val="Arial"/>
            <scheme val="minor"/>
          </rPr>
          <t>https://github.com/sofhiasouza/CompetitiveProgramming/blob/master/POI/banks.cpp</t>
        </r>
      </text>
    </comment>
    <comment ref="A1482" authorId="0" shapeId="0" xr:uid="{00000000-0006-0000-0500-00004D000000}">
      <text>
        <r>
          <rPr>
            <sz val="10"/>
            <color rgb="FF000000"/>
            <rFont val="Arial"/>
            <scheme val="minor"/>
          </rPr>
          <t xml:space="preserve">WARNING. A lot of precision issues. You may try using EPS of 1e-9   and use long doubles. At least worked well in 1 solution. </t>
        </r>
      </text>
    </comment>
    <comment ref="A1555" authorId="0" shapeId="0" xr:uid="{00000000-0006-0000-0500-00004E000000}">
      <text>
        <r>
          <rPr>
            <sz val="10"/>
            <color rgb="FF000000"/>
            <rFont val="Arial"/>
            <scheme val="minor"/>
          </rPr>
          <t>bigger constraints than POI 11 rot problem. For editorials, see rot</t>
        </r>
      </text>
    </comment>
    <comment ref="D1754" authorId="0" shapeId="0" xr:uid="{00000000-0006-0000-0500-00004F000000}">
      <text>
        <r>
          <rPr>
            <sz val="10"/>
            <color rgb="FF000000"/>
            <rFont val="Arial"/>
            <scheme val="minor"/>
          </rPr>
          <t>https://github.com/QuickSorting/CompetitiveProgramming/blob/master/Olympiad/USACO/USACO%2018mar-sortgold.cpp</t>
        </r>
      </text>
    </comment>
  </commentList>
</comments>
</file>

<file path=xl/sharedStrings.xml><?xml version="1.0" encoding="utf-8"?>
<sst xmlns="http://schemas.openxmlformats.org/spreadsheetml/2006/main" count="46768" uniqueCount="7812">
  <si>
    <t>What</t>
  </si>
  <si>
    <r>
      <rPr>
        <sz val="10"/>
        <color theme="1"/>
        <rFont val="Arial"/>
      </rPr>
      <t xml:space="preserve">- </t>
    </r>
    <r>
      <rPr>
        <b/>
        <sz val="10"/>
        <color theme="1"/>
        <rFont val="Arial"/>
      </rPr>
      <t>Problems Lists</t>
    </r>
    <r>
      <rPr>
        <sz val="10"/>
        <color theme="1"/>
        <rFont val="Arial"/>
      </rPr>
      <t xml:space="preserve"> Created by Dr Mostafa Saad Ibrahim (mostafa.saad.fci@gmail.com)
- These are the private problems lists for supervising my trainees for </t>
    </r>
    <r>
      <rPr>
        <b/>
        <sz val="10"/>
        <color rgb="FF0000FF"/>
        <rFont val="Arial"/>
      </rPr>
      <t>ICPC / Online Contests / IOI</t>
    </r>
    <r>
      <rPr>
        <sz val="10"/>
        <color theme="1"/>
        <rFont val="Arial"/>
      </rPr>
      <t>.
- I am releasing for the public in hope making trainees training much more efficient and effective
- Note: If you are a beginner, there is well-organized roadmap for a better start for you [links in end of page]</t>
    </r>
  </si>
  <si>
    <t>Latest Version</t>
  </si>
  <si>
    <t>Audience</t>
  </si>
  <si>
    <t xml:space="preserve">- Training for online contests, ICPC or IOI
- Searching for problems with specific categories
- Tired from 'automatic tools for ranking problems by difficulty'
- You train a lot but many problems are not that interesting or have duplicate ideas
</t>
  </si>
  <si>
    <r>
      <rPr>
        <b/>
        <sz val="12"/>
        <color theme="1"/>
        <rFont val="Arial"/>
      </rPr>
      <t xml:space="preserve">My Relevant 
</t>
    </r>
    <r>
      <rPr>
        <b/>
        <sz val="12"/>
        <color rgb="FF0000FF"/>
        <rFont val="Arial"/>
      </rPr>
      <t>UDEMY</t>
    </r>
    <r>
      <rPr>
        <b/>
        <sz val="12"/>
        <color theme="1"/>
        <rFont val="Arial"/>
      </rPr>
      <t xml:space="preserve"> courses</t>
    </r>
  </si>
  <si>
    <t>Coupons</t>
  </si>
  <si>
    <t>Mastering 4 critical SKILLS using C++ 17</t>
  </si>
  <si>
    <t xml:space="preserve">Mastering critical SKILLS in Data Structures using C++ </t>
  </si>
  <si>
    <t>Mastering 4 critical SKILLS using Python</t>
  </si>
  <si>
    <r>
      <rPr>
        <b/>
        <u/>
        <sz val="12"/>
        <color rgb="FF1155CC"/>
        <rFont val="Arial"/>
      </rPr>
      <t>Mastering critical SKILLS for</t>
    </r>
    <r>
      <rPr>
        <b/>
        <u/>
        <sz val="12"/>
        <color rgb="FF1155CC"/>
        <rFont val="Arial"/>
      </rPr>
      <t xml:space="preserve"> Algorithms in C++</t>
    </r>
  </si>
  <si>
    <r>
      <rPr>
        <b/>
        <u/>
        <sz val="12"/>
        <color rgb="FF1155CC"/>
        <rFont val="Arial"/>
      </rPr>
      <t xml:space="preserve">Mastering critical SKILLS for </t>
    </r>
    <r>
      <rPr>
        <b/>
        <u/>
        <sz val="12"/>
        <color rgb="FF1155CC"/>
        <rFont val="Arial"/>
      </rPr>
      <t>Cracking Coding Interviews</t>
    </r>
  </si>
  <si>
    <t>Background</t>
  </si>
  <si>
    <r>
      <t xml:space="preserve">During my weekly meetings with the PhD supervisor, I was inspired by launching an online program that I named </t>
    </r>
    <r>
      <rPr>
        <u/>
        <sz val="10"/>
        <color rgb="FF1155CC"/>
        <rFont val="Arial"/>
      </rPr>
      <t>Supervision</t>
    </r>
    <r>
      <rPr>
        <sz val="10"/>
        <color rgb="FF000000"/>
        <rFont val="Arial"/>
        <scheme val="minor"/>
      </rPr>
      <t xml:space="preserve">. Instead of the coaching style, my major role as a supervisor was to assign problems in the trainee </t>
    </r>
    <r>
      <rPr>
        <u/>
        <sz val="10"/>
        <color rgb="FF1155CC"/>
        <rFont val="Arial"/>
      </rPr>
      <t>sheet</t>
    </r>
    <r>
      <rPr>
        <sz val="10"/>
        <color rgb="FF000000"/>
        <rFont val="Arial"/>
        <scheme val="minor"/>
      </rPr>
      <t>. My goal was to assign problems that match the trainee level and enhance weak skills. As I don’t have to help technically in solving problems, and I don’t believe in the importance of that, I had much more time to supervise ~225 trainees. This gave me a unique opportunity to accumulate a huge amount of statistics and useful information from trainees about the tackled problems (~25k submissions). The program started in 2016 for Egyptians, in 2017 for Arabs and for international students since 2018.</t>
    </r>
  </si>
  <si>
    <t>Outcomes of supervision</t>
  </si>
  <si>
    <r>
      <t xml:space="preserve">Based on the received feedback from my trainees, I used to refine </t>
    </r>
    <r>
      <rPr>
        <u/>
        <sz val="10"/>
        <color rgb="FF1155CC"/>
        <rFont val="Arial"/>
      </rPr>
      <t>my vision</t>
    </r>
    <r>
      <rPr>
        <sz val="10"/>
        <color rgb="FF000000"/>
        <rFont val="Arial"/>
        <scheme val="minor"/>
      </rPr>
      <t xml:space="preserve"> for this program. I ended up with 2 big lists of problems: one for guys training toward IOI and another for ICPC/OnlineContest styles. Specifically 4 critical features:
</t>
    </r>
    <r>
      <rPr>
        <b/>
        <sz val="10"/>
        <rFont val="Arial"/>
      </rPr>
      <t>Problem difficulty level</t>
    </r>
    <r>
      <rPr>
        <sz val="10"/>
        <color rgb="FF000000"/>
        <rFont val="Arial"/>
        <scheme val="minor"/>
      </rPr>
      <t xml:space="preserve"> [1-10] per problem  is a manual weighted average of the assigned levels from my trainees’ sheets. A common complaint about 'online tools/ways for ranking problems by difficulty' is that they are not accurate. The issue is more severe for OI problems.
</t>
    </r>
    <r>
      <rPr>
        <b/>
        <sz val="10"/>
        <rFont val="Arial"/>
      </rPr>
      <t>Problem</t>
    </r>
    <r>
      <rPr>
        <sz val="10"/>
        <color rgb="FF000000"/>
        <rFont val="Arial"/>
        <scheme val="minor"/>
      </rPr>
      <t xml:space="preserve"> </t>
    </r>
    <r>
      <rPr>
        <b/>
        <sz val="10"/>
        <rFont val="Arial"/>
      </rPr>
      <t>importance</t>
    </r>
    <r>
      <rPr>
        <sz val="10"/>
        <color rgb="FF000000"/>
        <rFont val="Arial"/>
        <scheme val="minor"/>
      </rPr>
      <t xml:space="preserve"> </t>
    </r>
    <r>
      <rPr>
        <b/>
        <sz val="10"/>
        <rFont val="Arial"/>
      </rPr>
      <t>level</t>
    </r>
    <r>
      <rPr>
        <sz val="10"/>
        <color rgb="FF000000"/>
        <rFont val="Arial"/>
        <scheme val="minor"/>
      </rPr>
      <t xml:space="preserve">: ~ 5 levels (important, very interesting, interesting, good, normal/boring/repeated). Trainees solve a lot of problems that many of them are repeated or boring ideas. To maximize the training outcomes, one should train on unique/interesting ideas much more. Something that most of us can’t figure out easily.
</t>
    </r>
    <r>
      <rPr>
        <b/>
        <sz val="10"/>
        <rFont val="Arial"/>
      </rPr>
      <t>Editorials</t>
    </r>
    <r>
      <rPr>
        <sz val="10"/>
        <color rgb="FF000000"/>
        <rFont val="Arial"/>
        <scheme val="minor"/>
      </rPr>
      <t xml:space="preserve">. Many interesting problems may not have editorials (or have hard to understand editorials). I used to ask trainees to write some summary of how they solved a problem. Circulating these editorials between my trainees made it easy for them to get problems solved.
</t>
    </r>
    <r>
      <rPr>
        <b/>
        <sz val="10"/>
        <rFont val="Arial"/>
      </rPr>
      <t>Submissions info</t>
    </r>
    <r>
      <rPr>
        <sz val="10"/>
        <color rgb="FF000000"/>
        <rFont val="Arial"/>
        <scheme val="minor"/>
      </rPr>
      <t>: In Trainees Submissions page, ~25k submissions of my trainees. Per problem info (status, submissions count, times for reading/thinking/coding/debugging, category, subjective level, and a comment. You may use it to know some details about how others performed with the solved problem.</t>
    </r>
    <r>
      <rPr>
        <u/>
        <sz val="10"/>
        <color rgb="FF1155CC"/>
        <rFont val="Arial"/>
      </rPr>
      <t xml:space="preserve">
</t>
    </r>
  </si>
  <si>
    <t>Problem Level</t>
  </si>
  <si>
    <r>
      <rPr>
        <sz val="10"/>
        <color theme="1"/>
        <rFont val="Arial"/>
      </rPr>
      <t xml:space="preserve">In column C, you will find the problem diffculty. I tried to rate a problem relative to </t>
    </r>
    <r>
      <rPr>
        <b/>
        <sz val="10"/>
        <color theme="1"/>
        <rFont val="Arial"/>
      </rPr>
      <t>CodeForces</t>
    </r>
    <r>
      <rPr>
        <sz val="10"/>
        <color theme="1"/>
        <rFont val="Arial"/>
      </rPr>
      <t xml:space="preserve"> levels as following:
CF-Div2-A =&gt; 1 - 2
CF-Div2-B =&gt; 1.5 - 3
CF-Div2-C =&gt; 3 - 5.5
CF-Div2-D =&gt; 5 - 6.5
CF-Div2-E =&gt; 6 - 7.5
CF-Div1-D =&gt; 7 - 8.5
CF-Div1-E =&gt; 8 - 9.75
As a fact, I did not solve most of the problems. My trainees did for many of them. Based on that, I tried manually to put a level for the problem. Since the middle of 2018, all my trainees found most of the problems of the right level relative to their skills. I can say this column now is accurate to some extent.
To what degree you can trust it? In columns G and H, how many trainees tried to solve the problem and how many ones of them couldn't solve it. The more trainees solved the problem, the more accurate the measure. A problem with empty numbers means no one solved it. I used some online measures to do the early estimation but never assigned to a trainee.
</t>
    </r>
  </si>
  <si>
    <t>Problem Importance</t>
  </si>
  <si>
    <t xml:space="preserve">- In column F: 5 different values for importance from P5 to P1 ((important, very interesting, interesting, good, ok, normal/boring/repeated). The empty value is unknown or normal.
- Sometimes you find value v. E.g. v2. This is a variance indicator to indicate a kind of variance in difficulty for trainees when solving this problem. You may ignore it
- Important note: let's say someone is doing well in Div1-D problema (e.g. his level is 7.5). He selected a problem of P5 (important) &amp; level 6. He will solve it fast and probably find it a normal problem. On the other side, if someone who is good in Div2-D (e.g. his level is 5.5), he will find the same problem very interesting and a must to solve a problem.
</t>
  </si>
  <si>
    <t>Problem Category</t>
  </si>
  <si>
    <t xml:space="preserve">- In Categories page, you will find a lot of specific categories. Use the [id] to search in the sheets for a specific category
</t>
  </si>
  <si>
    <t>How to train</t>
  </si>
  <si>
    <r>
      <rPr>
        <sz val="10"/>
        <color theme="1"/>
        <rFont val="Arial"/>
      </rPr>
      <t xml:space="preserve">- There are 2 lists: General (For ICPC &amp; Online Contests) and another for IOI training
- For each list, there are 2 copies: one for problems sorted </t>
    </r>
    <r>
      <rPr>
        <b/>
        <sz val="10"/>
        <color theme="1"/>
        <rFont val="Arial"/>
      </rPr>
      <t>by the category</t>
    </r>
    <r>
      <rPr>
        <sz val="10"/>
        <color theme="1"/>
        <rFont val="Arial"/>
      </rPr>
      <t xml:space="preserve"> (then by level, then by importance). Another sorted </t>
    </r>
    <r>
      <rPr>
        <b/>
        <sz val="10"/>
        <color theme="1"/>
        <rFont val="Arial"/>
      </rPr>
      <t>by level</t>
    </r>
    <r>
      <rPr>
        <sz val="10"/>
        <color theme="1"/>
        <rFont val="Arial"/>
      </rPr>
      <t xml:space="preserve">.
- I used to train my trainees </t>
    </r>
    <r>
      <rPr>
        <b/>
        <sz val="10"/>
        <color theme="1"/>
        <rFont val="Arial"/>
      </rPr>
      <t>by level</t>
    </r>
    <r>
      <rPr>
        <sz val="10"/>
        <color theme="1"/>
        <rFont val="Arial"/>
      </rPr>
      <t xml:space="preserve">. If the trainee's level is 6.5, I sample problems of level 6.25 to 6.75 of P5/P4/P3 ratings.
- A good distribution might be as following:
-- 10% problems below your level: for speed training and confidence
-- 20% problems at your level: for sharpening coding skills 
-- 60% problems slightly above your level: for growth
-- 10% problems way above your level: to remind you that the path is still long and to give you more fresh ideas
- I recommend to think up to 60-120 minutes, then check out the editorials. For 10-20% of your problems, you 'may' try up to 3-4 hours
- I am totally ok that they don't get most problems by themselves as long as they can solve them using editorials eventually 
- Even if you don't target IOI, many OI problems are worth solving. Many trainees found them much valuable.
- How to know your level?: Investigate your </t>
    </r>
    <r>
      <rPr>
        <b/>
        <sz val="10"/>
        <color theme="1"/>
        <rFont val="Arial"/>
      </rPr>
      <t>offline</t>
    </r>
    <r>
      <rPr>
        <sz val="10"/>
        <color theme="1"/>
        <rFont val="Arial"/>
      </rPr>
      <t xml:space="preserve"> solving skills in Codeforces. E.g. If you can solve in 2 hours Div2-E problem, then your level is ~6.5
- 7+ is a hard level in the sheet.
- Note, there is also another view for IOI by contest, where problems are grouped by the contest itself. This should help you figure out the popular topics in this contest.</t>
    </r>
  </si>
  <si>
    <t>Help improve the content</t>
  </si>
  <si>
    <r>
      <rPr>
        <sz val="10"/>
        <color theme="1"/>
        <rFont val="Arial"/>
      </rPr>
      <t xml:space="preserve">- Found a dead link or a comment on a specific row, right click on row and select </t>
    </r>
    <r>
      <rPr>
        <b/>
        <sz val="10"/>
        <color theme="1"/>
        <rFont val="Arial"/>
      </rPr>
      <t xml:space="preserve">comment </t>
    </r>
    <r>
      <rPr>
        <sz val="10"/>
        <color theme="1"/>
        <rFont val="Arial"/>
      </rPr>
      <t xml:space="preserve">from the menu 
- Wrote an editorial for a relevant problem? Put it on online (e.g. ur Github). Insert </t>
    </r>
    <r>
      <rPr>
        <b/>
        <sz val="10"/>
        <color theme="1"/>
        <rFont val="Arial"/>
      </rPr>
      <t>comment</t>
    </r>
    <r>
      <rPr>
        <sz val="10"/>
        <color theme="1"/>
        <rFont val="Arial"/>
      </rPr>
      <t xml:space="preserve"> with link
- If people misused the comment feature, I will have to disable it.
- Have a suggestion? Enhancement? Email me (mostafa.saad.fci@gmail.com)
</t>
    </r>
  </si>
  <si>
    <t>Other relevant resources by me</t>
  </si>
  <si>
    <t>Arabic Youtube Channel for competitive programming</t>
  </si>
  <si>
    <t>English text of the channel on github</t>
  </si>
  <si>
    <t>IOI/OJs official solutions/Mini-Editorials in a single repo</t>
  </si>
  <si>
    <t>Training roadmap for newcomers</t>
  </si>
  <si>
    <t>Training Individual Sheet</t>
  </si>
  <si>
    <t>Video: Psychological Concerns in CP</t>
  </si>
  <si>
    <t>History of my Supervision</t>
  </si>
  <si>
    <t>More about me</t>
  </si>
  <si>
    <t xml:space="preserve">Acknowledgement: I would like to thank all the trainees who was part of this program. Without them, such lists will never exist. </t>
  </si>
  <si>
    <t>Top Contributors in the supervision (my assigned problems + their own additions; AC or not)</t>
  </si>
  <si>
    <t>#submissions (AC+!AC) - Name</t>
  </si>
  <si>
    <t>981 MohamedNasser</t>
  </si>
  <si>
    <t>844 MagdyHassan</t>
  </si>
  <si>
    <t>811 MariamAlshereef</t>
  </si>
  <si>
    <t>752 StefanDascalescu</t>
  </si>
  <si>
    <t>537 AbdelrahmanMounir</t>
  </si>
  <si>
    <t>494 MohamedBakry</t>
  </si>
  <si>
    <t>459 WilliamLin</t>
  </si>
  <si>
    <t>433 UtsavRajpara</t>
  </si>
  <si>
    <t>428 AhmedSamir</t>
  </si>
  <si>
    <t>388 MoahmedEmad</t>
  </si>
  <si>
    <t>378 LucioCardoso</t>
  </si>
  <si>
    <t>352 AhmedHussnien</t>
  </si>
  <si>
    <t>332 AymanSalah</t>
  </si>
  <si>
    <t>331 MohamedAhmedNabil</t>
  </si>
  <si>
    <t>304 VasilevDaniil</t>
  </si>
  <si>
    <t>299 yazanAlzebak</t>
  </si>
  <si>
    <t>297 MichaelMounirFathi</t>
  </si>
  <si>
    <t>276 AhmedRamadan</t>
  </si>
  <si>
    <t>267 TranLoc</t>
  </si>
  <si>
    <t>267 AhmedGamalAbdelzaher</t>
  </si>
  <si>
    <t>262 NikolaPesic</t>
  </si>
  <si>
    <t>262 ZeyadKhattab</t>
  </si>
  <si>
    <t>252 MohamedAnany</t>
  </si>
  <si>
    <t>251 NathanWang</t>
  </si>
  <si>
    <t>248 AmrAhmedMaghraby</t>
  </si>
  <si>
    <t>247 OmarSaleh</t>
  </si>
  <si>
    <t>243 LtifiMohammed</t>
  </si>
  <si>
    <t>235 EldarUrmanov</t>
  </si>
  <si>
    <t>230 Engy</t>
  </si>
  <si>
    <t>226 NguyenTanbao</t>
  </si>
  <si>
    <t>226 HosamEissa</t>
  </si>
  <si>
    <t>221 Heshamsellat</t>
  </si>
  <si>
    <t>213 ShashankYadav</t>
  </si>
  <si>
    <t>212 AmrMohamedHosny</t>
  </si>
  <si>
    <t>212 AliHamdi</t>
  </si>
  <si>
    <t>204 AmrHassan</t>
  </si>
  <si>
    <t>191 MohamedTahan</t>
  </si>
  <si>
    <t>189 WaleedAbdelhakim</t>
  </si>
  <si>
    <t>189 PranavJangir</t>
  </si>
  <si>
    <t>189 Pongsaphol</t>
  </si>
  <si>
    <t>178 AhmadMadany</t>
  </si>
  <si>
    <t>178 YoussefElSayed</t>
  </si>
  <si>
    <t>176 MosabFathy</t>
  </si>
  <si>
    <t>173 SchwinnSaereesitthipitak</t>
  </si>
  <si>
    <t>160 MahmoudAli</t>
  </si>
  <si>
    <t>158 MiguelMini</t>
  </si>
  <si>
    <t>157 AliMagdeHafez</t>
  </si>
  <si>
    <t>154 AndiQu</t>
  </si>
  <si>
    <t>154 AbdullaAshraf</t>
  </si>
  <si>
    <t>149 AhmedIbrahim</t>
  </si>
  <si>
    <t>146 SaraElkady</t>
  </si>
  <si>
    <t>143 KhalidRamdan</t>
  </si>
  <si>
    <t>138 AbdalrhmanZboon</t>
  </si>
  <si>
    <t>137 ViktorKozhuharov</t>
  </si>
  <si>
    <t>136 HugoGarcia</t>
  </si>
  <si>
    <t>132 Omarkharouba</t>
  </si>
  <si>
    <t>132 Ildar</t>
  </si>
  <si>
    <t>128 ViktorLucic</t>
  </si>
  <si>
    <t>128 KhalidKee</t>
  </si>
  <si>
    <t>128 MinaAmirSadek</t>
  </si>
  <si>
    <t>127 Hosamkamal</t>
  </si>
  <si>
    <t>123 AhmedZaher</t>
  </si>
  <si>
    <t>121 RahulGoswami</t>
  </si>
  <si>
    <t>119 HelikThacker</t>
  </si>
  <si>
    <t>115 OssamaHatem</t>
  </si>
  <si>
    <t>112 WalidSadallah</t>
  </si>
  <si>
    <t>111 YazanRihani</t>
  </si>
  <si>
    <t>111 AviroopPal</t>
  </si>
  <si>
    <t>107 HussienIbrahiem</t>
  </si>
  <si>
    <t>104 Swapnil</t>
  </si>
  <si>
    <t>100 BesherIslambouley</t>
  </si>
  <si>
    <t>100 RiyaArora</t>
  </si>
  <si>
    <t>Special thanks for MagdyHassan &amp; MariamAlshereef: first 2 trainees to finish the juniors sheet.</t>
  </si>
  <si>
    <t>Special thanks for KhalidKee &amp; KhalidRamdan: my first batch in 2016. Supervision's quality was a bit frustrating.</t>
  </si>
  <si>
    <t xml:space="preserve">Special thanks for MohamedNasser: the most active candidate in 2017 </t>
  </si>
  <si>
    <t xml:space="preserve">Special thanks for StefanDascalescu: the most active IOIer, joined in Oct 2018 </t>
  </si>
  <si>
    <t>Special thanks for Tim Postuvan. My first IOIer trainee. Helped me with a lot of information about IOI and his past solved problems</t>
  </si>
  <si>
    <t>Problem Name</t>
  </si>
  <si>
    <t>Category</t>
  </si>
  <si>
    <t>level</t>
  </si>
  <si>
    <t>Sol</t>
  </si>
  <si>
    <t>Category ID</t>
  </si>
  <si>
    <t>Importance</t>
  </si>
  <si>
    <t>Can't solve</t>
  </si>
  <si>
    <t>Tried to solve</t>
  </si>
  <si>
    <t>LIVEARCHIVE 2236</t>
  </si>
  <si>
    <t>ad-hoc</t>
  </si>
  <si>
    <t>[1]</t>
  </si>
  <si>
    <t>LIVEARCHIVE 7156</t>
  </si>
  <si>
    <t>LIVEARCHIVE 4121</t>
  </si>
  <si>
    <t>LIVEARCHIVE 2993</t>
  </si>
  <si>
    <t>LIVEARCHIVE 3568</t>
  </si>
  <si>
    <t>LIVEARCHIVE 4785</t>
  </si>
  <si>
    <t>LIVEARCHIVE 7162</t>
  </si>
  <si>
    <t>LIVEARCHIVE 7588</t>
  </si>
  <si>
    <t>ad-hoc, analysis</t>
  </si>
  <si>
    <t>LIVEARCHIVE 2480</t>
  </si>
  <si>
    <t>ad-hoc, annoying</t>
  </si>
  <si>
    <t>ad-hoc, games, bipartite graphs, combinatorics, [https://people.eecs.berkeley.edu/~vitchyr/chomp_the_graph.pdf,Upsolving from regional contest. Only solved it after having found the key idea from a 2011 paper. With that out of the way, this is easy. But otherwise this is definitely one of the hardest problem during contest.]</t>
  </si>
  <si>
    <t>LIVEARCHIVE 2998</t>
  </si>
  <si>
    <t>ad-hoc, constructive</t>
  </si>
  <si>
    <t>p3</t>
  </si>
  <si>
    <t>ad-hoc, constructive, probability, bits</t>
  </si>
  <si>
    <t>LIVEARCHIVE 6397</t>
  </si>
  <si>
    <t>LIVEARCHIVE 6770</t>
  </si>
  <si>
    <t>ad-hoc, analysis, precalc</t>
  </si>
  <si>
    <t>ad-hoc, hamiltonian, impl</t>
  </si>
  <si>
    <t>LIVEARCHIVE 6774</t>
  </si>
  <si>
    <t>ad-hoc, hashing</t>
  </si>
  <si>
    <t>ad-hoc, impl</t>
  </si>
  <si>
    <t>LIVEARCHIVE 8045</t>
  </si>
  <si>
    <t>ad-hoc, observations</t>
  </si>
  <si>
    <t>LIVEARCHIVE 3567</t>
  </si>
  <si>
    <t>ad-hoc, observations, divisors</t>
  </si>
  <si>
    <t>ad-hoc, probability, combinatorics</t>
  </si>
  <si>
    <t>ad-hoc, d&amp;c, quick select, interactive</t>
  </si>
  <si>
    <t>p4</t>
  </si>
  <si>
    <t>ad-hoc, binary search, observations, [1. reversing the operations 2. using the fact that when x&gt;=y, x%y&lt;x/2, so modding a number only happens log times before it becomes 1.]</t>
  </si>
  <si>
    <t>ad-hoc, observations, [3x3 matrix rotate, invariants]</t>
  </si>
  <si>
    <t>ad-hoc, preprocess, prefix sum, binary search</t>
  </si>
  <si>
    <t xml:space="preserve">ad-hoc, bitset or bf or suffix array, kmp </t>
  </si>
  <si>
    <t>ad-hoc, probability, bitset, interactive</t>
  </si>
  <si>
    <t>LIVEARCHIVE 4786</t>
  </si>
  <si>
    <t>LIVEARCHIVE 6037</t>
  </si>
  <si>
    <t>ad-hoc, analysis, simulation</t>
  </si>
  <si>
    <t>ad-hoc, constructive, induction trick</t>
  </si>
  <si>
    <t>LIVEARCHIVE 7580</t>
  </si>
  <si>
    <t>ad-hoc or bf, binary search</t>
  </si>
  <si>
    <t>LIVEARCHIVE 2239</t>
  </si>
  <si>
    <t>ad-hoc, graph, recursion, [hard text]</t>
  </si>
  <si>
    <t>ad-hoc, bitmasks, [Cool use of bitmasks]</t>
  </si>
  <si>
    <t>ad-hoc, constructive, interactive</t>
  </si>
  <si>
    <t>ad-hoc, graph, constructive</t>
  </si>
  <si>
    <t>ad-hoc, constructive, d&amp;c, [permutations]</t>
  </si>
  <si>
    <t>ad-hoc, Manhattan2DRotation, sweep ine, range query, [meeting point], For rotation trick, solve CF124-D2-D first</t>
  </si>
  <si>
    <t>p5</t>
  </si>
  <si>
    <t>ad-hoc, constructive or misc</t>
  </si>
  <si>
    <t>ad-hoc, constructive, hamiltonian path, cases</t>
  </si>
  <si>
    <t>ad-hoc, permutation, randomization, [https://github.com/DrSchwad/CompetitiveProgramming/blob/master/CodeForces/CF102154-GYM-C.cpp]</t>
  </si>
  <si>
    <t>ad-hoc, constructive, shortest paths count, greedy, fibonacci numbers, binary representation, zeckendorf's theorem, partition problem</t>
  </si>
  <si>
    <t>ad-hoc, greedy, math</t>
  </si>
  <si>
    <t>ad-hoc, simulation, observation or math, sqrt optimizations</t>
  </si>
  <si>
    <t>SRM675-D1-500</t>
  </si>
  <si>
    <t>ad-hoc, sqrt blocks</t>
  </si>
  <si>
    <t>ad-hoc, constructive, patterns</t>
  </si>
  <si>
    <t>ad-hoc, constructive algorithms</t>
  </si>
  <si>
    <t>ad-hoc, interactive, binary search</t>
  </si>
  <si>
    <t>SRM541-D1-500</t>
  </si>
  <si>
    <t>ad-hoc, string processing, greedy or dp</t>
  </si>
  <si>
    <t>ad-hoc, two pointers, [https://github.com/DrSchwad/CompetitiveProgramming/blob/master/CodeForces/CF102147-GYM-D.cpp]</t>
  </si>
  <si>
    <t>ad-hoc, bf, hashing, sqrt</t>
  </si>
  <si>
    <t>ad-hoc, bitmasks, binary search, constructive</t>
  </si>
  <si>
    <t>ad-hoc, constructive, sortings, impl</t>
  </si>
  <si>
    <t>ad-hoc, divisors, formula, impl, [cases]</t>
  </si>
  <si>
    <t>ad-hoc, constructive, game</t>
  </si>
  <si>
    <t>ad-hoc, Manhattan2DRotation*, number theory</t>
  </si>
  <si>
    <t>UVA 1406</t>
  </si>
  <si>
    <t>ad-hoc, bitmasks or dp</t>
  </si>
  <si>
    <t>p3 v2</t>
  </si>
  <si>
    <t>ad-hoc or dp, binary search, math</t>
  </si>
  <si>
    <t>ad-hoc, math, interactive</t>
  </si>
  <si>
    <t>ACMWF19-D</t>
  </si>
  <si>
    <t>ad-hoc, difference array</t>
  </si>
  <si>
    <t>p2</t>
  </si>
  <si>
    <t>SRM333-D1-500</t>
  </si>
  <si>
    <t>SRM480-D2-1000</t>
  </si>
  <si>
    <t>ad-hoc, Blagewoosh#6trick, Interactive</t>
  </si>
  <si>
    <t>UVA 12946</t>
  </si>
  <si>
    <t>ad-hoc, complex number class</t>
  </si>
  <si>
    <t>ad-hoc, constructive, math, proof, [The reason why this works is that when the final k%n steps happen, no value increases up to n (because each one would need n-i and r &lt; n-i)]</t>
  </si>
  <si>
    <t>ad-hoc or sqrt decomposition, [repeated idea]</t>
  </si>
  <si>
    <t>ad-hoc, constructive, ranomization, cases or misc</t>
  </si>
  <si>
    <t>ad-hoc, d&amp;c, interactive</t>
  </si>
  <si>
    <t>ad-hoc, Manhattan2DRotation, observation</t>
  </si>
  <si>
    <t>ad-hoc, sorting</t>
  </si>
  <si>
    <t>ad-hoc, constructive, impl</t>
  </si>
  <si>
    <t>SRM432-D1-500</t>
  </si>
  <si>
    <t>ad-hoc, greedy or topo sort, [cases]</t>
  </si>
  <si>
    <t>ad-hoc, prefix sum, impl</t>
  </si>
  <si>
    <t>ad-hock, greedy</t>
  </si>
  <si>
    <t>LIVEARCHIVE 2996</t>
  </si>
  <si>
    <t>ad-hoc, precalc, bf, [multiview]</t>
  </si>
  <si>
    <t>LIVEARCHIVE 3695</t>
  </si>
  <si>
    <t>ad-hoc, prefix sum, geometry</t>
  </si>
  <si>
    <t>LIVEARCHIVE 2726</t>
  </si>
  <si>
    <t>ad-hoc, quad tree or impl, recursion</t>
  </si>
  <si>
    <t>ad-hoc, bitmasks, parsing or topological sort</t>
  </si>
  <si>
    <t>SPOJ PARSUMS</t>
  </si>
  <si>
    <t>ad-hoc, cyclic shifts, partial sum or segment tree</t>
  </si>
  <si>
    <t>p2 v3</t>
  </si>
  <si>
    <t>ad-hoc or ternary search ?</t>
  </si>
  <si>
    <t>v2</t>
  </si>
  <si>
    <t>SPOJ PAIRSUM</t>
  </si>
  <si>
    <t>ad-hoc, preprocess, prefix sum</t>
  </si>
  <si>
    <t>ad-hoc, sortings, overflow, greedy, math</t>
  </si>
  <si>
    <t>ad-hoc, binary search, bitmasks or rmq</t>
  </si>
  <si>
    <t>ad-hoc, bitmasks, constructive</t>
  </si>
  <si>
    <t>SPOJ UCBINTC</t>
  </si>
  <si>
    <t>ad-hoc, bitset, math</t>
  </si>
  <si>
    <t>ad-hoc, set</t>
  </si>
  <si>
    <t>CF100488-GYM-M</t>
  </si>
  <si>
    <t>SRM321-D1-500</t>
  </si>
  <si>
    <t>ad-hoc, sorting, [print the smallest lexicographically]</t>
  </si>
  <si>
    <t>See Rushiose's code in arena summary</t>
  </si>
  <si>
    <t>p1</t>
  </si>
  <si>
    <t>SRM174-D1-500</t>
  </si>
  <si>
    <t>ad-hoc, math, strings</t>
  </si>
  <si>
    <t>ad-hoc, prefix sum</t>
  </si>
  <si>
    <t>LIVEARCHIVE 5454</t>
  </si>
  <si>
    <t>ad-hoc, [cases, boring]</t>
  </si>
  <si>
    <t>SRM576-D2-1000</t>
  </si>
  <si>
    <t>ad-hoc, counting</t>
  </si>
  <si>
    <t>UVA 1727</t>
  </si>
  <si>
    <t>ad-hoc, days</t>
  </si>
  <si>
    <t>ad-hoc, recursion, impl</t>
  </si>
  <si>
    <t>ZOJ 3713</t>
  </si>
  <si>
    <t>ad-hoc, string, convert to hex, impl</t>
  </si>
  <si>
    <t>v3</t>
  </si>
  <si>
    <t>TIMUS 1689</t>
  </si>
  <si>
    <t>ad-hoc, sorting or fb</t>
  </si>
  <si>
    <t>ad-hoc ,math</t>
  </si>
  <si>
    <t>SPOJ KOMPICI</t>
  </si>
  <si>
    <t>ad-hoc, bitmasks, [=SPOJ IITKWPCH]</t>
  </si>
  <si>
    <t>SRM274-D1-500</t>
  </si>
  <si>
    <t>ad-hoc, canonical form, bf or greedy</t>
  </si>
  <si>
    <t>UVA 10920</t>
  </si>
  <si>
    <t>ad-hoc, coordinate systems, math or simulation, [spiral grid]</t>
  </si>
  <si>
    <t>UVA 10774</t>
  </si>
  <si>
    <t>ad-hoc, jouseph or dp_ad-hoc</t>
  </si>
  <si>
    <t>ad-hoc, constructive, [cases]</t>
  </si>
  <si>
    <t>ad-hoc, string prefix</t>
  </si>
  <si>
    <t>LIVEARCHIVE 2325</t>
  </si>
  <si>
    <t>ad-hoc, math, sorting</t>
  </si>
  <si>
    <t>UVA 1726</t>
  </si>
  <si>
    <t>ad-hoc, string parsing</t>
  </si>
  <si>
    <t>SRM180-D1-500</t>
  </si>
  <si>
    <t>ad-hoc, strings</t>
  </si>
  <si>
    <t>SPOJ PLUSEVI</t>
  </si>
  <si>
    <t>ad-hoc, preprocess</t>
  </si>
  <si>
    <t>ad-hoc, string, math</t>
  </si>
  <si>
    <t>TIMUS 1212</t>
  </si>
  <si>
    <t>SRM155-D1-500</t>
  </si>
  <si>
    <t>ad-hoc, bitmasks, interactive</t>
  </si>
  <si>
    <t>ad-hoc, constructive, sweep or two pointers</t>
  </si>
  <si>
    <t>SPOJ TWINSNOW</t>
  </si>
  <si>
    <t>ad-hoc, canonical form, [unclear/incorrect text]</t>
  </si>
  <si>
    <t>ad-hoc, LL or dp</t>
  </si>
  <si>
    <t>ad-hoc, math</t>
  </si>
  <si>
    <t>SRM381-D2-1000</t>
  </si>
  <si>
    <t>ad-hoc, sorting, [bubble sort]</t>
  </si>
  <si>
    <t>SRM695-D2-500</t>
  </si>
  <si>
    <t>TIMUS 1350</t>
  </si>
  <si>
    <t>ad-hoc, [cases]</t>
  </si>
  <si>
    <t>ad-hoc, bitmasks</t>
  </si>
  <si>
    <t>ad-hoc, cases</t>
  </si>
  <si>
    <t>ad-hoc, greedy</t>
  </si>
  <si>
    <t>SPOJ MMINPER</t>
  </si>
  <si>
    <t>ad-hoc, permutation, inversions</t>
  </si>
  <si>
    <t>SRM202-D1-500</t>
  </si>
  <si>
    <t>ad-hoc, sorting, data structures, implementation</t>
  </si>
  <si>
    <t>SRM157-D1-500</t>
  </si>
  <si>
    <t>ad-hoc or bit</t>
  </si>
  <si>
    <t>ad-hoc or binary search</t>
  </si>
  <si>
    <t>SPOJ RANGESUM</t>
  </si>
  <si>
    <t>SRM324-D1-500</t>
  </si>
  <si>
    <t>ZOJ 3295</t>
  </si>
  <si>
    <t>ad-hoc, [WAs]</t>
  </si>
  <si>
    <t>SRM154-D1-500</t>
  </si>
  <si>
    <t>v1</t>
  </si>
  <si>
    <t>UVA 11053</t>
  </si>
  <si>
    <t>ad-hoc, cycle detection for Iterated function</t>
  </si>
  <si>
    <t>SPOJ MAIN8_E</t>
  </si>
  <si>
    <t>ad-hoc, string</t>
  </si>
  <si>
    <t>UVA 12155</t>
  </si>
  <si>
    <t>ad-hoc, chess</t>
  </si>
  <si>
    <t>SRM426-D2-500</t>
  </si>
  <si>
    <t>ad-hoc, cycle, probability</t>
  </si>
  <si>
    <t>TIMUS 1059</t>
  </si>
  <si>
    <t>ad-hoc, recursion, [Horner's rule]</t>
  </si>
  <si>
    <t>TIMUS 1100</t>
  </si>
  <si>
    <t>ad-hoc, stable sort</t>
  </si>
  <si>
    <t>UVA 12148</t>
  </si>
  <si>
    <t>ad-hoc, calender, leap year</t>
  </si>
  <si>
    <t>SPOJ LCPC12F</t>
  </si>
  <si>
    <t>Timus 1567</t>
  </si>
  <si>
    <t>UVA 12444</t>
  </si>
  <si>
    <t>UVA 1326</t>
  </si>
  <si>
    <t>SRM161-D1-500</t>
  </si>
  <si>
    <t>SPOJ CSUMQ</t>
  </si>
  <si>
    <t>ad-hoc, prefix sum or bit</t>
  </si>
  <si>
    <t>SRM164-D1-500</t>
  </si>
  <si>
    <t>ad-hoc, sorting or bit</t>
  </si>
  <si>
    <t>LIVEARCHIVE 8040</t>
  </si>
  <si>
    <t>bf, impl, [TLE]</t>
  </si>
  <si>
    <t>[2]</t>
  </si>
  <si>
    <t>SPOJ MAXISET</t>
  </si>
  <si>
    <t>bf, prune, impl</t>
  </si>
  <si>
    <t>UVA 1481</t>
  </si>
  <si>
    <t>bf, observation, [hard text]</t>
  </si>
  <si>
    <t>LIVEARCHIVE 4122</t>
  </si>
  <si>
    <t>bf, prune</t>
  </si>
  <si>
    <t>SRM500-D1-500</t>
  </si>
  <si>
    <t>bf, geometry, recursion, counting</t>
  </si>
  <si>
    <t>bf, impl</t>
  </si>
  <si>
    <t>LIVEARCHIVE 6401</t>
  </si>
  <si>
    <t>bf, optimizations</t>
  </si>
  <si>
    <t>SRM190-D1-500</t>
  </si>
  <si>
    <t>bf, [optimize using bitset]</t>
  </si>
  <si>
    <t>LIVEARCHIVE 6773</t>
  </si>
  <si>
    <t>bf, bitmasks</t>
  </si>
  <si>
    <t>SRM457-D2-1000</t>
  </si>
  <si>
    <t>bf, counting, backtrack</t>
  </si>
  <si>
    <t>SRM310-D1-1000</t>
  </si>
  <si>
    <t>bf, dp, sorting</t>
  </si>
  <si>
    <t>SRM552-D1-500</t>
  </si>
  <si>
    <t>bf, search</t>
  </si>
  <si>
    <t>UVA 1381</t>
  </si>
  <si>
    <t>bf, masks, summation</t>
  </si>
  <si>
    <t>SRM512-D1-500</t>
  </si>
  <si>
    <t>bf, math, search, impl</t>
  </si>
  <si>
    <t>p1 v3</t>
  </si>
  <si>
    <t>bf</t>
  </si>
  <si>
    <t>bf, datastructures</t>
  </si>
  <si>
    <t>bfs, dp</t>
  </si>
  <si>
    <t>bf, math, impl</t>
  </si>
  <si>
    <t>bf, number theory, [local verifications]</t>
  </si>
  <si>
    <t>SRM406-D1-500</t>
  </si>
  <si>
    <t>bf, greedy, induction, math or dp</t>
  </si>
  <si>
    <t>bf, bitmasks, constructuve, interactive, xor</t>
  </si>
  <si>
    <t>UVA 11699</t>
  </si>
  <si>
    <t>bf, bitmasks, impl</t>
  </si>
  <si>
    <t>SRM232-D1-500</t>
  </si>
  <si>
    <t>bf, bitmasks, search</t>
  </si>
  <si>
    <t>bf, implementation, simulation</t>
  </si>
  <si>
    <t>UVA 10568</t>
  </si>
  <si>
    <t>bf, all permutations, combination, generation, impl</t>
  </si>
  <si>
    <t>bf, impl, math, ad-hoc</t>
  </si>
  <si>
    <t>SRM514-D2-1000</t>
  </si>
  <si>
    <t>SRM224-D1-500</t>
  </si>
  <si>
    <t>bf, [restrict time]</t>
  </si>
  <si>
    <t>bf, expression parsing</t>
  </si>
  <si>
    <t>SRM574-D2-1000</t>
  </si>
  <si>
    <t>bf, geometry</t>
  </si>
  <si>
    <t>SRM579-D2-1000</t>
  </si>
  <si>
    <t>bf, geometry, search</t>
  </si>
  <si>
    <t>SRM291-D1-500</t>
  </si>
  <si>
    <t>bf, graph</t>
  </si>
  <si>
    <t>SRM506-D2-1000</t>
  </si>
  <si>
    <t>bf, graph, search</t>
  </si>
  <si>
    <t>bf, impl, number theory</t>
  </si>
  <si>
    <t>SRM409-D1-500</t>
  </si>
  <si>
    <t>bf, math</t>
  </si>
  <si>
    <t>SRM213-D1-500</t>
  </si>
  <si>
    <t>bf, math, strings</t>
  </si>
  <si>
    <t>SRM265-D1-500</t>
  </si>
  <si>
    <t>bf, greedy, geometry, [strict tle]</t>
  </si>
  <si>
    <t>SRM525-D1-500</t>
  </si>
  <si>
    <t>bf, graph, bitmasks</t>
  </si>
  <si>
    <t>SRM513-D2-1000</t>
  </si>
  <si>
    <t>bf or dp</t>
  </si>
  <si>
    <t>bf or greedy</t>
  </si>
  <si>
    <t>LIVEARCHIVE 3808</t>
  </si>
  <si>
    <t>bf, all permutations, [hard text]</t>
  </si>
  <si>
    <t>bf, impl, sortings</t>
  </si>
  <si>
    <t>bf, Manhattan2DRotation, prefix sum</t>
  </si>
  <si>
    <t>bf, hashing, impl, [Tricky Time Complexity - functions like fibonacci grow very fast.]</t>
  </si>
  <si>
    <t>bf, math, logs, [one solution use complex numbers], [https://github.com/ilyesLtifi/Competitive-Programming/blob/master/CodeForces/CF621-D2-D.cpp]</t>
  </si>
  <si>
    <t>UVA 12261</t>
  </si>
  <si>
    <t>bf, [cases]</t>
  </si>
  <si>
    <t>bf, bitmasks or dp_ad-hoc</t>
  </si>
  <si>
    <t>bf, impl, interactive</t>
  </si>
  <si>
    <t>bf, pigeonhole principle</t>
  </si>
  <si>
    <t>UVA 10705</t>
  </si>
  <si>
    <t>bf, prune, binary base, bitmasks</t>
  </si>
  <si>
    <t>bf, impl or greedy</t>
  </si>
  <si>
    <t>p2 v1</t>
  </si>
  <si>
    <t>bf, [Anany: harder version where m &lt;= 2e5 can be solved using treap]</t>
  </si>
  <si>
    <t>bf, combinatorics, impl, [cases]</t>
  </si>
  <si>
    <t>SRM207-D1-500</t>
  </si>
  <si>
    <t>UVA 11140</t>
  </si>
  <si>
    <t>UVA 11961</t>
  </si>
  <si>
    <t>SRM510-D2-1000</t>
  </si>
  <si>
    <t>bf or binary search</t>
  </si>
  <si>
    <t>TIMUS 1034</t>
  </si>
  <si>
    <t>bf, [chessboard]</t>
  </si>
  <si>
    <t>SRM409-D2-1000</t>
  </si>
  <si>
    <t>SRM527-D2-1000</t>
  </si>
  <si>
    <t>bf, greedy</t>
  </si>
  <si>
    <t>UVA 1640</t>
  </si>
  <si>
    <t>bf, math, repeated squaring</t>
  </si>
  <si>
    <t>SRM412-D2-1000</t>
  </si>
  <si>
    <t>bf, simulation, sorting, strings</t>
  </si>
  <si>
    <t>bf, sorting</t>
  </si>
  <si>
    <t>SRM522-D1-500</t>
  </si>
  <si>
    <t>SRM234-D1-500</t>
  </si>
  <si>
    <t>bf, recursion</t>
  </si>
  <si>
    <t>bf, combinatorics</t>
  </si>
  <si>
    <t>bf, impl, reverse thinking</t>
  </si>
  <si>
    <t>p1 v2</t>
  </si>
  <si>
    <t>SRM492-D2-500</t>
  </si>
  <si>
    <t>bf, constructive</t>
  </si>
  <si>
    <t>SRM451-D2-1000</t>
  </si>
  <si>
    <t>bf, greedy, math</t>
  </si>
  <si>
    <t>SRM393-D1-500</t>
  </si>
  <si>
    <t>UVA 11701</t>
  </si>
  <si>
    <t>bf, math_ad-hoc, impl</t>
  </si>
  <si>
    <t>bf, optimize</t>
  </si>
  <si>
    <t>SRM422-D2-1000</t>
  </si>
  <si>
    <t>UVA 565</t>
  </si>
  <si>
    <t>bf, bitmasks, np-complete, [TLEs]</t>
  </si>
  <si>
    <t>SRM466-D2-1000</t>
  </si>
  <si>
    <t>bf, sorting, strings</t>
  </si>
  <si>
    <t>bf, greedy, easy math or bfs</t>
  </si>
  <si>
    <t>bf, all perm, probability</t>
  </si>
  <si>
    <t>bf, observation</t>
  </si>
  <si>
    <t>bf, impl or bit , binary search</t>
  </si>
  <si>
    <t>UVA 11898</t>
  </si>
  <si>
    <t>bf, optimized, pigeonhole principle, [much processing but AC]</t>
  </si>
  <si>
    <t>SRM158-D1-500</t>
  </si>
  <si>
    <t>SRM168-D1-500</t>
  </si>
  <si>
    <t>SRM171-D1-500</t>
  </si>
  <si>
    <t>SRM181-D1-500</t>
  </si>
  <si>
    <t>SRM504-D2-1000</t>
  </si>
  <si>
    <t>SRM611-D2-1000</t>
  </si>
  <si>
    <t>UVA 12249</t>
  </si>
  <si>
    <t>SRM246-D1-500</t>
  </si>
  <si>
    <t>UVA 257</t>
  </si>
  <si>
    <t>SRM315-D1-500</t>
  </si>
  <si>
    <t>bf or segment tree or sqrt decomposition</t>
  </si>
  <si>
    <t>UVA 234</t>
  </si>
  <si>
    <t>bf, all permutations</t>
  </si>
  <si>
    <t>bf, constructive, impl</t>
  </si>
  <si>
    <t>UVA 12649</t>
  </si>
  <si>
    <t>SRM522-D2-1000</t>
  </si>
  <si>
    <t>SRM223-D1-500</t>
  </si>
  <si>
    <t>bf, primes</t>
  </si>
  <si>
    <t>SRM427-D2-1000</t>
  </si>
  <si>
    <t>bf, simulation, strings</t>
  </si>
  <si>
    <t>SRM366-D1-500</t>
  </si>
  <si>
    <t>SRM399-D2-1000</t>
  </si>
  <si>
    <t>UVA 418</t>
  </si>
  <si>
    <t>SRM262-D1-500</t>
  </si>
  <si>
    <t>bf, dice</t>
  </si>
  <si>
    <t>SRM592-D2-500</t>
  </si>
  <si>
    <t>bf, next_permutation</t>
  </si>
  <si>
    <t>SRM173-D1-500</t>
  </si>
  <si>
    <t>SRM182-D1-500</t>
  </si>
  <si>
    <t>SRM402-D1-500</t>
  </si>
  <si>
    <t>SRM504.5-D1-500</t>
  </si>
  <si>
    <t>UVA 11412</t>
  </si>
  <si>
    <t>SRM539-D2-500</t>
  </si>
  <si>
    <t>SRM445-D2-1000</t>
  </si>
  <si>
    <t>bf, bitmasks, math</t>
  </si>
  <si>
    <t>SRM156-D1-500</t>
  </si>
  <si>
    <t>UVA 1523</t>
  </si>
  <si>
    <t>SRM191-D1-500</t>
  </si>
  <si>
    <t>SRM148-D1-500</t>
  </si>
  <si>
    <t>UVA 1209</t>
  </si>
  <si>
    <t>bf, prev_permutation</t>
  </si>
  <si>
    <t>SRM251-D1-500</t>
  </si>
  <si>
    <t>bf, recursion, simulation</t>
  </si>
  <si>
    <t>SRM258-D1-500</t>
  </si>
  <si>
    <t>bf, strings</t>
  </si>
  <si>
    <t>LIVEARCHIVE 5222</t>
  </si>
  <si>
    <t>simulation</t>
  </si>
  <si>
    <t>[3]</t>
  </si>
  <si>
    <t>LIVEARCHIVE 2727</t>
  </si>
  <si>
    <t>simulation, [direct, tedious]</t>
  </si>
  <si>
    <t>LIVEARCHIVE 2723</t>
  </si>
  <si>
    <t>simulation, recusion, matrix</t>
  </si>
  <si>
    <t>SRM281-D1-500</t>
  </si>
  <si>
    <t>simulation, geometry, [abstract editorial]</t>
  </si>
  <si>
    <t>LIVEARCHIVE 3810</t>
  </si>
  <si>
    <t>simulation, physics</t>
  </si>
  <si>
    <t>simulation, cycles, constructive, [period based on bitwise operations], [https://github.com/stefdasca/CompetitiveProgramming/blob/master/AtCoder/AGC%20011/AtCoder011-AGC-D.cpp]</t>
  </si>
  <si>
    <t>SRM177-D1-500</t>
  </si>
  <si>
    <t>simulation, d&amp;c, proof</t>
  </si>
  <si>
    <t>SRM208-D1-500</t>
  </si>
  <si>
    <t>UVA 335</t>
  </si>
  <si>
    <t>simulation, math, impl, [~=CF1058-D2-E]</t>
  </si>
  <si>
    <t>simulation, math, impl</t>
  </si>
  <si>
    <t>SPOJ HITOMISS</t>
  </si>
  <si>
    <t>SRM152-D1-500</t>
  </si>
  <si>
    <t>SRM249-D1-500</t>
  </si>
  <si>
    <t>SRM293-D1-500</t>
  </si>
  <si>
    <t>SRM326-D2-1000</t>
  </si>
  <si>
    <t>SRM147-D1-500</t>
  </si>
  <si>
    <t>simulation, gcd</t>
  </si>
  <si>
    <t>LIVEARCHIVE 4446</t>
  </si>
  <si>
    <t>simulation, impl, gates</t>
  </si>
  <si>
    <t>UVA 1262</t>
  </si>
  <si>
    <t>simulation, backtrack, bitmkasks, counting</t>
  </si>
  <si>
    <t>LIVEARCHIVE 2724</t>
  </si>
  <si>
    <t>simulation, graph, bitmasks</t>
  </si>
  <si>
    <t>simulation, impl, stl</t>
  </si>
  <si>
    <t>SRM160-D1-500</t>
  </si>
  <si>
    <t>simulation, spiral</t>
  </si>
  <si>
    <t>TIMUS 1037</t>
  </si>
  <si>
    <t>simulation, datastructures</t>
  </si>
  <si>
    <t>p1 v1</t>
  </si>
  <si>
    <t>UVA 10315</t>
  </si>
  <si>
    <t>LIVEARCHIVE 3736</t>
  </si>
  <si>
    <t>simulation, impl, [hard impl]</t>
  </si>
  <si>
    <t>UVA 11036</t>
  </si>
  <si>
    <t>simulation, stack</t>
  </si>
  <si>
    <t>SRM469-D2-1000</t>
  </si>
  <si>
    <t>simulation or bf</t>
  </si>
  <si>
    <t>UVA 12598</t>
  </si>
  <si>
    <t>simulation, binary search, [observations to avoid TLE]</t>
  </si>
  <si>
    <t>SRM145-D1-500</t>
  </si>
  <si>
    <t>UVA 10134</t>
  </si>
  <si>
    <t>UVA 12608</t>
  </si>
  <si>
    <t>UVA 11860</t>
  </si>
  <si>
    <t>simulation, binary search, bf</t>
  </si>
  <si>
    <t>UVA 11230</t>
  </si>
  <si>
    <t>simulation, greedy</t>
  </si>
  <si>
    <t>SRM260-D1-500</t>
  </si>
  <si>
    <t>UVA 326</t>
  </si>
  <si>
    <t>simulation, optimization</t>
  </si>
  <si>
    <t>UVA 962</t>
  </si>
  <si>
    <t>simulation, preprocessing or precalculation</t>
  </si>
  <si>
    <t>SRM415-D2-1000</t>
  </si>
  <si>
    <t>LIVEARCHIVE 2232</t>
  </si>
  <si>
    <t>LIVEARCHIVE 2365</t>
  </si>
  <si>
    <t>simulation, [no constraints]</t>
  </si>
  <si>
    <t>UVA 13059</t>
  </si>
  <si>
    <t>simulation, math</t>
  </si>
  <si>
    <t>TIMUS 1638</t>
  </si>
  <si>
    <t>simulation, formula, [WAs, tricky]</t>
  </si>
  <si>
    <t>TIMUS 1607</t>
  </si>
  <si>
    <t>simulation, tricky, [WAs]</t>
  </si>
  <si>
    <t>SRM284-D1-500</t>
  </si>
  <si>
    <t>UVA 12750</t>
  </si>
  <si>
    <t>simulation, game theory, impl</t>
  </si>
  <si>
    <t>SRM151-D1-500</t>
  </si>
  <si>
    <t>simulation, sorting</t>
  </si>
  <si>
    <t>datastructures, binary search, two pointers</t>
  </si>
  <si>
    <t>[4]</t>
  </si>
  <si>
    <t>datastructures, persistence</t>
  </si>
  <si>
    <t>datastructures, binary lifting</t>
  </si>
  <si>
    <t>datastructures, stl, long impl or treap</t>
  </si>
  <si>
    <t>datastructures, stack, slope_trick, [simple if know slope trick], [https://github.com/tmwilliamlin168/CompetitiveProgramming/blob/master/AtCoder/R070-E.cpp]</t>
  </si>
  <si>
    <t>datastructures, d&amp;c, [small-to-large]</t>
  </si>
  <si>
    <t>datastructures, d&amp;c, impl or rmq</t>
  </si>
  <si>
    <t>datastructures, monotonic queue or bit or 2d rmq, [no editorial]</t>
  </si>
  <si>
    <t>SPOJ SFLIP</t>
  </si>
  <si>
    <t>datastructures, greedy or segment tree, subSegment ST, [Maximum sum of k-disjoint subarrays]</t>
  </si>
  <si>
    <t>datastructures, d&amp;c or segment tree, impl, [segment tree idea don't handle cases manually but longer]</t>
  </si>
  <si>
    <t>datastructures, greedy, stl, [prove]</t>
  </si>
  <si>
    <t>datastructures</t>
  </si>
  <si>
    <t>datastructures or 2d bit, offline processing</t>
  </si>
  <si>
    <t>datastructures, [several ways]</t>
  </si>
  <si>
    <t>datastructures, monotonic stack</t>
  </si>
  <si>
    <t>UVA 11997</t>
  </si>
  <si>
    <t>datastructures, heap, [counting subarrays with sum k, solve SPOJ ABA12E first]</t>
  </si>
  <si>
    <t>datastructures, binary search, greedy, [https://math.stackexchange.com/questions/1506675/k-th-subset-in-order-of-increasing-sum]</t>
  </si>
  <si>
    <t>datastructures, 2D linkedlist</t>
  </si>
  <si>
    <t>datastructures, inversions</t>
  </si>
  <si>
    <t>datastructures, set, impl</t>
  </si>
  <si>
    <t>datastructures, set, observations</t>
  </si>
  <si>
    <t>SPOJ FSEQ</t>
  </si>
  <si>
    <t>datastructures, stack or priority queue, fib, cycles, dp or segment tree, dp, [Me author, decomposition[</t>
  </si>
  <si>
    <t>datastructures, bst, impl</t>
  </si>
  <si>
    <t>datastructures, greedy</t>
  </si>
  <si>
    <t>datastructures, heap, sorting, sweep</t>
  </si>
  <si>
    <t>UVA 12674</t>
  </si>
  <si>
    <t>datastructures, stack or segment tree, lis</t>
  </si>
  <si>
    <t>datastructures, dequeue</t>
  </si>
  <si>
    <t>datastructures, hashing</t>
  </si>
  <si>
    <t>UVA 1153</t>
  </si>
  <si>
    <t>datastructures, heap, greedy</t>
  </si>
  <si>
    <t>datastructures, sweep</t>
  </si>
  <si>
    <t>datastructures, stack &amp; queue, [Postfix Expression]</t>
  </si>
  <si>
    <t>datastructures, set or segment tree</t>
  </si>
  <si>
    <t>datastructures, binary search</t>
  </si>
  <si>
    <t>p2 v2</t>
  </si>
  <si>
    <t>datastructures, stack or rmq or segment tree</t>
  </si>
  <si>
    <t>datastructures, careful impl</t>
  </si>
  <si>
    <t>datastructures, impl</t>
  </si>
  <si>
    <t>datastructures, linked list, impl</t>
  </si>
  <si>
    <t>datastructures, lists or sets merging</t>
  </si>
  <si>
    <t>UVA 12266</t>
  </si>
  <si>
    <t>datastructures, heap, max_min heap or ad-hoc</t>
  </si>
  <si>
    <t>datastructures, gcd or segment tree, persistent</t>
  </si>
  <si>
    <t>datastructures, heap, min_max heaps, [restricted tl, pq faster than multiset]</t>
  </si>
  <si>
    <t>CF1095-D3-E</t>
  </si>
  <si>
    <t>datastructures or rmq</t>
  </si>
  <si>
    <t>datastructures, d&amp;c or monotonic stack</t>
  </si>
  <si>
    <t>SPOJ RMID2</t>
  </si>
  <si>
    <t>datastructures, math, impl, [mn/mx heap]</t>
  </si>
  <si>
    <t>datastructures, set</t>
  </si>
  <si>
    <t>datastructures, heap, min_max or bbst or segment tree</t>
  </si>
  <si>
    <t>datastructures, sets intersections and union</t>
  </si>
  <si>
    <t>UVA 12393</t>
  </si>
  <si>
    <t>datastructures, queue or rmq</t>
  </si>
  <si>
    <t>datastructures or segment tree</t>
  </si>
  <si>
    <t>UVA 12207</t>
  </si>
  <si>
    <t>datastructures, [can use dequeue]</t>
  </si>
  <si>
    <t>datastructures, [ternary search passes but weak cases]</t>
  </si>
  <si>
    <t>SRM257-D1-500</t>
  </si>
  <si>
    <t>datastructures, impl, math</t>
  </si>
  <si>
    <t>datastructures, impl, trees</t>
  </si>
  <si>
    <t>datastructures, stack</t>
  </si>
  <si>
    <t>LiveArchive 8078</t>
  </si>
  <si>
    <t>datastructures, stack or dp, [count the longest balanced brackets sequence]</t>
  </si>
  <si>
    <t>datastructures, sorting</t>
  </si>
  <si>
    <t>datastructures, grid compress</t>
  </si>
  <si>
    <t>datastructures, multimap, hashing, bf</t>
  </si>
  <si>
    <t>datastructures, impl, sortings</t>
  </si>
  <si>
    <t>UVA 12651</t>
  </si>
  <si>
    <t>UVA 10686</t>
  </si>
  <si>
    <t>datastructures, multimap</t>
  </si>
  <si>
    <t>SPOJ POSTERIN</t>
  </si>
  <si>
    <t>datastructures, stl</t>
  </si>
  <si>
    <t>SPOJ BYTESE2</t>
  </si>
  <si>
    <t>SRM449-D2-1000</t>
  </si>
  <si>
    <t>backtrack or dp_profile</t>
  </si>
  <si>
    <t>[5]</t>
  </si>
  <si>
    <t>CF101498-GYM-M</t>
  </si>
  <si>
    <t>backtrack</t>
  </si>
  <si>
    <t>UVA 11127</t>
  </si>
  <si>
    <t>backtrack, trees, impl</t>
  </si>
  <si>
    <t>Read official sol</t>
  </si>
  <si>
    <t>UVA 11201</t>
  </si>
  <si>
    <t>LIVEARCHIVE 3476</t>
  </si>
  <si>
    <t>backtrack, prune</t>
  </si>
  <si>
    <t>UVA 649</t>
  </si>
  <si>
    <t>backtrack, prune, bitmasks</t>
  </si>
  <si>
    <t>UVA 307</t>
  </si>
  <si>
    <t>UVA 10123</t>
  </si>
  <si>
    <t>backtrack, optimization, impl</t>
  </si>
  <si>
    <t>SRM523-D1-1000</t>
  </si>
  <si>
    <t>backtrack, bitmasks or meet in middle, [careful impl]</t>
  </si>
  <si>
    <t>backtrack, primes, impl</t>
  </si>
  <si>
    <t>SRM496-D2-1000</t>
  </si>
  <si>
    <t>backtrack, string</t>
  </si>
  <si>
    <t>UVA 10957</t>
  </si>
  <si>
    <t>backtrack, sudoku</t>
  </si>
  <si>
    <t>UVA 10160</t>
  </si>
  <si>
    <t>backtrack, prune, bitmasks, np-complete, graph, dominating set</t>
  </si>
  <si>
    <t>SRM392-D2-1000</t>
  </si>
  <si>
    <t>backtrack or bf</t>
  </si>
  <si>
    <t>SRM571-D2-1000</t>
  </si>
  <si>
    <t>backtrack, [annoying text]</t>
  </si>
  <si>
    <t>TJU 1533</t>
  </si>
  <si>
    <t>backtrack, geometry</t>
  </si>
  <si>
    <t>backtrack, random_shuffle</t>
  </si>
  <si>
    <t>UVA 12639</t>
  </si>
  <si>
    <t>backtrack, hexagon grid</t>
  </si>
  <si>
    <t>Z - add to juniors</t>
  </si>
  <si>
    <t>SRM425-D2-1000</t>
  </si>
  <si>
    <t>backtrack, datastructures, impl</t>
  </si>
  <si>
    <t>UVA 604</t>
  </si>
  <si>
    <t>SRM479-D2-1000</t>
  </si>
  <si>
    <t>backtrack or bf, [annoying]</t>
  </si>
  <si>
    <t>UVA 222</t>
  </si>
  <si>
    <t>backtrack or dp</t>
  </si>
  <si>
    <t>UVA 12022</t>
  </si>
  <si>
    <t>backtrack or dp_bitmasks</t>
  </si>
  <si>
    <t>LiveArchive 6585</t>
  </si>
  <si>
    <t>SPOJ MYQ8</t>
  </si>
  <si>
    <t>UVA 10890</t>
  </si>
  <si>
    <t>backtrack, bitmasks</t>
  </si>
  <si>
    <t>SPOJ UCI2009D</t>
  </si>
  <si>
    <t>SRM237-D1-500</t>
  </si>
  <si>
    <t>backtrack, graph, maximum independent set</t>
  </si>
  <si>
    <t>SPOJ COMCB</t>
  </si>
  <si>
    <t>backtrack, impl, [hamiltonian path]</t>
  </si>
  <si>
    <t>TJU 1542</t>
  </si>
  <si>
    <t>backtrack, primes</t>
  </si>
  <si>
    <t>UVA 10624</t>
  </si>
  <si>
    <t>UVA 10854</t>
  </si>
  <si>
    <t>SPOJ TETRAVEX</t>
  </si>
  <si>
    <t>backtrack or bf, permutation</t>
  </si>
  <si>
    <t>SPOJ LINEUP</t>
  </si>
  <si>
    <t>backtrack, bitmasks or dp or mcmf</t>
  </si>
  <si>
    <t>UVA 10496</t>
  </si>
  <si>
    <t>backtrack, prune or bf, next_perm or dp_bitmasks</t>
  </si>
  <si>
    <t>UVA 10285</t>
  </si>
  <si>
    <t>UVA 12166</t>
  </si>
  <si>
    <t>backtrack, expression parsing, greedy</t>
  </si>
  <si>
    <t>[6]</t>
  </si>
  <si>
    <t>UVA 10875</t>
  </si>
  <si>
    <t>backtrack, expression parsing</t>
  </si>
  <si>
    <t>ZOJ 1145</t>
  </si>
  <si>
    <t>backtrack, expression parsing, [WAs]</t>
  </si>
  <si>
    <t>UVA 1662</t>
  </si>
  <si>
    <t>UVA 814</t>
  </si>
  <si>
    <t>UVA 174</t>
  </si>
  <si>
    <t>backtrack, expression parsing or ad-hoc</t>
  </si>
  <si>
    <t>UVA 12219</t>
  </si>
  <si>
    <t>backtrack, expression parsing, expression tree</t>
  </si>
  <si>
    <t>UVA 1596</t>
  </si>
  <si>
    <t>backtrack, expression parsing, impl</t>
  </si>
  <si>
    <t>TIMUS 1186</t>
  </si>
  <si>
    <t>backtrack, expression parsing, [cnf]</t>
  </si>
  <si>
    <t>UVA 592</t>
  </si>
  <si>
    <t>backtrack, expression parsing, graph, observations</t>
  </si>
  <si>
    <t>ZOJ 1097</t>
  </si>
  <si>
    <t>backtrack, expression parsing, impl, datastructures</t>
  </si>
  <si>
    <t>backtrack, expression parsing, [java has advantage</t>
  </si>
  <si>
    <t>LIVEARCHIVE 2234</t>
  </si>
  <si>
    <t>search</t>
  </si>
  <si>
    <t>[7]</t>
  </si>
  <si>
    <t>search, d&amp;c, two pointers</t>
  </si>
  <si>
    <t>LIVEARCHIVE 5217</t>
  </si>
  <si>
    <t>LIVEARCHIVE 5218</t>
  </si>
  <si>
    <t>search, bitmasks, [unclear text]</t>
  </si>
  <si>
    <t>search, d&amp;c, sortings</t>
  </si>
  <si>
    <t>LIVEARCHIVE 4451</t>
  </si>
  <si>
    <t>search, min-max, alpha-beta</t>
  </si>
  <si>
    <t>SRM336-D1-500</t>
  </si>
  <si>
    <t>search, math, sorting</t>
  </si>
  <si>
    <t>LIVEARCHIVE 6030</t>
  </si>
  <si>
    <t>search, prove complexity</t>
  </si>
  <si>
    <t>SRM403-D1-500</t>
  </si>
  <si>
    <t>search, recursion</t>
  </si>
  <si>
    <t>SRM264-D1-500</t>
  </si>
  <si>
    <t>search, recursion, math</t>
  </si>
  <si>
    <t>SRM214-D1-500</t>
  </si>
  <si>
    <t>search, recursion, trees, html processing</t>
  </si>
  <si>
    <t>SRM426-D2-1000</t>
  </si>
  <si>
    <t>search, bf, math</t>
  </si>
  <si>
    <t>SRM438-D2-1000</t>
  </si>
  <si>
    <t>search, recursion, simulation, strings</t>
  </si>
  <si>
    <t>UVA 10950</t>
  </si>
  <si>
    <t>SRM547-D1-500</t>
  </si>
  <si>
    <t>search, math</t>
  </si>
  <si>
    <t>UVA 10661</t>
  </si>
  <si>
    <t>search, np-complete, graph, clique</t>
  </si>
  <si>
    <t>SPOJ SUDOKU</t>
  </si>
  <si>
    <t>search, algorithm X</t>
  </si>
  <si>
    <t>SRM389-D1-500</t>
  </si>
  <si>
    <t>SRM496-D1-500</t>
  </si>
  <si>
    <t>search, np-complete, bipartite graph, [constraints to make it polynomial]</t>
  </si>
  <si>
    <t>UVA 10506</t>
  </si>
  <si>
    <t>UVA 12648</t>
  </si>
  <si>
    <t>search, dp</t>
  </si>
  <si>
    <t>SRM437-D2-1000</t>
  </si>
  <si>
    <t>SRM236-D1-500</t>
  </si>
  <si>
    <t>search, math, like dijkstra</t>
  </si>
  <si>
    <t>search, bitmasks, d&amp;c, math</t>
  </si>
  <si>
    <t>LIVEARCHIVE 2237</t>
  </si>
  <si>
    <t>search, [hard text, Don't print line after last test case]</t>
  </si>
  <si>
    <t>search, d&amp;c, interactive</t>
  </si>
  <si>
    <t>UVA 10475</t>
  </si>
  <si>
    <t>search, impl</t>
  </si>
  <si>
    <t>SRM344-D1-500</t>
  </si>
  <si>
    <t>search, [complete search]</t>
  </si>
  <si>
    <t>search, d&amp;c, greedy</t>
  </si>
  <si>
    <t>SRM473-D2-1000</t>
  </si>
  <si>
    <t>SRM490-D2-1000</t>
  </si>
  <si>
    <t>CF897-D2-C</t>
  </si>
  <si>
    <t>search, d&amp;c</t>
  </si>
  <si>
    <t>UVA 12291</t>
  </si>
  <si>
    <t>SRM186-D1-500</t>
  </si>
  <si>
    <t>search, strings, impl</t>
  </si>
  <si>
    <t>SRM266-D1-500</t>
  </si>
  <si>
    <t>UVA 11214</t>
  </si>
  <si>
    <t>search, algorithm x</t>
  </si>
  <si>
    <t>[8]</t>
  </si>
  <si>
    <t>UVA 10094</t>
  </si>
  <si>
    <t>search, algorithm x or backtrack, prune</t>
  </si>
  <si>
    <t>UVA 745</t>
  </si>
  <si>
    <t>SPOJ NQUEEN</t>
  </si>
  <si>
    <t>LIVEARCHIVE 2994</t>
  </si>
  <si>
    <t>binary search, bf</t>
  </si>
  <si>
    <t>[9]</t>
  </si>
  <si>
    <t>binary search, impl</t>
  </si>
  <si>
    <t>binary search, [normal, hard to impl]</t>
  </si>
  <si>
    <t>binary search, interactive</t>
  </si>
  <si>
    <t>Find O(nlogn) sol</t>
  </si>
  <si>
    <t>binary search, parallel binary search, segment tree, [https://szkopul.edu.pl/problemset/problem/7JrCYZ7LhEK4nBR5zbAXpcmM/site/?key=statement]</t>
  </si>
  <si>
    <t>binary search, datastructures</t>
  </si>
  <si>
    <t>binary search, parallel binary search, euler tour,  [solve SPOJ METEORS first]</t>
  </si>
  <si>
    <t>binary search, two pointers, greedy, sweep</t>
  </si>
  <si>
    <t>binary search</t>
  </si>
  <si>
    <t>UVA 1199</t>
  </si>
  <si>
    <t>binary search, datastructure, Manhattan2DRotation, [For rotation trick, solve CF124-D2-D first]</t>
  </si>
  <si>
    <t>SRM456-D1-500</t>
  </si>
  <si>
    <t>binary search, math</t>
  </si>
  <si>
    <t>binary search, greedy, dp</t>
  </si>
  <si>
    <t>binary search, impl, math or dp, randomization, Blogewoosh#6</t>
  </si>
  <si>
    <t>binary search, dp, graph</t>
  </si>
  <si>
    <t>binary search, dp</t>
  </si>
  <si>
    <t>binary search, greedy, bfs or dp_trees</t>
  </si>
  <si>
    <t>binary search, parallel binary search, d&amp;c or mo's algorithm or dsu-persistent, binary search</t>
  </si>
  <si>
    <t>binary search, interacticve, Intermediate value theorem, [Asia 18]</t>
  </si>
  <si>
    <t>binary search, impl, math, bf</t>
  </si>
  <si>
    <t>binary search, spaning tree, interactive</t>
  </si>
  <si>
    <t>binary search, gcd, inclusion-exclusion, factorization</t>
  </si>
  <si>
    <t>SPOJ PATULJCI</t>
  </si>
  <si>
    <t>binary search, randomization or segment tree</t>
  </si>
  <si>
    <t>binary search, geometry</t>
  </si>
  <si>
    <t>SRM535-D1-500</t>
  </si>
  <si>
    <t>binary search, d&amp;c, [issues in IO, seems diffcult, but easy sol]</t>
  </si>
  <si>
    <t>binary search, constructive, observation</t>
  </si>
  <si>
    <t>binary search, priority queue, [set TLE]</t>
  </si>
  <si>
    <t>binary search, randomization, interactive</t>
  </si>
  <si>
    <t>binary search, interactive, impl</t>
  </si>
  <si>
    <t>UVA 1476</t>
  </si>
  <si>
    <t>binary search, numerical or ternary</t>
  </si>
  <si>
    <t>binary search, prefix sum or sweep line, greedy</t>
  </si>
  <si>
    <t>binary search, simulation</t>
  </si>
  <si>
    <t>UVA 12609</t>
  </si>
  <si>
    <t>binary search, math, impl</t>
  </si>
  <si>
    <t>SRM329-D1-500</t>
  </si>
  <si>
    <t>binary search or greedy</t>
  </si>
  <si>
    <t>UVA 12673</t>
  </si>
  <si>
    <t>binary search, bf or greedy</t>
  </si>
  <si>
    <t>binary search, greedy</t>
  </si>
  <si>
    <t>binary search, greedy, impl</t>
  </si>
  <si>
    <t>binary search, dp, operservation</t>
  </si>
  <si>
    <t>UVA 11020</t>
  </si>
  <si>
    <t>binary search, multiset</t>
  </si>
  <si>
    <t>SPOJ ABA12E</t>
  </si>
  <si>
    <t>binary search, [counting subarrays with sum k]</t>
  </si>
  <si>
    <t>binary search, trees, segment tree or bit or lca</t>
  </si>
  <si>
    <t>UVA 11692</t>
  </si>
  <si>
    <t>binary search or math</t>
  </si>
  <si>
    <t>SRM325-D1-500</t>
  </si>
  <si>
    <t>binary search, prefix sum or bf</t>
  </si>
  <si>
    <t>binary search, math or formula</t>
  </si>
  <si>
    <t>SPOJ FUNFACT</t>
  </si>
  <si>
    <t>binary search, sterling approximation</t>
  </si>
  <si>
    <t>binary search, two pointers, armortized analysis</t>
  </si>
  <si>
    <t>binary search, implementation</t>
  </si>
  <si>
    <t>binary search, sorting</t>
  </si>
  <si>
    <t>binary search, math, sortings, impl</t>
  </si>
  <si>
    <t>UVA 11881</t>
  </si>
  <si>
    <t>UVA 13177</t>
  </si>
  <si>
    <t>LIVEARCHIVE 4445</t>
  </si>
  <si>
    <t>binary search, bf, permutations</t>
  </si>
  <si>
    <t>binary search, datastructures, greedy</t>
  </si>
  <si>
    <t>binary search, gcd</t>
  </si>
  <si>
    <t>LIVEARCHIVE 2477</t>
  </si>
  <si>
    <t>LIVEARCHIVE 6398</t>
  </si>
  <si>
    <t>CSA79-C</t>
  </si>
  <si>
    <t>binary search, greedy , datastructures</t>
  </si>
  <si>
    <t>SRM290-D1-500</t>
  </si>
  <si>
    <t>SRM355-D2-1000</t>
  </si>
  <si>
    <t>SRM450-D2-1000</t>
  </si>
  <si>
    <t>binary search, nested binary search</t>
  </si>
  <si>
    <t>binary search, sorting, greedy</t>
  </si>
  <si>
    <t>binary search, lower bound</t>
  </si>
  <si>
    <t>binary search, lower bound, gcd, impl</t>
  </si>
  <si>
    <t>SPOJ GLASNICI</t>
  </si>
  <si>
    <t>binary search, precision</t>
  </si>
  <si>
    <t>UVA 12190</t>
  </si>
  <si>
    <t>binary search, datastructures, set</t>
  </si>
  <si>
    <t>SPOJ MKUHAR</t>
  </si>
  <si>
    <t>binary search, math, [known problem]</t>
  </si>
  <si>
    <t>binary search, greedy, math, impl</t>
  </si>
  <si>
    <t>binary search, bf, left-right trick</t>
  </si>
  <si>
    <t>SPOJ SVADA</t>
  </si>
  <si>
    <t>binary search, [unclear text]</t>
  </si>
  <si>
    <t>UVA 12390</t>
  </si>
  <si>
    <t>UVA 12911</t>
  </si>
  <si>
    <t>binary search, bitmasks, [meet in middle??]</t>
  </si>
  <si>
    <t>SRM592-D2-1000</t>
  </si>
  <si>
    <t>binary search, bitmasks, bf</t>
  </si>
  <si>
    <t>TIMUS 1066</t>
  </si>
  <si>
    <t>binary search, geometry or math</t>
  </si>
  <si>
    <t>LIVEARCHIVE 2439</t>
  </si>
  <si>
    <t>binary search or simulation</t>
  </si>
  <si>
    <t>UVA 12791</t>
  </si>
  <si>
    <t>binary search or greedy or formula</t>
  </si>
  <si>
    <t>binary search, prefix sum</t>
  </si>
  <si>
    <t>LIVEARCHIVE 8043</t>
  </si>
  <si>
    <t>SRM169-D1-500</t>
  </si>
  <si>
    <t>binary search or dp</t>
  </si>
  <si>
    <t>ternary search, geometry</t>
  </si>
  <si>
    <t>[10]</t>
  </si>
  <si>
    <t>UVA 10794</t>
  </si>
  <si>
    <t>ternary search, geometry 3d or ad-hoc</t>
  </si>
  <si>
    <t>UVA 11243</t>
  </si>
  <si>
    <t>ternary search, geometry, [rectangle rotation]</t>
  </si>
  <si>
    <t>ternary search, interpolation or math</t>
  </si>
  <si>
    <t>ternary search, nested</t>
  </si>
  <si>
    <t>ternary search, weighted tree diameter, math or binary search, [https://github.com/stefdasca/CompetitiveProgramming/blob/master/CS%20Academy/Round%20%2384/CSA84-E.cpp]</t>
  </si>
  <si>
    <t>ternary search, math, [https://github.com/shashank0107/CompetitiveProgramming/blob/master/UVA/11702.cpp</t>
  </si>
  <si>
    <t>SRM253-D1-1000</t>
  </si>
  <si>
    <r>
      <rPr>
        <sz val="10"/>
        <color theme="1"/>
        <rFont val="arial,sans,sans-serif"/>
      </rPr>
      <t xml:space="preserve">ternary search or </t>
    </r>
    <r>
      <rPr>
        <b/>
        <sz val="10"/>
        <color theme="1"/>
        <rFont val="arial,sans,sans-serif"/>
      </rPr>
      <t>math, probability</t>
    </r>
  </si>
  <si>
    <t>SRM543-D2-1000</t>
  </si>
  <si>
    <t>ternary search, discrete</t>
  </si>
  <si>
    <t>SRM347-D1-500</t>
  </si>
  <si>
    <t>ternary search or math</t>
  </si>
  <si>
    <t>UVA 13010</t>
  </si>
  <si>
    <t>ternary search, dijkstra</t>
  </si>
  <si>
    <t>ternary search</t>
  </si>
  <si>
    <t>ternary search, 3d ternary, geometry, 3d</t>
  </si>
  <si>
    <t>ternary search or greedy, two pointers</t>
  </si>
  <si>
    <t>ternary search, discrete, geometry, [cross product sol: who understand: https://codeforces.com/contest/250/submission/23281272  https://codeforces.com/contest/250/submission/2660257]</t>
  </si>
  <si>
    <t>SRM426-D1-500</t>
  </si>
  <si>
    <t>ternary search or binary search</t>
  </si>
  <si>
    <t>UVA 10385</t>
  </si>
  <si>
    <t>ternary search, tricky</t>
  </si>
  <si>
    <t>ternary search, binary search</t>
  </si>
  <si>
    <t>ternary search, graph, math or binary search</t>
  </si>
  <si>
    <t>ternary search or ad-hoc, math</t>
  </si>
  <si>
    <t xml:space="preserve">ternary search or math </t>
  </si>
  <si>
    <t>SPOJ HAMSTER1</t>
  </si>
  <si>
    <t>ternary search or math, laws of motion</t>
  </si>
  <si>
    <t>SRM287-D1-500</t>
  </si>
  <si>
    <t>ternary search, math</t>
  </si>
  <si>
    <t>Read the editorials</t>
  </si>
  <si>
    <t>SRM258-D2-1000</t>
  </si>
  <si>
    <t>ternary search or greedy, math</t>
  </si>
  <si>
    <t>SPOJ KOPC12A</t>
  </si>
  <si>
    <t>SPOJ TRICKTRT</t>
  </si>
  <si>
    <t>SRM629-D2-500</t>
  </si>
  <si>
    <t>SRM528-D1-500</t>
  </si>
  <si>
    <t>meet in middle, dp, combinations or backtrack, snoob/gosper's hack</t>
  </si>
  <si>
    <t>[11]</t>
  </si>
  <si>
    <t>meet in middle, dp</t>
  </si>
  <si>
    <t>SRM388-D1-1000</t>
  </si>
  <si>
    <t>meet in middle, dp_bitmask, optimizations or bf, optimizations</t>
  </si>
  <si>
    <t>meet in middle, bitmasks, binary search</t>
  </si>
  <si>
    <t>meet in middle</t>
  </si>
  <si>
    <t>SPOJ SUBSET</t>
  </si>
  <si>
    <t>meet in middle, bitmasks, inclusion-exclusion</t>
  </si>
  <si>
    <t>meet in middle, dp, max cliques or Bron–Kerbosch algorithm</t>
  </si>
  <si>
    <t>SRM307-D1-1000</t>
  </si>
  <si>
    <t>meet in middle, backtrack</t>
  </si>
  <si>
    <t>meet in middle, binary search, number theory, two pointers</t>
  </si>
  <si>
    <t>meet in middle, dp, bitmasks, [non standard dp]</t>
  </si>
  <si>
    <t>meet in middle, dp_bitmasks</t>
  </si>
  <si>
    <t>meet in middle, kmp, bitmasks, impl</t>
  </si>
  <si>
    <t>meet in middle, [strict tl], [=CF585-D1-D]</t>
  </si>
  <si>
    <t>SPOJ SOLIT</t>
  </si>
  <si>
    <r>
      <rPr>
        <sz val="10"/>
        <color theme="1"/>
        <rFont val="Arial"/>
      </rPr>
      <t>meet in middle, bfs, [</t>
    </r>
    <r>
      <rPr>
        <b/>
        <sz val="10"/>
        <color theme="1"/>
        <rFont val="Arial"/>
      </rPr>
      <t>long impl</t>
    </r>
    <r>
      <rPr>
        <sz val="10"/>
        <color theme="1"/>
        <rFont val="Arial"/>
      </rPr>
      <t>] or bfs, prune</t>
    </r>
  </si>
  <si>
    <t>SPOJ COLOR_CC</t>
  </si>
  <si>
    <t>NO Sol</t>
  </si>
  <si>
    <t>meet in middle, bfs or bf</t>
  </si>
  <si>
    <t>SRM205-D1-500</t>
  </si>
  <si>
    <t>meet in middle or search, recursion, [Hexagonal number]</t>
  </si>
  <si>
    <t>LIVEARCHIVE 3888</t>
  </si>
  <si>
    <t>meet in middle or bf [long impl]</t>
  </si>
  <si>
    <t>UVA 10125</t>
  </si>
  <si>
    <t>meet in middle or bf, prune</t>
  </si>
  <si>
    <t>meet in middle, [~ CODECHEF CHEFCODE]</t>
  </si>
  <si>
    <t>UVA 704</t>
  </si>
  <si>
    <t>meet in middle, bfs, [long impl]</t>
  </si>
  <si>
    <t>SRM446-D2-1000</t>
  </si>
  <si>
    <t>meet in middle, bfs, no editorial</t>
  </si>
  <si>
    <t>meet in middle, binary search</t>
  </si>
  <si>
    <t>SRM404-D1-500</t>
  </si>
  <si>
    <t>meet in middle, dp, combinations or greedy</t>
  </si>
  <si>
    <t>SRM415-D1-500</t>
  </si>
  <si>
    <t>meet in middle, two pointers</t>
  </si>
  <si>
    <t>meet in middle, ternarymask</t>
  </si>
  <si>
    <t>meet in middle, bf, hasing</t>
  </si>
  <si>
    <t>SPOJ SUMFOUR</t>
  </si>
  <si>
    <t>meet in middle, hashing, [solve SPOJ ABCDEF first]</t>
  </si>
  <si>
    <t>SPOJ SUBSUMS</t>
  </si>
  <si>
    <t>SPOJ ABCDEF</t>
  </si>
  <si>
    <t>meet in middle or backtrack, bignum</t>
  </si>
  <si>
    <t>meet in middle, bitmasks</t>
  </si>
  <si>
    <t>rmq, 2d rmq</t>
  </si>
  <si>
    <t>[12]</t>
  </si>
  <si>
    <t>rmq, binary lifting, successor graph</t>
  </si>
  <si>
    <t>rmq, formula or segment tree</t>
  </si>
  <si>
    <t>rmq, lca, binary search</t>
  </si>
  <si>
    <t>rmq, xor or bit or bf, smart</t>
  </si>
  <si>
    <t>rmq, [basic]</t>
  </si>
  <si>
    <t>rmq, bit, [set min reminder]</t>
  </si>
  <si>
    <t>rmq, sparce table, binary search or datastructures or bit or segment tree, impl</t>
  </si>
  <si>
    <t>rmq, binary search, gcd, analysis or stack</t>
  </si>
  <si>
    <t>rmq</t>
  </si>
  <si>
    <t>rmq, binary search or bit or two pointers</t>
  </si>
  <si>
    <t>Use RMQ</t>
  </si>
  <si>
    <t>PKU 2452</t>
  </si>
  <si>
    <t>rmq, [guys getting WAs]</t>
  </si>
  <si>
    <t>rmq, binary lifting, graphs</t>
  </si>
  <si>
    <t>rmq, d&amp;c or datastructure, [Largest Rectangle in a Histogram, ~=UVA 12462 = SRM337-D1-500 = UVA 11871 = SPOJ CTGAME]</t>
  </si>
  <si>
    <t>rmq, sparse table</t>
  </si>
  <si>
    <t>SPOJ THRBL</t>
  </si>
  <si>
    <t>rmq, [direct]</t>
  </si>
  <si>
    <t>SPOJ RPLN</t>
  </si>
  <si>
    <t>segment tree</t>
  </si>
  <si>
    <t>[13]</t>
  </si>
  <si>
    <t>segment tree, persistent, Manhattan2DRotation, [2D implicit segment trees is slow], [For rotation trick, solve CF124-D2-D first]</t>
  </si>
  <si>
    <t>segment tree, persistent, suffix tree, impl</t>
  </si>
  <si>
    <t>segment tree, LiChao or dp_convex_hull</t>
  </si>
  <si>
    <t>segment tree, dsu, binary search</t>
  </si>
  <si>
    <t>segment tree, subsequence ST</t>
  </si>
  <si>
    <t>segment tree, persistent, dijkstra, hashing</t>
  </si>
  <si>
    <t>CODECHEF CHAQOT</t>
  </si>
  <si>
    <t>segment tree, persistent, lca</t>
  </si>
  <si>
    <t>segment tree or bit</t>
  </si>
  <si>
    <t>SPOJ GSS8</t>
  </si>
  <si>
    <t>segment tree, [solve GSS6 first]</t>
  </si>
  <si>
    <t>segment tree, binary search or fractional cascading</t>
  </si>
  <si>
    <t>segment tree, persistent or fractional cascading</t>
  </si>
  <si>
    <t>segment tree, lazy, combinatorics</t>
  </si>
  <si>
    <t>segment tree, math</t>
  </si>
  <si>
    <t>segment tree, lca, cases</t>
  </si>
  <si>
    <t>segment tree, beats</t>
  </si>
  <si>
    <t>segment tree, lazy segt, primes, euler, factorization</t>
  </si>
  <si>
    <t>SRM339-D1-1000</t>
  </si>
  <si>
    <t>segment tree or bit or dsu</t>
  </si>
  <si>
    <t>segment tree, [from LCA/Treaps/RMQ on Dynamic Array]</t>
  </si>
  <si>
    <t>segment tree, dp</t>
  </si>
  <si>
    <t>segment tree, gauss basis</t>
  </si>
  <si>
    <t>SPOJ SIGNGAME</t>
  </si>
  <si>
    <t>segment tree, lazy propagation</t>
  </si>
  <si>
    <t>segment tree, sqrt decompositions</t>
  </si>
  <si>
    <t>segment tree, CASCADE</t>
  </si>
  <si>
    <t>p5 v2</t>
  </si>
  <si>
    <t>segment tree, two pointers, crt, [repeated]</t>
  </si>
  <si>
    <t>segment tree, beats or sqrt decomposition</t>
  </si>
  <si>
    <t>segment tree, presistent, grid compression, binary search</t>
  </si>
  <si>
    <t>segment tree, lazy, dynamic, impl</t>
  </si>
  <si>
    <t>segment tree, [based on min-cut formulation]</t>
  </si>
  <si>
    <t>segment tree, dsu, d&amp;c</t>
  </si>
  <si>
    <t>p4 v2</t>
  </si>
  <si>
    <t>segment tree, beats, impl, [https://github.com/aviroop123/CompetitiveProgramming/blob/master/HDU/5306.cpp] [https://github.com/taow-com-prog/problemsolving/blob/master/HDU/HDU%205306.cpp]</t>
  </si>
  <si>
    <r>
      <rPr>
        <sz val="10"/>
        <color theme="1"/>
        <rFont val="Arial"/>
      </rPr>
      <t>segment tree, bit, [</t>
    </r>
    <r>
      <rPr>
        <b/>
        <sz val="10"/>
        <color theme="1"/>
        <rFont val="Arial"/>
      </rPr>
      <t>bit as nodes</t>
    </r>
    <r>
      <rPr>
        <sz val="10"/>
        <color theme="1"/>
        <rFont val="Arial"/>
      </rPr>
      <t xml:space="preserve"> in seg]</t>
    </r>
  </si>
  <si>
    <t>segment tree, convex hull, rotating calipers</t>
  </si>
  <si>
    <t>segment tree, [count distinct increasing subsequences + Stirling numbers * fac[n]]</t>
  </si>
  <si>
    <t>segment tree, lcm</t>
  </si>
  <si>
    <t>SRM310-D1-500</t>
  </si>
  <si>
    <t>segment tree or bit or datastructures</t>
  </si>
  <si>
    <t>SPOJ CPAIR</t>
  </si>
  <si>
    <t>segment tree or bit, dsu</t>
  </si>
  <si>
    <r>
      <rPr>
        <sz val="10"/>
        <color theme="1"/>
        <rFont val="Arial"/>
      </rPr>
      <t xml:space="preserve">segment tree, </t>
    </r>
    <r>
      <rPr>
        <b/>
        <sz val="10"/>
        <color theme="1"/>
        <rFont val="Arial"/>
      </rPr>
      <t>beats</t>
    </r>
    <r>
      <rPr>
        <sz val="10"/>
        <color theme="1"/>
        <rFont val="Arial"/>
      </rPr>
      <t>, [chineese txt - long]</t>
    </r>
  </si>
  <si>
    <r>
      <rPr>
        <sz val="10"/>
        <color theme="1"/>
        <rFont val="Arial"/>
      </rPr>
      <t xml:space="preserve">segment tree, </t>
    </r>
    <r>
      <rPr>
        <b/>
        <sz val="10"/>
        <color theme="1"/>
        <rFont val="Arial"/>
      </rPr>
      <t>beats</t>
    </r>
    <r>
      <rPr>
        <sz val="10"/>
        <color theme="1"/>
        <rFont val="Arial"/>
      </rPr>
      <t>, [chineese txt - short]</t>
    </r>
  </si>
  <si>
    <t>segment tree, bitmasks, [boring]</t>
  </si>
  <si>
    <t>segment tree, d&amp;c or bit</t>
  </si>
  <si>
    <t>segment tree, persistent, hashing</t>
  </si>
  <si>
    <t>segment tree, persistent, math, [math is the hard part]</t>
  </si>
  <si>
    <t>segment tree, binomial theorem, impl or bit</t>
  </si>
  <si>
    <t>segment tree or sqrt decomposition</t>
  </si>
  <si>
    <t>SPOJ GSS2</t>
  </si>
  <si>
    <t>segment tree, [solve SPOJ GSS1 first]</t>
  </si>
  <si>
    <t>segment tree or rmq or dp_d&amp;c_opt or dp, [just dp https://github.com/stefdasca/CompetitiveProgramming/blob/master/AtCoder/ARC%20067/AtCoder067-ARC-F.cpp]</t>
  </si>
  <si>
    <t>segment tree, dfs order</t>
  </si>
  <si>
    <t>segment tree, math or datastructures, [can be used as sub-problem in some others]</t>
  </si>
  <si>
    <t>segment tree, strings</t>
  </si>
  <si>
    <t>segment tree, greedy, [small-to-large], [Interesting greedy observations, although the official solution is DP.], [greedy, bf  https://github.com/pranavjangir/CompetitiveProgramming/blob/master/CodeForces/CF1042-D2-F.cpp ]</t>
  </si>
  <si>
    <t>segment tree, impl or datastructures</t>
  </si>
  <si>
    <t>segment tree, persistent or bit, binary search or order_statistics_tree</t>
  </si>
  <si>
    <t>segment tree, persistent, binary search</t>
  </si>
  <si>
    <t>segment tree, sorting</t>
  </si>
  <si>
    <t>UVA 11990</t>
  </si>
  <si>
    <t>segment tree or datastructure</t>
  </si>
  <si>
    <t>UVA 11669</t>
  </si>
  <si>
    <t>segment tree, sieve, factorization, dfs, overflow or bit, binary search]</t>
  </si>
  <si>
    <t>segment tree, matrix pow, [strict tl/mem]</t>
  </si>
  <si>
    <t>segment tree, inclusion-exclusion, relative primes</t>
  </si>
  <si>
    <t>segment tree, 2 segment trees, dijkstra</t>
  </si>
  <si>
    <t>segment tree, dsu or sqrt decomposition, [bf pass!]</t>
  </si>
  <si>
    <t>segment tree, merge, dfs order</t>
  </si>
  <si>
    <t>segment tree, persistent, sqrt decomposition ,cases</t>
  </si>
  <si>
    <t>SPOJ COT</t>
  </si>
  <si>
    <t>segment tree, persistent, rmq, lca or hld</t>
  </si>
  <si>
    <t>segment tree, totient, impl</t>
  </si>
  <si>
    <t>segment tree, lazy propagation, 2D [though 1D pass, is weak cases?]</t>
  </si>
  <si>
    <t>segment tree or bit or bbst</t>
  </si>
  <si>
    <t>segment tree or bit or bbst, treap</t>
  </si>
  <si>
    <t>segment tree or bit or dp</t>
  </si>
  <si>
    <t>SPOJ XXXXXXXX</t>
  </si>
  <si>
    <t>segment tree, 2d, impl or bbst, bit, [classical], [https://github.com/tr0j4n034/SPOJ/blob/master/XXXXXXXX.cpp]</t>
  </si>
  <si>
    <t>segment tree, expectation</t>
  </si>
  <si>
    <t>segment tree, hashing</t>
  </si>
  <si>
    <t>segment tree, implicit</t>
  </si>
  <si>
    <t>segment trees, fibonacci, [query maximum perimeter of a non degenerate triangle]</t>
  </si>
  <si>
    <t>segment tree or d&amp;c</t>
  </si>
  <si>
    <t>SPOJ FREQUENT</t>
  </si>
  <si>
    <t>segment tree, mo's algorithm or rmq, sparse table</t>
  </si>
  <si>
    <t>segment tree, bit or min-cut, greedy</t>
  </si>
  <si>
    <t>segment tree, geometry, [https://www.cnblogs.com/demian/p/6164613.html]</t>
  </si>
  <si>
    <t>segment trees, rerooting, [Rerooting without ETT]</t>
  </si>
  <si>
    <t>segment tree, presistent or sg_mergesort or sqrt decomposition or wavelet trees or centroid-decomposition</t>
  </si>
  <si>
    <t>p3 v1</t>
  </si>
  <si>
    <t>segment tree, amortized or sqrt decomposition or bit, [educational]</t>
  </si>
  <si>
    <t>segment tree, masks, impl</t>
  </si>
  <si>
    <t>Read Editorials</t>
  </si>
  <si>
    <t>segment tree, math, bitmasks</t>
  </si>
  <si>
    <t>SPOJ MKTHNUM</t>
  </si>
  <si>
    <t>segment tree, persistent or merge sort or wavlet tree or mo's algorithm, [classic]</t>
  </si>
  <si>
    <t>segment tree, subsequence Segment tree</t>
  </si>
  <si>
    <t>SPOJ SAMTWARR</t>
  </si>
  <si>
    <t>segment tree, bf</t>
  </si>
  <si>
    <t>segment tree, lazy</t>
  </si>
  <si>
    <t>segment tree, merge sort</t>
  </si>
  <si>
    <t>segment tree, tricky impl</t>
  </si>
  <si>
    <t>segment tree or bit or order-statistic tree</t>
  </si>
  <si>
    <t>segment tree or sorting, intervals</t>
  </si>
  <si>
    <t>segment tree, dfs or bit, dp_trees, impl</t>
  </si>
  <si>
    <t>segment tree, dp, binary search</t>
  </si>
  <si>
    <t>segment tree, persistent or trie, xor, impl</t>
  </si>
  <si>
    <t>segment tree, persistent, bf</t>
  </si>
  <si>
    <t>SPOJ CCOST</t>
  </si>
  <si>
    <t>segment tree, persistent, sweep line or bit</t>
  </si>
  <si>
    <t>SPOJ LGLOVE</t>
  </si>
  <si>
    <t>segment tree, lazy propagation, lcm, sieve, impl</t>
  </si>
  <si>
    <t>segment tree or solutions-bag, impl</t>
  </si>
  <si>
    <t>segment tree, binary search</t>
  </si>
  <si>
    <t>SPOJ AE5B2</t>
  </si>
  <si>
    <t>segment tree, dynamic max prefix sum query</t>
  </si>
  <si>
    <t>segment tree or binary search, ad-hoc</t>
  </si>
  <si>
    <t>segment tree or prefix sum, binary search</t>
  </si>
  <si>
    <t>segment tree or two pinters or binary search, prime factors, prefix sum</t>
  </si>
  <si>
    <t>segment tree, 2D tree, Manhattan2DRotation, [For rotation trick, solve CF124-D2-D first]</t>
  </si>
  <si>
    <t>segment tree, datastructures</t>
  </si>
  <si>
    <t>segment tree, factorial, divsibility</t>
  </si>
  <si>
    <t>segment tree, grid compress, dp</t>
  </si>
  <si>
    <t>segment tree, lazy propagation, bitmasks, [boring?]</t>
  </si>
  <si>
    <t>segment tree, persistent or trie</t>
  </si>
  <si>
    <t>segment tree, presistent or trie. [easy if know it is presistent[</t>
  </si>
  <si>
    <t>segment tree, queue</t>
  </si>
  <si>
    <t>segment tree, xor</t>
  </si>
  <si>
    <t>segment tree or bit, math, lis</t>
  </si>
  <si>
    <t>segment tree or bit or sqrt decomposition or order-statistic tree or bbst</t>
  </si>
  <si>
    <t>UVA 10909</t>
  </si>
  <si>
    <t>segment tree or bit, sieve or bbst or policy-based-datastructures, [Kth element segment tree]</t>
  </si>
  <si>
    <t>segment tree or centroid-decomposition</t>
  </si>
  <si>
    <r>
      <rPr>
        <sz val="10"/>
        <color rgb="FF000000"/>
        <rFont val="Arial"/>
      </rPr>
      <t xml:space="preserve">segment tree, lazy propagation, </t>
    </r>
    <r>
      <rPr>
        <b/>
        <sz val="10"/>
        <color rgb="FF000000"/>
        <rFont val="Arial"/>
      </rPr>
      <t>trickty to impl</t>
    </r>
    <r>
      <rPr>
        <sz val="10"/>
        <color rgb="FF000000"/>
        <rFont val="Arial"/>
      </rPr>
      <t>, [count sort] or sqrt decomposition</t>
    </r>
  </si>
  <si>
    <t>segment tree or sqrt decomposition, hashing</t>
  </si>
  <si>
    <t>Find O(nlogn)</t>
  </si>
  <si>
    <t>segment tree, [max sum+updates, spoj gss1 first]</t>
  </si>
  <si>
    <t>SPOJ IOPC1207</t>
  </si>
  <si>
    <t>segment tree, lazy propagation, [handle dimensions independently]</t>
  </si>
  <si>
    <t>segment tree, lazy propagation, impl, [weak testcases, sum of squares]</t>
  </si>
  <si>
    <t>segment tree, [~=SPOJ GSS5], [SPOJ GSS1]</t>
  </si>
  <si>
    <t>p3 v3</t>
  </si>
  <si>
    <t>segment tree, trees</t>
  </si>
  <si>
    <t>ACE</t>
  </si>
  <si>
    <t>SPOJ PERMPATT</t>
  </si>
  <si>
    <t>segment tree or bit, [classical]</t>
  </si>
  <si>
    <t>segment tree or greedy, game</t>
  </si>
  <si>
    <t>segment tree, dfs</t>
  </si>
  <si>
    <t>segment tree, kth element or bit or bst or treap or datastructure</t>
  </si>
  <si>
    <t>segment tree, lazy propagation, euler tour on tree, bitmasks</t>
  </si>
  <si>
    <t>SPOJ BRCKTS2</t>
  </si>
  <si>
    <t>segment tree, prefix sums or ad-hoc, recursion</t>
  </si>
  <si>
    <t>segment tree or bit or set, divisors</t>
  </si>
  <si>
    <t>segment tree, [skyline overlap, tle]</t>
  </si>
  <si>
    <t>UVA 11297</t>
  </si>
  <si>
    <t>segment tree, 2d segment tree, rmq or quad tree</t>
  </si>
  <si>
    <t>segment tree, bitmasks or datastructure</t>
  </si>
  <si>
    <t>segment tree, dp or bit or bbst, treap or datastructures</t>
  </si>
  <si>
    <t>segment tree, rmq or lis</t>
  </si>
  <si>
    <t>segment tree or datastructures</t>
  </si>
  <si>
    <t>SPOJ DCEPC11I</t>
  </si>
  <si>
    <t>segment tree, lazy propagaion, euler walk</t>
  </si>
  <si>
    <t>segment tree, [bracket balance, 2 values in segtree]</t>
  </si>
  <si>
    <t>segment tree, [max sum, part of GSS series: http://blog.csdn.net/bhiaibogf/article/details/50719199]</t>
  </si>
  <si>
    <t>SPOJ que2</t>
  </si>
  <si>
    <t>segment tree, kth element</t>
  </si>
  <si>
    <t>segment tree, rmq shift</t>
  </si>
  <si>
    <t>segment tree, dp or dp</t>
  </si>
  <si>
    <t>segment tree, gcd</t>
  </si>
  <si>
    <t>segment tree, ad-hoc</t>
  </si>
  <si>
    <t>SPOJ GOODE</t>
  </si>
  <si>
    <t>segment tree, lazy propagation, greedy or binary search</t>
  </si>
  <si>
    <t>segment tree or wavelet tree, [boring, inversion count, ~=CF459-D2-D]</t>
  </si>
  <si>
    <t>segment tree, [N trees or unneccessirly 2D rmq]</t>
  </si>
  <si>
    <t>segment tree, lazy propagation or datastructures</t>
  </si>
  <si>
    <t>segment tree, lazy, grid compress or implicit segment tree or heap</t>
  </si>
  <si>
    <t>SPOJ POSTERS</t>
  </si>
  <si>
    <t>segment tree, grid compress or bst or datastructure, [=LightOJ 1207]</t>
  </si>
  <si>
    <t>segment tree, implicit, [ECPC18]</t>
  </si>
  <si>
    <t>segment tree, persistent, [direct impl</t>
  </si>
  <si>
    <t>PKU 1823</t>
  </si>
  <si>
    <t>segment tree, [Mido there is an awesome solution using bitset ( but too slow for this OJ). Basically we can do updates in like O(N/32). Also this looks like a constant optimization, 16000/32 is just 500 :).]</t>
  </si>
  <si>
    <t>segment tree, [max pair sum]</t>
  </si>
  <si>
    <t>segment tree or ad-hoc</t>
  </si>
  <si>
    <t>segment tree, impl</t>
  </si>
  <si>
    <t>segment tree, lazy propagation, [edu]</t>
  </si>
  <si>
    <t>TIMUS 1724</t>
  </si>
  <si>
    <t>segment tree or mo's algorithm or ad-hoc, stack</t>
  </si>
  <si>
    <t>segment tree, lazy propagation, circular</t>
  </si>
  <si>
    <t>SPOJ TREEGAME</t>
  </si>
  <si>
    <t>SPOJ MON2012</t>
  </si>
  <si>
    <t>segment tree, lazy propagation or bit</t>
  </si>
  <si>
    <t>segment tree, sieve</t>
  </si>
  <si>
    <t>segment tree or bbst, treap or ad-hoc</t>
  </si>
  <si>
    <t>Don't implement as ad-hoc/greedy/Pure STL. Use a data structure</t>
  </si>
  <si>
    <t>segment tree, [interval sum query]</t>
  </si>
  <si>
    <t>SPOJ COURAGE</t>
  </si>
  <si>
    <t>segment tree or bit, [~=tju 3440]</t>
  </si>
  <si>
    <t>TJU 3328</t>
  </si>
  <si>
    <t>bit</t>
  </si>
  <si>
    <t>[15]</t>
  </si>
  <si>
    <t>TJU 3527</t>
  </si>
  <si>
    <t>SPOJ ZIGZAG2</t>
  </si>
  <si>
    <t>TJU 1502</t>
  </si>
  <si>
    <t>TJU 3312</t>
  </si>
  <si>
    <t>bit, mst, dsu</t>
  </si>
  <si>
    <t>bit, preorder traveral on trees</t>
  </si>
  <si>
    <t>bit, two pointers, euler_tour or dp, binary search, lca, prefix sum</t>
  </si>
  <si>
    <t>bit, 2d bit, grid compress or sqrt decomposition or segment tree</t>
  </si>
  <si>
    <t>SPOJ SWAPS</t>
  </si>
  <si>
    <t>bit, mo's algorithm, [tight limits]</t>
  </si>
  <si>
    <t>bit or segment tree</t>
  </si>
  <si>
    <t>bit or segment tree or merge sort, impl, [classical,  boring]</t>
  </si>
  <si>
    <t>bit, sweep line, [pair segments intersections</t>
  </si>
  <si>
    <t>bit, constructive</t>
  </si>
  <si>
    <t>SPOJ INCDSEQ</t>
  </si>
  <si>
    <t>bit, dp, grid compress or segment tree, dp, [solve SPOJ INCSEQ first]</t>
  </si>
  <si>
    <t>bit, dfs, tree, [solve CF101142-gym-G first], [independent subproblems]</t>
  </si>
  <si>
    <t>SPOJ KPMATRIX</t>
  </si>
  <si>
    <t>bit, dp_subrectangle or treaps, [count sub matrices of given range sum], [quora idea tle https://github.com/shashank0107/CompetitiveProgramming/blob/master/SPOJ/KPMATRIX.cpp ?]</t>
  </si>
  <si>
    <t>SPOJ INCSEQ</t>
  </si>
  <si>
    <t>bit, grid compress, dp or merge sort, [simpler than SPOJ INCDSEQ]</t>
  </si>
  <si>
    <t>bit, counting or dp, grid compress or stack, Constructive</t>
  </si>
  <si>
    <t>bit, 2d bit, xor or segment tree 2D</t>
  </si>
  <si>
    <t>bit, sieve</t>
  </si>
  <si>
    <t>bit or segment tree or datastructures</t>
  </si>
  <si>
    <t>PKU 1990</t>
  </si>
  <si>
    <t>bit or segment tree, impl</t>
  </si>
  <si>
    <r>
      <rPr>
        <strike/>
        <u/>
        <sz val="10"/>
        <color theme="1"/>
        <rFont val="arial,sans,sans-serif"/>
      </rPr>
      <t xml:space="preserve">bit, binary search, policy-based-datastructures, trees or datastructures, [inversion count, </t>
    </r>
    <r>
      <rPr>
        <b/>
        <strike/>
        <u/>
        <sz val="10"/>
        <color theme="1"/>
        <rFont val="arial,sans,sans-serif"/>
      </rPr>
      <t>boring</t>
    </r>
    <r>
      <rPr>
        <strike/>
        <u/>
        <sz val="10"/>
        <color theme="1"/>
        <rFont val="arial,sans,sans-serif"/>
      </rPr>
      <t>]</t>
    </r>
  </si>
  <si>
    <t>bit, linearity of expectation, impl</t>
  </si>
  <si>
    <t>bit or segment tree, math or ad-hoc</t>
  </si>
  <si>
    <t>SPOJ CRAYON</t>
  </si>
  <si>
    <t>bit, sweep line, grid compress or segment tree or sqrt decomposition</t>
  </si>
  <si>
    <t>bit or sets or treap or centroid-decomposition</t>
  </si>
  <si>
    <t>bit, set</t>
  </si>
  <si>
    <t>bit, [using several bits]</t>
  </si>
  <si>
    <t>bit, factoradics, permutation or order-statistic tree or segment tree</t>
  </si>
  <si>
    <t>SPOJ BRICKS</t>
  </si>
  <si>
    <t>bit, count inversion or merge sort, [=CODECHEF REACAR]</t>
  </si>
  <si>
    <t>bit, lis, [https://github.com/shashank0107/CompetitiveProgramming/blob/master/UVA/11031.cpp]</t>
  </si>
  <si>
    <t>LIVEARCHIVE 4976</t>
  </si>
  <si>
    <t>bit, dp, grid compress or dp, like nlogn LIS, [strict time]</t>
  </si>
  <si>
    <t>bit, grid compress or segment tree, dp</t>
  </si>
  <si>
    <t>bit, 2d bit, hashing</t>
  </si>
  <si>
    <t>bit or bbst, treap or binary search, datastructures</t>
  </si>
  <si>
    <t>bit or dp, binary search</t>
  </si>
  <si>
    <t>bit or segment tree, geometry, lines</t>
  </si>
  <si>
    <t>SPOJ WINDVANE</t>
  </si>
  <si>
    <t>bit, 2d bit or ad-hoc</t>
  </si>
  <si>
    <t>Don't implement as ad-hoc or pure STL. Use a data structure or algorithm.</t>
  </si>
  <si>
    <t>bit, binary search</t>
  </si>
  <si>
    <t>UVA 11610</t>
  </si>
  <si>
    <t>bit, sieve  or math</t>
  </si>
  <si>
    <t>SRM315-D2-1000</t>
  </si>
  <si>
    <t>bit or segment tree or sqrt decomposition, [Josephus problem]</t>
  </si>
  <si>
    <t>bit, datastructures, grid compress or segment tree</t>
  </si>
  <si>
    <t>bit, binary search, math</t>
  </si>
  <si>
    <t>bit, sorting</t>
  </si>
  <si>
    <t>UVA 12951</t>
  </si>
  <si>
    <t>bit, dp or two pointers</t>
  </si>
  <si>
    <t>UVA 12697</t>
  </si>
  <si>
    <t>bit or segment tree or solutions-bag or binary search, sliding window, [bs https://github.com/magdy-hasan/competitive-programming/blob/f47c3c4a14d22528a3553414d4809aa083e37ef0/uva%2012697%20-%20Minimal%20Subarray%20Length.cpp]</t>
  </si>
  <si>
    <t>SPOJ DCEPC705</t>
  </si>
  <si>
    <t>UVA 1428</t>
  </si>
  <si>
    <t>bit or segment tree or datastructures, [https://github.com/shashank0107/CompetitiveProgramming/blob/master/UVA/1428.cpp]</t>
  </si>
  <si>
    <t>SPOJ NICEDAY</t>
  </si>
  <si>
    <t>bit or segment tree or sweep line</t>
  </si>
  <si>
    <t>bit, grid compress or policy-based-datastructures</t>
  </si>
  <si>
    <t>SPOJ ORDERSET</t>
  </si>
  <si>
    <t>bit or segment tree or bbst, grid compress or order-statistic tree</t>
  </si>
  <si>
    <t>SPOJ PLONK</t>
  </si>
  <si>
    <t>bit or sorting, ad-hoc</t>
  </si>
  <si>
    <t>SPOJ CTRICK</t>
  </si>
  <si>
    <t>bit, binary search or datastructures</t>
  </si>
  <si>
    <t>Don't implement as ad-hoc or pure STL. Use a data structure or algorithm.. Try to understand the problem by yourself, if failed see https://www.youtube.com/watch?v=kP7FJGzorpI</t>
  </si>
  <si>
    <t>bit, constructive, dfs, binary search</t>
  </si>
  <si>
    <t>PKU 2985</t>
  </si>
  <si>
    <t>bit, dsu, binary search or segment tree, [kth elemeent]</t>
  </si>
  <si>
    <t>SPOJ MCHAOS</t>
  </si>
  <si>
    <t>bit or ad-hoc</t>
  </si>
  <si>
    <t>SRM424-D1-1000</t>
  </si>
  <si>
    <t>UVA 12663</t>
  </si>
  <si>
    <t>bit or segment tree or datastructures, stl</t>
  </si>
  <si>
    <t>UVA 1513</t>
  </si>
  <si>
    <t>bit or segment tree, [standard]</t>
  </si>
  <si>
    <t>SPOJ CVJETICI</t>
  </si>
  <si>
    <t>bit or segment tree, lazy propagation</t>
  </si>
  <si>
    <t>SPOJ INTERVA2</t>
  </si>
  <si>
    <t>bit, binary search or dp_bitmasks</t>
  </si>
  <si>
    <t>bit, binary search or segment tree, [basic]</t>
  </si>
  <si>
    <t>TIMUS 1028</t>
  </si>
  <si>
    <t>SRM234-D1-1000</t>
  </si>
  <si>
    <t>bit or segment tree or merge sort, count inversions, [=SPOJ INVCNT]</t>
  </si>
  <si>
    <t>LiveArchive 7591</t>
  </si>
  <si>
    <t>bit, [WA?]</t>
  </si>
  <si>
    <t>TIMUS 1470</t>
  </si>
  <si>
    <t>bit, 3d bit, inclusion-execlusion, [=PKU 1195 is 2d case]</t>
  </si>
  <si>
    <t>TJU 3243</t>
  </si>
  <si>
    <t>SPOJ MSE06H</t>
  </si>
  <si>
    <t>bit or merge sort, [=SPOJ RATING]</t>
  </si>
  <si>
    <t>UVA 11495</t>
  </si>
  <si>
    <t>bit or merge sort, game, [count inversion]</t>
  </si>
  <si>
    <t>SPOJ KQUERY</t>
  </si>
  <si>
    <t>TJU 3314</t>
  </si>
  <si>
    <t>bit, [invesions?]</t>
  </si>
  <si>
    <t>SPOJ MATSUM</t>
  </si>
  <si>
    <t>bit, 2d bit</t>
  </si>
  <si>
    <t>SPOJ NKMOBILE</t>
  </si>
  <si>
    <t>SPOJ SAS001</t>
  </si>
  <si>
    <t>bit, inversions</t>
  </si>
  <si>
    <t>SPOJ AKVQLD03</t>
  </si>
  <si>
    <t>SPOJ YODANESS</t>
  </si>
  <si>
    <t>bit or segment tree or merge sort, d&amp;c</t>
  </si>
  <si>
    <t>dp, [longest path on graph of strictly increasing edges]</t>
  </si>
  <si>
    <t>[16]</t>
  </si>
  <si>
    <t>dp, solutions-bag or divide and conquer</t>
  </si>
  <si>
    <t>dp, optimizations, [small-to-large], [similar to IOI 18-meetings]</t>
  </si>
  <si>
    <t>SRM543-D1-500</t>
  </si>
  <si>
    <t>dp, [complex, ternary]</t>
  </si>
  <si>
    <t>dp, d&amp;c, combinatorics or dp, [no d&amp;c opt]</t>
  </si>
  <si>
    <t>dp, slope_trick, [small-to-large], [solve APIO 16-fireworks first]</t>
  </si>
  <si>
    <t>UVA 1496</t>
  </si>
  <si>
    <t>dp, [Steiner's Tree]</t>
  </si>
  <si>
    <t>dp, math</t>
  </si>
  <si>
    <t>dp, meet in middle (type trick)</t>
  </si>
  <si>
    <t>dp</t>
  </si>
  <si>
    <t>UVA 1350</t>
  </si>
  <si>
    <t>dp, binary search, math</t>
  </si>
  <si>
    <t>dp, binary search, trees, [small-to-large]</t>
  </si>
  <si>
    <t>dp, bitmasks</t>
  </si>
  <si>
    <t>dp, greedy, impl</t>
  </si>
  <si>
    <t>dp, impl</t>
  </si>
  <si>
    <t>dp or fast_walsh_hadamard_transform or fft (whft), fast long long multiplication modulo M</t>
  </si>
  <si>
    <t>UVA 12260</t>
  </si>
  <si>
    <t>dp, geometry</t>
  </si>
  <si>
    <t>dp, graph</t>
  </si>
  <si>
    <t>dp, solutions-bag</t>
  </si>
  <si>
    <t>SPOJ PAINTWAL</t>
  </si>
  <si>
    <t>dp, [guy got tle]</t>
  </si>
  <si>
    <t>dp, dp_expectation, dp_state_reduce, combinatorics, [interesting use of complements]</t>
  </si>
  <si>
    <t>dp, optimizations</t>
  </si>
  <si>
    <t>dp, trie, mcm</t>
  </si>
  <si>
    <t>dp, stack</t>
  </si>
  <si>
    <t>dp, greedy</t>
  </si>
  <si>
    <t>SRM354-D1-1000</t>
  </si>
  <si>
    <t>dp, graph, combinatorics</t>
  </si>
  <si>
    <t>dp, precompute, lcs</t>
  </si>
  <si>
    <t>dp, monotonic queue or dp, rmq</t>
  </si>
  <si>
    <t>SRM452-D1-500</t>
  </si>
  <si>
    <t>dp, math or math, observations</t>
  </si>
  <si>
    <t>dp or bf</t>
  </si>
  <si>
    <t>dp, binary search</t>
  </si>
  <si>
    <t>dp, combinatorics</t>
  </si>
  <si>
    <t>dp, dp_masks, math, constructive</t>
  </si>
  <si>
    <t>dp, geometry, [number of convex polygons]</t>
  </si>
  <si>
    <t>dp, math, fib, observations</t>
  </si>
  <si>
    <t>SRM315-D1-1000</t>
  </si>
  <si>
    <t>dp, rectangles</t>
  </si>
  <si>
    <t>dp, trees, path compression, optimization</t>
  </si>
  <si>
    <t>SRM728-D1-500</t>
  </si>
  <si>
    <t>dp, grid-compress, math, ad-hoc</t>
  </si>
  <si>
    <t>dp, observations</t>
  </si>
  <si>
    <t>dp, segment tree, datastructures, [same technique from AtCoder067-ARC-F</t>
  </si>
  <si>
    <t>Find O(n) sol</t>
  </si>
  <si>
    <t>dp, reduce to subset sum</t>
  </si>
  <si>
    <t>LIVEARCHIVE 6036</t>
  </si>
  <si>
    <t>LIVEARCHIVE 7584</t>
  </si>
  <si>
    <t>SRM382-D2-1000</t>
  </si>
  <si>
    <t>SRM497-D1-500</t>
  </si>
  <si>
    <t>UVA 10128</t>
  </si>
  <si>
    <t>UVA 1158</t>
  </si>
  <si>
    <t>LIVEARCHIVE 7586</t>
  </si>
  <si>
    <t>dp or ad-hoc, regex</t>
  </si>
  <si>
    <t>dp or combinatorics, mod inv or lagrange or matrix pow, [oeis helps]</t>
  </si>
  <si>
    <t>dp, [boring]</t>
  </si>
  <si>
    <t>LIVEARCHIVE 4126</t>
  </si>
  <si>
    <t>dp, 2 dp or string processing, aho_corasick, dp or automta, dp</t>
  </si>
  <si>
    <t>dp, datastructures, [don't assign, rare DS]</t>
  </si>
  <si>
    <t>dp, fast knapsack</t>
  </si>
  <si>
    <t>UVA 10412</t>
  </si>
  <si>
    <t>dp, geometry, angles, intersections</t>
  </si>
  <si>
    <t>SRM393-D2-1000</t>
  </si>
  <si>
    <t>SRM371-D1-1000</t>
  </si>
  <si>
    <t>dp, graph, math</t>
  </si>
  <si>
    <t>dp, graph, matrices</t>
  </si>
  <si>
    <t>dp, lis, nlogn, level ??</t>
  </si>
  <si>
    <t>dp, optimizations, [dp over factors]</t>
  </si>
  <si>
    <t>dp, d&amp;c, offline dynamic connectivity, [not d&amp;c opt], [has another tricky nice dp sol]</t>
  </si>
  <si>
    <t>dp, mod inv, clique, graph construction</t>
  </si>
  <si>
    <t>dp, datastructures or greedy</t>
  </si>
  <si>
    <t>dp, datastructures, [cases]</t>
  </si>
  <si>
    <t>dp, Lex-Kth</t>
  </si>
  <si>
    <t>dp, gcd</t>
  </si>
  <si>
    <t>dp, bfs, combinatorics</t>
  </si>
  <si>
    <t>dp, lcs or dp, d&amp;c or dp_sibling</t>
  </si>
  <si>
    <t>dp, math, [coin change, __int128]</t>
  </si>
  <si>
    <t>dp, greedy, strings</t>
  </si>
  <si>
    <t>p4 v1</t>
  </si>
  <si>
    <t>SPOJ NPC2015E</t>
  </si>
  <si>
    <t xml:space="preserve">dp, ad-hoc or binary search, [solve TIMUS 1223 first, classical eggs problem - big limits/strict time/overflow] </t>
  </si>
  <si>
    <t>dp or sweep line, datastructures</t>
  </si>
  <si>
    <t>dp or z-algo or hashing</t>
  </si>
  <si>
    <t>LIVEARCHIVE 4791</t>
  </si>
  <si>
    <t>dp, 2 dp, [CLR]</t>
  </si>
  <si>
    <t>dp, cases</t>
  </si>
  <si>
    <t>dp, gcd, inclusion-exclusion or randomization, [classical for some trainees]</t>
  </si>
  <si>
    <t>SRM418-D1-500</t>
  </si>
  <si>
    <t>dp, graph or sat</t>
  </si>
  <si>
    <t>dp, iterative sparse</t>
  </si>
  <si>
    <t>dp, perfect matching in trees</t>
  </si>
  <si>
    <t>dp, sorting</t>
  </si>
  <si>
    <t>dp, tree, greedy</t>
  </si>
  <si>
    <t>SRM369-D2-1000</t>
  </si>
  <si>
    <t>dp, [subsets of masks]</t>
  </si>
  <si>
    <t>dp, dp_game theory, dijkstra</t>
  </si>
  <si>
    <t>dp, dps_sos, sqrt decomp</t>
  </si>
  <si>
    <t>SRM556-D1-500</t>
  </si>
  <si>
    <t>dp, matrix pow, math or repeated squaring</t>
  </si>
  <si>
    <t>dp, strings</t>
  </si>
  <si>
    <t>dp, binary search, prefix sum</t>
  </si>
  <si>
    <t>dp, optimizations, impl or math</t>
  </si>
  <si>
    <t>dp, sweep or segment tree, dp, bitset, knapsack</t>
  </si>
  <si>
    <t>dp, math, trees</t>
  </si>
  <si>
    <t>dp, stack, math, [overflows]</t>
  </si>
  <si>
    <t>dp, lis, binary search or segment tree or dp_trees</t>
  </si>
  <si>
    <t>dp, constructive, interactive</t>
  </si>
  <si>
    <t>dp, meet in middle, [NP]</t>
  </si>
  <si>
    <t>dp, stiriling mumbers or inclusion-exclusion</t>
  </si>
  <si>
    <t>dp, deque</t>
  </si>
  <si>
    <t>SRM511-D2-1000</t>
  </si>
  <si>
    <t>dp or segment tree</t>
  </si>
  <si>
    <t>LIVEARCHIVE 6400</t>
  </si>
  <si>
    <t>dp, 2 dp</t>
  </si>
  <si>
    <t>dp, reduction, simulation</t>
  </si>
  <si>
    <t>dp, scc?</t>
  </si>
  <si>
    <t>SRM502-D1-500</t>
  </si>
  <si>
    <t>dp, greedy, math, [exchange arguments greedy], [Laaksonen's CP handbook, 4.2.3 (tasks and deadlines), or 6.3 in the online version of the book]</t>
  </si>
  <si>
    <t>TIMUS 1223</t>
  </si>
  <si>
    <t>dp, dp, dp_ad-hoc or binary search, [eggs problem - small limits]</t>
  </si>
  <si>
    <t>dp, observation or greedy</t>
  </si>
  <si>
    <t>UVA 13179</t>
  </si>
  <si>
    <t>dp or graph, lca, binary lifting, dfs</t>
  </si>
  <si>
    <t>SRM492-D1-500</t>
  </si>
  <si>
    <t>dp, kmp or z-algo</t>
  </si>
  <si>
    <t>dp, lis, [repeated?</t>
  </si>
  <si>
    <t>dp, masks</t>
  </si>
  <si>
    <t>dp, math, number theory</t>
  </si>
  <si>
    <t>dp, optimize, game theory, binary search</t>
  </si>
  <si>
    <t>SRM526.5-D2-1000</t>
  </si>
  <si>
    <t>dp, permutation, sorting</t>
  </si>
  <si>
    <t>dp, strings, lcp</t>
  </si>
  <si>
    <t>CF101510-GYM-D</t>
  </si>
  <si>
    <t>LIVEARCHIVE 6175</t>
  </si>
  <si>
    <t>dp or datastructures, [https://morris821028.github.io/2016/02/29/uva-13014/]</t>
  </si>
  <si>
    <t>dp, [repeated]</t>
  </si>
  <si>
    <t>UVA 1427</t>
  </si>
  <si>
    <t>SRM404-D2-1000</t>
  </si>
  <si>
    <t>dp, geometry, math</t>
  </si>
  <si>
    <t>dp, knapsack</t>
  </si>
  <si>
    <t>dp, Knapsack 0-1 variation</t>
  </si>
  <si>
    <t>dp, sorting or rmq</t>
  </si>
  <si>
    <t>dp, [available on hackerrank]</t>
  </si>
  <si>
    <t>dp, string</t>
  </si>
  <si>
    <t>SRM548-D1-500</t>
  </si>
  <si>
    <t>SRM553-D2-1000</t>
  </si>
  <si>
    <t>LIVEARCHIVE 3565</t>
  </si>
  <si>
    <t>dp or backtrack</t>
  </si>
  <si>
    <t>dp or fft, [boring]</t>
  </si>
  <si>
    <t>UVA 11654</t>
  </si>
  <si>
    <t>dp, [number of subsequences that are arithmetic progressions]</t>
  </si>
  <si>
    <t>UVA 12002</t>
  </si>
  <si>
    <t>dp, ad-hoc, 2 dp</t>
  </si>
  <si>
    <t>dp, bfs, optimizations</t>
  </si>
  <si>
    <t>dp, dp_expectation</t>
  </si>
  <si>
    <t>SRM499-D1-500</t>
  </si>
  <si>
    <t>LIVEARCHIVE 5137</t>
  </si>
  <si>
    <t>dp, knapsack or bf</t>
  </si>
  <si>
    <t>UVA 12256</t>
  </si>
  <si>
    <t>dp, like fib recurrance, geometry</t>
  </si>
  <si>
    <t>SRM484-D1-500</t>
  </si>
  <si>
    <t>dp, math, combinatorics</t>
  </si>
  <si>
    <t>dp, string matching</t>
  </si>
  <si>
    <t>ZOJ 2349</t>
  </si>
  <si>
    <t>dp, d&amp;c</t>
  </si>
  <si>
    <t>dp, tree</t>
  </si>
  <si>
    <t>dp, monotonic queue or dp, segment tree</t>
  </si>
  <si>
    <t>dp, sieve, math or bf, [TLE]</t>
  </si>
  <si>
    <t>dp, bf</t>
  </si>
  <si>
    <t>dp, dp_conting, dp_ranges</t>
  </si>
  <si>
    <t>LiveArchive 8024</t>
  </si>
  <si>
    <t>SPOJ EQ2</t>
  </si>
  <si>
    <t>dp, [non standard]</t>
  </si>
  <si>
    <t>dp, [ternary search might be used]</t>
  </si>
  <si>
    <t>dp, analysis</t>
  </si>
  <si>
    <t>SRM399-D1-500</t>
  </si>
  <si>
    <t>dp, bits</t>
  </si>
  <si>
    <t>dp, greedy, sorting</t>
  </si>
  <si>
    <t>dp, math or ad-hoc, [contribution technique]</t>
  </si>
  <si>
    <t>dp, math, binary search</t>
  </si>
  <si>
    <t>dp, mcm</t>
  </si>
  <si>
    <t>dp, observation, greedy</t>
  </si>
  <si>
    <t>dp, prime factors</t>
  </si>
  <si>
    <t>SRM569-D2-1000</t>
  </si>
  <si>
    <t>dp, primes</t>
  </si>
  <si>
    <t>dp_subrectangle</t>
  </si>
  <si>
    <t>dp, topological sort</t>
  </si>
  <si>
    <t>SRM570-D2-1000</t>
  </si>
  <si>
    <t>TIMUS 1156</t>
  </si>
  <si>
    <t>dp, bicoloring, is bipartite</t>
  </si>
  <si>
    <t>SRM272-D1-500</t>
  </si>
  <si>
    <t>SRM229-D1-500</t>
  </si>
  <si>
    <t>SRM275-D1-500</t>
  </si>
  <si>
    <t>SRM351-D1-500</t>
  </si>
  <si>
    <t>SRM366-D1-1000</t>
  </si>
  <si>
    <t>SRM387-D1-500</t>
  </si>
  <si>
    <t>SRM400-D1-500</t>
  </si>
  <si>
    <t>UVA 1646</t>
  </si>
  <si>
    <t>SRM204-D1-500</t>
  </si>
  <si>
    <t>dp or greedy</t>
  </si>
  <si>
    <t>SRM328-D1-500</t>
  </si>
  <si>
    <t>dp or math</t>
  </si>
  <si>
    <t>dp or trie</t>
  </si>
  <si>
    <t>SRM397-D2-1000</t>
  </si>
  <si>
    <t>dp, [knapsack]</t>
  </si>
  <si>
    <t>dp, dp_bitmasls, math, [harder version https://www.codechef.com/SNCK1A19/problems/CHEFADD]</t>
  </si>
  <si>
    <t>UVA 976</t>
  </si>
  <si>
    <t>dp, flood-fill</t>
  </si>
  <si>
    <t>SPOJ MPOLY</t>
  </si>
  <si>
    <t>SRM416-D2-1000</t>
  </si>
  <si>
    <t>SRM247-D1-500</t>
  </si>
  <si>
    <t>dp, graph, sorting</t>
  </si>
  <si>
    <t>SRM367-D1-500</t>
  </si>
  <si>
    <t>SRM440-D2-1000</t>
  </si>
  <si>
    <t>SRM410-D2-1000</t>
  </si>
  <si>
    <t>dp, greedy or bfs</t>
  </si>
  <si>
    <t>SRM254-D1-500</t>
  </si>
  <si>
    <t>dp or greedy, [tc trick ppl with n=15]</t>
  </si>
  <si>
    <t>dp,  dp_build_output</t>
  </si>
  <si>
    <t>dp, datastructures</t>
  </si>
  <si>
    <t>dp, sortings, graph</t>
  </si>
  <si>
    <t>dp, backtracking, observation</t>
  </si>
  <si>
    <t>SPOJ NUMTSN</t>
  </si>
  <si>
    <t>dp, 2 pointers</t>
  </si>
  <si>
    <t>SPOJ COLORSEG</t>
  </si>
  <si>
    <t>dp, lis efficient, lis indices or segment tree</t>
  </si>
  <si>
    <t>dp, lis, onlogn, reduce to efficient lis or dp, bit</t>
  </si>
  <si>
    <t>dp, sieve, binary search</t>
  </si>
  <si>
    <t>UVA 10690</t>
  </si>
  <si>
    <t>dp, summations, max-min product</t>
  </si>
  <si>
    <t>dp, datastructures or binary search, impl</t>
  </si>
  <si>
    <t>dp, graph or dijkstra</t>
  </si>
  <si>
    <t>dp, observation</t>
  </si>
  <si>
    <t>dp, precalculation</t>
  </si>
  <si>
    <t>SPOJ FATAWY</t>
  </si>
  <si>
    <t>dp, lcs, dsu</t>
  </si>
  <si>
    <t>SRM288-D1-500</t>
  </si>
  <si>
    <t>dp, prefix sum, [greedy fails]</t>
  </si>
  <si>
    <t>SRM296-D1-500</t>
  </si>
  <si>
    <t>dp, recursion, math or math</t>
  </si>
  <si>
    <t>SPOJ SERVICE</t>
  </si>
  <si>
    <t>SRM372-D1-500</t>
  </si>
  <si>
    <t>SRM454-D2-1000</t>
  </si>
  <si>
    <t>SRM586-D2-1000</t>
  </si>
  <si>
    <t>UVA 1172</t>
  </si>
  <si>
    <t>SRM389-D2-1000</t>
  </si>
  <si>
    <t>dp or ad-hoc</t>
  </si>
  <si>
    <t>SRM239-D1-500</t>
  </si>
  <si>
    <t>SRM277-D1-500</t>
  </si>
  <si>
    <t>dp or tricky greedy</t>
  </si>
  <si>
    <t>dp, binary search or greedy</t>
  </si>
  <si>
    <t>dp, binary search or greedy, sorting</t>
  </si>
  <si>
    <t>dp, binary search, revise category?</t>
  </si>
  <si>
    <t>SRM209-D1-500</t>
  </si>
  <si>
    <t>dp, calculus, [unclear text]</t>
  </si>
  <si>
    <t>UVA 10185</t>
  </si>
  <si>
    <t>dp, complete binary tree or, greedy, [hard text]</t>
  </si>
  <si>
    <t>dp, datastructure</t>
  </si>
  <si>
    <t>dp, dp_masks, greedy</t>
  </si>
  <si>
    <t>LIVEARCHIVE 2151</t>
  </si>
  <si>
    <t>UVA 1238</t>
  </si>
  <si>
    <t>dp, lcs, analysis</t>
  </si>
  <si>
    <t>dp, lis</t>
  </si>
  <si>
    <t>SPOJ BRDGHRD</t>
  </si>
  <si>
    <t>dp, lis nlogn, sort</t>
  </si>
  <si>
    <t>SRM353-D1-500</t>
  </si>
  <si>
    <t>dp, palindromes, strings</t>
  </si>
  <si>
    <t>SRM453.5-D1-500</t>
  </si>
  <si>
    <t>dp, prefix sum, graph</t>
  </si>
  <si>
    <t>SRM353-D2-1000</t>
  </si>
  <si>
    <t>dp, search, math</t>
  </si>
  <si>
    <t>PKU 1155</t>
  </si>
  <si>
    <t>dp, tree, [hard text?]</t>
  </si>
  <si>
    <t>dp, trees, gcd</t>
  </si>
  <si>
    <t>SPOJ STRSEQ</t>
  </si>
  <si>
    <t>SPOJ NAIVELOK</t>
  </si>
  <si>
    <t>dp, [unclear txt?]</t>
  </si>
  <si>
    <t>LIVEARCHIVE 8044</t>
  </si>
  <si>
    <t>SRM548-D2-1000</t>
  </si>
  <si>
    <t>dp, bitmask, dfs</t>
  </si>
  <si>
    <t>dp, dp_memo or greedy</t>
  </si>
  <si>
    <t>TIMUS 1342</t>
  </si>
  <si>
    <t>dp, lis (n^2)</t>
  </si>
  <si>
    <t>UVA 12131</t>
  </si>
  <si>
    <t>SRM418-D2-1000</t>
  </si>
  <si>
    <t>SPOJ WAYHOME</t>
  </si>
  <si>
    <t>dp, 2D grid</t>
  </si>
  <si>
    <t>dp, dp_bitmass</t>
  </si>
  <si>
    <t>ZOJ 1025</t>
  </si>
  <si>
    <t>dp, lds, nlogn or greedy</t>
  </si>
  <si>
    <t>SRM351-D2-1000</t>
  </si>
  <si>
    <t>dp, [reverse thinking]</t>
  </si>
  <si>
    <t>UVA 10980</t>
  </si>
  <si>
    <t>dp, prefix sum or mo's algorithm</t>
  </si>
  <si>
    <t>CF919-D2-D</t>
  </si>
  <si>
    <t>SRM253-D1-500</t>
  </si>
  <si>
    <t>SRM398-D1-500</t>
  </si>
  <si>
    <t>UVA 11002</t>
  </si>
  <si>
    <t>UVA 12904</t>
  </si>
  <si>
    <t>UVA 11026</t>
  </si>
  <si>
    <t>dp, [elementary symmetric polynomials]</t>
  </si>
  <si>
    <t>SRM295-D1-500</t>
  </si>
  <si>
    <t>SRM159-D1-500</t>
  </si>
  <si>
    <t>dp, [lis releated]</t>
  </si>
  <si>
    <t>dp, dp_memo</t>
  </si>
  <si>
    <t>SRM599-D2-1000</t>
  </si>
  <si>
    <t>dp, graph, strings</t>
  </si>
  <si>
    <t>ZOJ 1093</t>
  </si>
  <si>
    <t>dp, lds or ad-hoc</t>
  </si>
  <si>
    <t>dp, lis, [direct lis]</t>
  </si>
  <si>
    <t>UVA 11310</t>
  </si>
  <si>
    <t>dp, recurrences</t>
  </si>
  <si>
    <t>SRM370-D1-500</t>
  </si>
  <si>
    <t>dp, search</t>
  </si>
  <si>
    <t>UVA 812</t>
  </si>
  <si>
    <t>SPOJ NOCHANGE</t>
  </si>
  <si>
    <t>dp, [coin change]</t>
  </si>
  <si>
    <t>SPOJ UOFTAB</t>
  </si>
  <si>
    <t>dp, bf or bfs</t>
  </si>
  <si>
    <t>dp, lcs</t>
  </si>
  <si>
    <t>LIVEARCHIVE 2585</t>
  </si>
  <si>
    <t>dp, tree or ad-hoc</t>
  </si>
  <si>
    <t>LIVEARCHIVE 3574</t>
  </si>
  <si>
    <t>SPOJ NOVICE63</t>
  </si>
  <si>
    <t>dp or dp_knuth, [use scanf, you may need to avoid memset or use table methd]</t>
  </si>
  <si>
    <t>dp, math, [-ve mod]</t>
  </si>
  <si>
    <t>SPOJ DCOWS</t>
  </si>
  <si>
    <t>SRM395-D2-1000</t>
  </si>
  <si>
    <t>TIMUS 1346</t>
  </si>
  <si>
    <t>UVA 11420</t>
  </si>
  <si>
    <t>UVA 1231</t>
  </si>
  <si>
    <t>UVA 1647</t>
  </si>
  <si>
    <t>SRM371-D1-500</t>
  </si>
  <si>
    <t>dp or graph, min-cost-max-flow or ad-hoc</t>
  </si>
  <si>
    <t>SRM248-D1-500</t>
  </si>
  <si>
    <t>dp, [greedy fails]</t>
  </si>
  <si>
    <t>SRM462-D2-1000</t>
  </si>
  <si>
    <t>UVA 1196</t>
  </si>
  <si>
    <t>dp, lis nlogn</t>
  </si>
  <si>
    <t>SRM577-D2-1000</t>
  </si>
  <si>
    <t>SRM551-D2-1000</t>
  </si>
  <si>
    <t>dp, math, state symmetry</t>
  </si>
  <si>
    <t>SRM299-D1-500</t>
  </si>
  <si>
    <t>SRM314-D1-500</t>
  </si>
  <si>
    <t>UVA 1225</t>
  </si>
  <si>
    <t>dp, prefix sum</t>
  </si>
  <si>
    <t>dp, knapsack, constructive, number theory, bitsets</t>
  </si>
  <si>
    <t>dp, observations, linear recurrence [Berlekamp-Massey Algorithm]</t>
  </si>
  <si>
    <t>dp, dp_cyclic, matrix, gaussian elimination</t>
  </si>
  <si>
    <t>[17]</t>
  </si>
  <si>
    <t>dp, dp_cyclic, gaussian elimination or upper triangular matrix solving</t>
  </si>
  <si>
    <t>SRM504.5-D1-1000</t>
  </si>
  <si>
    <t>dp, dp_cyclic, matrix, gaussian elimination or upper triangular matrix solving</t>
  </si>
  <si>
    <t>dp, dp_cyclic, gaussian elimination</t>
  </si>
  <si>
    <t>UVA 1390</t>
  </si>
  <si>
    <t>dp, dp_cyclic, state as vector, sorting state, dsu, tricky complexity</t>
  </si>
  <si>
    <t>dp, dp_cyclic, dp_expectation or dp_depth or gaussian elimination or upper triangular matrix solving</t>
  </si>
  <si>
    <t>dp, dp_cyclic, dp_probability</t>
  </si>
  <si>
    <t>UVA 215</t>
  </si>
  <si>
    <t>dp, dp_cyclic, gaussian elemination</t>
  </si>
  <si>
    <t>dp, dp_cyclic, dp_probability or dp_depth</t>
  </si>
  <si>
    <t>UVA 11755</t>
  </si>
  <si>
    <t>dp, dp_cyclic, dp_probability or dp_depth or gaussian elimination</t>
  </si>
  <si>
    <t>SPOJ GS</t>
  </si>
  <si>
    <t>dp, dp_cyclic, dp_expectation, gaussian elimination</t>
  </si>
  <si>
    <t>SRM318-D1-500</t>
  </si>
  <si>
    <t>dp, dp_cyclic, expectation or bf, simulation</t>
  </si>
  <si>
    <t>SRM334-D1-500</t>
  </si>
  <si>
    <t>dp, dp_cyclic</t>
  </si>
  <si>
    <t>SRM488-D1-250</t>
  </si>
  <si>
    <t>dp, dp_cyclic, dp_expectation or dp_depth</t>
  </si>
  <si>
    <t>SRM568-D2-1000</t>
  </si>
  <si>
    <t>dp, dp_cyclic, expectation, [algebra handling]</t>
  </si>
  <si>
    <t>dp, dp_state_reduce, dp_subrectangle, 2D prefix sum</t>
  </si>
  <si>
    <t>[18]</t>
  </si>
  <si>
    <t>UVA 12099</t>
  </si>
  <si>
    <t>dp, dp_state_reduce, dp_table, greedy fails</t>
  </si>
  <si>
    <t>dp, dp_state_reduce, dp_games, [min max]</t>
  </si>
  <si>
    <t>dp, dp_state_reduce, matrix pow</t>
  </si>
  <si>
    <t>dp, dp_state_reduce, dp_counting, inclusion-exclusion, [change object to dp, ~=CF100589-GYM-F]</t>
  </si>
  <si>
    <t>dp, dp_state_reduce, dp_counting</t>
  </si>
  <si>
    <t>SRM508-D1-500</t>
  </si>
  <si>
    <t>dp, dp_state_reduce, knapsack</t>
  </si>
  <si>
    <t>dp, dp_state_reduce</t>
  </si>
  <si>
    <t>SRM511-D1-500</t>
  </si>
  <si>
    <t>dp, dp_state_reduce, dp_games</t>
  </si>
  <si>
    <t>SRM540-D1-500</t>
  </si>
  <si>
    <t>dp, dp_optimal_substructure_analysis, dp_probability, inclusion-exclusion</t>
  </si>
  <si>
    <t>[19]</t>
  </si>
  <si>
    <t>dp, dp_optimal_substructure_analysis, [maximum array sum with consecutives (&lt;=k length)-blocks ]</t>
  </si>
  <si>
    <t>LIVEARCHIVE 5132</t>
  </si>
  <si>
    <t>dp, dp_subrectangle, Manhattan2DRotation or inclusion-execlusion, [For rotation trick, solve CF124-D2-D first]</t>
  </si>
  <si>
    <t>[20]</t>
  </si>
  <si>
    <t>dp, dp_subrectangle</t>
  </si>
  <si>
    <t>UVA 1366</t>
  </si>
  <si>
    <t>dp, dp_subrectangle, 2d</t>
  </si>
  <si>
    <t>SPOJ FISHES</t>
  </si>
  <si>
    <t>dp, dp_subrectangle, 2d, observations, dot product, Largest Rectangle general, [Author: Mostafa Saad - I am authot.The math equations are for an important observation in linear SVM]</t>
  </si>
  <si>
    <t>TIMUS 1389</t>
  </si>
  <si>
    <t>dp, dp_subrectangle, 2d, [actually greedy version]</t>
  </si>
  <si>
    <t>UVA 10827</t>
  </si>
  <si>
    <t>dp, dp_subrectangle, 2d, [harder version of UVA 108]</t>
  </si>
  <si>
    <t>SPOJ BCAKE</t>
  </si>
  <si>
    <t>dp, dp_subrectangle, 2d or max-flow</t>
  </si>
  <si>
    <t>UVA 507</t>
  </si>
  <si>
    <t>dp, dp_subrectangle, 1d, [more direct UVA 12640]</t>
  </si>
  <si>
    <t>UVA 10667</t>
  </si>
  <si>
    <t>LIVEARCHIVE 5128</t>
  </si>
  <si>
    <t>dp, memoize or backtrack, herustics</t>
  </si>
  <si>
    <t>[21]</t>
  </si>
  <si>
    <t>SRM525-D2-1000</t>
  </si>
  <si>
    <t>dp, memoize map or bf, hard impl</t>
  </si>
  <si>
    <t>See DP solution</t>
  </si>
  <si>
    <t>UVA 10597</t>
  </si>
  <si>
    <t>dp, memoize in set, [CFG]</t>
  </si>
  <si>
    <t>SRM358-D1-500</t>
  </si>
  <si>
    <t>dp, memoize in map, gcd, [proof Bezout's identity] or randomization [such in CF1043-D12-F], [dp sol https://github.com/MedoN11/CompetitiveProgramming/blob/master/TopCoder/SRM358-D1-500.cpp]</t>
  </si>
  <si>
    <t>SRM566-D1-250</t>
  </si>
  <si>
    <t>dp, memoize in map or math</t>
  </si>
  <si>
    <t>SRM402-D1-250</t>
  </si>
  <si>
    <t>dp, memoize in map, expectation</t>
  </si>
  <si>
    <t>dp, memoize in map, games</t>
  </si>
  <si>
    <t>SRM413-D1-500</t>
  </si>
  <si>
    <t>dp, memoize in map</t>
  </si>
  <si>
    <t>SRM413-D2-1000</t>
  </si>
  <si>
    <t>dp, dp_ad-hoc, pigeonhole principle, [knapsack optimization]</t>
  </si>
  <si>
    <t>[22]</t>
  </si>
  <si>
    <t>UVA 1224</t>
  </si>
  <si>
    <t>dp, dp_ad-hoc, [tiling]</t>
  </si>
  <si>
    <t>dp, dp_ad-hoc, [small-to-large] or dsu-on-trees or centroid-decomposition</t>
  </si>
  <si>
    <t>SRM416-D1-500</t>
  </si>
  <si>
    <t>dp, dp_ad-hoc, dp_inequality_constraints or bf, OEIS [=CF714-D2-E]</t>
  </si>
  <si>
    <t>LIVEARCHIVE 3930</t>
  </si>
  <si>
    <t>dp, dp_ad-hoc, dp_games, state, impl</t>
  </si>
  <si>
    <t>UVA 12222</t>
  </si>
  <si>
    <t>dp, dp_ad-hoc</t>
  </si>
  <si>
    <t>UVA 1638</t>
  </si>
  <si>
    <t>dp, dp_ad-hoc, dp_table, [tiling, ~=10918]</t>
  </si>
  <si>
    <t>UVA 11545</t>
  </si>
  <si>
    <t>dp, dp_ad-hoc or bfs</t>
  </si>
  <si>
    <t>dp, dp_ad-hoc, [non standard]</t>
  </si>
  <si>
    <t>dp, dp_ad-hoc, [tiling], [in my videos], [https://github.com/yazanKabbany/CompetitiveProgramming/blob/master/UVA/UVA%2010918.cpp]</t>
  </si>
  <si>
    <t>UVA 1424</t>
  </si>
  <si>
    <t>UVA 11487</t>
  </si>
  <si>
    <t>dp, dp_ad-hoc, bfs, counting</t>
  </si>
  <si>
    <t>PKU 1170</t>
  </si>
  <si>
    <t>dp, dp_ad-hoc, state, [strict TLE]</t>
  </si>
  <si>
    <t>UVA 10940</t>
  </si>
  <si>
    <t>dp, dp_ad-hoc, jouseph or bf, pattern</t>
  </si>
  <si>
    <t>UVA 12235</t>
  </si>
  <si>
    <t>dp, dp_table, roll table, dp_bitmasks</t>
  </si>
  <si>
    <t>[23]</t>
  </si>
  <si>
    <t>dp, dp_table, dp_counting, [permutation dp, stars&amp;bars], [solve CODECHEF AMBALLS first]</t>
  </si>
  <si>
    <t>dp, dp_table, dp_build_output</t>
  </si>
  <si>
    <t>dp, dp_table, dp_susbstates_analysis, Manhattan2DRotation, [solve CF124-D2-D - SRM520-D1-500 first], [ECPC13, I am author]</t>
  </si>
  <si>
    <t>dp, dp_table</t>
  </si>
  <si>
    <t>dp, dp_table, dp_counting, [permutation dp, stars&amp;bars], [CSA_Beta7-E (distinct_neighbours)]</t>
  </si>
  <si>
    <t>dp, dp_table, permutations</t>
  </si>
  <si>
    <t>dp, dp_table, dp_counting</t>
  </si>
  <si>
    <t>SRM520-D1-500</t>
  </si>
  <si>
    <t>dp, dp_table, dp_susbstates_analysis, [subproblem in CF100283-GYM-C]</t>
  </si>
  <si>
    <t>dp, dp_table, datastructures, math</t>
  </si>
  <si>
    <t>dp, dp_table, tricky</t>
  </si>
  <si>
    <t>dp, dp_table, [cycles are cancelled], [memoization fails for RTE depth]</t>
  </si>
  <si>
    <t>dp, dp_table, dp_roll, dp_bitmasks, sortings</t>
  </si>
  <si>
    <t>ZOJ 3305</t>
  </si>
  <si>
    <t>dp, dp_table or dp_bitmasks, mask-all-subsets</t>
  </si>
  <si>
    <t>dp, dp_table, roll table, [https://github.com/MetalBall887/Competitive-Programming/blob/master/UVA/UVA%2011266.cpp]</t>
  </si>
  <si>
    <t>JS Add</t>
  </si>
  <si>
    <t>SRM534-D1-500</t>
  </si>
  <si>
    <t>dp, dp_table, dp_bitmasks, knapsack, factorization, [table to reduce memory]</t>
  </si>
  <si>
    <t>dp, dp_table, dp_roll</t>
  </si>
  <si>
    <t>SRM728-D2-500</t>
  </si>
  <si>
    <t>dp, dp_table, accumulation optimization</t>
  </si>
  <si>
    <t>dp, dp_table, [greedy fails]</t>
  </si>
  <si>
    <t>SRM502-D2-1000</t>
  </si>
  <si>
    <t>dp, dp_bitmasks</t>
  </si>
  <si>
    <t>[24]</t>
  </si>
  <si>
    <t>dp, dp_bitmasks, observations</t>
  </si>
  <si>
    <t>SPOJ PWORDS</t>
  </si>
  <si>
    <t>Author Amr Samir</t>
  </si>
  <si>
    <t>SRM549-D1-500</t>
  </si>
  <si>
    <t>dp, dp_bitmasks, dp_ternarymask, impl</t>
  </si>
  <si>
    <t>dp, dp_bitmasks, intervals</t>
  </si>
  <si>
    <t>LIVEARCHIVE 6028</t>
  </si>
  <si>
    <t>dp, dp_bitmasks, 2 dp</t>
  </si>
  <si>
    <t>dp, dp_bitmasks, lowest Bit DP</t>
  </si>
  <si>
    <t>dp, dp_bitmasks, dfs</t>
  </si>
  <si>
    <t>LIVEARCHIVE 4794</t>
  </si>
  <si>
    <t>dp, dp_bitmasks, mask-all-subsets, prune</t>
  </si>
  <si>
    <t>dp, dp_bitmasks, [even if intermediate calcs are wrong, they may not affect results]</t>
  </si>
  <si>
    <t>dp, dp_bitmasks, dp_ternarymask</t>
  </si>
  <si>
    <t>UVA 1323</t>
  </si>
  <si>
    <t>dp, dp_bitmasks, Mersenne primes</t>
  </si>
  <si>
    <t>dp, dp_bitmasks, sweep line</t>
  </si>
  <si>
    <t>SRM549-D2-1000</t>
  </si>
  <si>
    <t>dp, dp_bitmasks, topological sort to build dp</t>
  </si>
  <si>
    <t>dp, dp_bitmasks, cases</t>
  </si>
  <si>
    <t>dp, dp_bitmasks, nested dps</t>
  </si>
  <si>
    <t>dp, dp_bitmasks, greedy</t>
  </si>
  <si>
    <t>SRM356-D1-500</t>
  </si>
  <si>
    <t>dp, dp_bitmasks, optimizations, marriage graph or bf</t>
  </si>
  <si>
    <t>dp, dp_bitmasks, cliques, np-hard or randomization</t>
  </si>
  <si>
    <t>SPOJ DNALAB</t>
  </si>
  <si>
    <t>dp, dp_bitmasks, dp_build_output, greedy</t>
  </si>
  <si>
    <t>LIVEARCHIVE 4970</t>
  </si>
  <si>
    <t>dp, dp_bitmasks or graph, min-cost-max-flow, [knight distance in infinite chess]</t>
  </si>
  <si>
    <t>dp, dp_bitmasks, binary search, [repeated idea]</t>
  </si>
  <si>
    <t>dp, dp_bitmasks, number theory</t>
  </si>
  <si>
    <t>SRM386-D1-500</t>
  </si>
  <si>
    <t>dp, dp_bitmasks, polygon triangulation, [prove, greedy fails]</t>
  </si>
  <si>
    <t>dp, dp_bitmasks, geometry</t>
  </si>
  <si>
    <t>UVA 1252</t>
  </si>
  <si>
    <t>SPOJ HELPBOB</t>
  </si>
  <si>
    <t>dp, dp_bitmasks or fft</t>
  </si>
  <si>
    <t>SRM575-D2-1000</t>
  </si>
  <si>
    <t>dp, dp_bitmasks or max-flow</t>
  </si>
  <si>
    <t>UVA 11284</t>
  </si>
  <si>
    <t>dp, dp_bitmasks, floyd</t>
  </si>
  <si>
    <t>dp, dp_bitmasks, math</t>
  </si>
  <si>
    <t>LIVEARCHIVE 3995</t>
  </si>
  <si>
    <t>SRM390-D1-500</t>
  </si>
  <si>
    <t>dp, dp_bitmasks, binary search</t>
  </si>
  <si>
    <t>UVA 11806</t>
  </si>
  <si>
    <t>dp, dp_bitmasks, dp_countig or inclusion-exclusion, [cases]</t>
  </si>
  <si>
    <t>UVA 11825</t>
  </si>
  <si>
    <t>dp, dp_bitmasks, mask-all-subsets, [direct practice on mask-all-subsets]</t>
  </si>
  <si>
    <t>SPOJ ANARC08I</t>
  </si>
  <si>
    <t>SRM189-D1-500</t>
  </si>
  <si>
    <t>SRM364-D1-500</t>
  </si>
  <si>
    <t>SRM364-D2-1000</t>
  </si>
  <si>
    <t>SRM469-D1-500</t>
  </si>
  <si>
    <t>UVA 11084</t>
  </si>
  <si>
    <t>UVA 1240</t>
  </si>
  <si>
    <t>SPOJ BABY</t>
  </si>
  <si>
    <t>dp, dp_bitmasks or min-cost-max-flow</t>
  </si>
  <si>
    <t>SRM508-D2-1000</t>
  </si>
  <si>
    <t>UVA 10944</t>
  </si>
  <si>
    <t>dp, dp_bitmasks, tsp oe bfs, impl</t>
  </si>
  <si>
    <t>SRM523-D2-1000</t>
  </si>
  <si>
    <t>UVA 12030</t>
  </si>
  <si>
    <t>dp, dp_bitmasks or ad-hoc, masks, d&amp;c</t>
  </si>
  <si>
    <t>SPOJ TAILS</t>
  </si>
  <si>
    <t>dp, dp_bitmasks or bfs, bitmasks</t>
  </si>
  <si>
    <t>UVA 11008</t>
  </si>
  <si>
    <t>SRM562-D2-1000</t>
  </si>
  <si>
    <t>dp, dp_bitmasks, dp_counting, hard text</t>
  </si>
  <si>
    <t>dp, dp_bitmasks or dp_sos</t>
  </si>
  <si>
    <t>SRM390-D2-1000</t>
  </si>
  <si>
    <t>UVA 11088</t>
  </si>
  <si>
    <t>SPOJ TRSTAGE</t>
  </si>
  <si>
    <t>dp, dp_bitmasks or dijkstra</t>
  </si>
  <si>
    <t>LIVEARCHIVE 5856</t>
  </si>
  <si>
    <t>dp, dp_bitmasks, [kmp may help]</t>
  </si>
  <si>
    <t>SRM407-D1-500</t>
  </si>
  <si>
    <t>dp, dp_bitmasks, dp_games, [minimax]</t>
  </si>
  <si>
    <t>SRM279-D1-500</t>
  </si>
  <si>
    <t>SRM547-D2-1000</t>
  </si>
  <si>
    <t>dp, dp_bitmasks, primes</t>
  </si>
  <si>
    <t>UVA 11795</t>
  </si>
  <si>
    <t>dp, dp_bitmasks, dp_counting</t>
  </si>
  <si>
    <t>SPOJ MMINPAID</t>
  </si>
  <si>
    <t>dp, dp_bitmasks or shortest path</t>
  </si>
  <si>
    <t>TIMUS 1152</t>
  </si>
  <si>
    <t>SRM430-D2-1000</t>
  </si>
  <si>
    <t>dp, dp_bitmasks, graph</t>
  </si>
  <si>
    <t>dp, dp_counting, combinatorics</t>
  </si>
  <si>
    <t>[26]</t>
  </si>
  <si>
    <t>dp, dp_counting, combinatorics, observations</t>
  </si>
  <si>
    <t>dp, dp_counting, mod inv, [reduced to number of topological orderings]</t>
  </si>
  <si>
    <t>dp, dp_counting, matrix pow, [optimize dp with matrix pow]</t>
  </si>
  <si>
    <t>dp, dp_counting</t>
  </si>
  <si>
    <t>dp, dp_counting, trees</t>
  </si>
  <si>
    <t>dp, dp_counting, [burnside's lemma]</t>
  </si>
  <si>
    <t>dp, dp_counting, segment tree</t>
  </si>
  <si>
    <t xml:space="preserve">dp, dp_counting, stirling numbers, A trick from Errichto, </t>
  </si>
  <si>
    <t>SRM145-D1-1000</t>
  </si>
  <si>
    <t>SRM147-D1-1000</t>
  </si>
  <si>
    <t>UVA 11828</t>
  </si>
  <si>
    <t>dp, dp_counting, dp_ranges, 2 dp</t>
  </si>
  <si>
    <t>UVA 12298</t>
  </si>
  <si>
    <t>dp, dp_counting, sieve, sieve bitmasks, combinatorics</t>
  </si>
  <si>
    <t>dp, dp_counting, dsu, datastructures</t>
  </si>
  <si>
    <t>dp, dp_counting, permutations</t>
  </si>
  <si>
    <t>CF101411-GYM-E</t>
  </si>
  <si>
    <t>SRM553-D1-500</t>
  </si>
  <si>
    <t>dp, dp_counting, patterns</t>
  </si>
  <si>
    <t>dp, dp_counting, inclusion-exclusion, perfect matchings count</t>
  </si>
  <si>
    <t>dp, dp_counting, dp_probability, dp_table, permutations</t>
  </si>
  <si>
    <t>dp, dp_counting, [double-counting]</t>
  </si>
  <si>
    <t>SRM532-D1-500</t>
  </si>
  <si>
    <t>dp, dp_counting, dp_bitmasks, graph, [dublicate countings]</t>
  </si>
  <si>
    <t>dp, dp_counting, permutations, LIS, [reduce to: find the number of permutations of size N with LIS not 3 or 4], [deep understanding on LIS and a creative mind]</t>
  </si>
  <si>
    <t>dp, dp_counting or math, combinatorics, [independence property]</t>
  </si>
  <si>
    <t>dp, dp_counting, summation order, perumtations, [fake constraint]</t>
  </si>
  <si>
    <t>dp, dp_counting, summations or math, combinatorics, [independence property]</t>
  </si>
  <si>
    <t>LIVEARCHIVE 4123</t>
  </si>
  <si>
    <t>dp, dp_counting, graph</t>
  </si>
  <si>
    <t>SRM514-D1-500</t>
  </si>
  <si>
    <t>dp, dp_counting, dp_bitmasks</t>
  </si>
  <si>
    <t>SRM523-D1-500</t>
  </si>
  <si>
    <t>SRM406-D2-1000</t>
  </si>
  <si>
    <t>dp, dp_counting, bicoloring, [double counting]</t>
  </si>
  <si>
    <t>SPOJ RIOI_3_2</t>
  </si>
  <si>
    <t>dp, dp_counting, number theory</t>
  </si>
  <si>
    <t>LIVEARCHIVE 8299</t>
  </si>
  <si>
    <t>dp, dp_counting or combinatorics, binary search, binomial therom</t>
  </si>
  <si>
    <t>dp, dp_counting, mod inv</t>
  </si>
  <si>
    <t>TC(FamilySeatingArrangement)</t>
  </si>
  <si>
    <t>dp, dp_counting, pow</t>
  </si>
  <si>
    <t>dp, dp_counting, knapsack</t>
  </si>
  <si>
    <t>dp, dp_counting, probability, mod inv</t>
  </si>
  <si>
    <t>SRM602-D2-1000</t>
  </si>
  <si>
    <t>dp, dp_counting or bf, [boring]</t>
  </si>
  <si>
    <t>UVA 986</t>
  </si>
  <si>
    <t>LIVEARCHIVE 6396</t>
  </si>
  <si>
    <t>dp, dp_counting, factorization or backtrack</t>
  </si>
  <si>
    <t>UVA 11981</t>
  </si>
  <si>
    <t>SRM477-D2-1000</t>
  </si>
  <si>
    <t>dp, dp_counting, inclusion-exclusion</t>
  </si>
  <si>
    <t>SRM428-D2-1000</t>
  </si>
  <si>
    <t>dp, dp_counting or perm, ad-hoc</t>
  </si>
  <si>
    <t>SRM459-D1-500</t>
  </si>
  <si>
    <t>dp, dp_counting, symbolic thinking</t>
  </si>
  <si>
    <t>SPOJ DCEPC810</t>
  </si>
  <si>
    <t>dp, dp_counting, 2 pointers</t>
  </si>
  <si>
    <t>SRM395-D1-500</t>
  </si>
  <si>
    <t>SRM520-D2-1000</t>
  </si>
  <si>
    <t>SRM554-D2-1000</t>
  </si>
  <si>
    <t>UVA 1645</t>
  </si>
  <si>
    <t>dp, dp_counting or impl???</t>
  </si>
  <si>
    <t>UVA 11655</t>
  </si>
  <si>
    <t>SRM578-D2-1000</t>
  </si>
  <si>
    <t>SRM144-D1-500</t>
  </si>
  <si>
    <t>dp, dp_counting or math, combinatorics, [repeated]</t>
  </si>
  <si>
    <t>UVA 12223</t>
  </si>
  <si>
    <t>dp, dp_counting, tree, dfs</t>
  </si>
  <si>
    <t>SRM349-D1-500</t>
  </si>
  <si>
    <t>dp, dp_counting or combinatorics</t>
  </si>
  <si>
    <t>dp, dp_counting, bignum</t>
  </si>
  <si>
    <t>UVA 12034</t>
  </si>
  <si>
    <t>dp, dp_counting, combinations, mod</t>
  </si>
  <si>
    <t>dp, dp_counting, dp_trees</t>
  </si>
  <si>
    <t>SRM227-D1-500</t>
  </si>
  <si>
    <t>SRM354-D2-1000</t>
  </si>
  <si>
    <t>dp, dp_counting, combinatorics or ad-hoc</t>
  </si>
  <si>
    <t>dp, dp_games, dp_counting</t>
  </si>
  <si>
    <t>[28]</t>
  </si>
  <si>
    <t>dp, dp_games or grundy</t>
  </si>
  <si>
    <t>SPOJ XOINC</t>
  </si>
  <si>
    <t>dp, dp_games, optimization, [needs O(n^2) not O(n^3), dp trick to reduce order]</t>
  </si>
  <si>
    <t>SRM526-D1-500</t>
  </si>
  <si>
    <t>dp, dp_games, optimization, primes, set</t>
  </si>
  <si>
    <t>dp, dp_games, graphs or dijkstra or dfs, DAG</t>
  </si>
  <si>
    <t>SRM419-D1-500</t>
  </si>
  <si>
    <t>dp, dp_games, [cases]</t>
  </si>
  <si>
    <t>SRM216-D1-1000</t>
  </si>
  <si>
    <t>dp, dp_games or game theory, nim</t>
  </si>
  <si>
    <t>SRM343-D1-500</t>
  </si>
  <si>
    <t>dp, dp_games, minimax</t>
  </si>
  <si>
    <t>dp, dp_games or backtrack, minmax (alpah beta)</t>
  </si>
  <si>
    <t>SRM384-D2-1000</t>
  </si>
  <si>
    <t>dp, dp_games</t>
  </si>
  <si>
    <t>SRM360-D2-1000</t>
  </si>
  <si>
    <t>TIMUS 1398</t>
  </si>
  <si>
    <t>dp, dp_games, dp_bitmasks</t>
  </si>
  <si>
    <t>dp, dp_games, minmax</t>
  </si>
  <si>
    <t>dp, dp_games, dp_probability</t>
  </si>
  <si>
    <t>UVA 10536</t>
  </si>
  <si>
    <t>dp, dp_games, dp_bitmasks, repeated, [~=CF69-D2-D, SRM522-D1-250, SRM534-D1-250]</t>
  </si>
  <si>
    <t>dp, dp_games, [Harmonic progression]</t>
  </si>
  <si>
    <t>SRM606-D2-1000</t>
  </si>
  <si>
    <t>dp, dp_games, dp_bitmasks or bf</t>
  </si>
  <si>
    <t>SRM534-D1-250</t>
  </si>
  <si>
    <t>dp, dp_games, dp_bitmasks or game theory</t>
  </si>
  <si>
    <t>SRM228-D1-500</t>
  </si>
  <si>
    <t>SRM172-D1-500</t>
  </si>
  <si>
    <t>dp, dp_games or game theory</t>
  </si>
  <si>
    <t>UVA 12469</t>
  </si>
  <si>
    <t>UVA 11311</t>
  </si>
  <si>
    <t>dp, dp_games, [nim]</t>
  </si>
  <si>
    <t>SRM522-D1-250</t>
  </si>
  <si>
    <t>dp, dp_games, dp_bitmasks or ad-hoc</t>
  </si>
  <si>
    <t>dp, dp_probability</t>
  </si>
  <si>
    <t>[29]</t>
  </si>
  <si>
    <t>dp, dp_probability or ad-hoc</t>
  </si>
  <si>
    <t>TIMUS 1359</t>
  </si>
  <si>
    <t>dp, dp_probability, [skip small probabilities trick]</t>
  </si>
  <si>
    <t>SPOJ LIM</t>
  </si>
  <si>
    <t>dp, dp_probability or gaussian elimination</t>
  </si>
  <si>
    <t>SRM542-D1-500</t>
  </si>
  <si>
    <t>dp, dp_probability, dp_bitmasks</t>
  </si>
  <si>
    <t>dp, dp_probability, dp_ranges</t>
  </si>
  <si>
    <t>UVA 10529</t>
  </si>
  <si>
    <t>dp, dp_probability, circular style, greedy fails</t>
  </si>
  <si>
    <t>dp, dp_probability, math, number theory</t>
  </si>
  <si>
    <t>SRM614-D2-1000</t>
  </si>
  <si>
    <t>dp, dp_probability or gaussian elimination, [tridiagonal matrix algorithm], [https://github.com/DrSchwad/CompetitiveProgramming/blob/master/TopCoder/SRM614-D2-1000.cpp]</t>
  </si>
  <si>
    <t>SRM476-D1-500</t>
  </si>
  <si>
    <t>dp, dp_probability, bitmasks, combinations</t>
  </si>
  <si>
    <t>SRM460-D1-500</t>
  </si>
  <si>
    <t>SRM603-D2-1000</t>
  </si>
  <si>
    <t>dp, dp_probability, dp_depth or bf</t>
  </si>
  <si>
    <t>UVA 11176</t>
  </si>
  <si>
    <t>dp, dp_probability, datastructure or d&amp;c</t>
  </si>
  <si>
    <t>SRM513-D1-500</t>
  </si>
  <si>
    <t>dp, dp_probability, ?? level</t>
  </si>
  <si>
    <t>SRM304-D1-500</t>
  </si>
  <si>
    <t>dp, dp_probability, bignum</t>
  </si>
  <si>
    <t>dp, dp_probability, dp_table, [independence property], [prove correctness?]</t>
  </si>
  <si>
    <t>dp, dp_probability, combinatorics or ad-hoc</t>
  </si>
  <si>
    <t>dp, dp_probability, [print is the challenge]</t>
  </si>
  <si>
    <t>dp, dp_probability, dp_table, masks</t>
  </si>
  <si>
    <t>UVA 10218</t>
  </si>
  <si>
    <t>dp, dp_probability or combinatorics</t>
  </si>
  <si>
    <t>PKU 3744</t>
  </si>
  <si>
    <t>dp, dp_probability or math, pow or matrix pow</t>
  </si>
  <si>
    <t>dp, dp_probability, [educational]</t>
  </si>
  <si>
    <t>UVA 12179</t>
  </si>
  <si>
    <t>dp, dp_probability, floyd</t>
  </si>
  <si>
    <t>SRM394-D1-1000</t>
  </si>
  <si>
    <t>SRM408-D2-1000</t>
  </si>
  <si>
    <t>dp, dp_probability, [=PKU 3071]</t>
  </si>
  <si>
    <t>SRM339-D1-500</t>
  </si>
  <si>
    <t>UVA 10759</t>
  </si>
  <si>
    <t>dp, dp_probability, counting style</t>
  </si>
  <si>
    <t>PKU 3071</t>
  </si>
  <si>
    <t>dp, dp_probability, dp_masks</t>
  </si>
  <si>
    <t>SRM338-D1-500</t>
  </si>
  <si>
    <t>SRM504.5-D2-1000</t>
  </si>
  <si>
    <t>dp, dp_probability or probability</t>
  </si>
  <si>
    <t>dp, dp_probability, dp_expectation</t>
  </si>
  <si>
    <t>[30]</t>
  </si>
  <si>
    <t>LIVEARCHIVE 6777</t>
  </si>
  <si>
    <t>dp, dp_probability, dp_expectation, linearity of expectation</t>
  </si>
  <si>
    <t>dp, dp_probability, dp_expectation, max-min expectation</t>
  </si>
  <si>
    <t>SRM727-D1-1000</t>
  </si>
  <si>
    <t>dp, dp_probability, dp_expectation, [new style - linearity of expectation + some similiraity. basically simulating expectation here is n^3, but if you simulate the right part it's n^2, and using basic combinatronics you can derive the n^3 simulation in o(1)....note : code doesn't have doubles because author asks to represent as p*q^-1 ( p and q primes and answer is guranteed to be representable in such form).]</t>
  </si>
  <si>
    <t>dp, dp_probability, dp_expectation, law of total expectation</t>
  </si>
  <si>
    <t>SRM515-D1-500</t>
  </si>
  <si>
    <t>dp, dp_probability, dp_expectation, dp_bitmasks, minimax</t>
  </si>
  <si>
    <t>SRM384-D1-500</t>
  </si>
  <si>
    <t>dp, dp_probability, dp_expectation, dp_depth</t>
  </si>
  <si>
    <t>SRM462-D1-500</t>
  </si>
  <si>
    <t>dp, dp_probability, dp_expectation, dp_bitmasks</t>
  </si>
  <si>
    <t>dp, dp_probability, dp_expectation, dijkstra</t>
  </si>
  <si>
    <t>dp, dp_probability, dp_expectation or expectation, easy formula hard proof, combinatorics</t>
  </si>
  <si>
    <t>dp, dp_probability, dp_expectation or graph, randomization, probability, [similar to old LA problem]</t>
  </si>
  <si>
    <t>UVA 11427</t>
  </si>
  <si>
    <t>UVA 1456</t>
  </si>
  <si>
    <t>dp, dp_probability, dp_expectation or math, [hard text for few]</t>
  </si>
  <si>
    <t>dp, dp_probability, dp_expectation, impl</t>
  </si>
  <si>
    <t>SPOJ LOOPEXP</t>
  </si>
  <si>
    <t>dp, dp_probability, dp_expectation or math, probability</t>
  </si>
  <si>
    <t>dp, dp_probability, dp_expectation, dp_table, roll table</t>
  </si>
  <si>
    <t>SRM533-D2-1000</t>
  </si>
  <si>
    <t>dp, dp_probability, dp_expectation or expectation</t>
  </si>
  <si>
    <t>UVA 10288</t>
  </si>
  <si>
    <t>dp, dp_probability, dp_expectation, gcd, fraction, [hard text?]</t>
  </si>
  <si>
    <t>UVA 12369</t>
  </si>
  <si>
    <t>SRM184-D1-500</t>
  </si>
  <si>
    <t>dp, dp_probability, dp_expectation, dp_masks or math, expectation</t>
  </si>
  <si>
    <t>SRM561-D2-1000</t>
  </si>
  <si>
    <t>dp, dp_probability, dp_expectation, linearity of expectation, graph or expectation</t>
  </si>
  <si>
    <t>SRM402-D2-1000</t>
  </si>
  <si>
    <t>SRM518-D2-1000</t>
  </si>
  <si>
    <t>SRM249-D1-250</t>
  </si>
  <si>
    <t>dp, dp_probability, dp_expectation, recursive expectation</t>
  </si>
  <si>
    <t>dp, dp_probability, dp_expectation, combinatorics</t>
  </si>
  <si>
    <t>UVA 10454</t>
  </si>
  <si>
    <t>dp, dp_ranges</t>
  </si>
  <si>
    <t>[31]</t>
  </si>
  <si>
    <t>dp, dp_ranges or greedy</t>
  </si>
  <si>
    <t>UVA 1336</t>
  </si>
  <si>
    <t>dp, dp_ranges, [https://github.com/magdy-hasan/competitive-programming/blob/cfe86781fa1fe38080fbbd25e25e2ff40120c2ec/uva-/uva%201336%20-%20Fixing%20the%20Great%20Wall.cpp]</t>
  </si>
  <si>
    <t>UVA 12283</t>
  </si>
  <si>
    <t>UVA 12656</t>
  </si>
  <si>
    <t>UVA 12800</t>
  </si>
  <si>
    <t>UVA 1351</t>
  </si>
  <si>
    <t>dp, dp_ranges, string cycle using kmp or dp, hashing or ad-hoc</t>
  </si>
  <si>
    <t>SRM555-D2-1000</t>
  </si>
  <si>
    <t>dp, dp_ranges, dp_counting, [consective ranges]</t>
  </si>
  <si>
    <t>SRM509-D1-500</t>
  </si>
  <si>
    <r>
      <rPr>
        <sz val="10"/>
        <color theme="1"/>
        <rFont val="Arial"/>
      </rPr>
      <t xml:space="preserve">dp, dp_ranges, </t>
    </r>
    <r>
      <rPr>
        <b/>
        <sz val="10"/>
        <color theme="1"/>
        <rFont val="Arial"/>
      </rPr>
      <t>hard to impl</t>
    </r>
    <r>
      <rPr>
        <sz val="10"/>
        <color theme="1"/>
        <rFont val="Arial"/>
      </rPr>
      <t>, floyd, [cases, edit distance]</t>
    </r>
  </si>
  <si>
    <t>dp, dp_ranges, [weird input]</t>
  </si>
  <si>
    <t>SRM240-D1-1000</t>
  </si>
  <si>
    <t>dp, dp_ranges, [=SPOJ ZUMA, CF538-D2]</t>
  </si>
  <si>
    <t>dp, dp_ranges, combinatorics</t>
  </si>
  <si>
    <t>SRM536-D2-1000</t>
  </si>
  <si>
    <t>dp, dp_ranges, [consective ranges]</t>
  </si>
  <si>
    <t>SRM558-D1-250</t>
  </si>
  <si>
    <t>dp, dp_ranges, [consective ranges] or bf</t>
  </si>
  <si>
    <t>UVA 1239</t>
  </si>
  <si>
    <t>dp, dp_ranges or ad-hoc</t>
  </si>
  <si>
    <t>SRM441-D1-250</t>
  </si>
  <si>
    <t>dp, dp_ranges, [consective ranges, cyclic permutation] or bf</t>
  </si>
  <si>
    <t>UVA 12245</t>
  </si>
  <si>
    <t>LIVEARCHIVE 2675</t>
  </si>
  <si>
    <t>dp, dp_ranges, [consective ranges, in videos]</t>
  </si>
  <si>
    <t>SPOJ GCJ1C09C</t>
  </si>
  <si>
    <t>dp, dp_ranges, [nested ranges]</t>
  </si>
  <si>
    <t>UVA 11022</t>
  </si>
  <si>
    <t>dp, dp_ranges, strings</t>
  </si>
  <si>
    <t>SRM366-D2-1000</t>
  </si>
  <si>
    <t>dp, dp_ranges, lcs or backtrack</t>
  </si>
  <si>
    <t>SRM149-D1-500</t>
  </si>
  <si>
    <t>dp, dp_ranges, impl, [consective ranges], [is repeated idea in the sheet?]</t>
  </si>
  <si>
    <t>LIVEARCHIVE 2587</t>
  </si>
  <si>
    <t>SRM367-D2-1000</t>
  </si>
  <si>
    <t>LIVEARCHIVE 8046</t>
  </si>
  <si>
    <t>greedy, observations</t>
  </si>
  <si>
    <t>[32]</t>
  </si>
  <si>
    <t>greedy, bitmasks</t>
  </si>
  <si>
    <t>SRM307-D1-500</t>
  </si>
  <si>
    <t>greedy, search, math</t>
  </si>
  <si>
    <t>greedy, binary search</t>
  </si>
  <si>
    <t>greedy, painful casework</t>
  </si>
  <si>
    <t>greedy, math, [Interesting proofs]</t>
  </si>
  <si>
    <t>Prove</t>
  </si>
  <si>
    <t>greedy, interactive</t>
  </si>
  <si>
    <t>LIVEARCHIVE 7585</t>
  </si>
  <si>
    <t>greedy</t>
  </si>
  <si>
    <t>greedy, hamiltanion cycle</t>
  </si>
  <si>
    <t>greedy, simulation, bf, observations</t>
  </si>
  <si>
    <t>LIVEARCHIVE 6780</t>
  </si>
  <si>
    <t>greedy, binary search or rmq</t>
  </si>
  <si>
    <t>For me: http://contest.usaco.org/TESTDATA/FEB10.corral.htm</t>
  </si>
  <si>
    <t>greedy, datastructures</t>
  </si>
  <si>
    <t>greedy, constructive, primves, divisors</t>
  </si>
  <si>
    <t>greedy, strings</t>
  </si>
  <si>
    <t>greedy, priority queue, slope_trick or dp or min-cost-max-flow</t>
  </si>
  <si>
    <t>Note: many elegant solutions can be explored</t>
  </si>
  <si>
    <t>greedy, sortings, [cases]</t>
  </si>
  <si>
    <t>greedy, math, gcd</t>
  </si>
  <si>
    <t>greedy, binary system, constructive</t>
  </si>
  <si>
    <t>greedy, constructive, [tricky]</t>
  </si>
  <si>
    <t>greedy, pattern analysis</t>
  </si>
  <si>
    <t>SRM463-D1-500</t>
  </si>
  <si>
    <t>greedy, dp, math</t>
  </si>
  <si>
    <t>greedy, graph</t>
  </si>
  <si>
    <t>greedy, impl, [boring ?]</t>
  </si>
  <si>
    <t>LIVEARCHIVE 7576</t>
  </si>
  <si>
    <t>greedy, simulation</t>
  </si>
  <si>
    <t>LIVEARCHIVE 7158</t>
  </si>
  <si>
    <t>greedy, sorting, [long/unclear text]</t>
  </si>
  <si>
    <t>greedy, [cases]</t>
  </si>
  <si>
    <t>greedy, math, observations</t>
  </si>
  <si>
    <t>greedy, simulation, graph, bipartite</t>
  </si>
  <si>
    <t>greedy, bf, knapsack</t>
  </si>
  <si>
    <t>greedy, binary search, dfs</t>
  </si>
  <si>
    <t>greedy, binary search, impl</t>
  </si>
  <si>
    <t>greedy, binary search, sorting</t>
  </si>
  <si>
    <t>Try to prove</t>
  </si>
  <si>
    <t>SPOJ LAZYPROG</t>
  </si>
  <si>
    <t>greedy, datastructures, heap, [hard to prove]</t>
  </si>
  <si>
    <t>SRM331-D1-500</t>
  </si>
  <si>
    <t>greedy, induction or dp, [solve timus 1515 first]</t>
  </si>
  <si>
    <t>greedy, induction trick, math</t>
  </si>
  <si>
    <t>greedy, math</t>
  </si>
  <si>
    <t>SRM400-D2-1000</t>
  </si>
  <si>
    <t>greedy, search, bitmasks, [LightedPanels]</t>
  </si>
  <si>
    <t>greedy, constructive</t>
  </si>
  <si>
    <t>SRM443-D1-500</t>
  </si>
  <si>
    <t>SRM594-D2-1000</t>
  </si>
  <si>
    <t>LIVEARCHIVE 4788</t>
  </si>
  <si>
    <t>greedy, graph, dfs, sort states</t>
  </si>
  <si>
    <t>greedy, trees, sparse tables, euer, [lca-like] or hld</t>
  </si>
  <si>
    <t>ACMWF19-A</t>
  </si>
  <si>
    <t>greedy, graph, impl, [~=CF954-D2-G]</t>
  </si>
  <si>
    <t>SRM378-D2-1000</t>
  </si>
  <si>
    <t>greedy, math, [simple if know tower of hanoi]</t>
  </si>
  <si>
    <t>SRM612-D2-1000</t>
  </si>
  <si>
    <t>greedy, math, combinations or dp</t>
  </si>
  <si>
    <t>greedy, math, datastructures, [short impl]</t>
  </si>
  <si>
    <t>greedy, palindromes, string, [pigeonhole]</t>
  </si>
  <si>
    <t>SRM345-D1-500</t>
  </si>
  <si>
    <t>greedy or game theory, nim</t>
  </si>
  <si>
    <t>SRM463-D2-1000</t>
  </si>
  <si>
    <t>greedy, math, constructive, symbolic representation</t>
  </si>
  <si>
    <t>SPOJ MCLB</t>
  </si>
  <si>
    <t>greedy, [bad text?]</t>
  </si>
  <si>
    <t>Author yasser</t>
  </si>
  <si>
    <t>greedy, [easy idea, cases]</t>
  </si>
  <si>
    <t>greedy, impl</t>
  </si>
  <si>
    <t>UVA 10148</t>
  </si>
  <si>
    <t>greedy, print blank line between cases only WAs</t>
  </si>
  <si>
    <t>SRM421-D1-500</t>
  </si>
  <si>
    <t>SRM538-D2-1000</t>
  </si>
  <si>
    <t>SRM554-D1-500</t>
  </si>
  <si>
    <t>UVA 1346</t>
  </si>
  <si>
    <t>greedy or dp</t>
  </si>
  <si>
    <t>greedy, [easy greedy, many cases to impl]</t>
  </si>
  <si>
    <t>greedy, bf, math</t>
  </si>
  <si>
    <t>greedy, cases, impl</t>
  </si>
  <si>
    <t>UVA 11269</t>
  </si>
  <si>
    <t>greedy, comparison</t>
  </si>
  <si>
    <t>LIVEARCHIVE 3835</t>
  </si>
  <si>
    <t>greedy, geometry</t>
  </si>
  <si>
    <t>SRM480-D1-500</t>
  </si>
  <si>
    <t>greedy, graph matchings</t>
  </si>
  <si>
    <t>SRM379-D1-500</t>
  </si>
  <si>
    <t>SRM361-D1-500</t>
  </si>
  <si>
    <t>greedy, math, search, constructive</t>
  </si>
  <si>
    <t>greedy, number theory</t>
  </si>
  <si>
    <t>SRM396-D2-1000</t>
  </si>
  <si>
    <t>greedy, search, strings</t>
  </si>
  <si>
    <t>greedy, sorting</t>
  </si>
  <si>
    <t>greedy or ternary search</t>
  </si>
  <si>
    <t>greedy, [flow concepts needed]</t>
  </si>
  <si>
    <t>greedy, dp, bitmasks, [=APIO 15-sculpture]</t>
  </si>
  <si>
    <t>greedy, d&amp;c, constructive</t>
  </si>
  <si>
    <t>SRM392-D1-1000</t>
  </si>
  <si>
    <t>greedy, bf, mask, impl, lexicographically or dp_digits, dp_build_output</t>
  </si>
  <si>
    <t>greedy, constructive, impl</t>
  </si>
  <si>
    <t>greedy, datastructures, impl</t>
  </si>
  <si>
    <t>greedy, induction trick, constructive</t>
  </si>
  <si>
    <t>greedy, interactive, constructive</t>
  </si>
  <si>
    <t>greedy, math, ad-hoc, impl</t>
  </si>
  <si>
    <t>greedy, sort, prefix sum, [maybe solve SRM502-D1-500 first]</t>
  </si>
  <si>
    <t>greedy or dp or datastructures</t>
  </si>
  <si>
    <t>greedy or dp, impl</t>
  </si>
  <si>
    <t>greedy, bf, impl, [tricky complexity]</t>
  </si>
  <si>
    <t>greedy, binary search, [strict time]</t>
  </si>
  <si>
    <t>greedy, constructive, map</t>
  </si>
  <si>
    <t>greedy, observations, math</t>
  </si>
  <si>
    <t>greedy, prefix sum</t>
  </si>
  <si>
    <t>greedy, two pointers matching like</t>
  </si>
  <si>
    <t>SRM442-D1-500</t>
  </si>
  <si>
    <t>greedy, sorting, math</t>
  </si>
  <si>
    <t>SRM346-D1-500</t>
  </si>
  <si>
    <t>SRM560-D2-1000</t>
  </si>
  <si>
    <t>greedy, sorting, [exchange arguments]</t>
  </si>
  <si>
    <t>greedy, lexographical sol, [japaneese txt]</t>
  </si>
  <si>
    <t>SPOJ ROADTRIP</t>
  </si>
  <si>
    <t>greedy, math or pattern or segment tree</t>
  </si>
  <si>
    <t>greedy, datastructures, constructive, [https://github.com/magdy-hasan/competitive-programming/blob/4974957766ecea93197be6f59e4d8d09dc6a76a6/Codeforces/CF101917-gym-B.cpp]</t>
  </si>
  <si>
    <t>greedy, inversions</t>
  </si>
  <si>
    <t>greedy, math, impl</t>
  </si>
  <si>
    <t>greedy, sorting, datastructures, logic</t>
  </si>
  <si>
    <t>greedy or bf</t>
  </si>
  <si>
    <t>greedy or dijkstra, [multiple start nodes], [https://github.com/ahmedsamir221/CompetitiveProgramming/blob/master/CodeForces/CF101149-GYM-G.cpp]</t>
  </si>
  <si>
    <t>greedy, brute force, sorting</t>
  </si>
  <si>
    <t>greedy, datastructures, stl</t>
  </si>
  <si>
    <t>greedy, dfs , tree</t>
  </si>
  <si>
    <t>greedy, dfs or bfs, greedy</t>
  </si>
  <si>
    <t>SRM292-D1-500</t>
  </si>
  <si>
    <t>Read editorials proof</t>
  </si>
  <si>
    <t>UVA 12325</t>
  </si>
  <si>
    <t>greedy, knapsack, math or ternary [https://github.com/ahmedsamir221/CompetitiveProgramming/blob/master/UVA/UVA%2012325.cpp]</t>
  </si>
  <si>
    <t>LIVEARCHIVE 3277</t>
  </si>
  <si>
    <t>greedy, matching or bipartite matching</t>
  </si>
  <si>
    <t>SRM405-D2-1000</t>
  </si>
  <si>
    <t>greedy, math, strings</t>
  </si>
  <si>
    <t>greedy, mod, math or segment tree, binary search</t>
  </si>
  <si>
    <t>greedy, sortings</t>
  </si>
  <si>
    <t>SRM619-D2-1000</t>
  </si>
  <si>
    <t>SRM453.5-D2-1000</t>
  </si>
  <si>
    <t>greedy, math, sorting or dp</t>
  </si>
  <si>
    <t>SPOJ SAM</t>
  </si>
  <si>
    <t>greedy, job scheduling, datastructures, heap, [=CF101498-GYM-f]</t>
  </si>
  <si>
    <t>greedy, precision</t>
  </si>
  <si>
    <t>greedy, sortings, math</t>
  </si>
  <si>
    <t>SRM381-D1-500</t>
  </si>
  <si>
    <t>SRM544-D2-500</t>
  </si>
  <si>
    <t>TIMUS 1515</t>
  </si>
  <si>
    <t>SRM357-D1-500</t>
  </si>
  <si>
    <t>SRM544-D1-500</t>
  </si>
  <si>
    <t>UVA 13032</t>
  </si>
  <si>
    <t>SRM486-D2-1000</t>
  </si>
  <si>
    <t>greedy, math, sorting</t>
  </si>
  <si>
    <t>SRM380-D1-500</t>
  </si>
  <si>
    <t>greedy, search</t>
  </si>
  <si>
    <t>SRM450-D1-500</t>
  </si>
  <si>
    <t>greedy, simulation, impl</t>
  </si>
  <si>
    <t>greedy, simulation, sortings, set, direct</t>
  </si>
  <si>
    <t>SRM263-D1-500</t>
  </si>
  <si>
    <t>SRM361-D2-1000</t>
  </si>
  <si>
    <t>SRM382-D1-500</t>
  </si>
  <si>
    <t>SRM516-D1-500</t>
  </si>
  <si>
    <t>greedy, sorting, matching, multiset</t>
  </si>
  <si>
    <t>greedy, sortings, bf</t>
  </si>
  <si>
    <t>greedy, stack</t>
  </si>
  <si>
    <t>SRM433-D2-1000</t>
  </si>
  <si>
    <t>greedy, strings or bf</t>
  </si>
  <si>
    <t>ZOJ 1200</t>
  </si>
  <si>
    <t>greedy, simulation, priority queue, [WAs]</t>
  </si>
  <si>
    <t>LiveArchive 8260</t>
  </si>
  <si>
    <t>greedy, sorting, dp</t>
  </si>
  <si>
    <t>greedy, [pigeonhole principle]</t>
  </si>
  <si>
    <t>greedy, datastructures or dp</t>
  </si>
  <si>
    <t>greedy, impl, [reverse thinking]</t>
  </si>
  <si>
    <t>SRM456-D2-1000</t>
  </si>
  <si>
    <t>greedy, math, binary search</t>
  </si>
  <si>
    <t>SPOJ KAOS</t>
  </si>
  <si>
    <t>greedy, sorting or segment tree</t>
  </si>
  <si>
    <t>greedy, constructive, [reverse thinking]</t>
  </si>
  <si>
    <t>greedy, math, [reverse thinking]</t>
  </si>
  <si>
    <t>SRM372-D2-1000</t>
  </si>
  <si>
    <t>SPOJ BLOPER</t>
  </si>
  <si>
    <t>greedy, [WAs]</t>
  </si>
  <si>
    <t>SRM408-D1-500</t>
  </si>
  <si>
    <t>greedy, grid compress</t>
  </si>
  <si>
    <t>greedy, impl, math</t>
  </si>
  <si>
    <t>SRM380-D2-1000</t>
  </si>
  <si>
    <t>UVA 12259</t>
  </si>
  <si>
    <t>SRM398-D2-1000</t>
  </si>
  <si>
    <t>SRM453-D2-1000</t>
  </si>
  <si>
    <t>greedy, bf or binary search</t>
  </si>
  <si>
    <t>greedy, sets, finding max k subarrays</t>
  </si>
  <si>
    <t>LiveArchive 7887</t>
  </si>
  <si>
    <t>greedy, heap</t>
  </si>
  <si>
    <t>greedy, palindromes</t>
  </si>
  <si>
    <t>Prove your sol</t>
  </si>
  <si>
    <t>greedy, sweep</t>
  </si>
  <si>
    <t>greedy, set or grid compress</t>
  </si>
  <si>
    <t>greedy, impl, interactive</t>
  </si>
  <si>
    <t>SRM481-D1-500</t>
  </si>
  <si>
    <t>greedy, bipartite matching</t>
  </si>
  <si>
    <t>greedy, load balancing greedy</t>
  </si>
  <si>
    <t>greedy, math, [prove it]</t>
  </si>
  <si>
    <t>Write correctness proof</t>
  </si>
  <si>
    <t>greedy, sorting or dp</t>
  </si>
  <si>
    <t>SRM481-D2-1000</t>
  </si>
  <si>
    <t>SRM518-D1-500</t>
  </si>
  <si>
    <t>SRM566-D2-500</t>
  </si>
  <si>
    <t>UVA 11452</t>
  </si>
  <si>
    <t xml:space="preserve">greedy or maybe kmp </t>
  </si>
  <si>
    <t>greedy, bfs</t>
  </si>
  <si>
    <t>UVA 1623</t>
  </si>
  <si>
    <t>greedy, datastructures, lowerbound</t>
  </si>
  <si>
    <t>greedy, impl, unclear text?</t>
  </si>
  <si>
    <t>CF835-D2-C</t>
  </si>
  <si>
    <t>greedy, prefix sum 2D</t>
  </si>
  <si>
    <t>SRM499-D2-1000</t>
  </si>
  <si>
    <t>SRM348-D1-500</t>
  </si>
  <si>
    <t>greedy, search, sorting</t>
  </si>
  <si>
    <t>ZOJ 1171</t>
  </si>
  <si>
    <t>greedy, sorting, [PEs]</t>
  </si>
  <si>
    <t>SRM414-D1-500</t>
  </si>
  <si>
    <t>greedy or search, d&amp;c, impl</t>
  </si>
  <si>
    <t>greedy, binary search, double</t>
  </si>
  <si>
    <t>SRM507-D2-500</t>
  </si>
  <si>
    <t>UVA 12694</t>
  </si>
  <si>
    <t>greedy or backtrack, prune</t>
  </si>
  <si>
    <t>SPOJ INS14K</t>
  </si>
  <si>
    <t>greedy or complete search</t>
  </si>
  <si>
    <t>SRM556-D2-1000</t>
  </si>
  <si>
    <t>SRM498-D2-1000</t>
  </si>
  <si>
    <t>greedy, search or bfs</t>
  </si>
  <si>
    <t>SRM163-D1-500</t>
  </si>
  <si>
    <t>ZOJ 1966</t>
  </si>
  <si>
    <t>game theory, dfs, [observation]</t>
  </si>
  <si>
    <t>[33]</t>
  </si>
  <si>
    <t>game theory, sorting</t>
  </si>
  <si>
    <t>game theory, math</t>
  </si>
  <si>
    <t>SRM338-D1-1000</t>
  </si>
  <si>
    <t>game theory, [https://github.com/MetalBall887/Competitive-Programming/blob/master/TopCoder/SRM338-D1-1000.cpp]</t>
  </si>
  <si>
    <t>SPOJ NUMGAME</t>
  </si>
  <si>
    <t>game theory</t>
  </si>
  <si>
    <t>No web sol so far?</t>
  </si>
  <si>
    <t>game theory, math, even/odd</t>
  </si>
  <si>
    <t>SRM423-D1-500</t>
  </si>
  <si>
    <r>
      <rPr>
        <sz val="10"/>
        <color theme="1"/>
        <rFont val="Arial"/>
      </rPr>
      <t xml:space="preserve">game theory, bfs, </t>
    </r>
    <r>
      <rPr>
        <b/>
        <sz val="10"/>
        <color theme="1"/>
        <rFont val="Arial"/>
      </rPr>
      <t>impl</t>
    </r>
    <r>
      <rPr>
        <sz val="10"/>
        <color theme="1"/>
        <rFont val="Arial"/>
      </rPr>
      <t xml:space="preserve"> or dp_depth, [mainly heavy impl]</t>
    </r>
  </si>
  <si>
    <t>game theory or dp_games, [http://www.voidcn.com/article/p-aqgjmhcx-bdu.html], [http://www.voidcn.com/article/p-wipzkilq-vy.html]</t>
  </si>
  <si>
    <t>game theory, gcd</t>
  </si>
  <si>
    <t>SPOJ GAME2</t>
  </si>
  <si>
    <t>game theory, pattern, observation, [https://github.com/goswami-rahul/competitive-coding/blob/master/CompetitiveProgramming/spoj/GAME2.cpp]</t>
  </si>
  <si>
    <t>game theory, expectation</t>
  </si>
  <si>
    <t>game theory, bfs, impl, [bfs for a game on graphs]</t>
  </si>
  <si>
    <t>game theory, [cases]</t>
  </si>
  <si>
    <t>game theory, observations</t>
  </si>
  <si>
    <t>game theory, cases, observations, [short impl]</t>
  </si>
  <si>
    <t>game theory, cases</t>
  </si>
  <si>
    <t>game theory, greedy</t>
  </si>
  <si>
    <t>game theory, greedy or dp_digit</t>
  </si>
  <si>
    <t>NO Editorial</t>
  </si>
  <si>
    <t>TIMUS 1051</t>
  </si>
  <si>
    <t>game theory, pattern</t>
  </si>
  <si>
    <t>game theory, dfs or dp_games</t>
  </si>
  <si>
    <t>SPOJ PEBBMOV</t>
  </si>
  <si>
    <t>game theory, ad-hoc, [unclear/misleading txt]</t>
  </si>
  <si>
    <t>SPOJ GAME3</t>
  </si>
  <si>
    <t>SPOJ EALP1</t>
  </si>
  <si>
    <t>game theory, [Possible Moves of NIM]</t>
  </si>
  <si>
    <t>SPOJ CHGROOM</t>
  </si>
  <si>
    <t>game theory, factorization, [Win unless 2 prime factors]</t>
  </si>
  <si>
    <t>SRM598-D2-1000</t>
  </si>
  <si>
    <t>SRM271-D1-500</t>
  </si>
  <si>
    <t>game theory, backtrack</t>
  </si>
  <si>
    <t>game theory, tree</t>
  </si>
  <si>
    <t>game theory, divisors, greedy or dp_games</t>
  </si>
  <si>
    <t>game theory, observation, divisors or dp_games</t>
  </si>
  <si>
    <t>game theory, gcd, dfs or pattern, [why each time if I have multiple branches from the current state I can win, why always there is a win leaf state for me if I have multiple branches from the current state?]</t>
  </si>
  <si>
    <t>SPOJ IITKWPCN</t>
  </si>
  <si>
    <t>TIMUS 1023</t>
  </si>
  <si>
    <t>UVA 11489</t>
  </si>
  <si>
    <t>TIMUS 1639</t>
  </si>
  <si>
    <t>game theory, [tracing samples]</t>
  </si>
  <si>
    <t>Think in prove. See discussions</t>
  </si>
  <si>
    <t>game theory, nim</t>
  </si>
  <si>
    <t>[34]</t>
  </si>
  <si>
    <t>SPOJ TEAMNIM</t>
  </si>
  <si>
    <t>game theory, nim, [no editorials]</t>
  </si>
  <si>
    <t>SRM710-D1-500</t>
  </si>
  <si>
    <t>game theory, nim, misere nim, [https://github.com/MetalBall887/Competitive-Programming/blob/master/TopCoder/SRM710-D1-500.cpp]</t>
  </si>
  <si>
    <t>game theory, nim, [nim?]</t>
  </si>
  <si>
    <t>SRM309-D1-1000</t>
  </si>
  <si>
    <t>game theory, nim, k-nim, [retreat is useless], [tricky cases]</t>
  </si>
  <si>
    <t>SRM396-D1-1000</t>
  </si>
  <si>
    <t>game theory, nim, linear independence, gaussian elimination</t>
  </si>
  <si>
    <t>game theory, nim, [staircase nim]</t>
  </si>
  <si>
    <t>PKU 1704</t>
  </si>
  <si>
    <t>game theory, nim, [=UVA 11534]</t>
  </si>
  <si>
    <t>SRM558-D2-1000</t>
  </si>
  <si>
    <t>SPOJ MMMGAME</t>
  </si>
  <si>
    <t>game theory, nim, misere nim, [=LIVEARCHIVE 3830]</t>
  </si>
  <si>
    <t>UVA 11892</t>
  </si>
  <si>
    <t>SPOJ HUBULLU</t>
  </si>
  <si>
    <t>game theory, nim, [need a prove]</t>
  </si>
  <si>
    <t>UVA 10165</t>
  </si>
  <si>
    <t>PKU 2975</t>
  </si>
  <si>
    <t>game theory, nim, direct, standard</t>
  </si>
  <si>
    <t>CF102394-gym-G</t>
  </si>
  <si>
    <t>game theory, nim, k-nim, gaussian elimination, bitmasks %3</t>
  </si>
  <si>
    <t>game theory, grundy or pattern</t>
  </si>
  <si>
    <t>[35]</t>
  </si>
  <si>
    <t>game theory, grundy</t>
  </si>
  <si>
    <t>SRM384-D1-1000</t>
  </si>
  <si>
    <t>game theory, grundy, compound games, WTIA</t>
  </si>
  <si>
    <t>game theory, grundy, smallest # steps</t>
  </si>
  <si>
    <t>game theory, grundy, dp, [Interesting way to reduce dp states]</t>
  </si>
  <si>
    <t>game theory, grundy, trie, [https://github.com/farmerboy95/CompetitiveProgramming/blob/master/AtCoder/AtCoder087-ARC-C.cpp]</t>
  </si>
  <si>
    <t>SRM561-D1-500</t>
  </si>
  <si>
    <t>game theory, grundy, trees, geometry</t>
  </si>
  <si>
    <t>game theory, grundy or dp_games</t>
  </si>
  <si>
    <t>game theory, grundy, graph</t>
  </si>
  <si>
    <t>game theory, grundy, [https://github.com/MetalBall887/Competitive-Programming/blob/master/UVA/UVA%201378.cpp]</t>
  </si>
  <si>
    <t>UVA 11840</t>
  </si>
  <si>
    <t>game theory, grundy, [tricky cases]</t>
  </si>
  <si>
    <t>SRM389-D1-1000</t>
  </si>
  <si>
    <t>game theory, grundy, bitmasks, [independence property - 2d grid]</t>
  </si>
  <si>
    <t>game theory, grundy, datastructures</t>
  </si>
  <si>
    <t>game theory, grundy, bitset</t>
  </si>
  <si>
    <t>game theory, grundy, dp on segment tree</t>
  </si>
  <si>
    <t>TIMUS 1540</t>
  </si>
  <si>
    <t>game theory, grundy, [=SRM624-D2-1000]</t>
  </si>
  <si>
    <t>SPOJ TRIOMINO</t>
  </si>
  <si>
    <t>game theory, grundy, mex sub-states first, cases analysis, impl, [~SPOJ CHAOS_CC, UVA 10561 - https://github.com/Mahmoud3ali/CompetitiveProgramming/blob/master/UVA/UVA%2010561.cpp   https://github.com/goswami-rahul/competitive-coding/blob/master/CompetitiveProgramming/spoj/TRIOMINO.cpp  ]</t>
  </si>
  <si>
    <t>game theory, grundy, observations</t>
  </si>
  <si>
    <t>game theory, grundy, primes</t>
  </si>
  <si>
    <t>game theory, grundy, xor properties or games</t>
  </si>
  <si>
    <t>game theory, grundy, segment tree</t>
  </si>
  <si>
    <t>game theory, grundy, sieve</t>
  </si>
  <si>
    <t>UVA 11859</t>
  </si>
  <si>
    <t>game theory, grundy, seive</t>
  </si>
  <si>
    <t>PKU 2311</t>
  </si>
  <si>
    <t>game theory, grundy, mex sub-states first</t>
  </si>
  <si>
    <t>game theory, grundy, dp or formula</t>
  </si>
  <si>
    <t>UVA 1482</t>
  </si>
  <si>
    <t>game theory, grundy, recursive pattern</t>
  </si>
  <si>
    <t>SPOJ SYNC13C</t>
  </si>
  <si>
    <t>game theory, grundy, pattern</t>
  </si>
  <si>
    <t>SPOJ QCJ3</t>
  </si>
  <si>
    <t>game theory, wythoff's game</t>
  </si>
  <si>
    <t>[36]</t>
  </si>
  <si>
    <t>game theory, wythoff's game or dp</t>
  </si>
  <si>
    <t>game theory, wythoff's game, winner first action</t>
  </si>
  <si>
    <t>geometry</t>
  </si>
  <si>
    <t>[37]</t>
  </si>
  <si>
    <t>geometry, trigonometry</t>
  </si>
  <si>
    <t>geometry, trigonometry, bf, counting</t>
  </si>
  <si>
    <t>LIVEARCHIVE 7581</t>
  </si>
  <si>
    <t>geometry, ad-hoc</t>
  </si>
  <si>
    <t>CODECHEF RUBBER</t>
  </si>
  <si>
    <t>UVA 11784</t>
  </si>
  <si>
    <t>LIVEARCHIVE 5223</t>
  </si>
  <si>
    <t>geometry, bf, [pack cyclinders in triangles]</t>
  </si>
  <si>
    <t>NO SOL</t>
  </si>
  <si>
    <t>LIVEARCHIVE 4790</t>
  </si>
  <si>
    <t>geometry, trianges, search, [contour lines, closed form to avoid TLE]</t>
  </si>
  <si>
    <t>geometry, trigonometry, counting</t>
  </si>
  <si>
    <t>UVA 12603</t>
  </si>
  <si>
    <t>LIVEARCHIVE 6775</t>
  </si>
  <si>
    <t>geometry, binary search, [cp, dp]</t>
  </si>
  <si>
    <t>geometry, greedy</t>
  </si>
  <si>
    <t>geometry, binary search, impl</t>
  </si>
  <si>
    <t>geometry, dp</t>
  </si>
  <si>
    <t>geometry, impl, sortings</t>
  </si>
  <si>
    <t>UVA 10206</t>
  </si>
  <si>
    <t>UVA 922</t>
  </si>
  <si>
    <t>UVA 11277</t>
  </si>
  <si>
    <t>geometry, binary search</t>
  </si>
  <si>
    <t>UVA 11373</t>
  </si>
  <si>
    <t>geometry, binary search, circles</t>
  </si>
  <si>
    <t>UVA 11562</t>
  </si>
  <si>
    <t>geometry, binary search, tangents</t>
  </si>
  <si>
    <t>SRM414-D2-1000</t>
  </si>
  <si>
    <t>geometry, canonicalize, 3d, bf</t>
  </si>
  <si>
    <t>LIVEARCHIVE 7579</t>
  </si>
  <si>
    <t>geometry, impl, bf, [clock segments, hardcode shapes, many ignored in contest]</t>
  </si>
  <si>
    <t>UVA 883</t>
  </si>
  <si>
    <t>geometry, rectangles</t>
  </si>
  <si>
    <t>UVA 10864</t>
  </si>
  <si>
    <t>geometry, rectangles, rectangles intersection, dfs or ad-hoc</t>
  </si>
  <si>
    <t>UVA 12945</t>
  </si>
  <si>
    <t>geometry, search, some search technique, ??</t>
  </si>
  <si>
    <t>UVA 11529</t>
  </si>
  <si>
    <t>geometry, triangles</t>
  </si>
  <si>
    <t>geometry, impl, polygon cut? or voronoi</t>
  </si>
  <si>
    <t>geometry, probability, [ignore small probabilities trick ]</t>
  </si>
  <si>
    <t>SRM585-D2-1000</t>
  </si>
  <si>
    <t>UVA 11880</t>
  </si>
  <si>
    <t>UVA 12483</t>
  </si>
  <si>
    <t>UVA 12535</t>
  </si>
  <si>
    <t>UVA 578</t>
  </si>
  <si>
    <t>geometry, [ElSaghier: O(n^2 log n). Package solution with hashmaps and sets O(n^3)]</t>
  </si>
  <si>
    <t>UVA 12954</t>
  </si>
  <si>
    <t>geometry, analysis, equations, binary search</t>
  </si>
  <si>
    <t>UVA 10468</t>
  </si>
  <si>
    <t>geometry, angles</t>
  </si>
  <si>
    <t>UVA 10725</t>
  </si>
  <si>
    <t>UVA 11509</t>
  </si>
  <si>
    <t>SRM278-D1-500</t>
  </si>
  <si>
    <t>geometry, bf</t>
  </si>
  <si>
    <t>geometry, binary search, hard to impl</t>
  </si>
  <si>
    <t>SRM332-D1-500</t>
  </si>
  <si>
    <t>geometry, constructive</t>
  </si>
  <si>
    <t>geometry, counting or fft, [seems easy with fft]</t>
  </si>
  <si>
    <t>UVA 12630</t>
  </si>
  <si>
    <t>geometry, formula</t>
  </si>
  <si>
    <t>UVA 316</t>
  </si>
  <si>
    <t>geometry, gcd</t>
  </si>
  <si>
    <t>SRM217-D1-500</t>
  </si>
  <si>
    <t>geometry, math, simulation</t>
  </si>
  <si>
    <t>UVA 10768</t>
  </si>
  <si>
    <t>geometry, planarity</t>
  </si>
  <si>
    <t>UVA 10697</t>
  </si>
  <si>
    <t>geometry, precision</t>
  </si>
  <si>
    <t>UVA 11106</t>
  </si>
  <si>
    <t>geometry, segments. impl</t>
  </si>
  <si>
    <t xml:space="preserve">UVA 11894 </t>
  </si>
  <si>
    <t>geometry, transformation, impl, cases</t>
  </si>
  <si>
    <t>LIVEARCHIVE 4276</t>
  </si>
  <si>
    <t>UVA 12123</t>
  </si>
  <si>
    <t>UVA 12301</t>
  </si>
  <si>
    <t>UVA 1510</t>
  </si>
  <si>
    <t>UVA 12404</t>
  </si>
  <si>
    <t>geometry, triangles, angles</t>
  </si>
  <si>
    <t>geometry, angles, sorting, [how many trapezoids], [https://morris821028.github.io/2014/12/09/uva-11123/]</t>
  </si>
  <si>
    <t>SPOJ EQBOX</t>
  </si>
  <si>
    <t>geometry, plane, [rotate rectangle to fit]</t>
  </si>
  <si>
    <t>geometry, ternary search, constructive or geometry</t>
  </si>
  <si>
    <t>UVA 10709</t>
  </si>
  <si>
    <t>UVA 11281</t>
  </si>
  <si>
    <t>UVA 11601</t>
  </si>
  <si>
    <t>UVA 12178</t>
  </si>
  <si>
    <t>UVA 1602</t>
  </si>
  <si>
    <t>UVA 609</t>
  </si>
  <si>
    <t>UVA 10517</t>
  </si>
  <si>
    <t>UVA 11186</t>
  </si>
  <si>
    <t>UVA 1447</t>
  </si>
  <si>
    <t>geometry, angles, binary search</t>
  </si>
  <si>
    <t>UVA 358</t>
  </si>
  <si>
    <t>UVA 10175</t>
  </si>
  <si>
    <t>geometry, area, volume</t>
  </si>
  <si>
    <t>UVA 10159</t>
  </si>
  <si>
    <t>SRM326-D1-500</t>
  </si>
  <si>
    <t>SRM433-D1-500</t>
  </si>
  <si>
    <r>
      <rPr>
        <sz val="10"/>
        <color theme="1"/>
        <rFont val="Arial"/>
      </rPr>
      <t xml:space="preserve">geometry, pattern, </t>
    </r>
    <r>
      <rPr>
        <b/>
        <sz val="10"/>
        <color theme="1"/>
        <rFont val="Arial"/>
      </rPr>
      <t>impl</t>
    </r>
  </si>
  <si>
    <t>SPOJ IITKWPCC</t>
  </si>
  <si>
    <t>geometry, [Nqrt(N)log(N)], [#right angle triangles]</t>
  </si>
  <si>
    <t>web sol TLE</t>
  </si>
  <si>
    <t>UVA 10495</t>
  </si>
  <si>
    <t>UVA 10713</t>
  </si>
  <si>
    <t>UVA 11116</t>
  </si>
  <si>
    <t>UVA 415</t>
  </si>
  <si>
    <t>UVA 428</t>
  </si>
  <si>
    <t>UVA 11355</t>
  </si>
  <si>
    <t>UVA 10351</t>
  </si>
  <si>
    <t>geometry, ellipse</t>
  </si>
  <si>
    <t>SRM323-D1-500</t>
  </si>
  <si>
    <t>geometry, physics</t>
  </si>
  <si>
    <t>UVA 12115</t>
  </si>
  <si>
    <t>UVA 12395</t>
  </si>
  <si>
    <t>LIVEARCHIVE 3270</t>
  </si>
  <si>
    <t>geometry, vornoi diagram, shortest path, [yasser sol use no voronoi]</t>
  </si>
  <si>
    <t>LIVEARCHIVE 2377</t>
  </si>
  <si>
    <t>geometry, angles, bf, rotate, [try every 0.01, rotate path of points]</t>
  </si>
  <si>
    <t>TIMUS 1451</t>
  </si>
  <si>
    <t>geometry, bfs</t>
  </si>
  <si>
    <t>SRM432-D2-1000</t>
  </si>
  <si>
    <t>geometry, search</t>
  </si>
  <si>
    <t>UVA 1333</t>
  </si>
  <si>
    <t>geometry, triangles, angles, parallelogram law, quadratic equations</t>
  </si>
  <si>
    <t>geometry, angles, intersections</t>
  </si>
  <si>
    <t>UVA 427</t>
  </si>
  <si>
    <t>geometry, bf, baby step</t>
  </si>
  <si>
    <t>geometry, rectangles, multiview, impl</t>
  </si>
  <si>
    <t>geometry, rectangles, math</t>
  </si>
  <si>
    <t>geometry, constructive, observation</t>
  </si>
  <si>
    <t>geometry, math, [middle points reflection]</t>
  </si>
  <si>
    <t>CF100935-GYM-I</t>
  </si>
  <si>
    <t>geometry, datastructures, intersection</t>
  </si>
  <si>
    <t>UVA 11648</t>
  </si>
  <si>
    <t>geometry, trapezoid formula, binary search or analytical</t>
  </si>
  <si>
    <t>LIVEARCHIVE 4043</t>
  </si>
  <si>
    <t>geometry, ad-hoc or min-cost-max-flow</t>
  </si>
  <si>
    <t>SRM331-D1-1000</t>
  </si>
  <si>
    <t>geometry, rectangles, bf</t>
  </si>
  <si>
    <t>TIMUS 1647</t>
  </si>
  <si>
    <t>UVA 1331</t>
  </si>
  <si>
    <t>geometry, triangulation, intersections, dp, [is diagonal functionality]</t>
  </si>
  <si>
    <t>SRM521-D2-1000</t>
  </si>
  <si>
    <t>geometry, rectangles, sorting</t>
  </si>
  <si>
    <t>UVA 11130</t>
  </si>
  <si>
    <t>geometry, angles, physics</t>
  </si>
  <si>
    <t>UVA 1606</t>
  </si>
  <si>
    <t>geometry, angles, sorting, impl</t>
  </si>
  <si>
    <t>UVA 1249</t>
  </si>
  <si>
    <t>UVA 12575</t>
  </si>
  <si>
    <t>LIVEARCHIVE 3273</t>
  </si>
  <si>
    <t>geometry, angles, [sum coverage of apartments]</t>
  </si>
  <si>
    <t>UVA 11314</t>
  </si>
  <si>
    <t>geometry, formula, calculus or lagrange multiplier</t>
  </si>
  <si>
    <t>SPOJ TRICENTR</t>
  </si>
  <si>
    <t>geometry, triangles or ternary search, [ts https://apps.topcoder.com/forums/?module=Thread&amp;threadID=630623&amp;start=0&amp;mc=7#1052585]</t>
  </si>
  <si>
    <t>UVA 11524</t>
  </si>
  <si>
    <t>geometry, [high school]</t>
  </si>
  <si>
    <t>UVA 10228</t>
  </si>
  <si>
    <t>geometry, points</t>
  </si>
  <si>
    <t>UVA 11579</t>
  </si>
  <si>
    <t>geometry, triangles, hero's formula, sorting</t>
  </si>
  <si>
    <t>SPOJ WRONG</t>
  </si>
  <si>
    <t>geometry, binary search, dijsktra</t>
  </si>
  <si>
    <t>geometry, binary search, Interactive</t>
  </si>
  <si>
    <t>geometry, ad-hoc, math, interactive</t>
  </si>
  <si>
    <t>geometry, [ppl scared in contest, but easy], [bad statement?]</t>
  </si>
  <si>
    <t>geometry, binary search, bfs or dijkstra</t>
  </si>
  <si>
    <t>UVA 10210</t>
  </si>
  <si>
    <t>LIVEARCHIVE 2688</t>
  </si>
  <si>
    <t>UVA 11909</t>
  </si>
  <si>
    <t>TIMUS 1084</t>
  </si>
  <si>
    <t>SPOJ BILLIARD</t>
  </si>
  <si>
    <t>geometry, equations</t>
  </si>
  <si>
    <t>geometry, bf, counting, treemaps</t>
  </si>
  <si>
    <t>geometry, binary search or bf, greedy</t>
  </si>
  <si>
    <t>geometry, bf or d&amp;c</t>
  </si>
  <si>
    <t>UVA 12957</t>
  </si>
  <si>
    <t>geometry, grid compress, [like a sweep, count rectangles have no pts], [can be done without compression, but strict tl https://github.com/aboodJAD/CompetitiveProgramming/blob/master/UVA/UVA%2012957.cpp]</t>
  </si>
  <si>
    <t>UVA 1342</t>
  </si>
  <si>
    <t>geometry, plane graph, euler</t>
  </si>
  <si>
    <t>geometry, triangles, number theory, constructive</t>
  </si>
  <si>
    <t>UVA 10545</t>
  </si>
  <si>
    <t>geometry, quadrilateral, Brahmagupta's formula</t>
  </si>
  <si>
    <t>UVA 10250</t>
  </si>
  <si>
    <t>geometry, translation, parallelogram</t>
  </si>
  <si>
    <t>UVA 11326</t>
  </si>
  <si>
    <t>UVA 1643</t>
  </si>
  <si>
    <t>UVA 10678</t>
  </si>
  <si>
    <t>geometry, area of an ellipsis, pythagoras' theorem</t>
  </si>
  <si>
    <t>geometry, atan2, [high precision sensitive problem]</t>
  </si>
  <si>
    <t>SRM538-D1-500</t>
  </si>
  <si>
    <t>geometry, mod</t>
  </si>
  <si>
    <t>SRM621-D1-250</t>
  </si>
  <si>
    <t>geometry, probability</t>
  </si>
  <si>
    <t>SRM280-D1-500</t>
  </si>
  <si>
    <t>geometry, rectangles, bf or greedy</t>
  </si>
  <si>
    <t>PKU 3251</t>
  </si>
  <si>
    <t>geometry, square, 2d grid, [hard text]</t>
  </si>
  <si>
    <t>SPOJ KOLICA</t>
  </si>
  <si>
    <t>geometry, ccw, parametric equ, in circle</t>
  </si>
  <si>
    <t>geometry, impl, [very nice, o(1) and o(n) solutions]</t>
  </si>
  <si>
    <t>geometry, triangles, formula</t>
  </si>
  <si>
    <t>geometry, formula or matrix determinant</t>
  </si>
  <si>
    <t>CF100531-GYM-J</t>
  </si>
  <si>
    <t>UVA 10927</t>
  </si>
  <si>
    <t>geometry, angles, [angle sort]</t>
  </si>
  <si>
    <t>geometry, impl, area from 3 points</t>
  </si>
  <si>
    <t>SRM493-D2-1000</t>
  </si>
  <si>
    <t>ZOJ 1041</t>
  </si>
  <si>
    <t>geometry, binary search, physics, [EPS handling: read editorial]</t>
  </si>
  <si>
    <t>SPOJ FACENEMY</t>
  </si>
  <si>
    <t>geometry, angles, precision</t>
  </si>
  <si>
    <t>CF100495-GYM-K</t>
  </si>
  <si>
    <t>CF101435-GYM-B</t>
  </si>
  <si>
    <t>SPOJ DISTANCE</t>
  </si>
  <si>
    <t>SRM237-D1-250</t>
  </si>
  <si>
    <t>UVA 837</t>
  </si>
  <si>
    <t>UVA 815</t>
  </si>
  <si>
    <t>geometry, [hard text?]</t>
  </si>
  <si>
    <t>geometry, [tricky cases]</t>
  </si>
  <si>
    <t>UVA 10991</t>
  </si>
  <si>
    <t>geometry, angles, [heron]</t>
  </si>
  <si>
    <t>LIVEARCHIVE 7150</t>
  </si>
  <si>
    <t>geometry, angles, [impl, short code]</t>
  </si>
  <si>
    <t>UVA 11519</t>
  </si>
  <si>
    <t>geometry, angles, simulation, [precision]</t>
  </si>
  <si>
    <t>geometry, bf, impl</t>
  </si>
  <si>
    <t>geometry, binary search, physics</t>
  </si>
  <si>
    <t>UVA 10215</t>
  </si>
  <si>
    <t>geometry, calculus, quadratic equation</t>
  </si>
  <si>
    <t>geometry, datastructures</t>
  </si>
  <si>
    <t>UVA 10897</t>
  </si>
  <si>
    <t>geometry, great circle distances</t>
  </si>
  <si>
    <t>UVA 10316</t>
  </si>
  <si>
    <t>geometry, great circle distances, brute force</t>
  </si>
  <si>
    <t>UVA 697</t>
  </si>
  <si>
    <t>geometry, greedy, [annoying output]</t>
  </si>
  <si>
    <t>geometry, math</t>
  </si>
  <si>
    <t>ZOJ 3194</t>
  </si>
  <si>
    <t>geometry, or equations</t>
  </si>
  <si>
    <t>geometry, rectangles intersect, impl</t>
  </si>
  <si>
    <t>TIMUS 1235</t>
  </si>
  <si>
    <t>geometry, squares, ad-hoc or floyd</t>
  </si>
  <si>
    <t>UVA 143</t>
  </si>
  <si>
    <t>geometry, triangles, [precision]</t>
  </si>
  <si>
    <t>UVA 10734</t>
  </si>
  <si>
    <t>geometry, trinagles, bfs, simulation</t>
  </si>
  <si>
    <t>geometry, check square, point rotation, bf</t>
  </si>
  <si>
    <t>UVA 634</t>
  </si>
  <si>
    <t>UVA 10466</t>
  </si>
  <si>
    <t>geometry, impl</t>
  </si>
  <si>
    <t>UVA 638</t>
  </si>
  <si>
    <t>geometry, [meeting point]</t>
  </si>
  <si>
    <t>SRM436-D2-500</t>
  </si>
  <si>
    <t>geometry, [slopes comparison]</t>
  </si>
  <si>
    <t>SPOJ CISTFILL</t>
  </si>
  <si>
    <t>SRM431-D2-500</t>
  </si>
  <si>
    <t>TIMUS 1020</t>
  </si>
  <si>
    <t>TIMUS 1405</t>
  </si>
  <si>
    <t>TJU 3044</t>
  </si>
  <si>
    <t>UVA 10283</t>
  </si>
  <si>
    <t>UVA 920</t>
  </si>
  <si>
    <t>UVA 142</t>
  </si>
  <si>
    <t>UVA 11639</t>
  </si>
  <si>
    <t>geometry, rectangles, rectangles intersection</t>
  </si>
  <si>
    <t>UVA 587</t>
  </si>
  <si>
    <t>geometry, simulation</t>
  </si>
  <si>
    <t>geometry, triangles, triangle inequality</t>
  </si>
  <si>
    <t>geometry, vectors addition</t>
  </si>
  <si>
    <t>UVA 11207</t>
  </si>
  <si>
    <t>UVA 11345</t>
  </si>
  <si>
    <t>geometry, rectangles, [overlap area, =UVA 460]</t>
  </si>
  <si>
    <t>SRM237-D2-500</t>
  </si>
  <si>
    <t>UVA 10574</t>
  </si>
  <si>
    <t>Text Note: Points are unique</t>
  </si>
  <si>
    <t>geometry, angles, [sort based on angles]</t>
  </si>
  <si>
    <t>SRM668-D2-500</t>
  </si>
  <si>
    <t>geometry, angles, squares, bf</t>
  </si>
  <si>
    <t>UVA 10167</t>
  </si>
  <si>
    <t>SPOJ ANTTT</t>
  </si>
  <si>
    <t>geometry, dsu</t>
  </si>
  <si>
    <t>ZOJ 1496</t>
  </si>
  <si>
    <t>geometry, sortings</t>
  </si>
  <si>
    <t>LIVEARCHIVE 4120</t>
  </si>
  <si>
    <t>geometry, circles, tangents, [intersections, long impl]</t>
  </si>
  <si>
    <t>[38]</t>
  </si>
  <si>
    <t>SRM346-D1-1000</t>
  </si>
  <si>
    <t>geometry, circles</t>
  </si>
  <si>
    <t>LIVEARCHIVE 2999</t>
  </si>
  <si>
    <t>geometry, circles, [annoying precision]</t>
  </si>
  <si>
    <t>geometry, circles or voronoi, [tourist voronoi http://codeforces.com/contest/442/submission/6921847], [Blagewoosh #6 trick]</t>
  </si>
  <si>
    <t>UVA 313</t>
  </si>
  <si>
    <t>geometry, circles, tangents, lines, lines intersection</t>
  </si>
  <si>
    <t>UVA 10969</t>
  </si>
  <si>
    <t>UVA 11681</t>
  </si>
  <si>
    <t>geometry, circles, bitmasks</t>
  </si>
  <si>
    <t>LIVEARCHIVE 4448</t>
  </si>
  <si>
    <t>geometry, circles, search, easy idea hard impl or hard idea easy impl</t>
  </si>
  <si>
    <t>UVA 10834</t>
  </si>
  <si>
    <t>geometry, circles, sector area, binary search</t>
  </si>
  <si>
    <t>ZOJ 2318</t>
  </si>
  <si>
    <t>geometry, circles, dfs, ad-hoc</t>
  </si>
  <si>
    <t>SRM183-D1-500</t>
  </si>
  <si>
    <t>geometry, circles or min enclosing circle, recheck??</t>
  </si>
  <si>
    <t>LIVEARCHIVE 6076</t>
  </si>
  <si>
    <t>geometry, circles, binary search</t>
  </si>
  <si>
    <t>UVA 12302</t>
  </si>
  <si>
    <t>geometry, circles, intersections</t>
  </si>
  <si>
    <t>UVA 11731</t>
  </si>
  <si>
    <t>geometry, circles, intersections, angles</t>
  </si>
  <si>
    <t>UVA 11646</t>
  </si>
  <si>
    <t>geometry, circles, sector, angles, bad statement?</t>
  </si>
  <si>
    <t>UVA 12304</t>
  </si>
  <si>
    <t>geometry, circles, tangents</t>
  </si>
  <si>
    <t>UVA 10320</t>
  </si>
  <si>
    <t>UVA 10011</t>
  </si>
  <si>
    <t>geometry, circles, lines, intersections, impl</t>
  </si>
  <si>
    <t>geometry, circles, observation, stl or segment tree</t>
  </si>
  <si>
    <t>geometry, circles, planer graph, [eps prune]</t>
  </si>
  <si>
    <t>UVA 10792</t>
  </si>
  <si>
    <t>geometry, circles, rotation</t>
  </si>
  <si>
    <t>LIVEARCHIVE 3411</t>
  </si>
  <si>
    <t>UVA 10136</t>
  </si>
  <si>
    <t>geometry, circles, algebra, impl</t>
  </si>
  <si>
    <t>UVA 10577</t>
  </si>
  <si>
    <t>geometry, circles, rotation or ad-hoc, generation</t>
  </si>
  <si>
    <t>UVA 10180</t>
  </si>
  <si>
    <t>geometry, circles, tangents, point on segment, precision, [https://github.com/ZeyadKhattab/Competitive-Programming/blob/master/UVA/UVA%2010180.java   https://github.com/ahmedsamir221/CompetitiveProgramming/blob/master/UVA/UVA%2010180.cpp]</t>
  </si>
  <si>
    <t>geometry, circles, binay search or ternary search</t>
  </si>
  <si>
    <t>geometry, circles, polygon, [polyon inside poly]</t>
  </si>
  <si>
    <t>p4 v3</t>
  </si>
  <si>
    <t>SRM473-D1-500</t>
  </si>
  <si>
    <t>geometry, circles, triangles, thales' theorem, search</t>
  </si>
  <si>
    <t>geometry, circles, min enclosing circle, [=SPOJ QCJ4]</t>
  </si>
  <si>
    <t>UVA 10439</t>
  </si>
  <si>
    <t>TJU 1916</t>
  </si>
  <si>
    <t>geometry, circles, distances, triangles</t>
  </si>
  <si>
    <t>SRM162-D1-500</t>
  </si>
  <si>
    <t>geometry, circles, triangles</t>
  </si>
  <si>
    <t>UVA 10823</t>
  </si>
  <si>
    <t>geometry, circles, impl</t>
  </si>
  <si>
    <t>UVA 12240</t>
  </si>
  <si>
    <t>geometry, circles, [max points in the circle circumf]</t>
  </si>
  <si>
    <t>UVA 11515</t>
  </si>
  <si>
    <t>geometry, circles, bf</t>
  </si>
  <si>
    <t>geometry, circles, dsu</t>
  </si>
  <si>
    <t>geometry, circles, [segment-circle intersection]</t>
  </si>
  <si>
    <t>UVA 453</t>
  </si>
  <si>
    <t>geometry, circles, [direct circle intersection, but precision]</t>
  </si>
  <si>
    <t>geometry, circles, distances</t>
  </si>
  <si>
    <t>LIVEARCHIVE 3269</t>
  </si>
  <si>
    <t>geometry, lines, intersections, [long impl]</t>
  </si>
  <si>
    <t>[39]</t>
  </si>
  <si>
    <t>PKU 1070</t>
  </si>
  <si>
    <t>geometry, lines, intersections, rotate</t>
  </si>
  <si>
    <t>LIVEARCHIVE 6168</t>
  </si>
  <si>
    <t>geometry, lines, distances, binary search, dfs</t>
  </si>
  <si>
    <t>LIVEARCHIVE 4113</t>
  </si>
  <si>
    <t>geometry, lines, intersections</t>
  </si>
  <si>
    <t>geometry, lines, [russian editorial only]</t>
  </si>
  <si>
    <t>SRM394-D1-500</t>
  </si>
  <si>
    <t>geometry, lines, intersections, symmetry</t>
  </si>
  <si>
    <t>LIVEARCHIVE 4124</t>
  </si>
  <si>
    <t>geometry, lines, ternary search or math, [approximate the polynomial curve from 2 polylines]</t>
  </si>
  <si>
    <t>UVA 11836</t>
  </si>
  <si>
    <t>geometry, lines, distances</t>
  </si>
  <si>
    <t>UVA 11016</t>
  </si>
  <si>
    <t>UVA 149</t>
  </si>
  <si>
    <t>geometry, lines, angles</t>
  </si>
  <si>
    <t>UVA 527</t>
  </si>
  <si>
    <t>geometry, lines, ccw</t>
  </si>
  <si>
    <t>SRM545-D1-500</t>
  </si>
  <si>
    <t>geometry, lines, combinatrocis</t>
  </si>
  <si>
    <t>LIVEARCHIVE 3928</t>
  </si>
  <si>
    <t>geometry, lines, LIS</t>
  </si>
  <si>
    <t>UVA 10674</t>
  </si>
  <si>
    <t>geometry, lines, tangents, impl</t>
  </si>
  <si>
    <t>UVA 432</t>
  </si>
  <si>
    <t>geometry, lines</t>
  </si>
  <si>
    <t>UVA 10744</t>
  </si>
  <si>
    <t>SRM313-D1-1000</t>
  </si>
  <si>
    <r>
      <rPr>
        <sz val="10"/>
        <color rgb="FF000000"/>
        <rFont val="Arial"/>
      </rPr>
      <t xml:space="preserve">geometry, lines, floyd, </t>
    </r>
    <r>
      <rPr>
        <b/>
        <sz val="10"/>
        <color rgb="FF000000"/>
        <rFont val="Arial"/>
      </rPr>
      <t>hard to impl</t>
    </r>
  </si>
  <si>
    <t>SRM355-D1-500</t>
  </si>
  <si>
    <t>geometry, lines, triangles</t>
  </si>
  <si>
    <t>UVA 754</t>
  </si>
  <si>
    <t>SPOJ WIJGT</t>
  </si>
  <si>
    <t>geometry, lines, dijkstra, impl, [https://github.com/LeTrongDat/CompetitiveProgramming/blob/master/SPOJ/WIJGT.cpp], [https://github.com/taran-1407/CompetitveProgrammingDirectories/blob/master/SPOJ/SPOJ%20WIJGT.java]</t>
  </si>
  <si>
    <t>UVA 11796</t>
  </si>
  <si>
    <t>geometry, lines, distances, shrink</t>
  </si>
  <si>
    <t>SRM244-D1-500</t>
  </si>
  <si>
    <t>geometry, lines, [reflection trick]</t>
  </si>
  <si>
    <t>geometry, lines, [perpendicular bisectors]</t>
  </si>
  <si>
    <t xml:space="preserve">geometry, lines, binary search or ad-hoc, [need high school background: poin reflection] </t>
  </si>
  <si>
    <t>p1 v5</t>
  </si>
  <si>
    <t>UVA 12173</t>
  </si>
  <si>
    <t>geometry, lines, distances, projection</t>
  </si>
  <si>
    <t>SRM528-D2-1000</t>
  </si>
  <si>
    <t>geometry, lines, precision, math, [ternary fails]</t>
  </si>
  <si>
    <t>geometry, lines, slopes</t>
  </si>
  <si>
    <t>UVA 10514</t>
  </si>
  <si>
    <t>geometry, lines, distances, floyd</t>
  </si>
  <si>
    <t>UVA 11437</t>
  </si>
  <si>
    <t>geometry, lines, intersection, triangles</t>
  </si>
  <si>
    <t>SRM373-D2-1000</t>
  </si>
  <si>
    <t>geometry, lines, lines intersection, rectangles, bf</t>
  </si>
  <si>
    <t>SPOJ GEOM</t>
  </si>
  <si>
    <t>SRM368-D1-500</t>
  </si>
  <si>
    <t>geometry, lines, polyline intersection, bf, NA??</t>
  </si>
  <si>
    <t>geometry, lines, distances, ad-hoc</t>
  </si>
  <si>
    <t>geometry, lines, intersections, counting, formula, [incremental thinking]</t>
  </si>
  <si>
    <t>UVA 10961</t>
  </si>
  <si>
    <t>geometry, lines, impl, [boring]</t>
  </si>
  <si>
    <t>LIVEARCHIVE 3000</t>
  </si>
  <si>
    <t>UVA 10902</t>
  </si>
  <si>
    <t>geometry, lines, bf</t>
  </si>
  <si>
    <t>LIVEARCHIVE 3381</t>
  </si>
  <si>
    <t>geometry, lines, dfs, impl</t>
  </si>
  <si>
    <t>UVA 11783</t>
  </si>
  <si>
    <t>geometry, lines, lines intersection</t>
  </si>
  <si>
    <t>geometry, lines, distances, [=uva 460]</t>
  </si>
  <si>
    <t>geometry, lines, line up</t>
  </si>
  <si>
    <t>geometry, lines, distances, impl</t>
  </si>
  <si>
    <t>geometry, lines, intersection, shortest path</t>
  </si>
  <si>
    <t>ZOJ 1560</t>
  </si>
  <si>
    <t>geometry, lines intersection</t>
  </si>
  <si>
    <t>SPOJ SICRANO</t>
  </si>
  <si>
    <t>geometry, lines, [in videos]</t>
  </si>
  <si>
    <t>UVA 10357</t>
  </si>
  <si>
    <t>geometry, lines, impl</t>
  </si>
  <si>
    <t>geometry, lines, intersections, [=uva 273??]</t>
  </si>
  <si>
    <t>TJU 1567</t>
  </si>
  <si>
    <t>SRM674-D2-500</t>
  </si>
  <si>
    <t>geometry, lines, slope</t>
  </si>
  <si>
    <t>LIVEARCHIVE 3275</t>
  </si>
  <si>
    <t>geometry, polygon</t>
  </si>
  <si>
    <t>[40]</t>
  </si>
  <si>
    <t>LIVEARCHIVE 6399</t>
  </si>
  <si>
    <t>geometry, polygon, analysis</t>
  </si>
  <si>
    <t>LIVEARCHIVE 5134</t>
  </si>
  <si>
    <t>geometry, polygon, circles, dp</t>
  </si>
  <si>
    <t>LIVEARCHIVE 6781</t>
  </si>
  <si>
    <t>geometry, polygon, dijkstra</t>
  </si>
  <si>
    <t>UVA 11460</t>
  </si>
  <si>
    <t>geometry, polygon, centroid</t>
  </si>
  <si>
    <t>LIVEARCHIVE 7151</t>
  </si>
  <si>
    <t>geometry, polygon, polygon intersection, ternary search</t>
  </si>
  <si>
    <t>geometry, polygon, formula, combinatorics, [regular polygon counting]</t>
  </si>
  <si>
    <t>SRM300-D1-1000</t>
  </si>
  <si>
    <t>geometry, polygon, lines, intersections</t>
  </si>
  <si>
    <t>LIVEARCHIVE 2397</t>
  </si>
  <si>
    <t>geometry, polygon, pip, segments, visibility, dijkstra, binary search</t>
  </si>
  <si>
    <t>UVA 10335</t>
  </si>
  <si>
    <t>geometry, polygon, angles, intersections</t>
  </si>
  <si>
    <t>UVA 11177</t>
  </si>
  <si>
    <t>geometry, polygon, circle-convex poly intersection</t>
  </si>
  <si>
    <t>UVA 11759</t>
  </si>
  <si>
    <t>geometry, polygon, pip, bfs or dfs</t>
  </si>
  <si>
    <t>geometry, polygon, segments, bit</t>
  </si>
  <si>
    <t>SRM566-D2-1000</t>
  </si>
  <si>
    <t>geometry, polygon, triangles, ccw, dp</t>
  </si>
  <si>
    <t>UVA 1340</t>
  </si>
  <si>
    <t>UVA 132</t>
  </si>
  <si>
    <t>geometry, polygon or triangles or convex hull</t>
  </si>
  <si>
    <t>geometry, polygon, [polygons-ellipse intersections]</t>
  </si>
  <si>
    <t>LIVEARCHIVE 4589</t>
  </si>
  <si>
    <t>geometry, polygon, centroid, polyhedron</t>
  </si>
  <si>
    <t>LIVEARCHIVE 6772</t>
  </si>
  <si>
    <t>geometry, polygon, centroid, precision</t>
  </si>
  <si>
    <t>LIVEARCHIVE 2479</t>
  </si>
  <si>
    <t>geometry, polygon, construtive algorithm, sub-polygons, dijkstra, [compute covered area of polygon of specific holes]</t>
  </si>
  <si>
    <t>geometry, polygon, dp</t>
  </si>
  <si>
    <t>LIVEARCHIVE 8039</t>
  </si>
  <si>
    <t>geometry, polygon, observations, bf, impl, tricky, precision, [~=UVA 10867]</t>
  </si>
  <si>
    <t>UVA 11030</t>
  </si>
  <si>
    <t>geometry, polygon, pip</t>
  </si>
  <si>
    <t>UVA 10907</t>
  </si>
  <si>
    <t>geometry, polygon, pip, intersections</t>
  </si>
  <si>
    <t>LIVEARCHIVE 6402</t>
  </si>
  <si>
    <t>geometry, polygon, polygon-cut-circle</t>
  </si>
  <si>
    <t>SRM360-D1-1000</t>
  </si>
  <si>
    <t>geometry, polygon, search</t>
  </si>
  <si>
    <t>UVA 11447</t>
  </si>
  <si>
    <t>LIVEARCHIVE 5138</t>
  </si>
  <si>
    <t>geometry, polygon, angles, rotations</t>
  </si>
  <si>
    <t>UVA 225</t>
  </si>
  <si>
    <t>geometry, polygon, backtrack</t>
  </si>
  <si>
    <t>UVA 10575</t>
  </si>
  <si>
    <t>geometry, polygon, online code WA</t>
  </si>
  <si>
    <t>geometry, polygon, constructive</t>
  </si>
  <si>
    <t>UVA 10406</t>
  </si>
  <si>
    <t>geometry, polygon, centroid, rotations, precision</t>
  </si>
  <si>
    <t>UVA 10256</t>
  </si>
  <si>
    <t>UVA 10348</t>
  </si>
  <si>
    <t>geometry, polygon, pip, lines, intersections</t>
  </si>
  <si>
    <t>geometry, polygon, Manhattan2DRotation, greedy</t>
  </si>
  <si>
    <t>geometry, polygon, countings, shoelace formula or harder impl</t>
  </si>
  <si>
    <t>geometry, polygon, sortings, multiview</t>
  </si>
  <si>
    <t>PKU 3449</t>
  </si>
  <si>
    <t>geometry, polygon, triangles, lines, intersections</t>
  </si>
  <si>
    <t>SRM235-D1-500</t>
  </si>
  <si>
    <t>geometry, polygon, centriod, hard to understand?</t>
  </si>
  <si>
    <t>geometry, polygon, combinatorics</t>
  </si>
  <si>
    <t>geometry, polygon, pip, intersections, impl or convex hull or polygon cut</t>
  </si>
  <si>
    <t>SRM739-D2-1000</t>
  </si>
  <si>
    <t>geometry, polygon, [cases]</t>
  </si>
  <si>
    <t>geometry, polygon, convex, kmp, [mix of 2 concepts]</t>
  </si>
  <si>
    <t>geometry, polygon, bf, [polygon area]</t>
  </si>
  <si>
    <t>geometry, polygon, binary search</t>
  </si>
  <si>
    <t>UVA 659</t>
  </si>
  <si>
    <t>geometry, polygon, pip, circles, tangets, segments, bf</t>
  </si>
  <si>
    <t>UVA 10585</t>
  </si>
  <si>
    <t>UVA 881</t>
  </si>
  <si>
    <t>geometry, polygon, pip, polygons inside polygons</t>
  </si>
  <si>
    <t>TIMUS 1599</t>
  </si>
  <si>
    <t>geometry, polygon, pip, winding numbers, [precision: use int as possible, bad statement?]</t>
  </si>
  <si>
    <t>LIVEARCHIVE 5108</t>
  </si>
  <si>
    <t>geometry, polygon, [may use shoelace formula]</t>
  </si>
  <si>
    <t>UVA 12300</t>
  </si>
  <si>
    <t>geometry, polygon, angles, [long doubles?]</t>
  </si>
  <si>
    <t>ZOJ 2157</t>
  </si>
  <si>
    <t>geometry, polygon, perimeter</t>
  </si>
  <si>
    <t>UVA 11665</t>
  </si>
  <si>
    <t>geometry, polygon, pip, polygons intersection, dsu</t>
  </si>
  <si>
    <t>geometry, polygon, [bad precision]</t>
  </si>
  <si>
    <t>SRM278-D2-500</t>
  </si>
  <si>
    <t>geometry, polygon, area, [just triangle areas]</t>
  </si>
  <si>
    <t>UVA 1396</t>
  </si>
  <si>
    <t>geometry, polygon, polygon cut, binary search</t>
  </si>
  <si>
    <t>[41]</t>
  </si>
  <si>
    <t>LIVEARCHIVE 3112</t>
  </si>
  <si>
    <t>geometry, polygon, polygon cut</t>
  </si>
  <si>
    <t>Code sol on disk: ZOJ 2325</t>
  </si>
  <si>
    <t>SPOJ BAC</t>
  </si>
  <si>
    <t>geometry, polygon, polygon cut, lines</t>
  </si>
  <si>
    <t>UVA 10445</t>
  </si>
  <si>
    <t>geometry, polygon, polygon cut, pip, convex hull, ccw</t>
  </si>
  <si>
    <t>UVA 11072</t>
  </si>
  <si>
    <t>geometry, polygon, polygon cut, pip, convex hull, is convex</t>
  </si>
  <si>
    <t>UVA 11265</t>
  </si>
  <si>
    <t>geometry, polygon, polygon cut, lines, pip, convex hull</t>
  </si>
  <si>
    <t>UVA 10117</t>
  </si>
  <si>
    <t>geometry, polygon, polygon cut, backtrack, impl</t>
  </si>
  <si>
    <t>geometry, polygon, polygon cut or ad-hoc</t>
  </si>
  <si>
    <t>TJU 1537</t>
  </si>
  <si>
    <t>geometry, polygon, polygon cut or ad-hoc, triangles</t>
  </si>
  <si>
    <t>UVA 10321</t>
  </si>
  <si>
    <t>geometry, polygon, polygon cut or pip, intersections or convex hull</t>
  </si>
  <si>
    <t>UVA 10084</t>
  </si>
  <si>
    <t>LIVEARCHIVE 2831</t>
  </si>
  <si>
    <t>SPOJ RUNAWAY</t>
  </si>
  <si>
    <t>geometry, polygon, polygon cut or ad-hoc. [largest empty circle]</t>
  </si>
  <si>
    <t>geometry, polygon, convex hull, dijkstra</t>
  </si>
  <si>
    <t>[42]</t>
  </si>
  <si>
    <t>geometry, polygon, convex hull, [domain reinterpretion]</t>
  </si>
  <si>
    <t>geometry, polygon, convex hull, [mapping to points, optimize x*y]</t>
  </si>
  <si>
    <t>LIVEARCHIVE 5219</t>
  </si>
  <si>
    <t>geometry, polygon, convex hull, [pack polygon in rectangle]</t>
  </si>
  <si>
    <t>SRM173-D1-1000</t>
  </si>
  <si>
    <t>geometry, polygon, convex hull, polygon area, dp</t>
  </si>
  <si>
    <t>UVA 675</t>
  </si>
  <si>
    <t>geometry, polygon, convex hull</t>
  </si>
  <si>
    <t>UVA 11919</t>
  </si>
  <si>
    <t>geometry, polygon, convex hull, distances, dp, impl</t>
  </si>
  <si>
    <t>UVA 12307</t>
  </si>
  <si>
    <t>geometry, polygon, convex hull, pip, intersections, [Min Enclosing Rectangle]</t>
  </si>
  <si>
    <t>SPOJ GCPC11G</t>
  </si>
  <si>
    <t>geometry, polygon, convex hull, circles, [fence length]</t>
  </si>
  <si>
    <t>ONLINE sol WA</t>
  </si>
  <si>
    <t>geometry, polygon, convex hull, triangle area, two pointers</t>
  </si>
  <si>
    <t>SPOJ AXIS</t>
  </si>
  <si>
    <t>UVA 596</t>
  </si>
  <si>
    <t>LIVEARCHIVE 4450</t>
  </si>
  <si>
    <t>geometry, polygon, convex hull, dp, angles</t>
  </si>
  <si>
    <t>UVA 10173</t>
  </si>
  <si>
    <t>geometry, polygon, convex hull, pip, intersections</t>
  </si>
  <si>
    <t>UVA 12901</t>
  </si>
  <si>
    <t>geometry, polygon, convex hull, segments, angles, binary search</t>
  </si>
  <si>
    <t>SPOJ SPOINTS</t>
  </si>
  <si>
    <t>geometry, polygon, convex hull, pip, pip logn, intersections, lines</t>
  </si>
  <si>
    <t>UVA 11122</t>
  </si>
  <si>
    <t>geometry, polygon, convex hull, ad-hoc</t>
  </si>
  <si>
    <t>geometry, polygon, convex hull, monotone chain</t>
  </si>
  <si>
    <t>SRM250-D1-1000</t>
  </si>
  <si>
    <t>geometry, polygon, convex hull, polygon intersection, pip</t>
  </si>
  <si>
    <t>UVA 10135</t>
  </si>
  <si>
    <t>geometry, polygon, convex hull, impl</t>
  </si>
  <si>
    <t>SPOJ TFOSS</t>
  </si>
  <si>
    <t>geometry, polygon, convex hull, integer ternary search, rotating calipers</t>
  </si>
  <si>
    <t>UVA 312</t>
  </si>
  <si>
    <t>geometry, polygon, convex hull, pip, pip logn</t>
  </si>
  <si>
    <t>UVA 10652</t>
  </si>
  <si>
    <t>geometry, polygon, convex hull, rotate, polygon cut</t>
  </si>
  <si>
    <t>SPOJ VMILI</t>
  </si>
  <si>
    <t>UVA 109</t>
  </si>
  <si>
    <t>geometry, polygon, convex hull or ad-hoc</t>
  </si>
  <si>
    <t>SPOJ DOORSPEN</t>
  </si>
  <si>
    <t>geometry, polygon, convex hull, [polygons intersection]</t>
  </si>
  <si>
    <t>TIMUS 1185</t>
  </si>
  <si>
    <t>geometry, polygon, convex hull, circles</t>
  </si>
  <si>
    <t>UVA 11168</t>
  </si>
  <si>
    <t>geometry, polygon, convex hull, distances</t>
  </si>
  <si>
    <t>UVA 361</t>
  </si>
  <si>
    <t>geometry, polygon, convex hull, pip</t>
  </si>
  <si>
    <t>SRM365-D2-1000</t>
  </si>
  <si>
    <t>geometry, polygon, convex hull, pip, [standard]</t>
  </si>
  <si>
    <t>UVA 681</t>
  </si>
  <si>
    <t>geometry, polygon, convex hull, polygon area</t>
  </si>
  <si>
    <t>UVA 811</t>
  </si>
  <si>
    <t>geometry, polygon, convex hull, tree</t>
  </si>
  <si>
    <t>LIVEARCHIVE 4558</t>
  </si>
  <si>
    <t>UVA 11626</t>
  </si>
  <si>
    <t>geometry, polygon, convex hull, [print CH]</t>
  </si>
  <si>
    <t>SPOJ BSHEEP</t>
  </si>
  <si>
    <t>UVA 10002</t>
  </si>
  <si>
    <t>geometry, polygon, convex hull, centroid, [close ideas of area/preimeter UVA 218, UVA 11096, UVA 1206, SRM249-D1-1000, UVA 10065]</t>
  </si>
  <si>
    <t>LIVEARCHIVE 2395</t>
  </si>
  <si>
    <t>geometry, polygon, pick's theorem</t>
  </si>
  <si>
    <t>[43]</t>
  </si>
  <si>
    <t>geometry, polygon, pick's theorem, ??</t>
  </si>
  <si>
    <t>LIVEARCHIVE 4884</t>
  </si>
  <si>
    <t>Sol (no editorial)</t>
  </si>
  <si>
    <t>USACO FENCE9</t>
  </si>
  <si>
    <t>geometry, polygon, pick's theorem, gcd</t>
  </si>
  <si>
    <t>UVA 1641</t>
  </si>
  <si>
    <t>geometry, polygon, pick's theorem or pattern</t>
  </si>
  <si>
    <t>LIVEARCHIVE 2482</t>
  </si>
  <si>
    <t>geometry, sweep line</t>
  </si>
  <si>
    <t>[44]</t>
  </si>
  <si>
    <t>LIVEARCHIVE 3809</t>
  </si>
  <si>
    <t>LIVEARCHIVE 4125</t>
  </si>
  <si>
    <t>geometry, sweep line, bbst</t>
  </si>
  <si>
    <t>LIVEARCHIVE 2725</t>
  </si>
  <si>
    <t>geometry, sweep line, polygon</t>
  </si>
  <si>
    <t>SPOJ VCIRCLES</t>
  </si>
  <si>
    <t>geometry, sweep line, impl, [total circles area]</t>
  </si>
  <si>
    <t>UVA 1308</t>
  </si>
  <si>
    <t>geometry, sweep line, circles, lines, intersections</t>
  </si>
  <si>
    <t>LIVEARCHIVE 3905</t>
  </si>
  <si>
    <t>LIVEARCHIVE 8050</t>
  </si>
  <si>
    <t>LIVEARCHIVE 6034</t>
  </si>
  <si>
    <t>geometry, sweep line, bit or segment tree</t>
  </si>
  <si>
    <t>geometry, sweep line, polyline, [MLE]</t>
  </si>
  <si>
    <t>LIVEARCHIVE 8042</t>
  </si>
  <si>
    <t>geometry, sweep line, polygons or ad-hoc, d&amp;c, [can use seg tree with sweep]</t>
  </si>
  <si>
    <t>LIVEARCHIVE 5136</t>
  </si>
  <si>
    <t>geometry, sweep line, segment tree, binary search</t>
  </si>
  <si>
    <t>LIVEARCHIVE 4127</t>
  </si>
  <si>
    <t>geometry, sweep line, lines, intersections, triangles</t>
  </si>
  <si>
    <t>SPOJ RAIN1</t>
  </si>
  <si>
    <r>
      <rPr>
        <sz val="10"/>
        <color theme="1"/>
        <rFont val="Arial"/>
      </rPr>
      <t xml:space="preserve">geometry, sweep line, segments, topological sort, </t>
    </r>
    <r>
      <rPr>
        <b/>
        <sz val="10"/>
        <color theme="1"/>
        <rFont val="Arial"/>
      </rPr>
      <t>hard to impl</t>
    </r>
  </si>
  <si>
    <t>UVA 10043</t>
  </si>
  <si>
    <t>geometry, sweep line or datastructures or dsu, greedy, bf [largest rectangle (empty) area, N=1000, =UVA 1312]</t>
  </si>
  <si>
    <t>SPOJ CERC07C</t>
  </si>
  <si>
    <t>geometry, sweep line, angular sweep, [fixed circle radius contains max points], [https://github.com/DrSchwad/CompetitiveProgramming/blob/master/SPOJ/SPOJ%20CERC07C.cpp]</t>
  </si>
  <si>
    <t>UVA 12226</t>
  </si>
  <si>
    <t>geometry, sweep line, angular sweep, polygon, constructive, [build polygon], [https://github.com/morris821028/UVa/blob/master/volume122/12226%20-%20Simple%20Polygon.cpp]</t>
  </si>
  <si>
    <t>geometry, sweep line, binary search, datastructures</t>
  </si>
  <si>
    <t>UVA 303</t>
  </si>
  <si>
    <t>geometry, sweep line, pip, lines, intersections, angles</t>
  </si>
  <si>
    <t>geometry, sweep line, segments</t>
  </si>
  <si>
    <t>geometry, sweep line, circles, [covered grid pos]</t>
  </si>
  <si>
    <t>UVA 1468</t>
  </si>
  <si>
    <t>geometry, sweep line, angular sweep, two pointers, [line splits points equally], [https://blog.csdn.net/zxy_snow/article/details/6692271]</t>
  </si>
  <si>
    <t>geometry, sweep line, segment tree, lazy</t>
  </si>
  <si>
    <t>LIVEARCHIVE 6348</t>
  </si>
  <si>
    <t>geometry, sweep line, rectangles, dp, [simple sweep with little smart dp]</t>
  </si>
  <si>
    <t>SPOJ WILD</t>
  </si>
  <si>
    <t>geometry, sweep line, sets</t>
  </si>
  <si>
    <t>geometry, sweep line or hasing or rmq</t>
  </si>
  <si>
    <t>geometry, sweep line, [may solve SPOJ NICEDAY]</t>
  </si>
  <si>
    <t>SPOJ SHORTCUT</t>
  </si>
  <si>
    <t>geometry, sweep line, impl or bf</t>
  </si>
  <si>
    <t>SRM322-D1-1000</t>
  </si>
  <si>
    <t>SPOJ WIRELESS</t>
  </si>
  <si>
    <t>geometry, sweep line or ad-hoc</t>
  </si>
  <si>
    <t>geometry, sweep line, circles</t>
  </si>
  <si>
    <t>geometry, sweep line, greedy or bit, binary search</t>
  </si>
  <si>
    <t>geometry, sweep line, grid compress</t>
  </si>
  <si>
    <t>geometry, sweep line, binary search</t>
  </si>
  <si>
    <t>UVA 10483</t>
  </si>
  <si>
    <t>SRM206-D1-500</t>
  </si>
  <si>
    <t>geometry, sweep line or ad-hoc or bf</t>
  </si>
  <si>
    <t>TIMUS 1469</t>
  </si>
  <si>
    <t>geometry, sweep line, [standard], [video, direct on segments]</t>
  </si>
  <si>
    <t>geometry, sweep line, [https://github.com/YazanZebak/CompetitiveProgramming/blob/master/Codeforces/CF100622-GYM-C.cpp]</t>
  </si>
  <si>
    <t>ZOJ 2694</t>
  </si>
  <si>
    <t>SPOJ RIGHTTRI</t>
  </si>
  <si>
    <t>geometry, sweep line, radical sweep or ad-hoc, slope, map, [simple version UVA 12194]</t>
  </si>
  <si>
    <t>PKU 1177</t>
  </si>
  <si>
    <t>geometry, sweep line or segment tree, [rectangles primeter]</t>
  </si>
  <si>
    <t>SPOJ CEPC08B</t>
  </si>
  <si>
    <t>geometry, sweep line, polyline or greedy, [TLE]</t>
  </si>
  <si>
    <t>SPOJ NKMARS</t>
  </si>
  <si>
    <t>geometry, sweep line, [rectangles area, in video]</t>
  </si>
  <si>
    <t>UVA 11378</t>
  </si>
  <si>
    <t>geometry, sweep line, closest pair, [~=SPOJ CLOPPAIR]</t>
  </si>
  <si>
    <t>UVA 10750</t>
  </si>
  <si>
    <t>geometry, sweep line, closest pair, [~=URI 1295]</t>
  </si>
  <si>
    <t>geometry, sweep line or greedy</t>
  </si>
  <si>
    <t>LIVEARCHIVE 6035</t>
  </si>
  <si>
    <t>geometry, 3d, circles intersection, graph</t>
  </si>
  <si>
    <t>[45]</t>
  </si>
  <si>
    <t>LIVEARCHIVE 4447</t>
  </si>
  <si>
    <t>geometry, 3d, trinagles, dfs, hard impl</t>
  </si>
  <si>
    <t>SRM401-D1-500</t>
  </si>
  <si>
    <t>geometry, 3d, cylinder</t>
  </si>
  <si>
    <t>SRM333-D1-1000</t>
  </si>
  <si>
    <t>geometry, 3d, integration, simpson</t>
  </si>
  <si>
    <t>geometry, 3d</t>
  </si>
  <si>
    <t>LIVEARCHIVE 4795</t>
  </si>
  <si>
    <t>LIVEARCHIVE 2995</t>
  </si>
  <si>
    <t>geometry, 3d, counting, impl, [no knolwedge needed]</t>
  </si>
  <si>
    <t>UVA 11769</t>
  </si>
  <si>
    <t>geometry, 3d, convex hull</t>
  </si>
  <si>
    <t>Timus 1075</t>
  </si>
  <si>
    <t>UVA 11275</t>
  </si>
  <si>
    <t>LIVEARCHIVE 7153</t>
  </si>
  <si>
    <t>geometry, 3d, binary search</t>
  </si>
  <si>
    <t>LIVEARCHIVE 4792</t>
  </si>
  <si>
    <t>geometry, 3d, dijkstra</t>
  </si>
  <si>
    <t>UVA 13011</t>
  </si>
  <si>
    <t>geometry, 3d, floodfill</t>
  </si>
  <si>
    <t>UVA 10425</t>
  </si>
  <si>
    <t>UVA 1473</t>
  </si>
  <si>
    <t>geometry, 3d, ternary search or convex hull, ad-hoc</t>
  </si>
  <si>
    <t>ZOJ 2369</t>
  </si>
  <si>
    <t>geometry, 3d, integration, simpson, [cylinder]</t>
  </si>
  <si>
    <t>LIVEARCHIVE 2474</t>
  </si>
  <si>
    <t>geometry, 3d, sphere, bf, next_permutation</t>
  </si>
  <si>
    <t>UVA 11232</t>
  </si>
  <si>
    <t xml:space="preserve">geometry, 3d, [differentiation needed for proof] </t>
  </si>
  <si>
    <t>geometry, 3d, impl, math, [physics, kinematics], [independence property on dimensions]</t>
  </si>
  <si>
    <t>geometry, 3d, lines, distances, binary search, precision, [line segment in 3D plane]</t>
  </si>
  <si>
    <t>geometry, 3d, sorting, ad-hoc, constructive</t>
  </si>
  <si>
    <t>LIVEARCHIVE 2233</t>
  </si>
  <si>
    <t>geometry, 3d, sphere, floyd</t>
  </si>
  <si>
    <t>SPOJ BLCONE</t>
  </si>
  <si>
    <t>UVA 10297</t>
  </si>
  <si>
    <t>geometry, 3d, cones, volumes, formula</t>
  </si>
  <si>
    <t>UVA 11817</t>
  </si>
  <si>
    <t>geometry, 3d, great circle distance</t>
  </si>
  <si>
    <t>geometry, 3d, ternary search</t>
  </si>
  <si>
    <t>LIVEARCHIVE 2235</t>
  </si>
  <si>
    <t>graph</t>
  </si>
  <si>
    <t>[46]</t>
  </si>
  <si>
    <t>SRM184-D1-1000</t>
  </si>
  <si>
    <t>graph, cycles, [=UVA 11446]</t>
  </si>
  <si>
    <t>graph, cycles</t>
  </si>
  <si>
    <t>graph, datastructures, [smallest topological labelling]</t>
  </si>
  <si>
    <t>graph, mods, randomization</t>
  </si>
  <si>
    <t>graph, ad-hoc, impl</t>
  </si>
  <si>
    <t>graph, trees, math</t>
  </si>
  <si>
    <t>graph, cc, cycles, [cases]</t>
  </si>
  <si>
    <t>graph, coprimes, dfs</t>
  </si>
  <si>
    <t>SPOJ QTREE4</t>
  </si>
  <si>
    <t>graph, datastructures or centroid-decomposition, TLEs</t>
  </si>
  <si>
    <t>graph, tree, cycles, impl</t>
  </si>
  <si>
    <t>graph, bicoloring, ad-hoc constructive</t>
  </si>
  <si>
    <t>graph, trees, [small-to-large trick]</t>
  </si>
  <si>
    <t>graph, trees, binary search, interactive</t>
  </si>
  <si>
    <t>graph, cycles, dp_counting, [cases]</t>
  </si>
  <si>
    <t>SRM571-D1-500</t>
  </si>
  <si>
    <t>graph, clique</t>
  </si>
  <si>
    <t>graph, dominator tree</t>
  </si>
  <si>
    <t>graph, math</t>
  </si>
  <si>
    <t>SRM303-D1-1000</t>
  </si>
  <si>
    <t>graph, steiner tree, floyd</t>
  </si>
  <si>
    <t>graph, matchings, dp_bitmasks, [misc]</t>
  </si>
  <si>
    <t>graph, matrices, constructive, matrix pow</t>
  </si>
  <si>
    <t>graph, trees, constructive</t>
  </si>
  <si>
    <t>SRM530-D2-1000</t>
  </si>
  <si>
    <t>graph, greedy</t>
  </si>
  <si>
    <t>SRM559-D2-1000</t>
  </si>
  <si>
    <t>UVA 10863</t>
  </si>
  <si>
    <t>graph, steiner tree</t>
  </si>
  <si>
    <t>graph, tree, math, constructive</t>
  </si>
  <si>
    <t>graph, bf, dfs, ad-hoc</t>
  </si>
  <si>
    <t>graph, ad-hoc, constructive, center of tree, [centroid-decomposition for the proof]</t>
  </si>
  <si>
    <t>graph, binary search, [scc related]</t>
  </si>
  <si>
    <t>graph, Cayley's formula, combinatorics</t>
  </si>
  <si>
    <t>SRM530-D1-500</t>
  </si>
  <si>
    <t>graph, tree compress</t>
  </si>
  <si>
    <t>UVA 12786</t>
  </si>
  <si>
    <t>graph, binary search, [Erdos–Gallai theorem]</t>
  </si>
  <si>
    <t>SPOJ MENMARS</t>
  </si>
  <si>
    <t>graph, clique, bitmasks</t>
  </si>
  <si>
    <t>Author me</t>
  </si>
  <si>
    <t>SRM365-D1-1000</t>
  </si>
  <si>
    <t>SRM358-D1-1000</t>
  </si>
  <si>
    <t>graph, max flow</t>
  </si>
  <si>
    <t>graph, xor, euler, impl</t>
  </si>
  <si>
    <t>graph, constructive, dfs</t>
  </si>
  <si>
    <t>graph, datastructures, hashing</t>
  </si>
  <si>
    <t>graph, bipartite graph, 4-Coloring</t>
  </si>
  <si>
    <t>SRM364-D1-1000</t>
  </si>
  <si>
    <t>graph, permutation, constructive or pattern</t>
  </si>
  <si>
    <t>graph, constructive, pigeonhole principle, [decompose]</t>
  </si>
  <si>
    <t>graph, math, bitmasks, cc, greedy</t>
  </si>
  <si>
    <t>p5 v1</t>
  </si>
  <si>
    <t>graph, d&amp;c, coptimes, [find tree of specific properties], [https://github.com/s-nandi/CompetitiveProgramming/blob/master/LiveArchive/Livearchive-8257.cpp]</t>
  </si>
  <si>
    <t>TIMUS 1040</t>
  </si>
  <si>
    <t>graph, greedy, gcd, [gcd(x, x + 1) = 1</t>
  </si>
  <si>
    <t>graph, tree, greedy, binary search</t>
  </si>
  <si>
    <t>graph, trees, dfs or dp</t>
  </si>
  <si>
    <t>graph, math, impl, [based on erdos galli theorem]</t>
  </si>
  <si>
    <t>CF100729-GYM-D</t>
  </si>
  <si>
    <t>graph, tree, datastructures, [small-to-large]</t>
  </si>
  <si>
    <t>SRM460-D2-1000</t>
  </si>
  <si>
    <r>
      <rPr>
        <sz val="10"/>
        <color theme="1"/>
        <rFont val="Arial"/>
      </rPr>
      <t>graph, cc, prufer_codes, [</t>
    </r>
    <r>
      <rPr>
        <b/>
        <sz val="10"/>
        <color theme="1"/>
        <rFont val="Arial"/>
      </rPr>
      <t>Cayley's</t>
    </r>
    <r>
      <rPr>
        <sz val="10"/>
        <color theme="1"/>
        <rFont val="Arial"/>
      </rPr>
      <t xml:space="preserve"> formula], or mst, bf, bitmasks</t>
    </r>
  </si>
  <si>
    <t>graph, bicoloring</t>
  </si>
  <si>
    <t>graph, bipartite, dp, [theory]</t>
  </si>
  <si>
    <t>graph, ad-hoc or randimization</t>
  </si>
  <si>
    <t>graph, max flow, [https://github.com/shashank0107/CompetitiveProgramming/blob/master/Codeforces/CF101484-GYM-H.cpp]</t>
  </si>
  <si>
    <t>graph, cycles, dp_bitmasks</t>
  </si>
  <si>
    <t>SRM531-D1-500</t>
  </si>
  <si>
    <t>graph, simulation, graph cycle, [prove skills, may use scc]</t>
  </si>
  <si>
    <t>Prove your Solution. Read editorials</t>
  </si>
  <si>
    <t>SRM587-D2-1000</t>
  </si>
  <si>
    <t>graph, bf</t>
  </si>
  <si>
    <t>graph, combinatorics</t>
  </si>
  <si>
    <t>CF100513-GYM-L</t>
  </si>
  <si>
    <t>SPOJ SPCE</t>
  </si>
  <si>
    <t>graph, math, [prove using Cayley's formula]</t>
  </si>
  <si>
    <t>graph, constructive, combinatorics, dfs, bipartite graph, cycle</t>
  </si>
  <si>
    <t>graph, trees, centroid or dp_trees</t>
  </si>
  <si>
    <t>graph, greedy, flood-fill</t>
  </si>
  <si>
    <t>graph, hashing</t>
  </si>
  <si>
    <t>graph, impl</t>
  </si>
  <si>
    <t>graph, tree, constructive</t>
  </si>
  <si>
    <t>graph, trees, bf</t>
  </si>
  <si>
    <t>graph, adjacency matrix or scc</t>
  </si>
  <si>
    <t>graph, greedy, datastructures, [cases]</t>
  </si>
  <si>
    <t>graph, hashing on graph, [easy but need careful values for collision]</t>
  </si>
  <si>
    <t>graph, probability</t>
  </si>
  <si>
    <t>CF101142-GYM-C</t>
  </si>
  <si>
    <t>graph, ad-hoc</t>
  </si>
  <si>
    <t>UVA 165</t>
  </si>
  <si>
    <t>graph, bf, ad hoc</t>
  </si>
  <si>
    <t>LIVEARCHIVE 3278</t>
  </si>
  <si>
    <t>graph, bf, bitmasks, cover</t>
  </si>
  <si>
    <t>graph, bicoloring, is bipartite or 2-sat</t>
  </si>
  <si>
    <t>graph, binary search on graph</t>
  </si>
  <si>
    <t>graph, construction, [construction for graphs using binary numbers]</t>
  </si>
  <si>
    <t>UVA 11202</t>
  </si>
  <si>
    <t>graph, counting or pattern</t>
  </si>
  <si>
    <t>graph, cycle, gcd</t>
  </si>
  <si>
    <t>UVA 12118</t>
  </si>
  <si>
    <t>graph, euler</t>
  </si>
  <si>
    <t>SRM398-D1-1000</t>
  </si>
  <si>
    <t>graph, gcd</t>
  </si>
  <si>
    <t>graph, sortings</t>
  </si>
  <si>
    <t>TJU 1526</t>
  </si>
  <si>
    <t>graph, sp or bfs</t>
  </si>
  <si>
    <t>SRM405-D1-500</t>
  </si>
  <si>
    <t>graph, strings</t>
  </si>
  <si>
    <t>graph, trees</t>
  </si>
  <si>
    <t>graph, trees, dfs, impl</t>
  </si>
  <si>
    <t>SRM608-D2-1000</t>
  </si>
  <si>
    <t>graph, bf, floyd or max flow or matrix pow</t>
  </si>
  <si>
    <t>graph, tree, constructive algorithm</t>
  </si>
  <si>
    <t>graph, trees, dfs, prefix sum or dp_trees, cases</t>
  </si>
  <si>
    <t>graph, trees, greedy, constructive</t>
  </si>
  <si>
    <t>graph, bipartite, tilling</t>
  </si>
  <si>
    <t>LiveArchive 7616</t>
  </si>
  <si>
    <t>graph, cliques, np-hard</t>
  </si>
  <si>
    <t>graph, cycle, cnstructive</t>
  </si>
  <si>
    <t>graph, trees, ranges on binary tree</t>
  </si>
  <si>
    <t>graph, trees, dp</t>
  </si>
  <si>
    <t>graph, bicoloring or 2-sat, dsu</t>
  </si>
  <si>
    <t>SRM210-D1-500</t>
  </si>
  <si>
    <t>graph, impl, tricky</t>
  </si>
  <si>
    <t>graph, is bipartite</t>
  </si>
  <si>
    <t>SRM452-D2-1000</t>
  </si>
  <si>
    <t>SPOJ TICKET</t>
  </si>
  <si>
    <t>graph, steiner tree, kruskal is slow?</t>
  </si>
  <si>
    <t>graph, tree, impl</t>
  </si>
  <si>
    <t>graph, trees, constructive algorithm, [cases]</t>
  </si>
  <si>
    <t>SRM396-D1-500</t>
  </si>
  <si>
    <t>graph, search</t>
  </si>
  <si>
    <t>graph, constructive, ad-hoc</t>
  </si>
  <si>
    <t>graph, constructive, prove using e.g. scc</t>
  </si>
  <si>
    <t>graph, dijsktra, reminders, math</t>
  </si>
  <si>
    <t>UVA 10982</t>
  </si>
  <si>
    <t>graph, greedy, [close to max cut]</t>
  </si>
  <si>
    <t>graph, binary search, greedy</t>
  </si>
  <si>
    <t>graph, constructive</t>
  </si>
  <si>
    <t>graph, constructive, observations</t>
  </si>
  <si>
    <t>graph, trees, observation</t>
  </si>
  <si>
    <t>UVA 11550</t>
  </si>
  <si>
    <t>graph, incidence matrix verification, [WAs]</t>
  </si>
  <si>
    <t>TJU 1077</t>
  </si>
  <si>
    <t>graph, bicoloring, is bipartite</t>
  </si>
  <si>
    <t>graph, cycle, greedy</t>
  </si>
  <si>
    <t>SRM583-D2-1000</t>
  </si>
  <si>
    <t>graph, greedy, search</t>
  </si>
  <si>
    <t>SRM429-D2-1000</t>
  </si>
  <si>
    <t>graph, math, strings</t>
  </si>
  <si>
    <t>SRM392-D1-500</t>
  </si>
  <si>
    <t>UVA 1264</t>
  </si>
  <si>
    <t>graph, trees, pascal triangle</t>
  </si>
  <si>
    <t>TJU 2798</t>
  </si>
  <si>
    <t>graph, trees, math, generate pattern</t>
  </si>
  <si>
    <t>SRM256-D1-500</t>
  </si>
  <si>
    <t>graph, tree isomorphism</t>
  </si>
  <si>
    <t>CF102035-GYM-H</t>
  </si>
  <si>
    <t>graph, greedy, longest path</t>
  </si>
  <si>
    <t>SRM484-D2-1000</t>
  </si>
  <si>
    <t>UVA 656</t>
  </si>
  <si>
    <t>graph, complete search</t>
  </si>
  <si>
    <t>UVA 12132</t>
  </si>
  <si>
    <t>graph, cycles, [bad text]</t>
  </si>
  <si>
    <t>TIMUS 1069</t>
  </si>
  <si>
    <t>graph, datastructures</t>
  </si>
  <si>
    <t>SRM195-D1-500</t>
  </si>
  <si>
    <t>CF839-D2-B</t>
  </si>
  <si>
    <t>SPOJ XYI</t>
  </si>
  <si>
    <t>graph, observations or dfs, long code</t>
  </si>
  <si>
    <t>SRM350-D2-1000</t>
  </si>
  <si>
    <t>UVA 11615</t>
  </si>
  <si>
    <t>graph, complete binary tree</t>
  </si>
  <si>
    <t>UVA 11414</t>
  </si>
  <si>
    <t>CF102394-gym-A</t>
  </si>
  <si>
    <t>graph, adhoc, [transform the linear inequalities to the graph problem]</t>
  </si>
  <si>
    <t>graph, trees, greedy, constructive, [monovariant depth]</t>
  </si>
  <si>
    <t>SPOJ SEGMENTS</t>
  </si>
  <si>
    <t>graph, bellmanford, [all guys got WA, avoid[</t>
  </si>
  <si>
    <t>[47]</t>
  </si>
  <si>
    <t>LIVEARCHIVE 3002</t>
  </si>
  <si>
    <t>graph, bellmanford, difference constraints, geometry</t>
  </si>
  <si>
    <t>LIVEARCHIVE 4885</t>
  </si>
  <si>
    <t>graph, bellmanford, difference constraints</t>
  </si>
  <si>
    <t>SPOJ SPRING</t>
  </si>
  <si>
    <t>PKU 3169</t>
  </si>
  <si>
    <t>graph, bellmanford or spfa,  difference constraints ??</t>
  </si>
  <si>
    <t>LIVEARCHIVE 2438</t>
  </si>
  <si>
    <t>graph, bellmanford</t>
  </si>
  <si>
    <t>LIVEARCHIVE 4131</t>
  </si>
  <si>
    <t>UVA 11478</t>
  </si>
  <si>
    <t>graph, bellmanford, difference constraints, Minimum Mean Weight Cycle or karp algorithm</t>
  </si>
  <si>
    <t>UVA 11090</t>
  </si>
  <si>
    <t>graph, bellmanford, Minimum Mean Weight Cycle or karp algorithm, [=SPOJ WORDRING, I outlined in my cycles summary video]</t>
  </si>
  <si>
    <t>graph, bellmanford, [~CODECHEF BESTPATH]</t>
  </si>
  <si>
    <t>SRM270-D1-500</t>
  </si>
  <si>
    <t>graph, bellmanford, bfs or floyd, negative cycles. tricky</t>
  </si>
  <si>
    <t>UVA 11721</t>
  </si>
  <si>
    <t>graph, bellmanford, scc</t>
  </si>
  <si>
    <t>LIVEARCHIVE 4509</t>
  </si>
  <si>
    <t>graph, bellmanford, cycles</t>
  </si>
  <si>
    <t>UVA 558</t>
  </si>
  <si>
    <t>UVA 515</t>
  </si>
  <si>
    <t>UVA 10557</t>
  </si>
  <si>
    <t>UVA 10449</t>
  </si>
  <si>
    <t>LIVEARCHIVE 2240</t>
  </si>
  <si>
    <t>graph, bfs</t>
  </si>
  <si>
    <t>[48]</t>
  </si>
  <si>
    <t>SRM524-D1-500</t>
  </si>
  <si>
    <t>graph, bfs, binary search</t>
  </si>
  <si>
    <t>graph, bfs, [observations from bf]</t>
  </si>
  <si>
    <t>graph, bfs, state hashing, optimizations</t>
  </si>
  <si>
    <t>SRM376-D1-1000</t>
  </si>
  <si>
    <t>LIVEARCHIVE 3807</t>
  </si>
  <si>
    <t>graph, bfs, impl [direct, state representation using ints]</t>
  </si>
  <si>
    <t>SRM422-D1-500</t>
  </si>
  <si>
    <t>graph, bfs, math</t>
  </si>
  <si>
    <t>UVA 11643</t>
  </si>
  <si>
    <t>graph, bfs, dp, tps, Knight’s tours, Warnsdorf’s rule, [see new CP book]</t>
  </si>
  <si>
    <t>SRM238-D1-500</t>
  </si>
  <si>
    <t>UVA 12858</t>
  </si>
  <si>
    <t>UVA 10770</t>
  </si>
  <si>
    <t>graph, bfs or dfs, state, tricky encoding</t>
  </si>
  <si>
    <t>graph, bfs, 2 pointers, math</t>
  </si>
  <si>
    <t>UVA 12274</t>
  </si>
  <si>
    <t>graph, bfs, bits, dsu, cycles or scc</t>
  </si>
  <si>
    <t>UVA 12860</t>
  </si>
  <si>
    <t>graph, bfs, build graph, greedy, long code, almost direct?</t>
  </si>
  <si>
    <t>graph, bfs, impl</t>
  </si>
  <si>
    <t>USACO LASERS</t>
  </si>
  <si>
    <t>graph, bfs, line sweep, shortest path, [0/1 bfs trick for 0/1 graphs]</t>
  </si>
  <si>
    <t>UVA 715</t>
  </si>
  <si>
    <t>graph, bfs, topological sort, all topological sorts, misc</t>
  </si>
  <si>
    <t>graph, bfs, math, observations</t>
  </si>
  <si>
    <t>graph, bfs, dp</t>
  </si>
  <si>
    <t>graph, bfs, hashing, impl, const opt, [knights infinite chessboard], [can it be only bf: knights have K^2 moves not 8^K]</t>
  </si>
  <si>
    <t>SRM425-D1-500</t>
  </si>
  <si>
    <t>graph, bfs, greedy, sorting, [WAs]</t>
  </si>
  <si>
    <t>UVA 12466</t>
  </si>
  <si>
    <t>graph, bfs, topological sort, dp</t>
  </si>
  <si>
    <t>graph, bfs, greedy or ad-hoc</t>
  </si>
  <si>
    <t>graph, bfs, impl or dijkstra</t>
  </si>
  <si>
    <t>UVA 652</t>
  </si>
  <si>
    <t>graph, bfs, state, hash or IDA</t>
  </si>
  <si>
    <t>UVA 521</t>
  </si>
  <si>
    <t>graph, bfs, scc, [floyd]</t>
  </si>
  <si>
    <t>UVA 1604</t>
  </si>
  <si>
    <t>graph, bfs, state</t>
  </si>
  <si>
    <t>graph, bfs, 2d predix sum, [good impl]</t>
  </si>
  <si>
    <t>graph, bfs, binary search, impl</t>
  </si>
  <si>
    <t>UVA 10985</t>
  </si>
  <si>
    <t>SRM233-D1-500</t>
  </si>
  <si>
    <t>SRM729-D1-500</t>
  </si>
  <si>
    <t>UVA 10968</t>
  </si>
  <si>
    <t>UVA 12130</t>
  </si>
  <si>
    <t>graph, bfs or dfs</t>
  </si>
  <si>
    <t>LIVEARCHIVE 7155</t>
  </si>
  <si>
    <t>graph, bfs, [=CF677-D2-D]</t>
  </si>
  <si>
    <t>TIMUS 1314</t>
  </si>
  <si>
    <t>graph, bfs, [2 bfs]</t>
  </si>
  <si>
    <t>SRM374-D2-1000</t>
  </si>
  <si>
    <t>graph, bfs, [hard text]</t>
  </si>
  <si>
    <t>LIVEARCHIVE 3564</t>
  </si>
  <si>
    <t>graph, bfs, [tricky state]</t>
  </si>
  <si>
    <t>graph, bfs, bitmasks, impl</t>
  </si>
  <si>
    <t>graph, bfs, greedy</t>
  </si>
  <si>
    <t>UVA 775</t>
  </si>
  <si>
    <t>graph, bfs, hamilton</t>
  </si>
  <si>
    <t>graph, bfs, impl, [chess, many states, boring]</t>
  </si>
  <si>
    <t>graph, bfs, state space search</t>
  </si>
  <si>
    <t>UVA 11329</t>
  </si>
  <si>
    <t>graph, bfs, bitmasks or dp</t>
  </si>
  <si>
    <t>SPOJ MULTII</t>
  </si>
  <si>
    <t>graph, bfs, [BFS over numbers (K*10+d)%N]</t>
  </si>
  <si>
    <t>graph, bfs, bf, bitmasks</t>
  </si>
  <si>
    <t>UVA 10937</t>
  </si>
  <si>
    <t>UVA 12544</t>
  </si>
  <si>
    <t>graph, bfs, cycles, [cycle with smallest number of vertices]</t>
  </si>
  <si>
    <t>graph, bfs, cyclic games or dp_games</t>
  </si>
  <si>
    <t>LIVEARCHIVE 2040</t>
  </si>
  <si>
    <t>SRM211-D1-500</t>
  </si>
  <si>
    <t>UVA 12160</t>
  </si>
  <si>
    <t>UVA 985</t>
  </si>
  <si>
    <t>UVA 11405</t>
  </si>
  <si>
    <t>graph, bfs, dp_bitmasks, sp preocess then dp</t>
  </si>
  <si>
    <t>UVA 11198</t>
  </si>
  <si>
    <t>graph, bfs, permutations or dfs</t>
  </si>
  <si>
    <t>UVA 11573</t>
  </si>
  <si>
    <t>graph, bfs, 0/1 bfs, [CF1064-D2-D, CF877-D2-D, SPOJ KATHTHI]</t>
  </si>
  <si>
    <t>SPOJ ADV04F1</t>
  </si>
  <si>
    <t>graph, bfs, 0-1 bfs</t>
  </si>
  <si>
    <t>UVA 10888</t>
  </si>
  <si>
    <t>graph, bfs, dp or weighted matching</t>
  </si>
  <si>
    <t>SPOJ PUCMM223</t>
  </si>
  <si>
    <t>graph, bfs, grid</t>
  </si>
  <si>
    <t>graph, bfs, interactive, impl</t>
  </si>
  <si>
    <t>SPOJ A_W_S_N</t>
  </si>
  <si>
    <t>graph, bfs, masks, tsp or dp_bitmasks, bfs</t>
  </si>
  <si>
    <t>UVA 10422</t>
  </si>
  <si>
    <t>graph, bfs or dfs, state</t>
  </si>
  <si>
    <t>graph, bfs or greedy, [search in 2d grid]</t>
  </si>
  <si>
    <t>graph, bfs, cycle</t>
  </si>
  <si>
    <t>SRM221-D1-500</t>
  </si>
  <si>
    <t>graph, bfs, [bfs body part of complexity]</t>
  </si>
  <si>
    <t>SRM487-D2-1000</t>
  </si>
  <si>
    <t>graph, bfs, sieve, mod, [iterate fast on edges]</t>
  </si>
  <si>
    <t>SRM222-D1-500</t>
  </si>
  <si>
    <t>SRM308-D1-500</t>
  </si>
  <si>
    <t>SRM374-D1-500</t>
  </si>
  <si>
    <t>SRM385-D1-500</t>
  </si>
  <si>
    <t>UVA 10682</t>
  </si>
  <si>
    <t>UVA 928</t>
  </si>
  <si>
    <t>graph, bfs or dp</t>
  </si>
  <si>
    <t>SRM341-D1-500</t>
  </si>
  <si>
    <t>graph, bfs, ad-hoc, [hard impl]</t>
  </si>
  <si>
    <t>graph, bfs, bf</t>
  </si>
  <si>
    <t>UVA 11974</t>
  </si>
  <si>
    <t>graph, bfs, bitmasks</t>
  </si>
  <si>
    <t>LIVEARCHIVE 5216</t>
  </si>
  <si>
    <t>graph, bfs, hard impl</t>
  </si>
  <si>
    <t>UVA 10085</t>
  </si>
  <si>
    <t>graph, bfs, hashmap</t>
  </si>
  <si>
    <t>graph, bfs, shortest path</t>
  </si>
  <si>
    <t>graph, bfs, trie, hashing or meet in middle</t>
  </si>
  <si>
    <t>graph, bfs, bitmask</t>
  </si>
  <si>
    <t>TIMUS 1643</t>
  </si>
  <si>
    <t>UVA 11792</t>
  </si>
  <si>
    <t>UVA 859</t>
  </si>
  <si>
    <t>graph, bfs or ad-hoc</t>
  </si>
  <si>
    <t>graph, bfs, binary search or dijkstra</t>
  </si>
  <si>
    <t>graph, bfs, bitmask or bfs preprocess then dp</t>
  </si>
  <si>
    <t>SRM376-D2-1000</t>
  </si>
  <si>
    <t>SRM524-D2-1000</t>
  </si>
  <si>
    <t>UVA 11730</t>
  </si>
  <si>
    <t>graph, bfs, primes</t>
  </si>
  <si>
    <t>UVA 11513</t>
  </si>
  <si>
    <t>graph, bfs, print, [start from final state]</t>
  </si>
  <si>
    <t>SRM618-D2-1000</t>
  </si>
  <si>
    <t>SRM467-D2-1000</t>
  </si>
  <si>
    <t>TIMUS 1096</t>
  </si>
  <si>
    <t>graph, bfs, simulation, [WAs]</t>
  </si>
  <si>
    <t>SRM241-D1-500</t>
  </si>
  <si>
    <t>SRM354-D1-500</t>
  </si>
  <si>
    <t>SRM556-D2-500</t>
  </si>
  <si>
    <t>UVA 11049</t>
  </si>
  <si>
    <t>UVA 12460</t>
  </si>
  <si>
    <t>UVA 1600</t>
  </si>
  <si>
    <t>SRM198-D1-500</t>
  </si>
  <si>
    <t>graph, bfs or bellmanford, [long statement]</t>
  </si>
  <si>
    <t>graph, bfs or dfs, [unclear text]</t>
  </si>
  <si>
    <t>SPOJ CLOCKS</t>
  </si>
  <si>
    <t>UVA 12135</t>
  </si>
  <si>
    <t>graph, bfs, chess or dfs</t>
  </si>
  <si>
    <t>SRM166-D1-500</t>
  </si>
  <si>
    <t>UVA 10356</t>
  </si>
  <si>
    <t>graph, bfs or dijkstra</t>
  </si>
  <si>
    <t>SRM509-D2-1000</t>
  </si>
  <si>
    <t>SRM541-D2-1000</t>
  </si>
  <si>
    <t>graph, bfs or bf</t>
  </si>
  <si>
    <t>graph, bfs, multisrc, multidest</t>
  </si>
  <si>
    <t>SPOJ DCEPC706</t>
  </si>
  <si>
    <t>SPOJ EQDIV</t>
  </si>
  <si>
    <t>UVA 10009</t>
  </si>
  <si>
    <t>UVA 11906</t>
  </si>
  <si>
    <t>SPOJ CCHESS</t>
  </si>
  <si>
    <t>UVA 388</t>
  </si>
  <si>
    <t>graph, bfs, floyd</t>
  </si>
  <si>
    <t>TIMUS 1291</t>
  </si>
  <si>
    <t>graph, bfs, gcd</t>
  </si>
  <si>
    <t>SPOJ LUCKYNUM</t>
  </si>
  <si>
    <t>graph, bfs, mod, divisibility, print path or math or backtrack</t>
  </si>
  <si>
    <t>UVA 1148</t>
  </si>
  <si>
    <t>graph, bfs, tree diameter, [find/remove diam, prove why], [involves LCA?]</t>
  </si>
  <si>
    <t>[49]</t>
  </si>
  <si>
    <t>UVA 11695</t>
  </si>
  <si>
    <t>graph, bfs, tree diameter</t>
  </si>
  <si>
    <t>graph, bfs, tree diameter or dp_trees</t>
  </si>
  <si>
    <t>graph, bfs, tree diameter, greedy or dp_bitmasks, binary search</t>
  </si>
  <si>
    <t>graph, bfs, tree diameter or bf, optimizations</t>
  </si>
  <si>
    <t>SPOJ LABYR1</t>
  </si>
  <si>
    <t>TIMUS 1463</t>
  </si>
  <si>
    <t>graph, bfs, tree diameter or dfs</t>
  </si>
  <si>
    <t>SRM301-D1-500</t>
  </si>
  <si>
    <t>graph, bfs, tree diameter or floyd</t>
  </si>
  <si>
    <t>TJU 1743</t>
  </si>
  <si>
    <t>graph, bfs, tree diameter or dp, [hard text]</t>
  </si>
  <si>
    <t>TIMUS 1056</t>
  </si>
  <si>
    <t>graph, bfs, tree diameter, [in video]</t>
  </si>
  <si>
    <t>LIVEARCHIVE 3566</t>
  </si>
  <si>
    <t>graph, dfs</t>
  </si>
  <si>
    <t>[50]</t>
  </si>
  <si>
    <t>LIVEARCHIVE 4453</t>
  </si>
  <si>
    <t>LIVEARCHIVE 4454</t>
  </si>
  <si>
    <t>LIVEARCHIVE 4789</t>
  </si>
  <si>
    <t>graph, dfs, dp</t>
  </si>
  <si>
    <t>LiveArchive 6584</t>
  </si>
  <si>
    <t>Web sol?</t>
  </si>
  <si>
    <t>graph, dfs, datastructures</t>
  </si>
  <si>
    <t>graph, dfs, dfs order, segment tree, dp</t>
  </si>
  <si>
    <t>LIVEARCHIVE 4815</t>
  </si>
  <si>
    <t>graph, dfs, cycles</t>
  </si>
  <si>
    <t>graph, dfs, greedy</t>
  </si>
  <si>
    <t>graph, dfs, lstm, xor or scc, biconnected components</t>
  </si>
  <si>
    <t>graph, dfs, tree, cycles</t>
  </si>
  <si>
    <t>graph, dfs, cycles, centroid, hamilton path</t>
  </si>
  <si>
    <t>UVA 11745</t>
  </si>
  <si>
    <t>graph, dfs, dfs tree, bipartite or datastructures or dp_trres</t>
  </si>
  <si>
    <t>graph, dfs, greedy, [centroid-dec seems might be used for some better order?]</t>
  </si>
  <si>
    <t>CF860-D1-D</t>
  </si>
  <si>
    <t>SPOJ MROADS</t>
  </si>
  <si>
    <t>graph, dfs, binary search</t>
  </si>
  <si>
    <t>graph, dfs, datastructures, [boring]</t>
  </si>
  <si>
    <t>UVA 10463</t>
  </si>
  <si>
    <t>graph, dfs, iterative dfs, bfs, sieve bitmasks</t>
  </si>
  <si>
    <t>graph, dfs, like lca, probability</t>
  </si>
  <si>
    <t>graph, dfs, math</t>
  </si>
  <si>
    <t>UVA 519</t>
  </si>
  <si>
    <t>graph, dfs, prune, impl</t>
  </si>
  <si>
    <t>graph, dfs, bf or sqrt decomposition</t>
  </si>
  <si>
    <t>graph, dfs, binary search, xor</t>
  </si>
  <si>
    <t>LIVEARCHIVE 4449</t>
  </si>
  <si>
    <t>graph, dfs, dfs using stack or dp</t>
  </si>
  <si>
    <t>graph, dfs, impl</t>
  </si>
  <si>
    <t>UVA 10728</t>
  </si>
  <si>
    <t>graph, dfs or ad-hoc</t>
  </si>
  <si>
    <t>UVA 10181</t>
  </si>
  <si>
    <t>graph, dfs, iterative dfs or A*, permutation rank, [solve UVA 652 first]</t>
  </si>
  <si>
    <t>graph, dfs, iterative deepening, prune or backtrack, prune, heuristics</t>
  </si>
  <si>
    <t>graph, dfs or bfs or dsu, [easy if solved similar ideas]</t>
  </si>
  <si>
    <t>graph, dfs, cycle checking, math, datastructures</t>
  </si>
  <si>
    <t>graph, dfs, d&amp;c, interactive or centroid-decomposition, hld</t>
  </si>
  <si>
    <t>UVA 1343</t>
  </si>
  <si>
    <t>graph, dfs, iterative deepening, [nice but rare]</t>
  </si>
  <si>
    <t>TIMUS 1229</t>
  </si>
  <si>
    <t>UVA 10998</t>
  </si>
  <si>
    <t>UVA 208</t>
  </si>
  <si>
    <t>graph, dfs, bfs</t>
  </si>
  <si>
    <t xml:space="preserve">graph, dfs, math or dsu </t>
  </si>
  <si>
    <t>LIVEARCHIVE 4793</t>
  </si>
  <si>
    <t>graph, dfs, prune or dp, counting, [Hamiltonian]</t>
  </si>
  <si>
    <t>graph, dfs, datastructure, merging sets trick, inequalities</t>
  </si>
  <si>
    <t>Compute Complexity</t>
  </si>
  <si>
    <t>SPOJ AMR10J</t>
  </si>
  <si>
    <t>graph, dfs, [DAG with cycles]</t>
  </si>
  <si>
    <t>SPOJ CAC</t>
  </si>
  <si>
    <t>graph, dfs, [Find all cycles in cactus]</t>
  </si>
  <si>
    <t>graph, dfs or dp or dsu-on-tree, [similar to CF101992-GYM-M from ECPC2018]</t>
  </si>
  <si>
    <t>graph, dfs or dp, trees</t>
  </si>
  <si>
    <t>graph, dfs or scc</t>
  </si>
  <si>
    <t>graph, dfs, [overflow]</t>
  </si>
  <si>
    <t>graph, dfs, bitset or persistent segment tree</t>
  </si>
  <si>
    <t>graph, dfs, datastructures, greedy</t>
  </si>
  <si>
    <t>Try to Prove</t>
  </si>
  <si>
    <t>graph, dfs, fermat, [rearangement propperty or congruence]</t>
  </si>
  <si>
    <t>graph, dfs or segment tree, topo sort, [speed topo using segment - dfs sol is smarter]</t>
  </si>
  <si>
    <t>SRM600-D2-1000</t>
  </si>
  <si>
    <t>graph, dfs, bitmasks, bf, impl</t>
  </si>
  <si>
    <t>graph, dfs, cycles or scc</t>
  </si>
  <si>
    <t>graph, dfs, number theory</t>
  </si>
  <si>
    <t>SPOJ GALOU</t>
  </si>
  <si>
    <t>graph, dfs, combinatorics, [standard]</t>
  </si>
  <si>
    <t>SRM357-D2-1000</t>
  </si>
  <si>
    <t>graph, dfs, cycle</t>
  </si>
  <si>
    <t>TIMUS 1253</t>
  </si>
  <si>
    <t>graph, dfs, cycle detection</t>
  </si>
  <si>
    <t>graph, dfs, trees</t>
  </si>
  <si>
    <t>graph, dfs or dp</t>
  </si>
  <si>
    <t>LiveArchive 6590</t>
  </si>
  <si>
    <t>graph, dfs, rerooting</t>
  </si>
  <si>
    <t>SPOJ LEGO</t>
  </si>
  <si>
    <t>graph, dfs, binary search, optimize, [counting number of components problem]</t>
  </si>
  <si>
    <t>graph, dfs, constructive</t>
  </si>
  <si>
    <t>graph, dfs, dfs_order</t>
  </si>
  <si>
    <t>SPOJ HOLI</t>
  </si>
  <si>
    <t>graph, dfs or centroid-decomposition</t>
  </si>
  <si>
    <t>graph, dfs, bipartite, combinatorics</t>
  </si>
  <si>
    <t>graph, dfs, combinatorics, formula</t>
  </si>
  <si>
    <t>graph, dfs, interactive</t>
  </si>
  <si>
    <t>graph, dfs, tree, greedy</t>
  </si>
  <si>
    <t>SPOJ BIA</t>
  </si>
  <si>
    <t>graph, dfs or directed articulation points algorithm</t>
  </si>
  <si>
    <t>graph, dfs, [disjoint cycles]</t>
  </si>
  <si>
    <t>UVA 387</t>
  </si>
  <si>
    <t>graph, dfs or algorithm x</t>
  </si>
  <si>
    <t>graph, dfs or dp_trees</t>
  </si>
  <si>
    <t>graph, dfs, [dfs order, complete binary tree]</t>
  </si>
  <si>
    <t>graph, dfs, cc</t>
  </si>
  <si>
    <t>graph, dfs, tree</t>
  </si>
  <si>
    <t>graph, dfs, ad-hoc</t>
  </si>
  <si>
    <t>UVA 872</t>
  </si>
  <si>
    <t>graph, dfs, [reverse thinking]</t>
  </si>
  <si>
    <t>TIMUS 1218</t>
  </si>
  <si>
    <t>TIMUS 1437</t>
  </si>
  <si>
    <t>TIMUS 1250</t>
  </si>
  <si>
    <t>graph, dfs, [internal connected components in board]</t>
  </si>
  <si>
    <t>graph, dfs, cc, dp knapsack</t>
  </si>
  <si>
    <t>SRM350-D1-500</t>
  </si>
  <si>
    <t>UVA 11283</t>
  </si>
  <si>
    <t>UVA 11474</t>
  </si>
  <si>
    <t>graph, dfs or dsu</t>
  </si>
  <si>
    <t>LIVEARCHIVE 2887</t>
  </si>
  <si>
    <t>SRM368-D2-1000</t>
  </si>
  <si>
    <t>LIVEARCHIVE 3200</t>
  </si>
  <si>
    <t>graph, dfs, enumerate path, sorting, [unclear text]</t>
  </si>
  <si>
    <t>SPOJ LEXSTR</t>
  </si>
  <si>
    <t>UVA 10461</t>
  </si>
  <si>
    <t>graph, dfs, [finish computation times]</t>
  </si>
  <si>
    <t>UVA 1261</t>
  </si>
  <si>
    <t>LIVEARCHIVE 8047</t>
  </si>
  <si>
    <t>graph, dfs or bfs or floyd</t>
  </si>
  <si>
    <t>TJU 2241</t>
  </si>
  <si>
    <t>graph, dfs or lca</t>
  </si>
  <si>
    <t>UVA 211</t>
  </si>
  <si>
    <t>graph, dfs, [dominoes], [little annoying output]</t>
  </si>
  <si>
    <t>UVA 10938</t>
  </si>
  <si>
    <t>graph, dfs, [lca if bigger limits]</t>
  </si>
  <si>
    <t>LIVEARCHIVE 2244</t>
  </si>
  <si>
    <t>graph, dfs, bfs, [unclear constraints]</t>
  </si>
  <si>
    <t>UVA 10687</t>
  </si>
  <si>
    <t>UVA 12186</t>
  </si>
  <si>
    <t>UVA 10637</t>
  </si>
  <si>
    <t>graph, dfs, gcd</t>
  </si>
  <si>
    <t>LIVEARCHIVE 3272</t>
  </si>
  <si>
    <t>graph, dijkstra, cards, A*</t>
  </si>
  <si>
    <t>[52]</t>
  </si>
  <si>
    <t>LIVEARCHIVE 7582</t>
  </si>
  <si>
    <t>graph, dijkstra, linear porgramming</t>
  </si>
  <si>
    <t>LIVEARCHIVE 3570</t>
  </si>
  <si>
    <t>graph, dijkstra, pattern, tricky, [weak test cases]</t>
  </si>
  <si>
    <t>LIVEARCHIVE 6032</t>
  </si>
  <si>
    <t>graph, dijkstra, dsu, binary search</t>
  </si>
  <si>
    <t>graph, dijkstra</t>
  </si>
  <si>
    <t>Read editorial/others sols</t>
  </si>
  <si>
    <t>LIVEARCHIVE 2885</t>
  </si>
  <si>
    <t>graph, dijkstra, geometry, lines, intersections</t>
  </si>
  <si>
    <t>SRM479-D1-500</t>
  </si>
  <si>
    <t>graph, dijkstra, binary search</t>
  </si>
  <si>
    <t>graph, dijkstra or dp</t>
  </si>
  <si>
    <t>LIVEARCHIVE 2475</t>
  </si>
  <si>
    <t>graph, dijkstra, observations, [Used Dijkstra to avoid DP cyclic dependencies]</t>
  </si>
  <si>
    <t>SPOJ CONNECT</t>
  </si>
  <si>
    <t>graph, dijkstra, kth sp (general)</t>
  </si>
  <si>
    <t>NO sol</t>
  </si>
  <si>
    <t>graph, dijkstra, [hard txt ?]</t>
  </si>
  <si>
    <t>LIVEARCHIVE 2476</t>
  </si>
  <si>
    <t>graph, dijkstra, binary search, dijkstra like or dp</t>
  </si>
  <si>
    <t>graph, dijkstra or spfa</t>
  </si>
  <si>
    <t>graph, dijkstra, cycles</t>
  </si>
  <si>
    <t>LIVEARCHIVE 7583</t>
  </si>
  <si>
    <t>graph, dijkstra, dp</t>
  </si>
  <si>
    <t>graph, dijkstra, binary search or dp</t>
  </si>
  <si>
    <r>
      <rPr>
        <sz val="10"/>
        <color theme="1"/>
        <rFont val="arial,sans,sans-serif"/>
      </rPr>
      <t xml:space="preserve">graph, dijkstra, sparse graph or segment tree, </t>
    </r>
    <r>
      <rPr>
        <b/>
        <sz val="10"/>
        <color theme="1"/>
        <rFont val="arial,sans,sans-serif"/>
      </rPr>
      <t>impl</t>
    </r>
  </si>
  <si>
    <t>LIVEARCHIVE 4128</t>
  </si>
  <si>
    <t>graph, dijkstra or spfa, [direct problem, hard text]</t>
  </si>
  <si>
    <t>UVA 11883</t>
  </si>
  <si>
    <t>graph, dijkstra, differentiation, math or binary search or ternary search</t>
  </si>
  <si>
    <t>graph, dijkstra, dp, hashing</t>
  </si>
  <si>
    <t>UVA 11693</t>
  </si>
  <si>
    <t>graph, dijkstra, binary search or other sp</t>
  </si>
  <si>
    <t>SRM197-D1-500</t>
  </si>
  <si>
    <t>graph, dijkstra, backtrack, prune or bfs or dp</t>
  </si>
  <si>
    <t>SRM461-D1-500</t>
  </si>
  <si>
    <t>UVA 10841</t>
  </si>
  <si>
    <t>UVA 658</t>
  </si>
  <si>
    <t>graph, dijkstra, hard text</t>
  </si>
  <si>
    <t>LIVEARCHIVE 3561</t>
  </si>
  <si>
    <t>graph, dijkstra, impl or spfa, [DP fails]</t>
  </si>
  <si>
    <t>UVA 589</t>
  </si>
  <si>
    <t>graph, dijkstra, nested dijkstra or bfs, [long impl]</t>
  </si>
  <si>
    <t>SRM626-D2-1000</t>
  </si>
  <si>
    <t>graph, dijkstra, bfs</t>
  </si>
  <si>
    <t>UVA 10740</t>
  </si>
  <si>
    <t>graph, dijkstra, kth sp. [k &lt;= 10]</t>
  </si>
  <si>
    <t>LIVEARCHIVE 2728</t>
  </si>
  <si>
    <t>UVA 10342</t>
  </si>
  <si>
    <t>graph, dijkstra, kth SP (k=2) or floyd</t>
  </si>
  <si>
    <t>graph, dijkstra, multisource</t>
  </si>
  <si>
    <t>LIVEARCHIVE 2730</t>
  </si>
  <si>
    <t>graph, dijkstra or dp, binary search</t>
  </si>
  <si>
    <t>UVA 10389</t>
  </si>
  <si>
    <t>graph, dijkstra, floyd, [just impl, bad statement?]</t>
  </si>
  <si>
    <t>graph, dijkstra, 2 dijkstra</t>
  </si>
  <si>
    <t>UVA 12047</t>
  </si>
  <si>
    <t>UVA 11635</t>
  </si>
  <si>
    <t>UVA 10758</t>
  </si>
  <si>
    <t>UVA 11833</t>
  </si>
  <si>
    <t>UVA 12070</t>
  </si>
  <si>
    <t>LIVEARCHIVE 2166</t>
  </si>
  <si>
    <t>UVA 10525</t>
  </si>
  <si>
    <t>graph, dijkstra or floyd</t>
  </si>
  <si>
    <t>UVA 12144</t>
  </si>
  <si>
    <t>graph, dijkstra, [many sources]</t>
  </si>
  <si>
    <t>graph, dijkstra, dp or bfs</t>
  </si>
  <si>
    <t>graph, dijkstra, grid compress</t>
  </si>
  <si>
    <t>SRM335-D1-500</t>
  </si>
  <si>
    <t>graph, dijkstra, [precision or force integers]</t>
  </si>
  <si>
    <t>UVA 10537</t>
  </si>
  <si>
    <t>graph, dijkstra or bfs or floyd</t>
  </si>
  <si>
    <t>UVA 10967</t>
  </si>
  <si>
    <t>graph, dijkstra, [bad text]</t>
  </si>
  <si>
    <t>SRM675-D2-500</t>
  </si>
  <si>
    <t>TIMUS 1325</t>
  </si>
  <si>
    <t>graph, dijkstra or bfs</t>
  </si>
  <si>
    <t>UVA 11813</t>
  </si>
  <si>
    <t>graph, dijkstra or spfa, 2 dijkstra or sp preocess then dp</t>
  </si>
  <si>
    <t>UVA 11374</t>
  </si>
  <si>
    <t>graph, dijkstra, impl</t>
  </si>
  <si>
    <t>UVA 10806</t>
  </si>
  <si>
    <t>graph, dijkstra, kth SP (k=2) or min-cost-max-flow</t>
  </si>
  <si>
    <t>UVA 721</t>
  </si>
  <si>
    <t>graph, dijkstra or spfa, 2 dijkstra</t>
  </si>
  <si>
    <t>UVA 1247</t>
  </si>
  <si>
    <t>TIMUS 1930</t>
  </si>
  <si>
    <t>UVA 11338</t>
  </si>
  <si>
    <t>graph, dijkstra or spfa, geometry</t>
  </si>
  <si>
    <t>UVA 1112</t>
  </si>
  <si>
    <t>UVA 11280</t>
  </si>
  <si>
    <t>UVA 929</t>
  </si>
  <si>
    <t>graph, dijkstra, [cost on node]</t>
  </si>
  <si>
    <t>SPOJ SHPATH</t>
  </si>
  <si>
    <t>graph, dijkstra, [direct]</t>
  </si>
  <si>
    <t>LIVEARCHIVE 6776</t>
  </si>
  <si>
    <t>graph, dsu, greedy</t>
  </si>
  <si>
    <t>[53]</t>
  </si>
  <si>
    <t>graph, dsu, trees, binary search</t>
  </si>
  <si>
    <t>graph, dsu, impl</t>
  </si>
  <si>
    <t>graph, dsu</t>
  </si>
  <si>
    <t>graph, dsu, math, [may be not so interesting]</t>
  </si>
  <si>
    <t>graph, dsu, binary search, [optimization trick]</t>
  </si>
  <si>
    <t>graph, dsu, [Maximum cactus-forest]</t>
  </si>
  <si>
    <t>graph, dsu, impl, [how many paths have a certain edge as the edge with maximum weight]</t>
  </si>
  <si>
    <t>graph, dsu, presistent, [small-to-large], [=LiveArchive 7903]</t>
  </si>
  <si>
    <t>graph, dsu, ad-hoc dsu</t>
  </si>
  <si>
    <t>LIVEARCHIVE 5713</t>
  </si>
  <si>
    <t>UVA 12232</t>
  </si>
  <si>
    <t>graph, dsu, 2-sat with xor</t>
  </si>
  <si>
    <t>graph, dsu, combinatorics</t>
  </si>
  <si>
    <t>graph, dsu, [sparse memory]</t>
  </si>
  <si>
    <t>graph, dsu, [small-to-large]</t>
  </si>
  <si>
    <t>graph, dsu, greedy, combinatorics</t>
  </si>
  <si>
    <t>graph, dsu, map</t>
  </si>
  <si>
    <t>graph, dsu, math</t>
  </si>
  <si>
    <t>graph, dsu, dynamic, bit, hashing, [make use of it being tree for easier code]</t>
  </si>
  <si>
    <t>graph, dsu, greedy, impl</t>
  </si>
  <si>
    <t>graph, dsu, [For each edge in MST determine if it must be a part of any MST, some or never. Idea involves bridges.]</t>
  </si>
  <si>
    <t>graph, dsu, paths</t>
  </si>
  <si>
    <t>graph, dsu, greedy, trees</t>
  </si>
  <si>
    <t>graph, dsu, trees, dfs, offline</t>
  </si>
  <si>
    <t>graph, dsu, llnear dependence in a matrix</t>
  </si>
  <si>
    <t>graph, dsu or dfs, rmq, segment tree</t>
  </si>
  <si>
    <t>SPOJ CHAIN</t>
  </si>
  <si>
    <t>p2 v4</t>
  </si>
  <si>
    <t>TIMUS 1682</t>
  </si>
  <si>
    <t>graph, dsu, math, observation</t>
  </si>
  <si>
    <t>LIVEARCHIVE 6070</t>
  </si>
  <si>
    <t>SPOJ INVENT</t>
  </si>
  <si>
    <t>LIVEARCHIVE 8028</t>
  </si>
  <si>
    <t>graph, dsu, dynamic, impl, [ACPC 16]</t>
  </si>
  <si>
    <t>ECPC17-D</t>
  </si>
  <si>
    <t>graph, dsu, number theory</t>
  </si>
  <si>
    <t>graph, dsu, prefix sum</t>
  </si>
  <si>
    <t>graph, dsu, binary search</t>
  </si>
  <si>
    <t>graph, dsu, datastructures</t>
  </si>
  <si>
    <t>SPOJ SQDANCE</t>
  </si>
  <si>
    <t>graph, dsu, [Main a prefix and suffix of DSU's then for each query between [L,R], you merge prefix and suffix. Can sometimes be used instead of dynamic DSU.]</t>
  </si>
  <si>
    <t>UVA 12128</t>
  </si>
  <si>
    <t>graph, dsu, dijkstra like or binary search, bfs</t>
  </si>
  <si>
    <t>graph, dsu, geometry</t>
  </si>
  <si>
    <t>graph, dsu, [offline processing]</t>
  </si>
  <si>
    <t>graph, dsu, dp</t>
  </si>
  <si>
    <t>graph, dsu, observation</t>
  </si>
  <si>
    <t>TIMUS 1701</t>
  </si>
  <si>
    <t>graph, dsu or 2-sat</t>
  </si>
  <si>
    <t>SPOJ RELINETS</t>
  </si>
  <si>
    <t>graph, dsu or dfs</t>
  </si>
  <si>
    <t>UVA 11987</t>
  </si>
  <si>
    <t>graph, dsu or dfs, cycles</t>
  </si>
  <si>
    <t>TJU 2561</t>
  </si>
  <si>
    <t>UVA 11966</t>
  </si>
  <si>
    <t>UVA 1329</t>
  </si>
  <si>
    <t>SPOJ FRNDCIRC</t>
  </si>
  <si>
    <t>graph, dsu, direct, [fast io]</t>
  </si>
  <si>
    <t>SPOJ FOXLINGS</t>
  </si>
  <si>
    <t>graph, dsu, grid compress</t>
  </si>
  <si>
    <t>SPOJ IITWPC4I</t>
  </si>
  <si>
    <t>UVA 1160</t>
  </si>
  <si>
    <t>UVA 912</t>
  </si>
  <si>
    <t>SPOJ IITKWPCI</t>
  </si>
  <si>
    <t>graph, dsu, permutation, [unclear text]</t>
  </si>
  <si>
    <t>SRM215-D1-500</t>
  </si>
  <si>
    <t>graph, dsu, trie or ad-hoc, sorting</t>
  </si>
  <si>
    <t>UVA 1174</t>
  </si>
  <si>
    <t>TJU 3780</t>
  </si>
  <si>
    <t>graph, dsu or dfs, [count CCs]</t>
  </si>
  <si>
    <t>graph, euler tour or flow</t>
  </si>
  <si>
    <t>[54]</t>
  </si>
  <si>
    <t>graph, euler tour, [lexicographically minimum euler tour]</t>
  </si>
  <si>
    <t>graph, euler tour, dsu</t>
  </si>
  <si>
    <t>graph, euler tour, planer, dsu, geom</t>
  </si>
  <si>
    <t>graph, euler tour properties, ad-hoc, [cases]</t>
  </si>
  <si>
    <t>SRM322-D1-500</t>
  </si>
  <si>
    <t>graph, euler tour</t>
  </si>
  <si>
    <t>graph, euler tour or dfs</t>
  </si>
  <si>
    <t>SRM533-D1-500</t>
  </si>
  <si>
    <t>graph, euler tour, np-complete-special-case</t>
  </si>
  <si>
    <t>graph, euler tour, De Bruijn, [solve first UVA 10040]</t>
  </si>
  <si>
    <t>graph, euler tour, segment tree</t>
  </si>
  <si>
    <t>graph, euler tour or scc, biconnected components or min-cost-max-flow</t>
  </si>
  <si>
    <t>graph, euler tour, ad-hoc, bitmask</t>
  </si>
  <si>
    <t>UVA 10040</t>
  </si>
  <si>
    <t>graph, euler tour, De Bruijn or greedy, pattern</t>
  </si>
  <si>
    <t>SRM298-D1-500</t>
  </si>
  <si>
    <t>graph, euler tour, [solve first SRM268-D1-500]</t>
  </si>
  <si>
    <t>graph, euler tour, math, [required a solid understanding of euler tours]</t>
  </si>
  <si>
    <t>graph, euler tour, greedy</t>
  </si>
  <si>
    <t>graph, euler tour or scc, biconnected components</t>
  </si>
  <si>
    <t>SPOJ CODE</t>
  </si>
  <si>
    <t>graph, euler tour, [high limits, =CF508-D2-D - reasonable limits]</t>
  </si>
  <si>
    <t>graph, euler tour, math or sum of divisors</t>
  </si>
  <si>
    <t>graph, euler tour, dp_bitmasks</t>
  </si>
  <si>
    <t>graph, euler tour, stack, [solve SRM298-D1-500 first]</t>
  </si>
  <si>
    <t>SRM268-D1-500</t>
  </si>
  <si>
    <t>graph, euler tour, handshaking lemma, cc</t>
  </si>
  <si>
    <t>SRM185-D1-500</t>
  </si>
  <si>
    <t>UVA 302</t>
  </si>
  <si>
    <t>UVA 10054</t>
  </si>
  <si>
    <t>graph, euler tour, print</t>
  </si>
  <si>
    <t>UVA 10129</t>
  </si>
  <si>
    <t>UVA 10203</t>
  </si>
  <si>
    <t>graph, euler tour, [unclear text]</t>
  </si>
  <si>
    <t>UVA 10596</t>
  </si>
  <si>
    <t>graph, euler tour, [is there euler cycle?]</t>
  </si>
  <si>
    <t>UVA 117</t>
  </si>
  <si>
    <t>graph, euler tour, dijkstra</t>
  </si>
  <si>
    <t>TIMUS 1137</t>
  </si>
  <si>
    <t>graph, euler tour, [directed]</t>
  </si>
  <si>
    <t>LIVEARCHIVE 4455</t>
  </si>
  <si>
    <t>graph, floyd, successive floyd, suffixes, mapping, analysis</t>
  </si>
  <si>
    <t>[55]</t>
  </si>
  <si>
    <t>LIVEARCHIVE 6393</t>
  </si>
  <si>
    <t>graph, floyd, transitive closure, cycles, geometry</t>
  </si>
  <si>
    <t>SRM581-D2-1000</t>
  </si>
  <si>
    <t>graph, floyd or bf</t>
  </si>
  <si>
    <t>graph, floyd, bf</t>
  </si>
  <si>
    <t>SPOJ RDNWK</t>
  </si>
  <si>
    <t>graph, floyd, nodes order</t>
  </si>
  <si>
    <t>graph, floyd</t>
  </si>
  <si>
    <t>graph, floyd, paths counting</t>
  </si>
  <si>
    <t>graph, floyd, antifloyd</t>
  </si>
  <si>
    <t>graph, floyd, dp, [complexity may confuse: 99%, we don't count # of test cases in order. Cases are just there to verify the algorithm order itself is ok. So a test case computation here is 10^8. In ACM ICPC style, if your operations are within 200 million operations, you are good to go. Remember, the file will have many small test cases.]</t>
  </si>
  <si>
    <t>UVA 10354</t>
  </si>
  <si>
    <t>UVA 11047</t>
  </si>
  <si>
    <t>UVA 10075</t>
  </si>
  <si>
    <t>graph, floyd, great-circle distances</t>
  </si>
  <si>
    <t>UVA 925</t>
  </si>
  <si>
    <t>graph, floyd, topological sort</t>
  </si>
  <si>
    <t>graph, floyd, nodes order, [solve SPOJ RDNWK first], [UVA 13211]</t>
  </si>
  <si>
    <t>graph, floyd, bfs</t>
  </si>
  <si>
    <t>graph, floyd, dfs</t>
  </si>
  <si>
    <t>UVA 10793</t>
  </si>
  <si>
    <t>UVA 1198</t>
  </si>
  <si>
    <t>SPOJ INGRED</t>
  </si>
  <si>
    <t>graph, floyd or dp_bitmasks</t>
  </si>
  <si>
    <t>SRM170-D1-500</t>
  </si>
  <si>
    <t>graph, floyd or mst</t>
  </si>
  <si>
    <t>SRM475-D2-1000</t>
  </si>
  <si>
    <t>graph, floyd or sp</t>
  </si>
  <si>
    <t>UVA 10331</t>
  </si>
  <si>
    <t>graph, floyd, counting, [WA from Hugo Garcia]</t>
  </si>
  <si>
    <t>graph, floyd, minimax or dsu</t>
  </si>
  <si>
    <t>graph, floyd, binary search</t>
  </si>
  <si>
    <t>graph, floyd or bfs</t>
  </si>
  <si>
    <t>graph, floyd or dijkstra, [printed additional line at the end]</t>
  </si>
  <si>
    <t>LIVEARCHIVE 4739</t>
  </si>
  <si>
    <t>SRM447-D2-1000</t>
  </si>
  <si>
    <t>SRM383-D2-1000</t>
  </si>
  <si>
    <t>graph, floyd, impl or sp</t>
  </si>
  <si>
    <t>graph, floyd, path print</t>
  </si>
  <si>
    <t>SRM269-D1-500</t>
  </si>
  <si>
    <t>UVA 12319</t>
  </si>
  <si>
    <t>LIVEARCHIVE 3569</t>
  </si>
  <si>
    <t>graph, floyd or bfs, multisource</t>
  </si>
  <si>
    <t>SRM551-D1-500</t>
  </si>
  <si>
    <t>graph, floyd or dijkstra</t>
  </si>
  <si>
    <t>UVA 1233</t>
  </si>
  <si>
    <t>UVA 10724</t>
  </si>
  <si>
    <t>graph, floyd, [tricky statement]</t>
  </si>
  <si>
    <t>UVA 11874</t>
  </si>
  <si>
    <t>graph, floyd, cycles or bellmanford</t>
  </si>
  <si>
    <t>SRM375-D1-500</t>
  </si>
  <si>
    <t>LIVEARCHIVE 2241</t>
  </si>
  <si>
    <t>Use Floyd</t>
  </si>
  <si>
    <t>SRM225-D1-500</t>
  </si>
  <si>
    <t>LIVEARCHIVE 5221</t>
  </si>
  <si>
    <t>UVA 274</t>
  </si>
  <si>
    <t>graph, floyd, transitive closure or ad-hoc</t>
  </si>
  <si>
    <t>SPOJ ANARC08F</t>
  </si>
  <si>
    <t>SRM184-D2-1000</t>
  </si>
  <si>
    <t>graph, floyd or dfs</t>
  </si>
  <si>
    <t>graph, max-flow</t>
  </si>
  <si>
    <t>[56]</t>
  </si>
  <si>
    <t>LIVEARCHIVE 8048</t>
  </si>
  <si>
    <t>graph, max-flow, [double capacity]</t>
  </si>
  <si>
    <t>LIVEARCHIVE 3709</t>
  </si>
  <si>
    <t>graph, max-flow, [AVOID, max density subgraph, need knowledge, rare]</t>
  </si>
  <si>
    <t>graph, max-flow, [flow with dependencies, dinic</t>
  </si>
  <si>
    <t>graph, max-flow, ??</t>
  </si>
  <si>
    <t>LIVEARCHIVE 5131</t>
  </si>
  <si>
    <t>graph, max-flow, min-circluation</t>
  </si>
  <si>
    <t>CF101873-GYM-F</t>
  </si>
  <si>
    <t>graph, max-flow, constructing solution</t>
  </si>
  <si>
    <t>graph, max-flow, flow circulation or simplex</t>
  </si>
  <si>
    <t>UVA 11757</t>
  </si>
  <si>
    <t>graph, max-flow, vertex constraints, min-cut, circles</t>
  </si>
  <si>
    <t>graph, max-flow, binary search on answer</t>
  </si>
  <si>
    <t>TJU 2616</t>
  </si>
  <si>
    <t>graph, max-flow, circulation problem</t>
  </si>
  <si>
    <t>SRM575-D1-1000</t>
  </si>
  <si>
    <t>graph, max-flow, tripartite graph</t>
  </si>
  <si>
    <t>SPOJ NWERC11D</t>
  </si>
  <si>
    <t>graph, max-flow, tripartite graph or 2-sat</t>
  </si>
  <si>
    <t>graph, max-flow, [capacity scaling trick]</t>
  </si>
  <si>
    <t>LIVEARCHIVE 6395</t>
  </si>
  <si>
    <t>graph, max-flow, edge-disjoint paths, dijkstra, [tricky complexity]</t>
  </si>
  <si>
    <t>SPOJ PROFIT</t>
  </si>
  <si>
    <t>SRM422-D1-1000</t>
  </si>
  <si>
    <t>CF101128-GYM-F</t>
  </si>
  <si>
    <t>CF101201-GYM-G</t>
  </si>
  <si>
    <t>UVA 12668</t>
  </si>
  <si>
    <t>CODECHEF SEAGRP</t>
  </si>
  <si>
    <t>graph, max-flow, [Edmond's Blossom Algortihm for finding the maximum matching in a general graph.]</t>
  </si>
  <si>
    <t>LIVEARCHIVE 4259</t>
  </si>
  <si>
    <t>graph, max-flow, binary search or min-cost-max-flow</t>
  </si>
  <si>
    <t>UVA 11167</t>
  </si>
  <si>
    <t>graph, max-flow, impl</t>
  </si>
  <si>
    <t>graph, max-flow, dfs, impl</t>
  </si>
  <si>
    <t>graph, max-flow, [Max flow on planar graph</t>
  </si>
  <si>
    <t>graph, max-flow, gcd, [TLEs, from GCD build graph]</t>
  </si>
  <si>
    <t>graph, max-flow, log/exp, [min vertex cover]</t>
  </si>
  <si>
    <t>TIMUS 1736</t>
  </si>
  <si>
    <t>UVA 10983</t>
  </si>
  <si>
    <t>graph, max-flow, binary search</t>
  </si>
  <si>
    <t>UVA 10779</t>
  </si>
  <si>
    <t>SPOJ NETADMIN</t>
  </si>
  <si>
    <t>SRM589-D1-500</t>
  </si>
  <si>
    <t>graph, max-flow, maximum independant set</t>
  </si>
  <si>
    <t>LIVEARCHIVE 5804</t>
  </si>
  <si>
    <t>graph, max-flow, dijkstra, [two classical problems combined]</t>
  </si>
  <si>
    <t>ZOJ 2760</t>
  </si>
  <si>
    <t>graph, max-flow, sp, [paths count]</t>
  </si>
  <si>
    <t>SPOJ DISJPATH</t>
  </si>
  <si>
    <t>TJU 1047</t>
  </si>
  <si>
    <t>TJU 2057</t>
  </si>
  <si>
    <t>UVA 10511</t>
  </si>
  <si>
    <t>graph, max-flow, vertex constraints, [print sol], [https://github.com/goswami-rahul/competitive-coding/blob/master/CompetitiveProgramming/uva/10511.cpp]</t>
  </si>
  <si>
    <t>graph, max-flow, [vertex disjoint path/ super sink / vertex split]</t>
  </si>
  <si>
    <t>graph, max-flow, vertex constraints, sparse graph, escape problem</t>
  </si>
  <si>
    <t>graph, max-flow, dijkstra</t>
  </si>
  <si>
    <t>UVA 1242</t>
  </si>
  <si>
    <t>graph, max-flow, [disjoint paths]</t>
  </si>
  <si>
    <t>TJU 2842</t>
  </si>
  <si>
    <t>graph, max-flow, primes [use Dinic to avoid TLE]</t>
  </si>
  <si>
    <t>UVA 11380</t>
  </si>
  <si>
    <t>graph, max-flow, vertex constraints</t>
  </si>
  <si>
    <t>LIVEARCHIVE 3397</t>
  </si>
  <si>
    <t>SPOJ SHOP2</t>
  </si>
  <si>
    <t>UVA 11082</t>
  </si>
  <si>
    <t>SRM360-D1-500</t>
  </si>
  <si>
    <t>graph, max-flow or ad-hoc</t>
  </si>
  <si>
    <t>graph, max-flow, [https://github.com/goswami-rahul/competitive-coding/blob/master/CompetitiveProgramming/codeforces/CF101845-GYM-F.cpp], [https://github.com/shashank0107/CompetitiveProgramming/blob/master/UVA/1194.cpp]</t>
  </si>
  <si>
    <t>LIVEARCHIVE 2617</t>
  </si>
  <si>
    <t>graph, max-flow, matrix rotate and reflect or search, bf</t>
  </si>
  <si>
    <t>SRM399-D1-1000</t>
  </si>
  <si>
    <t>graph, max-flow, [direct bipartite is slow]</t>
  </si>
  <si>
    <t>SPOJ FASTFLOW</t>
  </si>
  <si>
    <t>graph, max-flow, [Ford TLE, use dinic]</t>
  </si>
  <si>
    <t>TJU 1692</t>
  </si>
  <si>
    <t>graph, max-flow or dfs, binary search, [unclear text[</t>
  </si>
  <si>
    <t>LIVEARCHIVE 5220</t>
  </si>
  <si>
    <t>graph, max-flow, [direct in video]</t>
  </si>
  <si>
    <t>SPOJ MTOTALF</t>
  </si>
  <si>
    <t>graph, max-flow, [direct]</t>
  </si>
  <si>
    <t>Timus 2038</t>
  </si>
  <si>
    <t>graph, max-flow, bipartite match, dfs, [min vertex cover in biparatite graph - a must nodes]</t>
  </si>
  <si>
    <t>[58]</t>
  </si>
  <si>
    <t>graph, max-flow, bipartite match, expectation, hall's theorem, dp_bitmasks</t>
  </si>
  <si>
    <t>SRM678-D1-1000</t>
  </si>
  <si>
    <t>graph, max-flow, bipartite match, [code https://community.topcoder.com/stat?c=problem_solution&amp;cr=22688641&amp;rd=16708&amp;pm=14180]</t>
  </si>
  <si>
    <t>graph, max-flow, bipartite match, [Maximal independent set]</t>
  </si>
  <si>
    <t>graph, max-flow, bipartite match</t>
  </si>
  <si>
    <t>LIVEARCHIVE 6778</t>
  </si>
  <si>
    <t>graph, max-flow, bipartite match, factorization</t>
  </si>
  <si>
    <t>graph, max-flow, bipartite match, lca, [TLE, maximum weighted independent in bipartite graph]</t>
  </si>
  <si>
    <t>LIVEARCHIVE 7152</t>
  </si>
  <si>
    <t>UVA 10735</t>
  </si>
  <si>
    <t>graph, max-flow, bipartite match, euler tour in a mixed graph</t>
  </si>
  <si>
    <t>graph, max-flow, bipartite match, search, perfect matching, [original]</t>
  </si>
  <si>
    <t>LIVEARCHIVE 2937</t>
  </si>
  <si>
    <t>graph, max-flow, bipartite match, [Hall's marriage theorem]</t>
  </si>
  <si>
    <t>SRM397-D1-1000</t>
  </si>
  <si>
    <t>graph, max-flow, bipartite match, geometry, [max indepndent set]</t>
  </si>
  <si>
    <t>graph, max-flow, bipartite match, impl</t>
  </si>
  <si>
    <t>SRM527-D1-500</t>
  </si>
  <si>
    <t>graph, max-flow, bipartite match, lexographically smallest, greedy</t>
  </si>
  <si>
    <t>graph, max-flow, bipartite match, min path cover</t>
  </si>
  <si>
    <t>SRM539-D1-500</t>
  </si>
  <si>
    <t>graph, max-flow, bipartite match, floyd</t>
  </si>
  <si>
    <t>SPOJ DIVREL</t>
  </si>
  <si>
    <t>UVA 12549</t>
  </si>
  <si>
    <t>graph, max-flow, bipartite match, min vertex cover</t>
  </si>
  <si>
    <t>LIVEARCHIVE 8041</t>
  </si>
  <si>
    <t>UVA 12159</t>
  </si>
  <si>
    <t>graph, max-flow, bipartite match, geometry, [direct</t>
  </si>
  <si>
    <t>UVA 663</t>
  </si>
  <si>
    <t>graph, max-flow, bipartite match, [essential edges], [https://github.com/shashank0107/CompetitiveProgramming/blob/master/UVA/663.cpp]</t>
  </si>
  <si>
    <t>UVA 1221</t>
  </si>
  <si>
    <t>graph, max-flow, bipartite match or bfs ??</t>
  </si>
  <si>
    <t>graph, max-flow, bipartite match, [vertex split]</t>
  </si>
  <si>
    <t>UVA 11363</t>
  </si>
  <si>
    <t>graph, max-flow, bipartite match, [fast impl]</t>
  </si>
  <si>
    <t>SRM557-D1-500</t>
  </si>
  <si>
    <t>graph, max-flow, bipartite match, Dilworth's theorem</t>
  </si>
  <si>
    <t>graph, max-flow, bipartite match, dp, math or dp_trees</t>
  </si>
  <si>
    <t>graph, max-flow, bipartite match, greedy</t>
  </si>
  <si>
    <t>UVA 12168</t>
  </si>
  <si>
    <t>graph, max-flow, bipartite match, konig's theorem</t>
  </si>
  <si>
    <t>SRM200-D1-1000</t>
  </si>
  <si>
    <t>graph, max-flow, bipartite match, lexographically smallest</t>
  </si>
  <si>
    <t>SRM351-D1-1000</t>
  </si>
  <si>
    <t>graph, max-flow, bipartite match, lexioutput or greedy</t>
  </si>
  <si>
    <t>SPOJ OILCOMP</t>
  </si>
  <si>
    <t>graph, max-flow, bipartite match, maximum independent set or dp, dp_bitmasks, mask-all-subsets, [proof is an extension of the König's theorem for weighted graphs]</t>
  </si>
  <si>
    <t>SRM303-D1-500</t>
  </si>
  <si>
    <t>graph, max-flow, bipartite match, min vertex cover, [standard]</t>
  </si>
  <si>
    <t>graph, max-flow, bipartite match or dp, dp_build_output</t>
  </si>
  <si>
    <t>UVA 10804</t>
  </si>
  <si>
    <t>graph, max-flow, bipartite match, binary search</t>
  </si>
  <si>
    <t>UVA 1194</t>
  </si>
  <si>
    <t>graph, max-flow, bipartite match, min vertex cover, [Konig’s theorem]</t>
  </si>
  <si>
    <t>graph, max-flow, bipartite match, max independent set or dp_bitmasks</t>
  </si>
  <si>
    <t>SPOJ QUEST4</t>
  </si>
  <si>
    <t>graph, max-flow, bipartite match, max independent set or min-cut</t>
  </si>
  <si>
    <t>UVA 11262</t>
  </si>
  <si>
    <t>graph, max-flow, bipartite match or ad-hoc</t>
  </si>
  <si>
    <t>SPOJ STEAD</t>
  </si>
  <si>
    <t>graph, max-flow, bipartite match, [https://github.com/shashank0107/CompetitiveProgramming/blob/master/SPOJ/STEAD.cpp]</t>
  </si>
  <si>
    <t>LIVEARCHIVE 3752</t>
  </si>
  <si>
    <t>graph, max-flow, bipartite match, min path cover or greedy or binary search</t>
  </si>
  <si>
    <t>UVA 670</t>
  </si>
  <si>
    <t>UVA 1184</t>
  </si>
  <si>
    <t>graph, max-flow, bipartite match, min path cover, [direct, =UVA 1201, UVA 12083]</t>
  </si>
  <si>
    <t>SRM477-D1-500</t>
  </si>
  <si>
    <t>TIMUS 1872</t>
  </si>
  <si>
    <t>graph, max-flow, bipartite match or greedy or segment tree</t>
  </si>
  <si>
    <t>SRM549-D1-250</t>
  </si>
  <si>
    <t>graph, max-flow, bipartite match, triangles</t>
  </si>
  <si>
    <t>SPOJ NITT4</t>
  </si>
  <si>
    <t>graph, max-flow, bipartite match, chessboard matching</t>
  </si>
  <si>
    <t>SPOJ SCPC11H</t>
  </si>
  <si>
    <t>graph, max-flow, bipartite match or impl</t>
  </si>
  <si>
    <t>SRM236-D1-1000</t>
  </si>
  <si>
    <t>graph, max-flow, bipartite match, bfs, binary search</t>
  </si>
  <si>
    <t>UVA 10243</t>
  </si>
  <si>
    <t>graph, max-flow, bipartite match, min vertex cover or dp</t>
  </si>
  <si>
    <t>UVA 11045</t>
  </si>
  <si>
    <t>graph, max-flow, bipartite match or dp</t>
  </si>
  <si>
    <t>LIVEARCHIVE 2038</t>
  </si>
  <si>
    <t>graph, max-flow, bipartite match or dp, trees</t>
  </si>
  <si>
    <t>LIVEARCHIVE 3128</t>
  </si>
  <si>
    <t>graph, max-flow, bipartite match or greedy, two pointers</t>
  </si>
  <si>
    <t>LIVEARCHIVE 2044</t>
  </si>
  <si>
    <t>SPOJ TAXI</t>
  </si>
  <si>
    <t>UVA 11418</t>
  </si>
  <si>
    <t>SPOJ MATCHING</t>
  </si>
  <si>
    <t>graph, max-flow, bipartite match, [Ford TLE]</t>
  </si>
  <si>
    <t>UVA 11138</t>
  </si>
  <si>
    <t>SPOJ ACHESS</t>
  </si>
  <si>
    <t>graph, min-cost-max-flow, [chess, Author yasser yehia]</t>
  </si>
  <si>
    <t>[59]</t>
  </si>
  <si>
    <t>LIVEARCHIVE 2238</t>
  </si>
  <si>
    <t>graph, min-cost-max-flow, [Slow version = TLE]</t>
  </si>
  <si>
    <t>graph, min-cost-max-flow or binary search trick, [Mido: Ignore MCMF solution. Check Dotorya's Comment here : http://codeforces.com/blog/entry/51600. Basically, this guy is outlining a technique/trick so that if we have a problem of the sort : Knapsack where you must take K elements + some other conditions, he drops the K parameter and replaces it with Binary search.]</t>
  </si>
  <si>
    <t>graph, min-cost-max-flow or flow-demands</t>
  </si>
  <si>
    <t>LIVEARCHIVE 4102</t>
  </si>
  <si>
    <t>graph, min-cost-max-flow, [correctness prove]</t>
  </si>
  <si>
    <t>graph, min-cost-max-flow</t>
  </si>
  <si>
    <t>graph, min-cost-max-flow, [AC spfa - TLE Dij]</t>
  </si>
  <si>
    <t>LIVEARCHIVE 3276</t>
  </si>
  <si>
    <t>graph, min-cost-max-flow or dp, dp_bitmasks</t>
  </si>
  <si>
    <t>SRM506-D1-500</t>
  </si>
  <si>
    <t>graph, min-cost-max-flow or max-flow</t>
  </si>
  <si>
    <t>graph, min-cost-max-flow, binary search</t>
  </si>
  <si>
    <t>SRM465-D1-600</t>
  </si>
  <si>
    <t>TJU 2554</t>
  </si>
  <si>
    <t>SPOJ CONTEST</t>
  </si>
  <si>
    <t>TC(ANGELDEMONGAME)</t>
  </si>
  <si>
    <t>SPOJ BOXES</t>
  </si>
  <si>
    <t>graph, min-cost-max-flow, [Harder version: SPOJ BOX]</t>
  </si>
  <si>
    <t>LIVEARCHIVE 3562</t>
  </si>
  <si>
    <t>graph, min-cost-max-flow, max-cost, [WAs for precision]</t>
  </si>
  <si>
    <t>SRM372-D1-1000</t>
  </si>
  <si>
    <t>graph, min-cost-max-flow or dp, search</t>
  </si>
  <si>
    <t>Don't code as dp</t>
  </si>
  <si>
    <t>UVA 10594</t>
  </si>
  <si>
    <t>SPOJ GREED</t>
  </si>
  <si>
    <t>graph, min-cost-max-flow or max-flow or dp, [direct]</t>
  </si>
  <si>
    <t>PKU 3422</t>
  </si>
  <si>
    <t>graph, min-cost-max-flow or max-flow, vertex split</t>
  </si>
  <si>
    <t>SPOJ SCITIES</t>
  </si>
  <si>
    <t>graph, min-cost-max-flow, weighted bipartite match</t>
  </si>
  <si>
    <t>TJU 1636</t>
  </si>
  <si>
    <t>UVA 10746</t>
  </si>
  <si>
    <t>graph, min-cost-max-flow or dp_bitmasks, precision</t>
  </si>
  <si>
    <t>LIVEARCHIVE 6026</t>
  </si>
  <si>
    <t>graph, mst, kinetic spanning tree</t>
  </si>
  <si>
    <t>[60]</t>
  </si>
  <si>
    <t>graph, mst, [directed mst, Edmonds' algorithm] or dfs</t>
  </si>
  <si>
    <t>graph, mst, binary search, aliens_trick, [good MST understanding, solve kattis blazingnewtrails first]</t>
  </si>
  <si>
    <t>UVA 11267</t>
  </si>
  <si>
    <t>graph, mst</t>
  </si>
  <si>
    <t>UVA 11865</t>
  </si>
  <si>
    <t>graph, mst, modified mst, binary search, dfs</t>
  </si>
  <si>
    <t>graph, mst, binary search, aliens_trick</t>
  </si>
  <si>
    <t>graph, mst, lca, [collpase edges, requires a deep understanding of kruskal - using binary lifting to speed up to O(nlogn).]</t>
  </si>
  <si>
    <t>graph, mst, [solving CF1108-D3-F helps]</t>
  </si>
  <si>
    <t>graph, mst, sorting. [mst properties]</t>
  </si>
  <si>
    <t>SPOJ MSTS</t>
  </si>
  <si>
    <t>graph, mst, kirchhoff's theorem, determinant, crt, [count the number of MSTs], [https://blog.csdn.net/liguan1/article/details/9532315]</t>
  </si>
  <si>
    <t>graph, mst, dijkstra</t>
  </si>
  <si>
    <t>UVA 10807</t>
  </si>
  <si>
    <t>graph, mst, two msts simultanously, greedy, [https://github.com/peon-pasado/CompetitiveProgramming/blob/master/UVA/10807.cpp]</t>
  </si>
  <si>
    <t>graph, mst, minimum diameter spanning tree, optimizations</t>
  </si>
  <si>
    <t>graph, mst, sortings, [mst understanding]</t>
  </si>
  <si>
    <t>LIVEARCHIVE 3271</t>
  </si>
  <si>
    <t>graph, mst, bitmasks, mask-all-subsets or bfs, bitmasks</t>
  </si>
  <si>
    <t>graph, mst, constructive</t>
  </si>
  <si>
    <t>graph, mst, boruvka or d&amp;c on trees, trie</t>
  </si>
  <si>
    <t>UVA 10805</t>
  </si>
  <si>
    <t>graph, mst, minimum diameter spanning tree</t>
  </si>
  <si>
    <t>CODECHEF STMINCUT</t>
  </si>
  <si>
    <t>graph, mst, guessing, math</t>
  </si>
  <si>
    <t>graph, mst, sorting</t>
  </si>
  <si>
    <t>UVA 1151</t>
  </si>
  <si>
    <t>LIVEARCHIVE 2721</t>
  </si>
  <si>
    <t>graph, mst, construction, [tricky case]</t>
  </si>
  <si>
    <t>graph, mst, observations, [I am author, ECPC13]</t>
  </si>
  <si>
    <t>graph, mst, dfs</t>
  </si>
  <si>
    <t>UVA 11354</t>
  </si>
  <si>
    <t>graph, mst, lca or binary search, parallel</t>
  </si>
  <si>
    <t>graph, mst , lca</t>
  </si>
  <si>
    <t>LIVEARCHIVE 2478</t>
  </si>
  <si>
    <t>TJU 3518</t>
  </si>
  <si>
    <t>graph, mst, binary search</t>
  </si>
  <si>
    <t>SRM470-D2-1000</t>
  </si>
  <si>
    <t>SPOJ IITKWPCG</t>
  </si>
  <si>
    <t>SRM492-D2-1000</t>
  </si>
  <si>
    <t>SRM531-D2-1000</t>
  </si>
  <si>
    <t>graph, mst, [cases], [validate tree]</t>
  </si>
  <si>
    <t>graph, mst, [print edges]</t>
  </si>
  <si>
    <t>graph, mst, math</t>
  </si>
  <si>
    <t>graph, mst, max spanning tree</t>
  </si>
  <si>
    <t>graph, mst, prime fails</t>
  </si>
  <si>
    <t>UVA 1395</t>
  </si>
  <si>
    <t>SPOJ NITTROAD</t>
  </si>
  <si>
    <t>SRM424-D2-1000</t>
  </si>
  <si>
    <t>graph, mst, combinatorics, bf [idea seems repeated in other problems[</t>
  </si>
  <si>
    <t>graph, mst, 2nd mst</t>
  </si>
  <si>
    <t>SPOJ ISLHOP</t>
  </si>
  <si>
    <t>graph, mst, flood-fill</t>
  </si>
  <si>
    <t>UVA 10843</t>
  </si>
  <si>
    <t>graph, mst, # of spanning trees of complete graph, n^(n-2)</t>
  </si>
  <si>
    <t>LIVEARCHIVE 4872</t>
  </si>
  <si>
    <t>UVA 1235</t>
  </si>
  <si>
    <t>UVA 10307</t>
  </si>
  <si>
    <t>graph, mst, bfs</t>
  </si>
  <si>
    <t>LIVEARCHIVE 3113</t>
  </si>
  <si>
    <t>SRM356-D2-1000</t>
  </si>
  <si>
    <t>TJU 2181</t>
  </si>
  <si>
    <t>TJU 3073</t>
  </si>
  <si>
    <t>UVA 1208</t>
  </si>
  <si>
    <t>SRM441-D1-500</t>
  </si>
  <si>
    <t>graph, mst or dfs</t>
  </si>
  <si>
    <t>UVA 11390</t>
  </si>
  <si>
    <t>graph, scc, backtrack</t>
  </si>
  <si>
    <t>[61]</t>
  </si>
  <si>
    <t>graph, scc, dp or dp_trees</t>
  </si>
  <si>
    <t>graph, scc</t>
  </si>
  <si>
    <t>SPOJ CHASE1</t>
  </si>
  <si>
    <t>graph, scc, bfs, [cycles, bcc]</t>
  </si>
  <si>
    <t>graph, scc, matrix or optimized bf, [using the Property of the Adjecency matrix for cycles, # of paths]</t>
  </si>
  <si>
    <t>SRM495-D1-500</t>
  </si>
  <si>
    <t>graph, scc, probability, [more about probability]</t>
  </si>
  <si>
    <t>SPOJ BREAK</t>
  </si>
  <si>
    <t>graph, scc, bitset, [https://github.com/shashank0107/CompetitiveProgramming/blob/master/SPOJ/BREAK.cpp]</t>
  </si>
  <si>
    <t>SRM391-D2-1000</t>
  </si>
  <si>
    <t>graph, scc, dp, impl [~=CF894-D2-E]</t>
  </si>
  <si>
    <t>graph, scc, dfs, cycles</t>
  </si>
  <si>
    <t>graph, scc, [https://github.com/ahmedsamir221/CompetitiveProgramming/blob/master/UVA/UVA%2012167.cpp], [https://github.com/shashank0107/CompetitiveProgramming/blob/master/UVA/12167.cpp]</t>
  </si>
  <si>
    <t>UVA 11098</t>
  </si>
  <si>
    <t>graph, scc, greedy</t>
  </si>
  <si>
    <t>AC</t>
  </si>
  <si>
    <t>SRM312-D1-500</t>
  </si>
  <si>
    <t>graph, scc, greedy, [component], [scc floyd]</t>
  </si>
  <si>
    <t>graph, scc, hashing or dfs, impl</t>
  </si>
  <si>
    <t>SPOJ TFRIENDS</t>
  </si>
  <si>
    <t>graph, scc, [direct] or ad-hoc</t>
  </si>
  <si>
    <t>graph, scc or topological sort, [=uva 11770, ~=tju 2233]</t>
  </si>
  <si>
    <t>SPOJ CAPCITY</t>
  </si>
  <si>
    <t>UVA 1263</t>
  </si>
  <si>
    <t>graph, scc or dfs</t>
  </si>
  <si>
    <t>graph, scc, [https://github.com/shashank0107/CompetitiveProgramming/blob/master/SPOJ/BOTTOM.cpp]</t>
  </si>
  <si>
    <t>UVA 11709</t>
  </si>
  <si>
    <t>SPOJ MOWS</t>
  </si>
  <si>
    <t>graph, scc, impl</t>
  </si>
  <si>
    <t>UVA 247</t>
  </si>
  <si>
    <t>graph, scc, circles, direct, [scc floyd]</t>
  </si>
  <si>
    <t>UVA 11324</t>
  </si>
  <si>
    <t>graph, scc, dfs, [clique]</t>
  </si>
  <si>
    <t>graph, scc, 2-sat, dfs</t>
  </si>
  <si>
    <t>[62]</t>
  </si>
  <si>
    <t>graph, scc, 2-sat, binary search</t>
  </si>
  <si>
    <t>graph, scc, 2-sat, greedy, build lexi-output</t>
  </si>
  <si>
    <t>SPOJ TORNJEVI</t>
  </si>
  <si>
    <t>graph, scc, 2-sat, topological sort, dp</t>
  </si>
  <si>
    <t>CF101128-GYM-B</t>
  </si>
  <si>
    <t>graph, scc, 2-sat</t>
  </si>
  <si>
    <t>CF101201-GYM-F</t>
  </si>
  <si>
    <t>LIVEARCHIVE 5764</t>
  </si>
  <si>
    <t>graph, scc, 2-sat, [build output]</t>
  </si>
  <si>
    <t>PKU 3683</t>
  </si>
  <si>
    <t>LIVEARCHIVE 4452</t>
  </si>
  <si>
    <t>graph, scc, 2-sat, scc using floyd, [hard text]</t>
  </si>
  <si>
    <t>UVA 11294</t>
  </si>
  <si>
    <t>UVA 1391</t>
  </si>
  <si>
    <t>LIVEARCHIVE 2973</t>
  </si>
  <si>
    <t>LIVEARCHIVE 6067</t>
  </si>
  <si>
    <t>SRM464-D1-500</t>
  </si>
  <si>
    <t>graph, scc, 2-sat or dsu or greedy</t>
  </si>
  <si>
    <t>graph, scc, 2-sat or dp</t>
  </si>
  <si>
    <t>LIVEARCHIVE 5010</t>
  </si>
  <si>
    <t>PKU 2723</t>
  </si>
  <si>
    <t>PKU 3207</t>
  </si>
  <si>
    <t>PKU 3678</t>
  </si>
  <si>
    <t>UVA 10319</t>
  </si>
  <si>
    <t>UVA 1146</t>
  </si>
  <si>
    <t>graph, scc, 2-sat, dsu, topological sort or gaussian elimination</t>
  </si>
  <si>
    <t>graph, scc, 2-sat, [simple dfs, Bipartite graph]</t>
  </si>
  <si>
    <t>LIVEARCHIVE 2884</t>
  </si>
  <si>
    <t>graph, scc, 2-sat or greedy</t>
  </si>
  <si>
    <t>UVA 10510</t>
  </si>
  <si>
    <t>graph, scc, articulation point, cycles, classify_edges, [is cactus]</t>
  </si>
  <si>
    <t>[63]</t>
  </si>
  <si>
    <t>LIVEARCHIVE 5135</t>
  </si>
  <si>
    <t>graph, scc, articulation point, counting</t>
  </si>
  <si>
    <t>graph, scc, articulation point</t>
  </si>
  <si>
    <t>UVA 10765</t>
  </si>
  <si>
    <t>graph, scc, articulation point or dsu, bf</t>
  </si>
  <si>
    <t>Use SCC</t>
  </si>
  <si>
    <t>SPOJ SUBMERGE</t>
  </si>
  <si>
    <t>UVA 10199</t>
  </si>
  <si>
    <t>UVA 315</t>
  </si>
  <si>
    <t>LIVEARCHIVE 3514</t>
  </si>
  <si>
    <t>graph, scc, biconnected components, bignum, [solve UVA 10510 first, graph cactusness]</t>
  </si>
  <si>
    <t>[64]</t>
  </si>
  <si>
    <t>SPOJ POLQUERY</t>
  </si>
  <si>
    <t>graph, scc, biconnected components, bride tree algorithm?</t>
  </si>
  <si>
    <t>LIVEARCHIVE 7160</t>
  </si>
  <si>
    <t>graph, scc, biconnected components</t>
  </si>
  <si>
    <t>graph, scc, biconnected components, cactus, zabat</t>
  </si>
  <si>
    <t>SPOJ ONBRIDGE</t>
  </si>
  <si>
    <t>graph, scc, biconnected components, d&amp;c, compress cycles, [find Online Bridge]</t>
  </si>
  <si>
    <t>graph, scc, biconnected components, min-cut</t>
  </si>
  <si>
    <t>UVA 1364</t>
  </si>
  <si>
    <t>graph, scc, biconnected components, odd cycles, is bipartite</t>
  </si>
  <si>
    <t>UVA 12479</t>
  </si>
  <si>
    <t>LIVEARCHIVE 4218</t>
  </si>
  <si>
    <t>graph, scc, biconnected components, euler</t>
  </si>
  <si>
    <t>UVA 12587</t>
  </si>
  <si>
    <t>graph, scc, biconnected components, binary search</t>
  </si>
  <si>
    <t>SPOJ GRAFFDEF</t>
  </si>
  <si>
    <t>graph, scc, biconnected components, bridge tree</t>
  </si>
  <si>
    <t>UVA 12363</t>
  </si>
  <si>
    <t>graph, scc, biconnected components, Menger's Theorem, dsu</t>
  </si>
  <si>
    <t>graph, scc, biconnected components, tree diameter, [long code]</t>
  </si>
  <si>
    <t>graph, scc, biconnected components, math</t>
  </si>
  <si>
    <t>UVA 610</t>
  </si>
  <si>
    <t>graph, scc, biconnected components, [=CF118-D2-E]</t>
  </si>
  <si>
    <t>graph, scc, biconnected components, [Diameter of the bridge tree</t>
  </si>
  <si>
    <t>graph, scc, biconnected components or dp, [dp https://github.com/QuickSorting/CompetitiveProgramming/blob/master/CodeForces/CF-1214-D12-D.cpp]</t>
  </si>
  <si>
    <t>graph, scc, biconnected components, [https://github.com/ahmedsamir221/CompetitiveProgramming/blob/master/CodeForces/CF100342-GYM-I.cpp]</t>
  </si>
  <si>
    <t>graph, scc, biconnected components, interactive</t>
  </si>
  <si>
    <t>UVA 796</t>
  </si>
  <si>
    <t>UVA 12783</t>
  </si>
  <si>
    <t>graph, lca, datastructures</t>
  </si>
  <si>
    <t>[65]</t>
  </si>
  <si>
    <t>LIVEARCHIVE 4296</t>
  </si>
  <si>
    <t>graph, lca, mst</t>
  </si>
  <si>
    <t>UVA 12424</t>
  </si>
  <si>
    <t>graph, lca, segment tree</t>
  </si>
  <si>
    <t>graph, lca, dp_tree, math</t>
  </si>
  <si>
    <t>SPOJ DYNALCA</t>
  </si>
  <si>
    <t>graph, lca, dynamic or lin-cut</t>
  </si>
  <si>
    <t>UVA 12655</t>
  </si>
  <si>
    <t>graph, lca, mst, dfs, dp</t>
  </si>
  <si>
    <t>graph, lca, rmq, hard impl</t>
  </si>
  <si>
    <t>graph, lca, segment tree, linearize tree, dynamic root, euler or lca, bit, [tricky to impl]</t>
  </si>
  <si>
    <t>UVA 1674</t>
  </si>
  <si>
    <t>graph, lca, hld, rmq, lazy</t>
  </si>
  <si>
    <t>graph, lca, convex hull</t>
  </si>
  <si>
    <t>graph, lca, dsu</t>
  </si>
  <si>
    <t>graph, lca, tree distances or hld, lazy</t>
  </si>
  <si>
    <t>graph, lca, dp_sibling, [many details]</t>
  </si>
  <si>
    <t>graph, lca or dynamic dsu</t>
  </si>
  <si>
    <t>graph, lca or dsu, offline queries</t>
  </si>
  <si>
    <t xml:space="preserve">graph, lca, dp, binary lifting, impl or segment tree, persistent </t>
  </si>
  <si>
    <t>graph, lca, tree diameter</t>
  </si>
  <si>
    <t>graph, lca, block-cut tree, [beautiful impl of block-cut]</t>
  </si>
  <si>
    <t>graph, lca, scc, cactus, impl</t>
  </si>
  <si>
    <t>graph, lca, segment tree or bit or hld</t>
  </si>
  <si>
    <t>graph, lca, condensation</t>
  </si>
  <si>
    <t>graph, lca, trees</t>
  </si>
  <si>
    <t>TIMUS 1752</t>
  </si>
  <si>
    <t>graph, lca, tree diameter, [~=KATTIS tourists]</t>
  </si>
  <si>
    <t>graph, lca, 2nd mst</t>
  </si>
  <si>
    <t>graph, lca</t>
  </si>
  <si>
    <t>graph, lca, cycle, impl</t>
  </si>
  <si>
    <t>graph, lca, lca on tree, rmq, impl</t>
  </si>
  <si>
    <t>graph, lca, mst or floyd</t>
  </si>
  <si>
    <t>graph, lca, dp or hld</t>
  </si>
  <si>
    <t>SPOJ DISQUERY</t>
  </si>
  <si>
    <t>graph, lca, dp, binary lifting, [educational], [https://ideone.com/KNlLl1]</t>
  </si>
  <si>
    <t>graph, lca, sieve</t>
  </si>
  <si>
    <t>graph, lca, geometry or bitset</t>
  </si>
  <si>
    <t>SPOJ DRTREE</t>
  </si>
  <si>
    <t>graph, lca, [or with dp, binary lifting]</t>
  </si>
  <si>
    <t>graph, lca, impl</t>
  </si>
  <si>
    <t>graph, lca. math</t>
  </si>
  <si>
    <t>graph, lca, preorder sorting</t>
  </si>
  <si>
    <t>SPOJ QTREE2</t>
  </si>
  <si>
    <t>graph, lca, [in video, ~=PKU 1986, LIVEARCHIVE 4805, TIMUS 1471]</t>
  </si>
  <si>
    <t>SPOJ LCA</t>
  </si>
  <si>
    <t>graph, lca, [direct, =LIVEARCHIVE 2045]</t>
  </si>
  <si>
    <t>LIVEARCHIVE 4463</t>
  </si>
  <si>
    <t>graph, stable marriage</t>
  </si>
  <si>
    <t>[66]</t>
  </si>
  <si>
    <t>UVA 1175</t>
  </si>
  <si>
    <t>LIVEARCHIVE 3837</t>
  </si>
  <si>
    <t>SPOJ NDS</t>
  </si>
  <si>
    <t>graph, stable marriage or segment tree or binary search</t>
  </si>
  <si>
    <t>SPOJ STABLEMP</t>
  </si>
  <si>
    <t>UVA 904</t>
  </si>
  <si>
    <t>grid compress, bf, counting</t>
  </si>
  <si>
    <t>[67]</t>
  </si>
  <si>
    <t>SRM277-D1-1000</t>
  </si>
  <si>
    <t>grid compress</t>
  </si>
  <si>
    <t>LIVEARCHIVE 3274</t>
  </si>
  <si>
    <t>grid compress, dijkstra</t>
  </si>
  <si>
    <t>LIVEARCHIVE 4374</t>
  </si>
  <si>
    <t>grid compress, dijkstra or A*</t>
  </si>
  <si>
    <t>UVA 12171</t>
  </si>
  <si>
    <t>grid compress, flood-fill, impl, [TLEs]</t>
  </si>
  <si>
    <t>LIVEARCHIVE 4787</t>
  </si>
  <si>
    <t>grid compress, flood-fill</t>
  </si>
  <si>
    <t>UVA 12069</t>
  </si>
  <si>
    <t>UVA 308</t>
  </si>
  <si>
    <t>grid compress, dfs or bfs</t>
  </si>
  <si>
    <t>UVA 870</t>
  </si>
  <si>
    <t>grid compress, rectangles, dfs, counting or dsu, sweep line</t>
  </si>
  <si>
    <t>grid compress, prefix sum or segment tree</t>
  </si>
  <si>
    <t>ACMWF19-K</t>
  </si>
  <si>
    <t>math</t>
  </si>
  <si>
    <t>[68]</t>
  </si>
  <si>
    <t>SRM391-D1-1000</t>
  </si>
  <si>
    <t>LIVEARCHIVE 6779</t>
  </si>
  <si>
    <t>math, phsyics, sorting, [velocity]</t>
  </si>
  <si>
    <t>math, ad-hoc</t>
  </si>
  <si>
    <t>math, nnt, dfs, counting or fft</t>
  </si>
  <si>
    <t>SRM327-D1-500</t>
  </si>
  <si>
    <t>math, quadratic equation</t>
  </si>
  <si>
    <t>math, number theory, [multiplication under prime mod using primitive roots]</t>
  </si>
  <si>
    <t>SRM376-D1-500</t>
  </si>
  <si>
    <t>math, simulation</t>
  </si>
  <si>
    <t>math, number repres, observations</t>
  </si>
  <si>
    <t>math, interpolation, observation</t>
  </si>
  <si>
    <t>math, number theory, greedy</t>
  </si>
  <si>
    <t>SRM319-D1-1000</t>
  </si>
  <si>
    <t>UVA 1451</t>
  </si>
  <si>
    <t>math, greedy, queue</t>
  </si>
  <si>
    <t>math, grey code</t>
  </si>
  <si>
    <t>math, randomization, substring counting</t>
  </si>
  <si>
    <t>SRM387-D1-1000</t>
  </si>
  <si>
    <t>math, recursion</t>
  </si>
  <si>
    <t>SRM373-D1-500</t>
  </si>
  <si>
    <t>math, simulation, analysis, impl</t>
  </si>
  <si>
    <t>math, number theory, constructive</t>
  </si>
  <si>
    <t>SPOJ NTHPRIME</t>
  </si>
  <si>
    <t>math, primes, binary search</t>
  </si>
  <si>
    <t>UVA 12970</t>
  </si>
  <si>
    <t>math, fraction</t>
  </si>
  <si>
    <t>math, pattern, periodic sequence</t>
  </si>
  <si>
    <t>math, bf, [tricky]</t>
  </si>
  <si>
    <t>math, d&amp;c, gaussian elimination</t>
  </si>
  <si>
    <t>math, impl</t>
  </si>
  <si>
    <t>math, lagrange multiplier, [help understand lagrange]</t>
  </si>
  <si>
    <t>math, number theory</t>
  </si>
  <si>
    <t>math, number theory, primitive root, impl</t>
  </si>
  <si>
    <t>math, precision, [sqrt(max(x, 0)) when x is close to 0]</t>
  </si>
  <si>
    <t>math, randomization or gaussian, xor</t>
  </si>
  <si>
    <t>SRM436-D2-1000</t>
  </si>
  <si>
    <t>math, big integer</t>
  </si>
  <si>
    <t>SRM431-D2-1000</t>
  </si>
  <si>
    <t>SRM536-D1-500</t>
  </si>
  <si>
    <t>SRM539-D2-1000</t>
  </si>
  <si>
    <t>SRM564-D2-1000</t>
  </si>
  <si>
    <t>SRM712-D1-300</t>
  </si>
  <si>
    <t>math, paths count on grid, linear algebra, [one way is wiki formula]</t>
  </si>
  <si>
    <t>SRM445-D1-500</t>
  </si>
  <si>
    <t>math, pattern</t>
  </si>
  <si>
    <t>UVA 10732</t>
  </si>
  <si>
    <t>math, quadratic equation, binary search</t>
  </si>
  <si>
    <t>UVA 10658</t>
  </si>
  <si>
    <t>math, reccurance</t>
  </si>
  <si>
    <t>SRM500-D2-1000</t>
  </si>
  <si>
    <t>SRM167-D1-500</t>
  </si>
  <si>
    <t>math, sorting</t>
  </si>
  <si>
    <t>SRM240-D1-500</t>
  </si>
  <si>
    <t>math, geometry, interpolation or ternary search</t>
  </si>
  <si>
    <t>SRM314-D1-1000</t>
  </si>
  <si>
    <t>math, greedy or ternary search</t>
  </si>
  <si>
    <t>SPOJ DCEPC203</t>
  </si>
  <si>
    <t>math, prime-testing</t>
  </si>
  <si>
    <t>SRM540-D2-500</t>
  </si>
  <si>
    <t>UVA 10889</t>
  </si>
  <si>
    <t>UVA 11109</t>
  </si>
  <si>
    <t>math, maximising a product</t>
  </si>
  <si>
    <t>math or dp</t>
  </si>
  <si>
    <t>math, number theory, ad-hoc, binary search, sieve</t>
  </si>
  <si>
    <t>math, dp</t>
  </si>
  <si>
    <r>
      <rPr>
        <sz val="10"/>
        <color theme="1"/>
        <rFont val="Arial"/>
      </rPr>
      <t xml:space="preserve">math, number theory, bf, </t>
    </r>
    <r>
      <rPr>
        <b/>
        <sz val="10"/>
        <color theme="1"/>
        <rFont val="Arial"/>
      </rPr>
      <t>hard to impl</t>
    </r>
  </si>
  <si>
    <t>math, number theory, stack</t>
  </si>
  <si>
    <t>SRM281-D1-1000</t>
  </si>
  <si>
    <t>math, observations or ternary search</t>
  </si>
  <si>
    <t>math, randomization, factorization, probability</t>
  </si>
  <si>
    <t>math, greedy, dp</t>
  </si>
  <si>
    <t>math, geometric/arithmatic progression, observations</t>
  </si>
  <si>
    <t>SRM507-D1-500</t>
  </si>
  <si>
    <t>math, greedy</t>
  </si>
  <si>
    <t>LIVEARCHIVE 7157</t>
  </si>
  <si>
    <t>math, quadratic equation, [hard text, pen and paper work]</t>
  </si>
  <si>
    <t>SRM438-D1-500</t>
  </si>
  <si>
    <t>math, observation, sorting</t>
  </si>
  <si>
    <t>math, stack, ad-hoc, [Lipshitz], [to geometry view] or rmq</t>
  </si>
  <si>
    <t>math, ad-hoc, interactive, bitmasks</t>
  </si>
  <si>
    <t>math, greedy, interactive</t>
  </si>
  <si>
    <t>math, interactive</t>
  </si>
  <si>
    <t>math, bf, ad-hoc</t>
  </si>
  <si>
    <t>SRM697-D2-500</t>
  </si>
  <si>
    <t>math, bf, pattern, Mersenne exponents</t>
  </si>
  <si>
    <t>math, bf, [useless]</t>
  </si>
  <si>
    <t>LIVEARCHIVE 4119</t>
  </si>
  <si>
    <t>math, randomization, polynomials, equation evalaution</t>
  </si>
  <si>
    <t>math, d&amp;c</t>
  </si>
  <si>
    <t>math, math_adhock, lucas's theorem</t>
  </si>
  <si>
    <t>math, implementation, interactive</t>
  </si>
  <si>
    <t>math, number theory, [guy got WA]</t>
  </si>
  <si>
    <t>math, randomization, bitset</t>
  </si>
  <si>
    <t>TIMUS 2063</t>
  </si>
  <si>
    <t>math, randomization, unifrom dist</t>
  </si>
  <si>
    <t>math, ad-hoc, pattern, impl</t>
  </si>
  <si>
    <t>math, greedy, number theory or sweep line</t>
  </si>
  <si>
    <t>math, fermat's little theorem, crt or baby step giant step</t>
  </si>
  <si>
    <t>math, strings, derive equations</t>
  </si>
  <si>
    <t>SRM267-D1-500</t>
  </si>
  <si>
    <t>SRM369-D2-500</t>
  </si>
  <si>
    <t>SRM540-D2-1000</t>
  </si>
  <si>
    <t>UVA 107</t>
  </si>
  <si>
    <t>UVA 1648</t>
  </si>
  <si>
    <t>math or binary search</t>
  </si>
  <si>
    <t>UVA 11042</t>
  </si>
  <si>
    <t>math, complex numbers</t>
  </si>
  <si>
    <t>SPOJ FNRANK</t>
  </si>
  <si>
    <t>math, faray sequence generation</t>
  </si>
  <si>
    <t>SRM165-D1-500</t>
  </si>
  <si>
    <t>math, fractions</t>
  </si>
  <si>
    <t>math, inequalities or ternary search</t>
  </si>
  <si>
    <t>SRM596-D2-1000</t>
  </si>
  <si>
    <t>math, number theory, divisors, ranges</t>
  </si>
  <si>
    <t>SRM434-D1-500</t>
  </si>
  <si>
    <t>math, sorting, strings</t>
  </si>
  <si>
    <t>math or dp_expectation</t>
  </si>
  <si>
    <t>math, bf, binary search</t>
  </si>
  <si>
    <t>math, observations, constructive, cases</t>
  </si>
  <si>
    <t>math, two pointer, ad-hoc</t>
  </si>
  <si>
    <t>math, binary search</t>
  </si>
  <si>
    <t>math, observation</t>
  </si>
  <si>
    <t>math, sorting, prefix sum, binary search</t>
  </si>
  <si>
    <t>CF356-D1-B</t>
  </si>
  <si>
    <t>SRM394-D2-1000</t>
  </si>
  <si>
    <t>math, bf</t>
  </si>
  <si>
    <t>math, randomization, binary search, interactive</t>
  </si>
  <si>
    <t>math, [Mido: Releated to Diophantine equation]</t>
  </si>
  <si>
    <t>math, ad-hoc, palyndromes, [short code]</t>
  </si>
  <si>
    <t>math, binary search, precision or ternary search</t>
  </si>
  <si>
    <t>math, constructive algorithm</t>
  </si>
  <si>
    <t>math, datastructures</t>
  </si>
  <si>
    <t>math, xor, bitwise, constructive</t>
  </si>
  <si>
    <t>math, [hard text]</t>
  </si>
  <si>
    <t>math, bf, simulation</t>
  </si>
  <si>
    <t>math, binary search, rmq</t>
  </si>
  <si>
    <t>math, equations, impl</t>
  </si>
  <si>
    <t>math, randomization or max-flow</t>
  </si>
  <si>
    <t>math, impl, [cases]</t>
  </si>
  <si>
    <t>SRM194-D1-500</t>
  </si>
  <si>
    <t>SRM507-D2-1000</t>
  </si>
  <si>
    <t>UVA 11246</t>
  </si>
  <si>
    <t>UVA 12555</t>
  </si>
  <si>
    <t>UVA 545</t>
  </si>
  <si>
    <t>math, ad-hoc or logarithm, pow or exp</t>
  </si>
  <si>
    <t>SRM483-D2-1000</t>
  </si>
  <si>
    <t>math, bf, [precision]</t>
  </si>
  <si>
    <t>math, combinatroics</t>
  </si>
  <si>
    <t>math, constructive algorithsms</t>
  </si>
  <si>
    <t>CF100459-GYM-B</t>
  </si>
  <si>
    <t>math, expectation</t>
  </si>
  <si>
    <t>UVA 10442</t>
  </si>
  <si>
    <t>SRM305-D1-1000</t>
  </si>
  <si>
    <t>math, number theory, prefix sum</t>
  </si>
  <si>
    <t>math, oeis</t>
  </si>
  <si>
    <t>SRM552-D2-500</t>
  </si>
  <si>
    <t>math, pattern, observations, [cases],[do bf to detect pattern],[boring]</t>
  </si>
  <si>
    <t>UVA 11129</t>
  </si>
  <si>
    <t>math, pattern, search</t>
  </si>
  <si>
    <t>UVA 11574</t>
  </si>
  <si>
    <t>math, quadratic equations, geometry</t>
  </si>
  <si>
    <t>SRM417-D1-500</t>
  </si>
  <si>
    <t>math, sortings</t>
  </si>
  <si>
    <t>SPOJ SUBSHARD</t>
  </si>
  <si>
    <t>math, number theory, strings, [dig*10^sufix*(choose sufix)*^Prefix]</t>
  </si>
  <si>
    <t>math, xor</t>
  </si>
  <si>
    <t>LiveArchive 8014</t>
  </si>
  <si>
    <t>SPOJ KIMO1</t>
  </si>
  <si>
    <t>math, randomization, interactive</t>
  </si>
  <si>
    <t>CF894-D2-B</t>
  </si>
  <si>
    <t>UVA 1388</t>
  </si>
  <si>
    <t>UVA 538</t>
  </si>
  <si>
    <t>UVA 12028</t>
  </si>
  <si>
    <t>math or bit</t>
  </si>
  <si>
    <t>SRM519-D2-1000</t>
  </si>
  <si>
    <t>math, bitmasks</t>
  </si>
  <si>
    <t>math, bits</t>
  </si>
  <si>
    <t>math, constructive</t>
  </si>
  <si>
    <t>math, constructive, interactive</t>
  </si>
  <si>
    <t>math, prefix sum, [https://www.youtube.com/watch?v=S0nKXwwWG8Y&amp;t=1s]</t>
  </si>
  <si>
    <t>math, log, [double limits], [https://github.com/magdy-hasan/competitive-programming/blob/master/uva-/uva%20113%20-%20Power%20of%20Cryptography.cpp]</t>
  </si>
  <si>
    <t>math, cases. bf</t>
  </si>
  <si>
    <t>math, polynomial division</t>
  </si>
  <si>
    <t>UVA 12485</t>
  </si>
  <si>
    <t>SRM421-D2-500</t>
  </si>
  <si>
    <t>math, [precision]</t>
  </si>
  <si>
    <t>math, [trivial]</t>
  </si>
  <si>
    <t>LIVEARCHIVE 3573</t>
  </si>
  <si>
    <t>LIVEARCHIVE 6027</t>
  </si>
  <si>
    <t>math, integration, binary search</t>
  </si>
  <si>
    <t>SRM343-D1-1000</t>
  </si>
  <si>
    <t>math, equations, bhaskara or binary search</t>
  </si>
  <si>
    <t>TIMUS 1247</t>
  </si>
  <si>
    <t>math, observations</t>
  </si>
  <si>
    <t>SRM529-D2-1000</t>
  </si>
  <si>
    <t>math, __int128</t>
  </si>
  <si>
    <t>math, greedy, careful impl</t>
  </si>
  <si>
    <t>CF102035-GYM-K</t>
  </si>
  <si>
    <t>math, pattern, cycle, mod</t>
  </si>
  <si>
    <t>TIMUS 1209</t>
  </si>
  <si>
    <t>UVA 1636</t>
  </si>
  <si>
    <t>SPOJ TAP2014B</t>
  </si>
  <si>
    <t>math, ad-hoc, recursion</t>
  </si>
  <si>
    <t>ZOJ 2143</t>
  </si>
  <si>
    <t>math, base conversions, bignum</t>
  </si>
  <si>
    <t>SRM146-D1-500</t>
  </si>
  <si>
    <t>math, impl, counting</t>
  </si>
  <si>
    <t>UVA 12205</t>
  </si>
  <si>
    <t>math, intervals</t>
  </si>
  <si>
    <t>UVA 983</t>
  </si>
  <si>
    <t>math, prefix sum, [direct 2d]</t>
  </si>
  <si>
    <t>math, [long division]</t>
  </si>
  <si>
    <t>LIVEARCHIVE 2557</t>
  </si>
  <si>
    <t>math or bf</t>
  </si>
  <si>
    <t>UVA 12397</t>
  </si>
  <si>
    <t>math, roman numerals</t>
  </si>
  <si>
    <t>SRM230-D1-500</t>
  </si>
  <si>
    <t>math, factorial, combinatorics, pascal</t>
  </si>
  <si>
    <t>[70]</t>
  </si>
  <si>
    <t>math, factorial, counting</t>
  </si>
  <si>
    <t>LIVEARCHIVE 3498</t>
  </si>
  <si>
    <t>math, factorial or dp_bitmasks</t>
  </si>
  <si>
    <t>SPOJ MIB</t>
  </si>
  <si>
    <r>
      <rPr>
        <sz val="10"/>
        <color theme="1"/>
        <rFont val="Arial"/>
      </rPr>
      <t xml:space="preserve">math, factorial, factoradic index, </t>
    </r>
    <r>
      <rPr>
        <b/>
        <sz val="10"/>
        <color theme="1"/>
        <rFont val="Arial"/>
      </rPr>
      <t>impl</t>
    </r>
    <r>
      <rPr>
        <sz val="10"/>
        <color theme="1"/>
        <rFont val="Arial"/>
      </rPr>
      <t>, bigint</t>
    </r>
  </si>
  <si>
    <t>math, factorial, permutations, dublicates, factoradic index</t>
  </si>
  <si>
    <t>SRM498-D1-500</t>
  </si>
  <si>
    <t>math, factorial, permutations</t>
  </si>
  <si>
    <t>UVA 11415</t>
  </si>
  <si>
    <t>math, factorial, factorization, binary search</t>
  </si>
  <si>
    <t>SRM335-D2-500</t>
  </si>
  <si>
    <t>math, factorial, overflow</t>
  </si>
  <si>
    <t>TJU 2188</t>
  </si>
  <si>
    <t>math, factorial</t>
  </si>
  <si>
    <t>math, fib, bf</t>
  </si>
  <si>
    <t>[71]</t>
  </si>
  <si>
    <t>math, fib, permutation or dp</t>
  </si>
  <si>
    <t>math, fibonacci, linear algebra, matrix pow</t>
  </si>
  <si>
    <t>PKU 2116</t>
  </si>
  <si>
    <t>math, fibonacci</t>
  </si>
  <si>
    <t>UVA 12041</t>
  </si>
  <si>
    <t>UVA 11582</t>
  </si>
  <si>
    <t>math, fib, cycle detection</t>
  </si>
  <si>
    <t>UVA 12620</t>
  </si>
  <si>
    <t>math, fib</t>
  </si>
  <si>
    <t>math, formula, gcd</t>
  </si>
  <si>
    <t>[72]</t>
  </si>
  <si>
    <t>math, formula</t>
  </si>
  <si>
    <t>UVA 11164</t>
  </si>
  <si>
    <t>UVA 10339</t>
  </si>
  <si>
    <t>math, formula, precision, [bad statement]</t>
  </si>
  <si>
    <t>UVA 12725</t>
  </si>
  <si>
    <t>UVA 12851</t>
  </si>
  <si>
    <t>UVA 12853</t>
  </si>
  <si>
    <t>UVA 12959</t>
  </si>
  <si>
    <t>UVA 12992</t>
  </si>
  <si>
    <t>UVA 12447</t>
  </si>
  <si>
    <t>math, formula, bitmasks</t>
  </si>
  <si>
    <t>UVA 12869</t>
  </si>
  <si>
    <t>math, formula, [cases analysis]</t>
  </si>
  <si>
    <t>UVA 11298</t>
  </si>
  <si>
    <t>UVA 12918</t>
  </si>
  <si>
    <t>UVA 10868</t>
  </si>
  <si>
    <t>math, formula, simulation, physics</t>
  </si>
  <si>
    <t>UVA 10751</t>
  </si>
  <si>
    <t>UVA 10209</t>
  </si>
  <si>
    <t>math, formula, integration</t>
  </si>
  <si>
    <t>math, formula, basic geometry</t>
  </si>
  <si>
    <t>UVA 10161</t>
  </si>
  <si>
    <t>math, formula, pattern or bs</t>
  </si>
  <si>
    <t>UVA 11847</t>
  </si>
  <si>
    <t>math, formula, arithmetic</t>
  </si>
  <si>
    <t>UVA 11112</t>
  </si>
  <si>
    <t>UVA 12464</t>
  </si>
  <si>
    <t>UVA 1315</t>
  </si>
  <si>
    <t>math, formula, counting swaps</t>
  </si>
  <si>
    <t>math, gcd</t>
  </si>
  <si>
    <t>[73]</t>
  </si>
  <si>
    <t>UVA 12848</t>
  </si>
  <si>
    <t>UVA 12832</t>
  </si>
  <si>
    <t>math, gcd, lcm</t>
  </si>
  <si>
    <t>UVA 12852</t>
  </si>
  <si>
    <t>UVA 11256</t>
  </si>
  <si>
    <t>UVA 11522</t>
  </si>
  <si>
    <t>math, gcd, constructive</t>
  </si>
  <si>
    <t>math, gcd, lcm, [all lcm pairs, ECPC 18 D]</t>
  </si>
  <si>
    <t>math, gcd, binary lifting</t>
  </si>
  <si>
    <t>UVA 11761</t>
  </si>
  <si>
    <t>math, gcd, backtrack</t>
  </si>
  <si>
    <t>UVA 493</t>
  </si>
  <si>
    <t>math, gcd or dp</t>
  </si>
  <si>
    <t>SRM179-D1-500</t>
  </si>
  <si>
    <t>math, gcd, [how many integer points are on a line segment, study pick theorem first]</t>
  </si>
  <si>
    <t>UVA 1642</t>
  </si>
  <si>
    <t>UVA 12075</t>
  </si>
  <si>
    <t>math, gcd, bf</t>
  </si>
  <si>
    <t>SRM429-D1-500</t>
  </si>
  <si>
    <t>math, gcd, lcm, graph</t>
  </si>
  <si>
    <t>math, gcd, Polynomials</t>
  </si>
  <si>
    <t>LiveArchive 6582</t>
  </si>
  <si>
    <t>math, gcd or rmq, binary search, [TLEs]</t>
  </si>
  <si>
    <t>math, gcd, mod, [cases]</t>
  </si>
  <si>
    <t>math, gcd, mod, number theory, Bezout's identity</t>
  </si>
  <si>
    <t>UVA 12792</t>
  </si>
  <si>
    <t>math, gcd, lcm, cyclic permutation</t>
  </si>
  <si>
    <t>TIMUS 1286</t>
  </si>
  <si>
    <t>math, gcd, [cases analysis]</t>
  </si>
  <si>
    <t>UVA 11971</t>
  </si>
  <si>
    <t>UVA 11633</t>
  </si>
  <si>
    <t>math, gcd, bf, [LL]</t>
  </si>
  <si>
    <t>math, gcd, Bezout's identity, observations</t>
  </si>
  <si>
    <t>UVA 11774</t>
  </si>
  <si>
    <t>math, gcd, greedy</t>
  </si>
  <si>
    <t>SRM375-D2-1000</t>
  </si>
  <si>
    <t>math, gcd, lcm, bfs or crt</t>
  </si>
  <si>
    <t>UVA 12184</t>
  </si>
  <si>
    <t>math, gcd, mod</t>
  </si>
  <si>
    <t>SRM365-D1-500</t>
  </si>
  <si>
    <t>math, gcd, search</t>
  </si>
  <si>
    <t>math, gcd, Bezout's identity or patter, OEIS</t>
  </si>
  <si>
    <t>math, gcd, lcm, [overflow]</t>
  </si>
  <si>
    <t>CF102035-GYM-I</t>
  </si>
  <si>
    <t>UVA 10555</t>
  </si>
  <si>
    <t>math, gcd, arithmetic, repeated squaring</t>
  </si>
  <si>
    <t>math, gcd or ad-hoc</t>
  </si>
  <si>
    <t>UVA 10273</t>
  </si>
  <si>
    <t>math, gcd, lcm, data structures</t>
  </si>
  <si>
    <t>TIMUS 1053</t>
  </si>
  <si>
    <t>UVA 12060</t>
  </si>
  <si>
    <t>math, gcd, arithmetic</t>
  </si>
  <si>
    <t>math, gcd, comb formula</t>
  </si>
  <si>
    <t>SPOJ IMPUNITS</t>
  </si>
  <si>
    <t>math, gcd, lcm, multiply fractions</t>
  </si>
  <si>
    <t>SRM475-D1-500</t>
  </si>
  <si>
    <t>math, mod</t>
  </si>
  <si>
    <t>[74]</t>
  </si>
  <si>
    <t>math, mode 2 trick</t>
  </si>
  <si>
    <t>UVA 11087</t>
  </si>
  <si>
    <t>math, mod, dp or ad-hoc</t>
  </si>
  <si>
    <t>math, mod, pow, greedy</t>
  </si>
  <si>
    <t>TJU 1028</t>
  </si>
  <si>
    <t>SPOJ INTEGER1</t>
  </si>
  <si>
    <t xml:space="preserve">math, repeated squaring or binary search </t>
  </si>
  <si>
    <t>[75]</t>
  </si>
  <si>
    <t>UVA 12253</t>
  </si>
  <si>
    <t>math, repeated squaring</t>
  </si>
  <si>
    <t>math, repeated squaring, graph</t>
  </si>
  <si>
    <t>math, repeated squaring, mod</t>
  </si>
  <si>
    <t>UVA 11718</t>
  </si>
  <si>
    <t>math, repeated squaring, combinatorics</t>
  </si>
  <si>
    <t>math, repeated squaring, mod, direct</t>
  </si>
  <si>
    <t>SRM552-D2-1000</t>
  </si>
  <si>
    <t>math, search</t>
  </si>
  <si>
    <t>[76]</t>
  </si>
  <si>
    <t>SRM369-D1-500</t>
  </si>
  <si>
    <t>SRM212-D1-500</t>
  </si>
  <si>
    <t>SRM453-D1-500</t>
  </si>
  <si>
    <t>SRM529-D1-500</t>
  </si>
  <si>
    <t>math, search, simulation</t>
  </si>
  <si>
    <t>UVA 10799</t>
  </si>
  <si>
    <t>math, summations, formula or bf</t>
  </si>
  <si>
    <t>[77]</t>
  </si>
  <si>
    <t>math, summations, pow sum [1^k+2^k..], [harder version CF622-D12-F needs Lagrange polynomial]</t>
  </si>
  <si>
    <t>UVA 13031</t>
  </si>
  <si>
    <t>math, summations, ??</t>
  </si>
  <si>
    <t>UVA 11260</t>
  </si>
  <si>
    <t>math, summations, reccurance or binary search, mod congruences, overflows</t>
  </si>
  <si>
    <t>SRM231-D1-500</t>
  </si>
  <si>
    <t>math, summations, factorial, log or ad-hoc or approximation formula for binomial distribution</t>
  </si>
  <si>
    <t>UVA 10694</t>
  </si>
  <si>
    <t>math, summations, summation order, binomial, bignum</t>
  </si>
  <si>
    <t>LIVEARCHIVE 3521</t>
  </si>
  <si>
    <t>math, summations, reminder summations</t>
  </si>
  <si>
    <t>UVA 766</t>
  </si>
  <si>
    <t>math, summations, gcd, power, gaussian elimination</t>
  </si>
  <si>
    <t>math, summations</t>
  </si>
  <si>
    <t>math, summations, bf, [overflow]</t>
  </si>
  <si>
    <t>math, summations, mod</t>
  </si>
  <si>
    <t>UVA 1730</t>
  </si>
  <si>
    <t>math, summations, lcm</t>
  </si>
  <si>
    <t>math, summations, in my videos</t>
  </si>
  <si>
    <t>UVA 10830</t>
  </si>
  <si>
    <t>math, summations, factorization, divisors sum</t>
  </si>
  <si>
    <t>math, summations, [sum of squares of distances between all pairs]</t>
  </si>
  <si>
    <t>math, summations, seperate summations or ternary or analytical, [bad texr]</t>
  </si>
  <si>
    <t>UVA 12517</t>
  </si>
  <si>
    <t>math, summations, digits sum</t>
  </si>
  <si>
    <t>math, summations, geometry, manhatan</t>
  </si>
  <si>
    <t>SPOJ AFS2</t>
  </si>
  <si>
    <t>math, summations, sqrt</t>
  </si>
  <si>
    <t>math, summations, recursion</t>
  </si>
  <si>
    <t>UVA 655</t>
  </si>
  <si>
    <t>math, summations, binary search</t>
  </si>
  <si>
    <t>UVA 11538</t>
  </si>
  <si>
    <t>math, summations, formula</t>
  </si>
  <si>
    <t>UVA 11417</t>
  </si>
  <si>
    <t>math, summations, gcd</t>
  </si>
  <si>
    <t>UVA 12751</t>
  </si>
  <si>
    <t>UVA 12803</t>
  </si>
  <si>
    <t>math, infix to postfix</t>
  </si>
  <si>
    <t>[78]</t>
  </si>
  <si>
    <t>UVA 288</t>
  </si>
  <si>
    <t>UVA 533</t>
  </si>
  <si>
    <t>UVA 708</t>
  </si>
  <si>
    <t>UVA 11108</t>
  </si>
  <si>
    <t>math, infix to postfix, expression parsing</t>
  </si>
  <si>
    <t>UVA 12392</t>
  </si>
  <si>
    <t>UVA 11809</t>
  </si>
  <si>
    <t>math, logarithm, [hard text?]</t>
  </si>
  <si>
    <t>[79]</t>
  </si>
  <si>
    <t>UVA 11666</t>
  </si>
  <si>
    <t>math, logarithm, formula or binary search</t>
  </si>
  <si>
    <t>UVA 11714</t>
  </si>
  <si>
    <t>math, logarithm, formula</t>
  </si>
  <si>
    <t>SPOJ ACPC10E</t>
  </si>
  <si>
    <t>math, logarithm</t>
  </si>
  <si>
    <t>UVA 10343</t>
  </si>
  <si>
    <t>math, number base conversion</t>
  </si>
  <si>
    <t>[80]</t>
  </si>
  <si>
    <t>PKU 3191</t>
  </si>
  <si>
    <t>math, number base conversion, -ve base</t>
  </si>
  <si>
    <t>LIVEARCHIVE 4069</t>
  </si>
  <si>
    <t>math, number base conversion, bf</t>
  </si>
  <si>
    <t>SPOJ BHAT007</t>
  </si>
  <si>
    <t>math, number base conversion, impl, basic bignum</t>
  </si>
  <si>
    <t>math, combinatorics, counting, repeated squaring</t>
  </si>
  <si>
    <t>[82]</t>
  </si>
  <si>
    <t>math, combinatorics, datastructures, bs, impl</t>
  </si>
  <si>
    <t>math, combinatorics, number theory</t>
  </si>
  <si>
    <t>math, combinatorics or FFT</t>
  </si>
  <si>
    <t>SRM472-D1-500</t>
  </si>
  <si>
    <t>math, combinatorics, counting, cycles, double-counting or dp</t>
  </si>
  <si>
    <t>math, combinatorics</t>
  </si>
  <si>
    <t>math, combinatorics, dfs, trees</t>
  </si>
  <si>
    <t>math, combinatorics, sieve, formula, gcd</t>
  </si>
  <si>
    <t>UVA 11261</t>
  </si>
  <si>
    <t>math, combinatorics, counting or dp_diagonal</t>
  </si>
  <si>
    <t>SRM457-D1-500</t>
  </si>
  <si>
    <t>math, combinatorics, counting, mod, backtrack</t>
  </si>
  <si>
    <t>math, combinatorics, bf, impl</t>
  </si>
  <si>
    <t>UVA 12906</t>
  </si>
  <si>
    <t>math, combinatorics, counting, overflow, ??</t>
  </si>
  <si>
    <t>UVA 1649</t>
  </si>
  <si>
    <t>math, combinatorics, inv combinations</t>
  </si>
  <si>
    <t>math, combinatorics, ad-hoc, [new idea]</t>
  </si>
  <si>
    <t>math, combinatorics, [pascal's triangle, reduce to formula]</t>
  </si>
  <si>
    <t>math, combinatorics, datastructures, two pointers or observations, dp</t>
  </si>
  <si>
    <t>Solve in 2 ways</t>
  </si>
  <si>
    <t>UVA 11282</t>
  </si>
  <si>
    <t>math, combinatorics, combinations</t>
  </si>
  <si>
    <t>SRM565-D2-1000</t>
  </si>
  <si>
    <t>math, combinatorics, counting</t>
  </si>
  <si>
    <t>math, combinatorics, pattern or dp_counting</t>
  </si>
  <si>
    <t>math, combinatorics, bf or dp</t>
  </si>
  <si>
    <t>UVA 10883</t>
  </si>
  <si>
    <t>math, combinatorics, logarithms</t>
  </si>
  <si>
    <t>math, combinatorics, trees or dp_trees</t>
  </si>
  <si>
    <t>math, combinatorics, geometry, two pointers, sorting</t>
  </si>
  <si>
    <t>math, combinatorics, mod inv, [stars and bars]</t>
  </si>
  <si>
    <t>math, combinatorics, probability</t>
  </si>
  <si>
    <t>UVA 11027</t>
  </si>
  <si>
    <t>math, combinatorics, Factorial number system, impl</t>
  </si>
  <si>
    <t>SRM555-D1-500</t>
  </si>
  <si>
    <t>SRM558-D1-500</t>
  </si>
  <si>
    <t>UVA 11481</t>
  </si>
  <si>
    <t>UVA 10733</t>
  </si>
  <si>
    <t>math, combinatorics, counting, cubes, rotations or formula, Burnside Lemma</t>
  </si>
  <si>
    <t>math, combinatorics, inclusion-exclusion</t>
  </si>
  <si>
    <t>math, combinatorics, palindromes</t>
  </si>
  <si>
    <t>UVA 11028</t>
  </si>
  <si>
    <t>math, combinatorics, permutations, precalculation, impl</t>
  </si>
  <si>
    <t>math, combinatorics, binary search or dp_counting</t>
  </si>
  <si>
    <t>math, combinatorics, [mov inv one sol]</t>
  </si>
  <si>
    <t>math, combinatorics, first/last K digits 2^N, [=UVA 11029]</t>
  </si>
  <si>
    <t>math, combinatorics or dp_counting</t>
  </si>
  <si>
    <t>math, combinatorics, [corner cases]</t>
  </si>
  <si>
    <t>math, combinatorics, constructive</t>
  </si>
  <si>
    <t>math, combinatorics, impl</t>
  </si>
  <si>
    <t>SRM302-D1-500</t>
  </si>
  <si>
    <t>math, combinatorics or dp_digit</t>
  </si>
  <si>
    <t>UVA 10460</t>
  </si>
  <si>
    <t>math, combinatorics, permutations, [big num??]</t>
  </si>
  <si>
    <t>SRM261-D1-500</t>
  </si>
  <si>
    <t>math, combinatorics, bst</t>
  </si>
  <si>
    <t>SRM504-D1-500</t>
  </si>
  <si>
    <t>TJU 1180</t>
  </si>
  <si>
    <t>math, combinatorics, permutations, factoradics</t>
  </si>
  <si>
    <t>UVA 11525</t>
  </si>
  <si>
    <t>math, combinatorics, permutations, factoradics or segment tree ir bit, treap, bbst</t>
  </si>
  <si>
    <t>SRM332-D1-1000</t>
  </si>
  <si>
    <t>math, combinatorics, permutations, impl</t>
  </si>
  <si>
    <t>SRM363-D1-500</t>
  </si>
  <si>
    <t>math, combinatorics, search</t>
  </si>
  <si>
    <t>SRM465-D2-500</t>
  </si>
  <si>
    <t>math, combinatorics, basic geometry</t>
  </si>
  <si>
    <t>math, combinatorics, bf or pattern</t>
  </si>
  <si>
    <t>SRM203-D1-500</t>
  </si>
  <si>
    <t>math, combinatorics, combinations, permutations</t>
  </si>
  <si>
    <t>math, combinatorics, factorial</t>
  </si>
  <si>
    <t>UVA 12893</t>
  </si>
  <si>
    <t>math, combinatorics, counting, gcd</t>
  </si>
  <si>
    <t>SPOJ ITRIX_E</t>
  </si>
  <si>
    <t>math, combinatorics, formula, [AP sum formula and series sum formulas of sum of squares]</t>
  </si>
  <si>
    <t>SPOJ PALACE</t>
  </si>
  <si>
    <t>math, combinatorics, pow</t>
  </si>
  <si>
    <t>math, combinatorics, preprocessing</t>
  </si>
  <si>
    <t>UVA 12712</t>
  </si>
  <si>
    <t>math, combinatorics, counting, mod</t>
  </si>
  <si>
    <t>math, combinatorics, trees</t>
  </si>
  <si>
    <t>SRM160-D1-1000</t>
  </si>
  <si>
    <t>math, cyclic permutation, factorization, lcm</t>
  </si>
  <si>
    <t>[84]</t>
  </si>
  <si>
    <t>LIVEARCHIVE 3641</t>
  </si>
  <si>
    <t>math, cyclic permutation</t>
  </si>
  <si>
    <t>UVA 12642</t>
  </si>
  <si>
    <t>UVA 10570</t>
  </si>
  <si>
    <t>math, cyclic permutation or ad-hoc</t>
  </si>
  <si>
    <t>UVA 11630</t>
  </si>
  <si>
    <t>math, cyclic permutation, ??</t>
  </si>
  <si>
    <t>SRM441-D2-1000</t>
  </si>
  <si>
    <t>math, cyclic permutation, search, [no editorial]</t>
  </si>
  <si>
    <t>LIVEARCHIVE 2481</t>
  </si>
  <si>
    <t>math, cyclic permutation, [in video]</t>
  </si>
  <si>
    <t>UVA 135</t>
  </si>
  <si>
    <t>math, cyclic permutation, ?? revise</t>
  </si>
  <si>
    <t>UVA 11330</t>
  </si>
  <si>
    <t>math, cyclic permutation, greedy</t>
  </si>
  <si>
    <t>math, cyclic permutation, greedy, constructive</t>
  </si>
  <si>
    <t>SPOJ LEONARDO</t>
  </si>
  <si>
    <t>math, cyclic permutation, graph cycles, even, odd</t>
  </si>
  <si>
    <t>SRM280-D2-1000</t>
  </si>
  <si>
    <t>math, cyclic permutation or backtrack, prune, [backtrack https://github.com/racsosabe/CompetitiveProgramming/blob/master/TopCoder/SRM280-D2-1000.cpp]</t>
  </si>
  <si>
    <t>math, cyclic permutation, dfs, trees</t>
  </si>
  <si>
    <t>SRM391-D1-500</t>
  </si>
  <si>
    <t>math, cyclic permutation, stirling number of first kind, dp, probability, [how many permutation that have number of cycle &lt;= m]</t>
  </si>
  <si>
    <t>SRM379-D2-1000</t>
  </si>
  <si>
    <t>math, cyclic permutation or backtrack, dsu</t>
  </si>
  <si>
    <t>Understand TC editorial</t>
  </si>
  <si>
    <t>UVA 306</t>
  </si>
  <si>
    <t>SRM572-D1-250</t>
  </si>
  <si>
    <t>math, cyclic permutation or dfs</t>
  </si>
  <si>
    <t>SPOJ FACT2</t>
  </si>
  <si>
    <t>math, factorization, pollard rho</t>
  </si>
  <si>
    <t>[85]</t>
  </si>
  <si>
    <t>SRM216-D1-500</t>
  </si>
  <si>
    <t>math, factorization, bf</t>
  </si>
  <si>
    <t>math, factorization, dp</t>
  </si>
  <si>
    <t>math, factorization, graph, impl, [boring?]</t>
  </si>
  <si>
    <t>UVA 1635</t>
  </si>
  <si>
    <t>math, factorization, sieve bitmasks, max pow divide</t>
  </si>
  <si>
    <t>SRM200-D1-500</t>
  </si>
  <si>
    <t>math, factorization, search</t>
  </si>
  <si>
    <t>SPOJ INVDIV</t>
  </si>
  <si>
    <t>math, factorization</t>
  </si>
  <si>
    <t>UVA 12465</t>
  </si>
  <si>
    <t>UVA 12137</t>
  </si>
  <si>
    <t>math, factorization, pow, triangles</t>
  </si>
  <si>
    <t>math, factorization, sieve in range, greedy</t>
  </si>
  <si>
    <t>math, factorization, divisors, infinite periodic array, [may solve CF582C first]</t>
  </si>
  <si>
    <t>math, factorization, events, [101840 buggy, use 101856]</t>
  </si>
  <si>
    <t>math, factorization, number base, primes or pollard_rho, millar_rabin</t>
  </si>
  <si>
    <t>math, factorization, binary search, [optimizations]</t>
  </si>
  <si>
    <t>UVA 11476</t>
  </si>
  <si>
    <t>LIVEARCHIVE 4390</t>
  </si>
  <si>
    <t>math, factorization, sieve, pow_divides !n, heaps</t>
  </si>
  <si>
    <t>math, factorization, primitve roots</t>
  </si>
  <si>
    <t>SPOJ CZ_PROB2</t>
  </si>
  <si>
    <t>math, factorization, divisors sum, [strict time]</t>
  </si>
  <si>
    <t>math, factorization, gcd</t>
  </si>
  <si>
    <t>SPOJ FACT1</t>
  </si>
  <si>
    <t>UVA 10174</t>
  </si>
  <si>
    <t>math, factorization, case analysis</t>
  </si>
  <si>
    <t>math, factorization, divisors sum</t>
  </si>
  <si>
    <t>UVA 12154</t>
  </si>
  <si>
    <t>math, factorization, divisors, bf</t>
  </si>
  <si>
    <t>UVA 12703</t>
  </si>
  <si>
    <t>math, factorization, fibonaci</t>
  </si>
  <si>
    <t>TIMUS 1854</t>
  </si>
  <si>
    <t>math, factorization, binary search, analysis, [prime factors till cube]</t>
  </si>
  <si>
    <t>LiveArchive 8085</t>
  </si>
  <si>
    <t>SPOJ ABA12D</t>
  </si>
  <si>
    <t>math, factorization, [Formula for sum divisors Prod(Sum(fac-powers))]</t>
  </si>
  <si>
    <t>math, factorization, divisors sum, multiview</t>
  </si>
  <si>
    <t>math, factorization, impl or dp</t>
  </si>
  <si>
    <t>LIVEARCHIVE 3194</t>
  </si>
  <si>
    <t>math, factorization, precalc</t>
  </si>
  <si>
    <t>SPOJ HS10SQFT</t>
  </si>
  <si>
    <t>UVA 11254</t>
  </si>
  <si>
    <t>math, factorization, bf, gauss sum</t>
  </si>
  <si>
    <t>math, factorization, primes, [factorize x!]</t>
  </si>
  <si>
    <t>Timus 1049</t>
  </si>
  <si>
    <t>SPOJ HDEVIL</t>
  </si>
  <si>
    <t>math, factorization, divisors sum, fib</t>
  </si>
  <si>
    <t>UVA 1246</t>
  </si>
  <si>
    <t>math, factorization, primes</t>
  </si>
  <si>
    <t>LIVEARCHIVE 5987</t>
  </si>
  <si>
    <t>TJU 3579</t>
  </si>
  <si>
    <t>UVA 12043</t>
  </si>
  <si>
    <t>SPOJ HG</t>
  </si>
  <si>
    <t>math, factorization, bignum optionally</t>
  </si>
  <si>
    <t>SRM444-D1-1000</t>
  </si>
  <si>
    <t>math, inclusion-exclusion, matrix pow</t>
  </si>
  <si>
    <t>[86]</t>
  </si>
  <si>
    <t>math, inclusion-exclusion or dp, matrix pow</t>
  </si>
  <si>
    <t>math, inclusion-exclusion, combinatorics, gcd reduction trick</t>
  </si>
  <si>
    <t>math, inclusion-exclusion, observations, rmq</t>
  </si>
  <si>
    <t>TIMUS 1940</t>
  </si>
  <si>
    <t>math, inclusion-exclusion</t>
  </si>
  <si>
    <t>SRM455-D1-500</t>
  </si>
  <si>
    <t>math, inclusion-exclusion or dp</t>
  </si>
  <si>
    <t>math, inclusion-exclusion, combinatorics</t>
  </si>
  <si>
    <t>UVA 11259</t>
  </si>
  <si>
    <t>math, inclusion-exclusion, dp</t>
  </si>
  <si>
    <t>math, inclusion-exclusion, number theory</t>
  </si>
  <si>
    <t>math, inclusion-exclusion, bitmasks or number theory, lucas's theorem, generating functions</t>
  </si>
  <si>
    <t>math, inclusion-exclusion, mobius, [repeated]</t>
  </si>
  <si>
    <t>TIMUS 1675</t>
  </si>
  <si>
    <t>math, inclusion-exclusion or mobius inversion or dp_counting</t>
  </si>
  <si>
    <t>math, inclusion-exclusion, combinatorics, bitmasks</t>
  </si>
  <si>
    <t>math, inclusion-exclusion, lcm, mod inv</t>
  </si>
  <si>
    <t>math, inclusion-exclusion, dp, sieve, [Leader trick in combinatronics]</t>
  </si>
  <si>
    <t>SPOJ MSKYCODE</t>
  </si>
  <si>
    <t>math, inclusion-exclusion, squarefree numbers</t>
  </si>
  <si>
    <t>math, inclusion-exclusion, gcd, masks</t>
  </si>
  <si>
    <t>math, inclusion-exclusion, primes</t>
  </si>
  <si>
    <t>math, inclusion-exclusion, lcm, combinatorics</t>
  </si>
  <si>
    <t>math, inclusion-exclusion, prefix sum or dp_counting, 4d cumulative sum</t>
  </si>
  <si>
    <t>SRM176-D1-500</t>
  </si>
  <si>
    <t>math, inclusion-exclusion, permutations or dp_bitmasks</t>
  </si>
  <si>
    <t>math, inclusion-exclusion, gcd, overflow</t>
  </si>
  <si>
    <t>SPOJ EASYMATH</t>
  </si>
  <si>
    <t>math, inclusion-exclusion, lcm</t>
  </si>
  <si>
    <t>math, inclusion-exclusion, binary search</t>
  </si>
  <si>
    <t>ZOJ 2836</t>
  </si>
  <si>
    <t>UVA 11663</t>
  </si>
  <si>
    <t>math, math_ad-hoc, gray code</t>
  </si>
  <si>
    <t>[87]</t>
  </si>
  <si>
    <t>UVA 12522</t>
  </si>
  <si>
    <t>math, math_ad-hoc, roman numerals</t>
  </si>
  <si>
    <t>math, math_ad-hoc, polynomials, fractions. Faulhaber's formula, [classical]</t>
  </si>
  <si>
    <t>UVA 918</t>
  </si>
  <si>
    <t>math, math_ad-hoc, complex numbers, simulation, mandelbrot set</t>
  </si>
  <si>
    <t>UVA 491</t>
  </si>
  <si>
    <t>math, math_ad-hoc, formula or bbst, splay tree</t>
  </si>
  <si>
    <t>SRM550-D1-500</t>
  </si>
  <si>
    <t>math, math_ad-hoc, pascal trinagle, recursion, analysis</t>
  </si>
  <si>
    <t>UVA 10649</t>
  </si>
  <si>
    <t>math, math_ad-hoc</t>
  </si>
  <si>
    <t>UVA 11436</t>
  </si>
  <si>
    <t>UVA 10144</t>
  </si>
  <si>
    <t>math, math_ad-hoc, boolean logic</t>
  </si>
  <si>
    <t>UVA 10378</t>
  </si>
  <si>
    <t>math, math_ad-hoc, complex numbers, de moivre's theorem</t>
  </si>
  <si>
    <t>UVA 11180</t>
  </si>
  <si>
    <t>math, math_ad-hoc, complex numbers, number base conversion</t>
  </si>
  <si>
    <t>UVA 11170</t>
  </si>
  <si>
    <t>math, math_ad-hoc, de moivre's formula, chebyshev polynomials</t>
  </si>
  <si>
    <t>SPOJ SQRROOT</t>
  </si>
  <si>
    <t>UVA 10294</t>
  </si>
  <si>
    <t>math, math_ad-hoc, polynomials, gcd</t>
  </si>
  <si>
    <t>SRM495-D2-1000</t>
  </si>
  <si>
    <t>math, math_ad-hoc, graph</t>
  </si>
  <si>
    <t>UVA 10666</t>
  </si>
  <si>
    <t>UVA 11986</t>
  </si>
  <si>
    <t>UVA 11012</t>
  </si>
  <si>
    <t>math, math_ad-hoc, case analysis</t>
  </si>
  <si>
    <t>UVA 10089</t>
  </si>
  <si>
    <t>math, math_ad-hoc, linear algebra</t>
  </si>
  <si>
    <t>math, math_ad-hoc, catlan, [Bertrand's ballot theorem]</t>
  </si>
  <si>
    <t>SRM378-D1-500</t>
  </si>
  <si>
    <t>math, math_ad-hoc, polynomials, polynomial roots</t>
  </si>
  <si>
    <t>UVA 11237</t>
  </si>
  <si>
    <t>math, math_ad-hoc, pigeonhole principle, mod, [=TIMUS 1032]</t>
  </si>
  <si>
    <t>UVA 10014</t>
  </si>
  <si>
    <t>math, math_ad-hoc, algebra, substitution</t>
  </si>
  <si>
    <t>UVA 10964</t>
  </si>
  <si>
    <t>math, math_ad-hoc, impl</t>
  </si>
  <si>
    <t>UVA 10958</t>
  </si>
  <si>
    <t>math, math_ad-hoc, patterns or factorization</t>
  </si>
  <si>
    <t>UVA 12908</t>
  </si>
  <si>
    <t>UVA 10312</t>
  </si>
  <si>
    <t>math, math_ad-hoc, catlan</t>
  </si>
  <si>
    <t>math, math_ad-hoc, patterns</t>
  </si>
  <si>
    <t>PKU 1060</t>
  </si>
  <si>
    <t>math, math_ad-hoc, polynomials</t>
  </si>
  <si>
    <t>math, math_ad-hoc, fermat little theorm</t>
  </si>
  <si>
    <t>UVA 11055</t>
  </si>
  <si>
    <t>UVA 12027</t>
  </si>
  <si>
    <t>UVA 10223</t>
  </si>
  <si>
    <t>UVA 991</t>
  </si>
  <si>
    <t>UVA 10303</t>
  </si>
  <si>
    <t>math, math_ad-hoc, catlan or bignum</t>
  </si>
  <si>
    <t>UVA 10007</t>
  </si>
  <si>
    <t>math, math_ad-hoc, catlan, bignum</t>
  </si>
  <si>
    <t>CF577-D12-B</t>
  </si>
  <si>
    <t>math, math_ad-hoc, pigeonhole principle, dp</t>
  </si>
  <si>
    <t>UVA 10586</t>
  </si>
  <si>
    <t>math, math_ad-hoc, polynomials, simulation</t>
  </si>
  <si>
    <t>TIMUS 1349</t>
  </si>
  <si>
    <t>math, math_ad-hoc, fermat last theorm</t>
  </si>
  <si>
    <t>UVA 11554</t>
  </si>
  <si>
    <t>math, math_ad-hoc, recurrences</t>
  </si>
  <si>
    <t>math, matrix</t>
  </si>
  <si>
    <t>[88]</t>
  </si>
  <si>
    <t>math, matrix, ad-hoc</t>
  </si>
  <si>
    <t>math, matrix pow</t>
  </si>
  <si>
    <t>LiveArchive 7619</t>
  </si>
  <si>
    <t>math, matrix pow, probability</t>
  </si>
  <si>
    <t>math, matrix power, mod inv, dp_probability</t>
  </si>
  <si>
    <t>math, matrix, bf</t>
  </si>
  <si>
    <t>UVA 10016</t>
  </si>
  <si>
    <t>math, matrix, rotate, impl</t>
  </si>
  <si>
    <t>math, matrix, rotate, reflect, impl</t>
  </si>
  <si>
    <t>math, matrix, matrix pow, fib</t>
  </si>
  <si>
    <t>[89]</t>
  </si>
  <si>
    <t>UVA 12761</t>
  </si>
  <si>
    <t>math, matrix, matrix pow</t>
  </si>
  <si>
    <t>math, matrix, matrix pow, counting</t>
  </si>
  <si>
    <t>UVA 12042</t>
  </si>
  <si>
    <t>UVA 12045</t>
  </si>
  <si>
    <t>UVA 12593</t>
  </si>
  <si>
    <t>UVA 11651</t>
  </si>
  <si>
    <t>math, matrix, matrix pow, graph</t>
  </si>
  <si>
    <t>math, matrix, matrix pow, log</t>
  </si>
  <si>
    <t>SRM446-D1-500</t>
  </si>
  <si>
    <t>UVA 11091</t>
  </si>
  <si>
    <t>UVA 11551</t>
  </si>
  <si>
    <t>UVA 12653</t>
  </si>
  <si>
    <t>UVA 12796</t>
  </si>
  <si>
    <t>math, matrix, matrix pow, [paths count]</t>
  </si>
  <si>
    <t>PKU 1977</t>
  </si>
  <si>
    <t>math, matrix, matrix pow, bits operations?</t>
  </si>
  <si>
    <t>SPOJ SUMMUL</t>
  </si>
  <si>
    <t>math, matrix, matrix pow, fib sequence sum, [oeis may help]</t>
  </si>
  <si>
    <t>UVA 11675</t>
  </si>
  <si>
    <t>math, matrix, matrix pow, dp, [unclear txt]</t>
  </si>
  <si>
    <t>math, matrix, matrix pow, floyd, binary search, [adjacency^k)</t>
  </si>
  <si>
    <t>SRM306-D1-1000</t>
  </si>
  <si>
    <t>math, matrix, matrix pow, matrix pow sum [A^0+A1+A2...], [~=UVA 11149]</t>
  </si>
  <si>
    <t>math, matrix, matrix pow, [non linear reccurance]</t>
  </si>
  <si>
    <t>math, matrix, matrix pow, expectation, [permutation, adjacent swap]</t>
  </si>
  <si>
    <t>math, matrix, matrix pow, dp</t>
  </si>
  <si>
    <t>SPOJ PLHOP</t>
  </si>
  <si>
    <t>math, matrix, matrix pow, graph, matrix pow min, floyd or floyd, dp_digit</t>
  </si>
  <si>
    <t>UVA 11605</t>
  </si>
  <si>
    <t>math, matrix, matrix pow, linearity of expecation, [efficient mat pow]</t>
  </si>
  <si>
    <t>LIVEARCHIVE 4332</t>
  </si>
  <si>
    <t>math, matrix, matrix pow, reccurance, generating function or dp</t>
  </si>
  <si>
    <t>math, matrix, matrix pow or dp, d&amp;c</t>
  </si>
  <si>
    <t>math, matrix, matrix pow, dp, sweepline, sorting</t>
  </si>
  <si>
    <t>UVA 10655</t>
  </si>
  <si>
    <t>math, matrix, matrix pow, complex numbers, linear recurrences</t>
  </si>
  <si>
    <t>math, matrix, matrix pow, impl</t>
  </si>
  <si>
    <t>SRM397-D1-500</t>
  </si>
  <si>
    <t>math, matrix, matrix pow, matrix pow max, dp</t>
  </si>
  <si>
    <t>SPOJ JZPCIR</t>
  </si>
  <si>
    <t>math, matrix, matrix pow, oeis</t>
  </si>
  <si>
    <t>UVA 11486</t>
  </si>
  <si>
    <t>math, matrix, matrix pow, graph, dp</t>
  </si>
  <si>
    <t>SPOJ DCEPCA06</t>
  </si>
  <si>
    <t>math, matrix, matrix pow or dp</t>
  </si>
  <si>
    <t>SPOJ SUMSUMS</t>
  </si>
  <si>
    <t>math, matrix, matrix pow, [basic hint in video]</t>
  </si>
  <si>
    <t>SPOJ SPP</t>
  </si>
  <si>
    <t>SPOJ FIBOSUM</t>
  </si>
  <si>
    <t>math, matrix, matrix pow, [fib sum]</t>
  </si>
  <si>
    <t>math, matrix, matrix pow, [fib]</t>
  </si>
  <si>
    <t>math, matrix, matrix pow, fib, or pattern [direct fb]</t>
  </si>
  <si>
    <t>SPOJ RABBIT1</t>
  </si>
  <si>
    <t>TJU 2300</t>
  </si>
  <si>
    <t>UVA 10518</t>
  </si>
  <si>
    <t>SPOJ SEQ</t>
  </si>
  <si>
    <t>SPOJ FIBTWIST</t>
  </si>
  <si>
    <t>UVA 12470</t>
  </si>
  <si>
    <t>UVA 10689</t>
  </si>
  <si>
    <t>math, matrix, matrix pow, [pisano period]</t>
  </si>
  <si>
    <t>LIVEARCHIVE 3563</t>
  </si>
  <si>
    <t>math, matrix, gaussian elimination</t>
  </si>
  <si>
    <t>[90]</t>
  </si>
  <si>
    <t>LIVEARCHIVE 5129</t>
  </si>
  <si>
    <t>SRM306-D1-500</t>
  </si>
  <si>
    <t>UVA 472</t>
  </si>
  <si>
    <t>math, matrix, gaussian elimination, complex numbers</t>
  </si>
  <si>
    <t>math, matrix, gaussian elimination, matrix inv</t>
  </si>
  <si>
    <t>math, matrix, gaussian elimination, gauss-xor, vector space, dynamic-dsu</t>
  </si>
  <si>
    <t>UVA 12953</t>
  </si>
  <si>
    <t>math, matrix, gaussian elimination, gauss-xor, vector space</t>
  </si>
  <si>
    <t>math, matrix, gaussian elimination, gauss-xor or dp</t>
  </si>
  <si>
    <t>SPOJ NWERC04H</t>
  </si>
  <si>
    <t>SRM350-D1-1000</t>
  </si>
  <si>
    <t>UVA 10109</t>
  </si>
  <si>
    <t>UVA 10828</t>
  </si>
  <si>
    <t>UVA 10766</t>
  </si>
  <si>
    <t>math, matrix, gaussian elimination, mst, matrix tree theorem</t>
  </si>
  <si>
    <t>math, matrix, gaussian elimination, xor</t>
  </si>
  <si>
    <t>SPOJ resist</t>
  </si>
  <si>
    <t>math, matrix, gaussian elimination, [optimization]</t>
  </si>
  <si>
    <t>UVA 345</t>
  </si>
  <si>
    <t>UVA 11542</t>
  </si>
  <si>
    <t>math, matrix, gaussian elimination, sieve, is similar to SRM306-D1-500?</t>
  </si>
  <si>
    <t>math, matrix, gaussian elimination, bitset</t>
  </si>
  <si>
    <t>TIMUS 1042</t>
  </si>
  <si>
    <t>UVA 684</t>
  </si>
  <si>
    <t>LIVEARCHIVE 4305</t>
  </si>
  <si>
    <t>math, matrix, gaussian elimination, determinant</t>
  </si>
  <si>
    <t>math, matrix, gaussian elimination, gauss-xor, [education problem]</t>
  </si>
  <si>
    <t>SPOJ MMIND</t>
  </si>
  <si>
    <t>LIVEARCHIVE 3529</t>
  </si>
  <si>
    <t>UVA 11319</t>
  </si>
  <si>
    <t>math, matrix, gaussian elimination or ad-hoc</t>
  </si>
  <si>
    <t>SPOJ HIGH</t>
  </si>
  <si>
    <t>math, matrix, gaussian elimination, det</t>
  </si>
  <si>
    <t>UVA 11722</t>
  </si>
  <si>
    <t>math, probability, integration</t>
  </si>
  <si>
    <t>[91]</t>
  </si>
  <si>
    <t>math, probability, trees</t>
  </si>
  <si>
    <t>LIVEARCHIVE 6394</t>
  </si>
  <si>
    <t>math, probability</t>
  </si>
  <si>
    <t>SRM313-D1-500</t>
  </si>
  <si>
    <t>LIVEARCHIVE 8049</t>
  </si>
  <si>
    <t>math, probability, hashing or kmp</t>
  </si>
  <si>
    <t>math, probability, tree, dfs, sorting</t>
  </si>
  <si>
    <t>SRM199-D1-500</t>
  </si>
  <si>
    <t>math, probability, percision</t>
  </si>
  <si>
    <t>math, probability, quadratic equation</t>
  </si>
  <si>
    <t>UVA 12487</t>
  </si>
  <si>
    <t>math, probability, [Huffman encoding?]</t>
  </si>
  <si>
    <t>UVA 561</t>
  </si>
  <si>
    <t>math, probability, arithmetic</t>
  </si>
  <si>
    <t>math, probability, randomization</t>
  </si>
  <si>
    <t>SRM153-D1-500</t>
  </si>
  <si>
    <t>UVA 10091</t>
  </si>
  <si>
    <t>math, probability, graph</t>
  </si>
  <si>
    <t>SRM503-D1-500</t>
  </si>
  <si>
    <t>math, probability, sorting, multiview</t>
  </si>
  <si>
    <t>math, probability, randomization, interactive</t>
  </si>
  <si>
    <t>SRM417-D2-1000</t>
  </si>
  <si>
    <t>math, probability, cdf, integration</t>
  </si>
  <si>
    <t>PKU 3716</t>
  </si>
  <si>
    <t>math, probability, formula</t>
  </si>
  <si>
    <t>SRM326-D1-1000</t>
  </si>
  <si>
    <t>math, probability, bf, bitmask or greedy</t>
  </si>
  <si>
    <t>UVA 11500</t>
  </si>
  <si>
    <t>math, probability, combinatorics</t>
  </si>
  <si>
    <t>UVA 557</t>
  </si>
  <si>
    <t>math, probability, combinatronics, [https://github.com/ahmedsamir221/CompetitiveProgramming/blob/master/UVA/UVA%20557.cpp]</t>
  </si>
  <si>
    <t>math, probability, factorial, logarithm, catlan, reflection principle, [solve first SPOJ FUNPROB]</t>
  </si>
  <si>
    <t>SRM243-D1-500</t>
  </si>
  <si>
    <t>math, probability, bf, simulation</t>
  </si>
  <si>
    <t>SPOJ FUNPROB</t>
  </si>
  <si>
    <t>math, probability, formula, catalan, [https://github.com/ZeyadKhattab/Competitive-Programming/blob/master/Spoj/SPOJ%20FUNPROB.java]</t>
  </si>
  <si>
    <t>SRM285-D1-500</t>
  </si>
  <si>
    <t>math, probability, bf or dp</t>
  </si>
  <si>
    <t>math, probability, bitmasks or dp_probability, [no editorial]</t>
  </si>
  <si>
    <t>math, probability, geometry or algebra</t>
  </si>
  <si>
    <t>SRM352-D2-1000</t>
  </si>
  <si>
    <t>math, probability, recursion, precision, [hard txt?]</t>
  </si>
  <si>
    <t>math, probability or log, ternary search</t>
  </si>
  <si>
    <t>math, probability, sorting</t>
  </si>
  <si>
    <t>SRM537-D2-1000</t>
  </si>
  <si>
    <t>math, probability, graph, cycle</t>
  </si>
  <si>
    <t>UVA 12461</t>
  </si>
  <si>
    <t>math, probability, greedy, [https://github.com/ahmedsamir221/CompetitiveProgramming/blob/master/UVA/UVA%2012461.cpp]</t>
  </si>
  <si>
    <t>math, probability or dp, [bad statement]</t>
  </si>
  <si>
    <t>LiveArchive 8262</t>
  </si>
  <si>
    <t>math, probability, simulation, [Might not be working on LA (but on CF y)]</t>
  </si>
  <si>
    <t>UVA 12391</t>
  </si>
  <si>
    <t>math, probability, combinatorics, math</t>
  </si>
  <si>
    <t>math, probability, conditional probability</t>
  </si>
  <si>
    <t>UVA 11628</t>
  </si>
  <si>
    <t>math, probability, fraction style, gcd</t>
  </si>
  <si>
    <t>SRM174-D1-250</t>
  </si>
  <si>
    <t>SRM223-D1-250</t>
  </si>
  <si>
    <t>SRM233-D1-250</t>
  </si>
  <si>
    <t>math, probability, fractions style</t>
  </si>
  <si>
    <t>SPOJ BALLSUM</t>
  </si>
  <si>
    <t>math, probability, gcd, counting style</t>
  </si>
  <si>
    <t>UVA 12952</t>
  </si>
  <si>
    <t>UVA 10491</t>
  </si>
  <si>
    <t>math, probability, formula, fraction style</t>
  </si>
  <si>
    <t>UVA 11564</t>
  </si>
  <si>
    <t>math, sieve, prime factorization, crt or fft</t>
  </si>
  <si>
    <t>[93]</t>
  </si>
  <si>
    <t>TJU 1296</t>
  </si>
  <si>
    <t>math, sieve</t>
  </si>
  <si>
    <t>UVA 1181</t>
  </si>
  <si>
    <t>math, sieve, [hard / boring?]</t>
  </si>
  <si>
    <t>UVA 12039</t>
  </si>
  <si>
    <t>math, sieve, binary search</t>
  </si>
  <si>
    <t>UVA 11802</t>
  </si>
  <si>
    <t>math, sieve, counting</t>
  </si>
  <si>
    <t>UVA 12805</t>
  </si>
  <si>
    <t>math, sieve, factorization</t>
  </si>
  <si>
    <t>UVA 12384</t>
  </si>
  <si>
    <t>math, sieve, stack</t>
  </si>
  <si>
    <t>UVA 10956</t>
  </si>
  <si>
    <t>UVA 11490</t>
  </si>
  <si>
    <t>UVA 835</t>
  </si>
  <si>
    <t>math, sieve, dfs</t>
  </si>
  <si>
    <t>UVA 11773</t>
  </si>
  <si>
    <t>UVA 12355</t>
  </si>
  <si>
    <t>UVA 12619</t>
  </si>
  <si>
    <t>UVA 10208</t>
  </si>
  <si>
    <t>math, sieve, factorization, factorial</t>
  </si>
  <si>
    <t>UVA 12119</t>
  </si>
  <si>
    <t>math, sieve, factorization, gcd, lcm</t>
  </si>
  <si>
    <t>SPOJ EASYFACT</t>
  </si>
  <si>
    <t>math, sieve, factorial, factorization</t>
  </si>
  <si>
    <t>UVA 10236</t>
  </si>
  <si>
    <t>math, sieve, fib, [first k digits of a really big number, approximation to Fibonacci as a power., gcd(Fn,Fm) = F(gcd(N,M))]</t>
  </si>
  <si>
    <t>UVA 10914</t>
  </si>
  <si>
    <t>UVA 1434</t>
  </si>
  <si>
    <t>math, sieve, wilson's theorem</t>
  </si>
  <si>
    <t>math, sieve, greedy, constructive, [Genius trick]</t>
  </si>
  <si>
    <t>UVA 10290</t>
  </si>
  <si>
    <t>math, sieve, sieve bitmasks</t>
  </si>
  <si>
    <t>UVA 12216</t>
  </si>
  <si>
    <t>math, sieve, factorization, counting</t>
  </si>
  <si>
    <t>UVA 12716</t>
  </si>
  <si>
    <t>math, sieve, sieve bitmasks, factorization</t>
  </si>
  <si>
    <t>SPOJ POP2</t>
  </si>
  <si>
    <t>math, sieve, prime testing, [SPOJ PRIMPERM is easier]</t>
  </si>
  <si>
    <t>LIVEARCHIVE 4008</t>
  </si>
  <si>
    <t>math, sieve, [last non zero digit of permutations]</t>
  </si>
  <si>
    <t>math, sieve, dp</t>
  </si>
  <si>
    <t>UVA 12005</t>
  </si>
  <si>
    <t>UVA 960</t>
  </si>
  <si>
    <t>math, sieve, factorization, gaussian prime</t>
  </si>
  <si>
    <t>SPOJ DCEPC505</t>
  </si>
  <si>
    <t>math, sieve, palindromes</t>
  </si>
  <si>
    <t>SPOJ PRIMPERM</t>
  </si>
  <si>
    <t>math, sieve, prime testing</t>
  </si>
  <si>
    <t>UVA 12396</t>
  </si>
  <si>
    <t>SPOJ NDIVPHI</t>
  </si>
  <si>
    <t>math, sieve, [is boring? remove from sheet?]</t>
  </si>
  <si>
    <t>SPOJ PAGAIN</t>
  </si>
  <si>
    <t>math, sieve, repeated squaring</t>
  </si>
  <si>
    <t>UVA 11099</t>
  </si>
  <si>
    <t>math, sieve, sieve bitmasks, factorization, backtrack</t>
  </si>
  <si>
    <t>math, sieve, factorization, tricky big # test cases</t>
  </si>
  <si>
    <t>SPOJ FACTCG2</t>
  </si>
  <si>
    <t>UVA 11353</t>
  </si>
  <si>
    <t>UVA 1180</t>
  </si>
  <si>
    <t>SPOJ HARSHAD</t>
  </si>
  <si>
    <t>math, sieve, [direct]</t>
  </si>
  <si>
    <t>UVA 1195</t>
  </si>
  <si>
    <t>SPOJ GCPC11A</t>
  </si>
  <si>
    <t>math, sieve, factorization, divisors</t>
  </si>
  <si>
    <t>UVA 12765</t>
  </si>
  <si>
    <t>SPOJ MAIN12B</t>
  </si>
  <si>
    <t>math, sieve, lcm</t>
  </si>
  <si>
    <t>UVA 11086</t>
  </si>
  <si>
    <t>math, sieve, sieve like</t>
  </si>
  <si>
    <t>SRM388-D2-1000</t>
  </si>
  <si>
    <t>LIVEARCHIVE 2247</t>
  </si>
  <si>
    <t>UVA 12542</t>
  </si>
  <si>
    <t>UVA 12802</t>
  </si>
  <si>
    <t>math, sieve, bfs, [=spoj ppath]</t>
  </si>
  <si>
    <t>UVA 12218</t>
  </si>
  <si>
    <t>math, sieve, bitmasks, bf</t>
  </si>
  <si>
    <t>UVA 897</t>
  </si>
  <si>
    <t>math, sieve, generate</t>
  </si>
  <si>
    <t>UVA 11226</t>
  </si>
  <si>
    <t>math, sieve, modified sieve</t>
  </si>
  <si>
    <t>UVA 1210</t>
  </si>
  <si>
    <t>UVA 1644</t>
  </si>
  <si>
    <t>LIVEARCHIVE 4735</t>
  </si>
  <si>
    <t>TJU 2869</t>
  </si>
  <si>
    <t>math, extended gcd</t>
  </si>
  <si>
    <t>[94]</t>
  </si>
  <si>
    <t>math, extended gcd, geometry</t>
  </si>
  <si>
    <t>math, extended gcd, totient</t>
  </si>
  <si>
    <t>UVA 10090</t>
  </si>
  <si>
    <t>UVA 10225</t>
  </si>
  <si>
    <t>math, extended gcd, logarithm, [avoid - baby-step giant-step algorithm]</t>
  </si>
  <si>
    <t>UVA 10104</t>
  </si>
  <si>
    <t>UVA 10673</t>
  </si>
  <si>
    <t>math, extended gcd or gcd, simple math</t>
  </si>
  <si>
    <t>UVA 12636</t>
  </si>
  <si>
    <t>math, diophantine, arithmetic</t>
  </si>
  <si>
    <t>[95]</t>
  </si>
  <si>
    <t>SPOJ DPEQN</t>
  </si>
  <si>
    <t>math, diophantine, extended gcd, mod congruences</t>
  </si>
  <si>
    <t>math, diophantine</t>
  </si>
  <si>
    <t>UVA 11768</t>
  </si>
  <si>
    <t>math, diophantine, extended gcd, lattice points, impl, [~=SGU 106]</t>
  </si>
  <si>
    <t>math, diophantine, extended gcd, mod congruences, dsu, [solve LightOJ 1306 first], [https://github.com/MetalBall887/Competitive-Programming/blob/master/UVA/UVA%20718.cpp]</t>
  </si>
  <si>
    <t>math, diophantine, extended gcd or number theory, [unclear, boring]</t>
  </si>
  <si>
    <t>LightOJ 1306</t>
  </si>
  <si>
    <t>math, diophantine, extended gcd</t>
  </si>
  <si>
    <t>SRM385-D2-1000</t>
  </si>
  <si>
    <t xml:space="preserve">math, mod inv, combinatorics, geometric progression </t>
  </si>
  <si>
    <t>[96]</t>
  </si>
  <si>
    <t>math, mod inv, factorial inv</t>
  </si>
  <si>
    <t>math, mod inv, factorial inv, catlan</t>
  </si>
  <si>
    <t>math, mod inv, factorial inv, combinatorics</t>
  </si>
  <si>
    <t>SRM573-D1-1000</t>
  </si>
  <si>
    <t>math, mod inv, Manhattan2DRotation, [For rotation trick, solve CF124-D2-D first]</t>
  </si>
  <si>
    <t>SPOJ SKEY</t>
  </si>
  <si>
    <t>math, mod inv, summations, powers sum, [Author=Mostafa]</t>
  </si>
  <si>
    <t>math, mod inv, factorial, dp_counting</t>
  </si>
  <si>
    <t>UVA 12749</t>
  </si>
  <si>
    <t>math, mod inv, counting</t>
  </si>
  <si>
    <t>math, mod inv, factorial</t>
  </si>
  <si>
    <t>math, mod inv, [permutations as functions], [group theory helps understanding editorial]</t>
  </si>
  <si>
    <t>SPOJ POWPOW</t>
  </si>
  <si>
    <t>math, mod inv, factorial, crt</t>
  </si>
  <si>
    <t>SPOJ hc12</t>
  </si>
  <si>
    <t>math, mod inv</t>
  </si>
  <si>
    <t>UVA 10951</t>
  </si>
  <si>
    <t>UVA 11904</t>
  </si>
  <si>
    <t>math, mod inv, crt</t>
  </si>
  <si>
    <t>UVA 11754</t>
  </si>
  <si>
    <t>math, mod inv, crt, search</t>
  </si>
  <si>
    <t>math, mod inv, probability</t>
  </si>
  <si>
    <t>math, mod inv, crt, euler, big pow mod</t>
  </si>
  <si>
    <t>math, mod inv, probability, combinatorics</t>
  </si>
  <si>
    <t>TIMUS 1554</t>
  </si>
  <si>
    <t>math, mod inv, extended gcd</t>
  </si>
  <si>
    <t>math, mod inv, inclusion-execulsion</t>
  </si>
  <si>
    <t>math, mod inv, summations, combinatorics or Vandermonde's identity</t>
  </si>
  <si>
    <t>math, mod inv, factorials, combinatorics, [independence property]</t>
  </si>
  <si>
    <t>SRM735-D1-500</t>
  </si>
  <si>
    <t>math, mod inv, [easier version Timus 1132]</t>
  </si>
  <si>
    <t>SPOJ DIVEQL</t>
  </si>
  <si>
    <t>math, mod inv, gcd</t>
  </si>
  <si>
    <t>SPOJ KOPC12B</t>
  </si>
  <si>
    <t>math, mod inv, combinations, pattern</t>
  </si>
  <si>
    <t>math, mod inv, combinatorics</t>
  </si>
  <si>
    <t>math, mod inv, combinatorics, impl</t>
  </si>
  <si>
    <t>math, mod inv, factorization, gcd, lcm, observations</t>
  </si>
  <si>
    <t>LIVEARCHIVE 4506</t>
  </si>
  <si>
    <t>math, mod inv, dp, combinations</t>
  </si>
  <si>
    <t>math, mod inv or ad-hoc math</t>
  </si>
  <si>
    <t>math, mod inv, combinatorics, binomial coefficients, [independency property]</t>
  </si>
  <si>
    <t>SRM467-D1-500</t>
  </si>
  <si>
    <t>math, mod inv, fermat's little theorem</t>
  </si>
  <si>
    <t>TIMUS 1204</t>
  </si>
  <si>
    <t>math, mod inv, primes, crt</t>
  </si>
  <si>
    <t>LIVEARCHIVE 5990</t>
  </si>
  <si>
    <t>math, mod inv, factorial inv or permutation</t>
  </si>
  <si>
    <t>TIMUS 1673</t>
  </si>
  <si>
    <t>math, totient, impl</t>
  </si>
  <si>
    <t>[97]</t>
  </si>
  <si>
    <t>math, totient, observations</t>
  </si>
  <si>
    <t>math, totient, inclusion-exclusion, [atmost-exact]</t>
  </si>
  <si>
    <t>UVA 10837</t>
  </si>
  <si>
    <t>math, totient, primes, search, [~=UVA 11073]</t>
  </si>
  <si>
    <t>LIVEARCHIVE 3343</t>
  </si>
  <si>
    <t>math, totient, power tower, [misc approaches such ad-hoc, crt]</t>
  </si>
  <si>
    <t>SRM283-D1-500</t>
  </si>
  <si>
    <t>math, totient, power tower, [factorial]</t>
  </si>
  <si>
    <t>UVA 10692</t>
  </si>
  <si>
    <t>math, totient, power tower</t>
  </si>
  <si>
    <t>SPOJ MSE08H</t>
  </si>
  <si>
    <t>math, totient, [hard to /no proof]</t>
  </si>
  <si>
    <t>UVA 11317</t>
  </si>
  <si>
    <t>math, totient, dp</t>
  </si>
  <si>
    <t>UVA 12799</t>
  </si>
  <si>
    <t>math, totient, mod inv</t>
  </si>
  <si>
    <t>math, totient, power tower, edge cases, [simiar to LIVEARCHIVE 3343]</t>
  </si>
  <si>
    <t>UVA 11440</t>
  </si>
  <si>
    <t>math, totient, sieve, mod inv</t>
  </si>
  <si>
    <t>UVA 12493</t>
  </si>
  <si>
    <t>math, totient</t>
  </si>
  <si>
    <t>TIMUS 1456</t>
  </si>
  <si>
    <t>math, totient, sieve</t>
  </si>
  <si>
    <t>UVA 10990</t>
  </si>
  <si>
    <t>UVA 11426</t>
  </si>
  <si>
    <t>math, totient, [=SPOJ GCDEX]</t>
  </si>
  <si>
    <t>UVA 12425</t>
  </si>
  <si>
    <t>math, totient, sieve, factorization</t>
  </si>
  <si>
    <t>UVA 10820</t>
  </si>
  <si>
    <t>SPOJ LCMSUM</t>
  </si>
  <si>
    <t>UVA 10179</t>
  </si>
  <si>
    <t>math, totient, [cases]</t>
  </si>
  <si>
    <t>UVA 11424</t>
  </si>
  <si>
    <t>math, totient, sieve, sums, gcd</t>
  </si>
  <si>
    <t>SPOJ DCEPCA03</t>
  </si>
  <si>
    <t>UVA 10299</t>
  </si>
  <si>
    <t>TJU 3300</t>
  </si>
  <si>
    <t>UVA 11327</t>
  </si>
  <si>
    <t>SPOJ GCDEX2</t>
  </si>
  <si>
    <t>math, mobius, mobius inversion, [solve UVA 11426 first]</t>
  </si>
  <si>
    <t>[98]</t>
  </si>
  <si>
    <t>math, mobius, mobius inversion, inclusion-exclusion</t>
  </si>
  <si>
    <t>math, mobius, mobius inversion, [lcm pairs]</t>
  </si>
  <si>
    <t>LIVEARCHIVE 4184</t>
  </si>
  <si>
    <t>math, mobius</t>
  </si>
  <si>
    <t>math, mobius, inclusion-exclusion</t>
  </si>
  <si>
    <t>math, mobius, inclusion-exclusion or dp_counting or pattern, [generalized stars and bars]</t>
  </si>
  <si>
    <t>LIVEARCHIVE 2116</t>
  </si>
  <si>
    <t>LIVEARCHIVE 2729</t>
  </si>
  <si>
    <t>math, numerical analysis, integration, simpson, ellipse</t>
  </si>
  <si>
    <t>[99]</t>
  </si>
  <si>
    <t>LIVEARCHIVE 3001</t>
  </si>
  <si>
    <t>math, numerical analysis, simpson</t>
  </si>
  <si>
    <t>UVA 1356</t>
  </si>
  <si>
    <t>math, numerical analysis, integration</t>
  </si>
  <si>
    <t>SPOJ CERC07W</t>
  </si>
  <si>
    <t>math, numerical analysis, teranry search, simpson, teranry search</t>
  </si>
  <si>
    <t>Amr Samir Solved</t>
  </si>
  <si>
    <t>SPOJ CIVIL</t>
  </si>
  <si>
    <t>math, numerical analysis, integration or ternary search</t>
  </si>
  <si>
    <t>SPOJ ORZ</t>
  </si>
  <si>
    <t>math, numerical analysis, integration, simpson</t>
  </si>
  <si>
    <t>UVA 10341</t>
  </si>
  <si>
    <t>math, numerical analysis, binary search or bisection, root finding</t>
  </si>
  <si>
    <t>UVA 10668</t>
  </si>
  <si>
    <t>math, numerical analysis, binary search, circles</t>
  </si>
  <si>
    <t>string processing, trie</t>
  </si>
  <si>
    <t>[101]</t>
  </si>
  <si>
    <t>SRM490-D1-500</t>
  </si>
  <si>
    <t>string processing, trie or dp, long code</t>
  </si>
  <si>
    <t>UVA 13186</t>
  </si>
  <si>
    <t>string processing, trie, bitset</t>
  </si>
  <si>
    <t>UVA 1113</t>
  </si>
  <si>
    <t>string processing, trie, merge nodes, dp</t>
  </si>
  <si>
    <t>string processing, trie, lca, xor, [path with max xor]</t>
  </si>
  <si>
    <t>LIVEARCHIVE 5792</t>
  </si>
  <si>
    <t>string processing, trie, dfs on trie, counting</t>
  </si>
  <si>
    <t>string processing, trie, persistance</t>
  </si>
  <si>
    <t>string processing, trie, dp</t>
  </si>
  <si>
    <t>string processing, trie, xor or sqrt decomposition</t>
  </si>
  <si>
    <t>SPOJ PRHYME</t>
  </si>
  <si>
    <t>string processing, trie, dp or ad-hoc</t>
  </si>
  <si>
    <t>string processing, trie, parity, [tricky]</t>
  </si>
  <si>
    <t>LIVEARCHIVE 4054</t>
  </si>
  <si>
    <t>string processing, trie or ad-hoc</t>
  </si>
  <si>
    <t>Don't implement as ad-hoc/greedy/Pure STL. Use a data structure.</t>
  </si>
  <si>
    <t>UVA 12506</t>
  </si>
  <si>
    <t>SPOJ TAP2012D</t>
  </si>
  <si>
    <t>string processing, trie or segment tree</t>
  </si>
  <si>
    <t>UVA 10745</t>
  </si>
  <si>
    <t>string processing, trie or X algo</t>
  </si>
  <si>
    <t>string processing, trie with maps, dp</t>
  </si>
  <si>
    <t>PKU 3764</t>
  </si>
  <si>
    <t>string processing, trie, tree, bitmasks, impl, [TLE]</t>
  </si>
  <si>
    <t>string processing, trie, persistent or segment tree, persistent, Mo's algo</t>
  </si>
  <si>
    <t>string processing, trie or impl</t>
  </si>
  <si>
    <t>string processing, trie, bit</t>
  </si>
  <si>
    <t>LiveArchive 4682</t>
  </si>
  <si>
    <t>string processing, trie, game theory</t>
  </si>
  <si>
    <t>LiveArchive 8015</t>
  </si>
  <si>
    <t>string processing, trie, recursion</t>
  </si>
  <si>
    <t>UVA 10999</t>
  </si>
  <si>
    <t>string processing, trie or bf</t>
  </si>
  <si>
    <t>string processing, trie, [xor]</t>
  </si>
  <si>
    <t>string processing, trie or rolling hash</t>
  </si>
  <si>
    <t>string processing, trie, bitmasks</t>
  </si>
  <si>
    <t>SPOJ MORSE</t>
  </si>
  <si>
    <t>string processing, trie, dp or dp</t>
  </si>
  <si>
    <t>UVA 1401</t>
  </si>
  <si>
    <t>string processing, trie, dp, [optimization]</t>
  </si>
  <si>
    <t>SPOJ ADAINDEX</t>
  </si>
  <si>
    <t>UVA 12333</t>
  </si>
  <si>
    <t>UVA 12890</t>
  </si>
  <si>
    <t>SRM330-D1-500</t>
  </si>
  <si>
    <t>string processing, trie or dp</t>
  </si>
  <si>
    <t>SPOJ SUBXOR</t>
  </si>
  <si>
    <t>string processing, trie, greedy</t>
  </si>
  <si>
    <t>string processing, trie, trie using map, pretty print trie, fast cin</t>
  </si>
  <si>
    <t>CF860-D1-B</t>
  </si>
  <si>
    <t>string processing, trie or bf, unordered_map/set</t>
  </si>
  <si>
    <t>UVA 11488</t>
  </si>
  <si>
    <t>UVA 1590</t>
  </si>
  <si>
    <t>string processing, trie, bitmasks or bf</t>
  </si>
  <si>
    <t>TJU 3753</t>
  </si>
  <si>
    <t>SPOJ CPATTERN</t>
  </si>
  <si>
    <t>string processing, kmp or bit</t>
  </si>
  <si>
    <t>[102]</t>
  </si>
  <si>
    <t>SPOJ UNTITLED</t>
  </si>
  <si>
    <t>string processing, kmp or ad-hoc</t>
  </si>
  <si>
    <t>string processing, kmp or z-algo</t>
  </si>
  <si>
    <t>TIMUS 1861</t>
  </si>
  <si>
    <t>string processing, kmp, dp, ??</t>
  </si>
  <si>
    <t>SPOJ ANARC08C</t>
  </si>
  <si>
    <t>string processing, kmp, impl, [memory?]</t>
  </si>
  <si>
    <t>string processing, kmp, math or z-algo</t>
  </si>
  <si>
    <t>string processing, kmp, dp</t>
  </si>
  <si>
    <t>string processing, kmp, dp or z-algo, prefix sum</t>
  </si>
  <si>
    <t>UVA 12785</t>
  </si>
  <si>
    <t>string processing, kmp</t>
  </si>
  <si>
    <t>UVA 12040</t>
  </si>
  <si>
    <t>string processing, kmp, dp or segment tree</t>
  </si>
  <si>
    <t>LIVEARCHIVE 6029</t>
  </si>
  <si>
    <t>string processing, kmp, dp, [https://github.com/goswami-rahul/competitive-coding/blob/master/CompetitiveProgramming/livearchive/6029.cpp]</t>
  </si>
  <si>
    <t>SPOJ EMOTICON</t>
  </si>
  <si>
    <t>string processing, kmp or aho_corasick, dp</t>
  </si>
  <si>
    <t>string processing, kmp or z-function</t>
  </si>
  <si>
    <t>string processing, kmp, bitmask</t>
  </si>
  <si>
    <t>UVA 12467</t>
  </si>
  <si>
    <t>UVA 11475</t>
  </si>
  <si>
    <t>string processing, kmp or rolling hash</t>
  </si>
  <si>
    <t>SRM401-D2-1000</t>
  </si>
  <si>
    <t>string processing, kmp, period</t>
  </si>
  <si>
    <t>string processing, kmp. bf</t>
  </si>
  <si>
    <t>string processing, kmp, constructive</t>
  </si>
  <si>
    <t>string processing, kmp or z-function, [~CF127-D2-D]</t>
  </si>
  <si>
    <t>TIMUS 1684</t>
  </si>
  <si>
    <t>UVA 12012</t>
  </si>
  <si>
    <t>UVA 11888</t>
  </si>
  <si>
    <t>string processing, kmp or z-function or suffix array</t>
  </si>
  <si>
    <t>SPOJ PSTRING</t>
  </si>
  <si>
    <t>string processing, kmp,dp or aho_corasic, dp</t>
  </si>
  <si>
    <t>string processing, kmp, period max or suffix array</t>
  </si>
  <si>
    <t>SPOJ ARDA1</t>
  </si>
  <si>
    <t>string processing, kmp or bf</t>
  </si>
  <si>
    <t>Don't implement as ad-hoc/greedy/Pure STL. Use algorithm</t>
  </si>
  <si>
    <t>SPOJ VPALIN</t>
  </si>
  <si>
    <t>string processing, kmp, period or rolling hash</t>
  </si>
  <si>
    <t>UVA 12604</t>
  </si>
  <si>
    <t>SPOJ QUERYSTR</t>
  </si>
  <si>
    <t>CF93-D1-B</t>
  </si>
  <si>
    <t>LIVEARCHIVE 3026</t>
  </si>
  <si>
    <t>SPOJ CF25E</t>
  </si>
  <si>
    <t>SPOJ EPALIN</t>
  </si>
  <si>
    <t>TJU 3512</t>
  </si>
  <si>
    <t>SPOJ NAJPF</t>
  </si>
  <si>
    <t>UVA 10298</t>
  </si>
  <si>
    <t>UVA 10679</t>
  </si>
  <si>
    <t>string processing, kmp or suffix array or aho_corasick, pattern search or suffix automat</t>
  </si>
  <si>
    <t>string processing, kmp, [find words positions]</t>
  </si>
  <si>
    <t>UVA 11019</t>
  </si>
  <si>
    <t>string processing, kmp, 2d</t>
  </si>
  <si>
    <t>SPOJ FILRTEST</t>
  </si>
  <si>
    <t>string processing, kmp, period max</t>
  </si>
  <si>
    <t>string processing, kmp, [count word frequency]</t>
  </si>
  <si>
    <t>string processing, aho_corasick, dp, [classic, Aho-Corasick automaton (ACA)]</t>
  </si>
  <si>
    <t>[103]</t>
  </si>
  <si>
    <t>TJU 3301</t>
  </si>
  <si>
    <t>string processing, aho_corasick</t>
  </si>
  <si>
    <t>UVA 10975</t>
  </si>
  <si>
    <t>UVA 11171</t>
  </si>
  <si>
    <t>UVA 11468</t>
  </si>
  <si>
    <t>string processing, aho_corasick, dp, matrix pow</t>
  </si>
  <si>
    <t>string processing, aho_corasick, dp</t>
  </si>
  <si>
    <t>UVA 12886</t>
  </si>
  <si>
    <t>UVA 11590</t>
  </si>
  <si>
    <t>string processing, aho_corasick or trie</t>
  </si>
  <si>
    <t>UVA 10835</t>
  </si>
  <si>
    <t>string processing, aho_corasick, dp, [solve first SPOJ DNALAB]</t>
  </si>
  <si>
    <t>SPOJ AHOCUR</t>
  </si>
  <si>
    <t>string processing, aho_corasick, dp, level?</t>
  </si>
  <si>
    <t>SPOJ ADAJOBS</t>
  </si>
  <si>
    <t>string processing, aho_corasick, level?</t>
  </si>
  <si>
    <t>SPOJ WPUZZLES</t>
  </si>
  <si>
    <t>string processing, aho_corasick, impl</t>
  </si>
  <si>
    <t>UVA 12244</t>
  </si>
  <si>
    <t>string processing, aho_corasick or suffix array or ad-hoc</t>
  </si>
  <si>
    <t>LIVEARCHIVE 5064</t>
  </si>
  <si>
    <t>TIMUS 1269</t>
  </si>
  <si>
    <t>UVA 1449</t>
  </si>
  <si>
    <t>string processing, aho_corasick or AC Automta</t>
  </si>
  <si>
    <t>UVA 736</t>
  </si>
  <si>
    <t>string processing, aho_corasick or ad-hoc</t>
  </si>
  <si>
    <t>SRM519-D1-500</t>
  </si>
  <si>
    <t>SRM557-D2-1000</t>
  </si>
  <si>
    <t>string processing, aho_corasick, dp or kmp, dp</t>
  </si>
  <si>
    <t>SPOJ SUB_PROB</t>
  </si>
  <si>
    <t>string processing, aho_corasick or suffix array</t>
  </si>
  <si>
    <t>string processing, suffix array, segment tree, dp, two pointers, observations</t>
  </si>
  <si>
    <t>[104]</t>
  </si>
  <si>
    <t>string processing, suffix array or suffix automaton</t>
  </si>
  <si>
    <t>string processing, suffix array</t>
  </si>
  <si>
    <t>SPOJ COT4</t>
  </si>
  <si>
    <t>SPOJ STRSOCU</t>
  </si>
  <si>
    <t>string processing, suffix array or aho_corasick</t>
  </si>
  <si>
    <t>string processing, suffix array or aho_corasick or suffix Automaton</t>
  </si>
  <si>
    <t>string processing, suffix array, lcp, [reduce tree to strings]</t>
  </si>
  <si>
    <t>SPOJ TWICE</t>
  </si>
  <si>
    <t>string processing, suffix array or aho_corasic or ad-hoc</t>
  </si>
  <si>
    <t>LiveArchive 6856</t>
  </si>
  <si>
    <t>LiveArchive 7701</t>
  </si>
  <si>
    <t>string processing, suffix array, rmq</t>
  </si>
  <si>
    <t>LiveArchive 8086</t>
  </si>
  <si>
    <t>string processing, suffix array, rmq, bs</t>
  </si>
  <si>
    <t>string processing, suffix array, rmq, set</t>
  </si>
  <si>
    <t>string processing, suffix array, segment tree</t>
  </si>
  <si>
    <t>SPOJ NSUBSTR2</t>
  </si>
  <si>
    <t>string processing, suffix array, [actually Suffix Automat]</t>
  </si>
  <si>
    <t>UVA 10829</t>
  </si>
  <si>
    <t>string processing, suffix array, lcp</t>
  </si>
  <si>
    <t>UVA 12359</t>
  </si>
  <si>
    <t>string processing, suffix array, recheck</t>
  </si>
  <si>
    <t>string processing, suffix array, suffix tree or suffix automata, dp</t>
  </si>
  <si>
    <t>ACMWF19-G</t>
  </si>
  <si>
    <t>UVA 10526</t>
  </si>
  <si>
    <t>string processing, suffix array, binary search</t>
  </si>
  <si>
    <t>Coach doc</t>
  </si>
  <si>
    <t>UVA 10580</t>
  </si>
  <si>
    <t>LIVEARCHIVE 5794</t>
  </si>
  <si>
    <t>string processing, suffix array, lcp, rmq</t>
  </si>
  <si>
    <t>string processing, suffix array, rmq, dp</t>
  </si>
  <si>
    <t>string processing, suffix array, dp or suffix trie</t>
  </si>
  <si>
    <t>string processing, suffix array, rmq or suffix automaton</t>
  </si>
  <si>
    <t>LiveArchive 7702</t>
  </si>
  <si>
    <t>string processing, suffix array or kmp or suffix automaton or z-algo, impl, [=822E]</t>
  </si>
  <si>
    <t>string processing, suffix array, dp</t>
  </si>
  <si>
    <t>UVA 10234</t>
  </si>
  <si>
    <t>string processing, suffix array, frequent substrings</t>
  </si>
  <si>
    <t>string processing, suffix array, Kth lexographical substring or impl</t>
  </si>
  <si>
    <t>SPOJ JZPGYZ</t>
  </si>
  <si>
    <t>string processing, suffix array, segment tree or aho_corasick</t>
  </si>
  <si>
    <t>UVA 11017</t>
  </si>
  <si>
    <t>UVA 11107</t>
  </si>
  <si>
    <t>string processing, suffix array, lcp, binary search or rmq or rolling hash, [=LIVEARCHIVE 3628, SRM187-D1-1000, LIVEARCHIVE 4513]</t>
  </si>
  <si>
    <t>SPOJ LPS</t>
  </si>
  <si>
    <t>string processing, suffix array, lcp or rolling hash or Manacher</t>
  </si>
  <si>
    <t>SPOJ LONGCS</t>
  </si>
  <si>
    <t>string processing, suffix array, lcp, LCS k substrings, [UVA 760, TIMUS 1517]</t>
  </si>
  <si>
    <t>SPOJ PHRASES</t>
  </si>
  <si>
    <t>UVA 11512</t>
  </si>
  <si>
    <t>string processing, suffix array, lcp or datastructures or trie</t>
  </si>
  <si>
    <t>SPOJ REPEATS</t>
  </si>
  <si>
    <t>string processing, suffix array, rmq or rolling hash</t>
  </si>
  <si>
    <t>SPOJ MINMOVE</t>
  </si>
  <si>
    <t>string processing, suffix array, lcp, smallest rotation or ad-hoc, [nlogn^2 give tle, =UVA 719, UVA 1314, LIVEARCHIVE 2755, SPOJ BEADS]</t>
  </si>
  <si>
    <t>SPOJ SUBLEX</t>
  </si>
  <si>
    <t>string processing, suffix array, lcp, dp or suffix automaton or ad-hoc, [It is solvable using DP in O(n^2), suffix automaton solution runs in O(n)]</t>
  </si>
  <si>
    <t>SPOJ SUBST1</t>
  </si>
  <si>
    <t>string processing, suffix array, lcp, distinct substrings</t>
  </si>
  <si>
    <t>UVA 11576</t>
  </si>
  <si>
    <t>string processing, suffix array or kmp or ad-hoc</t>
  </si>
  <si>
    <t>string processing, rolling hash, binary lifting, binary search</t>
  </si>
  <si>
    <t>[105]</t>
  </si>
  <si>
    <t>string processing, rolling hash or or manachar’s agorithm, [number of palindromes]</t>
  </si>
  <si>
    <t>string processing, rolling hash, impl or kmp or z-algo</t>
  </si>
  <si>
    <t>string processing, rolling hash, dp</t>
  </si>
  <si>
    <t>string processing, rolling hash, greedy, binary search</t>
  </si>
  <si>
    <r>
      <rPr>
        <sz val="10"/>
        <color theme="1"/>
        <rFont val="arial,sans,sans-serif"/>
      </rPr>
      <t xml:space="preserve">string processing, rolling hash, two pointer, </t>
    </r>
    <r>
      <rPr>
        <b/>
        <sz val="10"/>
        <color theme="1"/>
        <rFont val="arial,sans,sans-serif"/>
      </rPr>
      <t>impl</t>
    </r>
    <r>
      <rPr>
        <sz val="10"/>
        <color theme="1"/>
        <rFont val="arial,sans,sans-serif"/>
      </rPr>
      <t xml:space="preserve"> or manachar’s agorithm, [Longest Palindromic Sub-string]</t>
    </r>
  </si>
  <si>
    <t>string processing, rolling hash</t>
  </si>
  <si>
    <t>string processing, rolling hash, math</t>
  </si>
  <si>
    <t>TIMUS 1713</t>
  </si>
  <si>
    <t>string processing, rolling hash or suffix array</t>
  </si>
  <si>
    <t>string processing, rolling hash or suffix array or dp</t>
  </si>
  <si>
    <t>string processing, rolling hash, mo's algorithm</t>
  </si>
  <si>
    <t>SPOJ PLD</t>
  </si>
  <si>
    <t>string processing, rolling hash, longest palindrome or manacher algo</t>
  </si>
  <si>
    <t>SPOJ ELCS</t>
  </si>
  <si>
    <t>SPOJ ADACLEAN</t>
  </si>
  <si>
    <t>bbst, link-cut tree</t>
  </si>
  <si>
    <t>[106]</t>
  </si>
  <si>
    <t>bbst, treap persistent or avl, persistent or ad-hoc, cycle</t>
  </si>
  <si>
    <t>UVA 11688</t>
  </si>
  <si>
    <t>bbst, bbst like operations</t>
  </si>
  <si>
    <t>bbst, treap or iterative segment tree, grid compress [Errichto stream]</t>
  </si>
  <si>
    <t>UVA 11922</t>
  </si>
  <si>
    <t>bbst, splay tree, ??</t>
  </si>
  <si>
    <t>bbst, link-cut tree or mo's algorithm, dsu</t>
  </si>
  <si>
    <t>bbst, splay tree or link/cut trees or cartesian tre, [forest edges insert/delete]</t>
  </si>
  <si>
    <t>SPOJ IITWPC4D</t>
  </si>
  <si>
    <t>bbst, treap or segment tree</t>
  </si>
  <si>
    <t>bbst, treap, binary search</t>
  </si>
  <si>
    <t>SPOJ MEANARR</t>
  </si>
  <si>
    <t>bbst, treap or bit</t>
  </si>
  <si>
    <t>UVA 11996</t>
  </si>
  <si>
    <t>bbst, splay tree</t>
  </si>
  <si>
    <t>SPOJ DYNACON1</t>
  </si>
  <si>
    <t>bbst, splay tree or link-cut tree</t>
  </si>
  <si>
    <t>bbst, treap</t>
  </si>
  <si>
    <t>bbst, treap, impl, offline query answering or policy-based-datastructures or segment tree</t>
  </si>
  <si>
    <t>SPOJ CERC07S</t>
  </si>
  <si>
    <t xml:space="preserve">bbst, treap, segment tree, lazy or splay tree </t>
  </si>
  <si>
    <t>SPOJ GSS6</t>
  </si>
  <si>
    <t>bbst, treap or splay tree or avl tree, [solve GSS3 first], [Conceptually very easy and classical problem but some trick in treap]</t>
  </si>
  <si>
    <t>SPOJ SEQ2</t>
  </si>
  <si>
    <t>UVA 12538</t>
  </si>
  <si>
    <t>UVA 1479</t>
  </si>
  <si>
    <t>bbst, treap, [direct]</t>
  </si>
  <si>
    <t>UVA 12003</t>
  </si>
  <si>
    <t>bbst, treap, impl</t>
  </si>
  <si>
    <t>bbst, treaps</t>
  </si>
  <si>
    <t>SPOJ TWIST</t>
  </si>
  <si>
    <t>SPOJ ADAAPHID</t>
  </si>
  <si>
    <t>SPOJ HEAPULM</t>
  </si>
  <si>
    <t>bbst, treap or cartesian tree or order-statistic tree</t>
  </si>
  <si>
    <t>SPOJ KOILINE</t>
  </si>
  <si>
    <t>bbst, treap, [Iterate from back — get+remove]</t>
  </si>
  <si>
    <t>SPOJ QMAX3VN</t>
  </si>
  <si>
    <t>bbst, treap or avl or splay tree</t>
  </si>
  <si>
    <t>bbst, treap or Indexable skiplist</t>
  </si>
  <si>
    <t>mo's algorithm</t>
  </si>
  <si>
    <t>[107]</t>
  </si>
  <si>
    <t>HDU 4385</t>
  </si>
  <si>
    <t>HDU 4638</t>
  </si>
  <si>
    <t>HDU 5145</t>
  </si>
  <si>
    <t>HDU 5213</t>
  </si>
  <si>
    <t>HDU 5381</t>
  </si>
  <si>
    <t>LightOJ 1339</t>
  </si>
  <si>
    <t>mo's algorithm or segment tree</t>
  </si>
  <si>
    <t>mo's algorithm, segment tree, euler tour on tree, long impl, [Strict TLE]</t>
  </si>
  <si>
    <t xml:space="preserve">mo's algorithm, [solve first SPOJ DQUERY] </t>
  </si>
  <si>
    <t>SPOJ COT2</t>
  </si>
  <si>
    <t>mo's algorithm on tree or graph, hld, lca</t>
  </si>
  <si>
    <t>mo's algorithm or wavelt tree or d&amp;c, [mo needs constant optimization]</t>
  </si>
  <si>
    <t>See Editorial comments for other ways.</t>
  </si>
  <si>
    <t>mo's algorithm, [strict time, inline trick]</t>
  </si>
  <si>
    <t>mo's algorithm, suffix array or graph, dsu-on-trees or centroid-decomposition, impl</t>
  </si>
  <si>
    <t>mo's algorithm, compress</t>
  </si>
  <si>
    <t>mo's algorithm, [strict time/mem], [~=CODECHEF QCHEF]</t>
  </si>
  <si>
    <t>SPOJ DCEPCA09</t>
  </si>
  <si>
    <t>mo's algorithm, order-statistic tree, median</t>
  </si>
  <si>
    <t>mo's algorithm, trees, dfs or dsu-on-trees or datastructure, [small-to-large]</t>
  </si>
  <si>
    <t>mo's algorithm or bit or sqrt decomposition or datastructures</t>
  </si>
  <si>
    <t>SPOJ CPAIR2</t>
  </si>
  <si>
    <t>mo's algorithm, bit</t>
  </si>
  <si>
    <t>mo's algorithm, bit, [count inversion]</t>
  </si>
  <si>
    <t>SPOJ RACETIME</t>
  </si>
  <si>
    <t>mo's algorithm or segment tree or sqrt decomposition, treap</t>
  </si>
  <si>
    <t>SPOJ KDOMINO</t>
  </si>
  <si>
    <t>SPOJ DQUERY</t>
  </si>
  <si>
    <t>mo's algorithm or segment tree persistence or bit or ad-hoc, [# of distinct in range, standard to learn MO]</t>
  </si>
  <si>
    <t>LIVEARCHIVE 2945</t>
  </si>
  <si>
    <t>bst, impl</t>
  </si>
  <si>
    <t>[108]</t>
  </si>
  <si>
    <t>UVA 12942</t>
  </si>
  <si>
    <t>bst, expression parsing, postfix parsing</t>
  </si>
  <si>
    <t>bst, math or dp_trees</t>
  </si>
  <si>
    <t>UVA 11147</t>
  </si>
  <si>
    <t>bst</t>
  </si>
  <si>
    <t>SRM319-D1-500</t>
  </si>
  <si>
    <t>bst, greedy, combinatorics or dp</t>
  </si>
  <si>
    <t>LIVEARCHIVE 7578</t>
  </si>
  <si>
    <t>bst, analysis</t>
  </si>
  <si>
    <t>impl, binary search</t>
  </si>
  <si>
    <t>[109]</t>
  </si>
  <si>
    <t>impl, constructive</t>
  </si>
  <si>
    <t>impl, math, bitmasks, [NO editorial]</t>
  </si>
  <si>
    <t>impl</t>
  </si>
  <si>
    <t>impl, greedy</t>
  </si>
  <si>
    <t>impl, math, cases, no editoiral, ignore?</t>
  </si>
  <si>
    <t>impl, observations</t>
  </si>
  <si>
    <t>impl, fib</t>
  </si>
  <si>
    <t>impl, greedy, math</t>
  </si>
  <si>
    <t>impl, datastructures</t>
  </si>
  <si>
    <t>impl, game theory</t>
  </si>
  <si>
    <t>LIVEARCHIVE 4118</t>
  </si>
  <si>
    <t>impl, bf</t>
  </si>
  <si>
    <t>impl, domain specific, think to simplify</t>
  </si>
  <si>
    <t>UVA 181</t>
  </si>
  <si>
    <t>impl, 52 card game</t>
  </si>
  <si>
    <t>impl, greedy, game theory, [direct, tricky impl]</t>
  </si>
  <si>
    <t>SRM335-D1-1000</t>
  </si>
  <si>
    <t>LIVEARCHIVE 2997</t>
  </si>
  <si>
    <t>impl, calender</t>
  </si>
  <si>
    <t>UVA 10906</t>
  </si>
  <si>
    <t>impl, expression parsing</t>
  </si>
  <si>
    <t>SRM188-D1-500</t>
  </si>
  <si>
    <t>impl, partial dervatives</t>
  </si>
  <si>
    <t>UVA 10710</t>
  </si>
  <si>
    <t>impl, repeated squaring</t>
  </si>
  <si>
    <t>impl, greedy, datastructures</t>
  </si>
  <si>
    <t>impl. ordered set</t>
  </si>
  <si>
    <t xml:space="preserve">impl, greedy </t>
  </si>
  <si>
    <t>impl or segment tree or bit</t>
  </si>
  <si>
    <t>impl, graph</t>
  </si>
  <si>
    <t>impl, math, [symbolic thinking]</t>
  </si>
  <si>
    <t>SRM311-D1-1000</t>
  </si>
  <si>
    <t>UVA 11660</t>
  </si>
  <si>
    <t>impl, math</t>
  </si>
  <si>
    <t>impl, math, sortings</t>
  </si>
  <si>
    <t>LIVEARCHIVE 7587</t>
  </si>
  <si>
    <t>impl, tricky to impl or bs, greedy</t>
  </si>
  <si>
    <t>UVA 10479</t>
  </si>
  <si>
    <t>impl, ULL</t>
  </si>
  <si>
    <t>TIMUS 1498</t>
  </si>
  <si>
    <t>impl, chess</t>
  </si>
  <si>
    <t>SRM582-D2-1000</t>
  </si>
  <si>
    <t>impl, calculus, pyshics</t>
  </si>
  <si>
    <t>UVA 1115</t>
  </si>
  <si>
    <t>impl, geometry, binary search or datastructures, heap</t>
  </si>
  <si>
    <t>impl, observation</t>
  </si>
  <si>
    <t>impl, pattern</t>
  </si>
  <si>
    <t>impl, sorting</t>
  </si>
  <si>
    <t>ZOJ 2840</t>
  </si>
  <si>
    <t>impl, strings, [WAs]</t>
  </si>
  <si>
    <t>impl, datastructures, [heavy impl]</t>
  </si>
  <si>
    <t>SRM324-D1-1000</t>
  </si>
  <si>
    <t>UVA 10877</t>
  </si>
  <si>
    <t>impl, dice, [annoying impl]</t>
  </si>
  <si>
    <t>UVA 11291</t>
  </si>
  <si>
    <t>impl, expectation, [hard text, annoying impl]</t>
  </si>
  <si>
    <t>SRM362-D2-1000</t>
  </si>
  <si>
    <t>SRM421-D2-1000</t>
  </si>
  <si>
    <t>impl, math, graph</t>
  </si>
  <si>
    <t>impl, sorting, huffman coding</t>
  </si>
  <si>
    <t>SRM259-D1-500</t>
  </si>
  <si>
    <t>impl, strings</t>
  </si>
  <si>
    <t>SRM301-D2-500</t>
  </si>
  <si>
    <t>UVA 668</t>
  </si>
  <si>
    <t>impl, math, counting</t>
  </si>
  <si>
    <t>impl, unclear statement</t>
  </si>
  <si>
    <t>TIMUS 1054</t>
  </si>
  <si>
    <t>impl, recursion, tower of hanoi</t>
  </si>
  <si>
    <t>CF101138-GYM-B</t>
  </si>
  <si>
    <t>UVA 13007</t>
  </si>
  <si>
    <t>UVA 10222</t>
  </si>
  <si>
    <t>impl, annoying to code, [unclear text]</t>
  </si>
  <si>
    <t>SRM220-D1-500</t>
  </si>
  <si>
    <t>impl, cycles, strings</t>
  </si>
  <si>
    <t>UVA 12187</t>
  </si>
  <si>
    <t>impl, dir array</t>
  </si>
  <si>
    <t>UVA 11955</t>
  </si>
  <si>
    <t>UVA 13034</t>
  </si>
  <si>
    <t>PKU 3158</t>
  </si>
  <si>
    <t>impl, [hard text]</t>
  </si>
  <si>
    <t>two pointers, dfs order, datastructures or hld</t>
  </si>
  <si>
    <t>[110]</t>
  </si>
  <si>
    <t>two pointers, observation, [tricky though simple]</t>
  </si>
  <si>
    <t>two pointers, math or bf, impl</t>
  </si>
  <si>
    <t>two pointers, sorting</t>
  </si>
  <si>
    <t>two pointers, dp, DAG or greedy</t>
  </si>
  <si>
    <t>two pointers, bf, impl, matrix</t>
  </si>
  <si>
    <t>two pointers, datastructures</t>
  </si>
  <si>
    <t>two pointers, greedy</t>
  </si>
  <si>
    <t>two pointers, strings</t>
  </si>
  <si>
    <t>two pointers or segment tree</t>
  </si>
  <si>
    <t>UVA 1344</t>
  </si>
  <si>
    <t>two pointers or greedy, [hard text?]</t>
  </si>
  <si>
    <t>two pointers, sliding window, [extends mis] or segment tree</t>
  </si>
  <si>
    <t>SPOJ KOIREP</t>
  </si>
  <si>
    <t>two pointers</t>
  </si>
  <si>
    <t>two pointers, [different solutions]</t>
  </si>
  <si>
    <t>two pointers, binary search</t>
  </si>
  <si>
    <t>two pointers, multiset</t>
  </si>
  <si>
    <t>two pointers, set</t>
  </si>
  <si>
    <t>two pointers or ad-hoc</t>
  </si>
  <si>
    <t>two pointers or ad-hoc or kmp-like</t>
  </si>
  <si>
    <t>two pointers, [solve SPOJ ALIEN first]</t>
  </si>
  <si>
    <t>two pointers, math, dp</t>
  </si>
  <si>
    <t>SPOJ CRAN04</t>
  </si>
  <si>
    <t>CF100459-GYM-C</t>
  </si>
  <si>
    <t>two pointers or dp</t>
  </si>
  <si>
    <t>LIVEARCHIVE 2932</t>
  </si>
  <si>
    <t>two pointers, prefix sum 2d or backtrack, observations</t>
  </si>
  <si>
    <t>two pointers or binary search, combinatorics</t>
  </si>
  <si>
    <t>two pointers, bf</t>
  </si>
  <si>
    <t>SPOJ HOTELS</t>
  </si>
  <si>
    <t>two pointers, sliding window</t>
  </si>
  <si>
    <t>two pointers, sliding window, [if prefix sum of anything is increasing and we want to maximize/minimize a subarray” BS/2ptrs is applicable, also sometimes this isn’t easy to spot. ( grid problems binary numbers, etc)]</t>
  </si>
  <si>
    <t>UVA 909</t>
  </si>
  <si>
    <t>dp, dp_build_output</t>
  </si>
  <si>
    <t>[111]</t>
  </si>
  <si>
    <t>UVA 11578</t>
  </si>
  <si>
    <t>dp, dp_build_output, impl</t>
  </si>
  <si>
    <t>UVA 11598</t>
  </si>
  <si>
    <t>dp, dp_build_output, lexicograpically solution</t>
  </si>
  <si>
    <t>dp, dp_build_output, [hard to code print]</t>
  </si>
  <si>
    <t>UVA 10618</t>
  </si>
  <si>
    <t>UVA 1244</t>
  </si>
  <si>
    <t>dp, dp_build_output, bfs for output, dag</t>
  </si>
  <si>
    <t>SRM340-D1-500</t>
  </si>
  <si>
    <t>dp, dp_build_output, graph, lexi</t>
  </si>
  <si>
    <t>UVA 10564</t>
  </si>
  <si>
    <t>dp, dp_build_output, [russian]</t>
  </si>
  <si>
    <t>UVA 709</t>
  </si>
  <si>
    <t>dp, dp_build_output, [annoying IO style]</t>
  </si>
  <si>
    <t>UVA 10086</t>
  </si>
  <si>
    <t>dp, dp_build_output, [hard text]</t>
  </si>
  <si>
    <t>dp, dp_build_output, [edit distance]</t>
  </si>
  <si>
    <t>UVA 10645</t>
  </si>
  <si>
    <t>UVA 10665</t>
  </si>
  <si>
    <t>dp, dp_build_output, lexicograpically solution or sorting</t>
  </si>
  <si>
    <t>dp, dp_build_output, [similar to edit distance]</t>
  </si>
  <si>
    <t>dp, dp_d&amp;c_opt, dijkstra, euler or dp_knuth</t>
  </si>
  <si>
    <t>[112]</t>
  </si>
  <si>
    <t>dp, dp_d&amp;c_opt, [easy if know technique]</t>
  </si>
  <si>
    <t>dp, dp_d&amp;c_opt</t>
  </si>
  <si>
    <t>dp, dp_d&amp;c_opt or dp_convex_hull</t>
  </si>
  <si>
    <t>ECPC17-J</t>
  </si>
  <si>
    <t>dp, dp_d&amp;c_opt or others</t>
  </si>
  <si>
    <t>dp, dp_d&amp;c_opt, [Blogewoosh #1] or dp, hld</t>
  </si>
  <si>
    <t>dp, dp_d&amp;c_opt or segment tree, combinatorics</t>
  </si>
  <si>
    <t>dp, dp_d&amp;c_opt or dp_convex_hull or dp_knuth</t>
  </si>
  <si>
    <t>dp, dp_d&amp;c_opt, segment tree, [Mido: When computing DP D &amp;C layer by layer, we can sometimes merge layer answers togther in a way to avoid using an extra data structure. For example if cost function requires logN to calculate, if this trick applies we can remove it.]</t>
  </si>
  <si>
    <t>dp, dp_d&amp;c_opt or dp_knuth, [standard problem, strict tle]</t>
  </si>
  <si>
    <t>SPOJ NKLEAVES</t>
  </si>
  <si>
    <t>dp, dp_d&amp;c_opt, [standard], [~UVA 12524, ~CF100212-GYM-C]</t>
  </si>
  <si>
    <t>Timus 1167</t>
  </si>
  <si>
    <t>dp, dp_d&amp;c_opt or dp</t>
  </si>
  <si>
    <t>Use one of DP optimizations</t>
  </si>
  <si>
    <t>SRM607-D2-1000</t>
  </si>
  <si>
    <t>dp, dp_depth, observations</t>
  </si>
  <si>
    <t>[113]</t>
  </si>
  <si>
    <t>dp, dp_digit, greedy</t>
  </si>
  <si>
    <t>[114]</t>
  </si>
  <si>
    <t>SRM431-D1-500</t>
  </si>
  <si>
    <t>dp, dp_digit, dp_counting</t>
  </si>
  <si>
    <t>dp, dp_digit or math</t>
  </si>
  <si>
    <t>dp, dp_digit</t>
  </si>
  <si>
    <t>dp, dp_digit, dp_counting, [bad editorial?]</t>
  </si>
  <si>
    <t>dp, dp_digits, dp_bitmasks, queries, impl</t>
  </si>
  <si>
    <t>SRM526-D2-1000</t>
  </si>
  <si>
    <t>dp, dp_digit, binary search or ad-hoc</t>
  </si>
  <si>
    <t>dp, dp_digit, dp_counting, [editorial https://www.topcoder.com/blog/single-round-match-741-editorials/]</t>
  </si>
  <si>
    <t>UVA 11361</t>
  </si>
  <si>
    <t>dp, dp_digit, mod, divisor</t>
  </si>
  <si>
    <t>SRM546-D1-500</t>
  </si>
  <si>
    <t>dp, dp_digit or greedy</t>
  </si>
  <si>
    <t>SRM546-D2-1000</t>
  </si>
  <si>
    <t>dp, dp_digits, impl or greedy or binary search</t>
  </si>
  <si>
    <t>SPOJ DRACULA</t>
  </si>
  <si>
    <t>dp, dp_digit, [repeated idea]</t>
  </si>
  <si>
    <t>dp, dp_digit, dp_bitmasks or ad-hoc</t>
  </si>
  <si>
    <t>dp, dp_digit or binary search or impl</t>
  </si>
  <si>
    <t>dp, dp_digit or binary search</t>
  </si>
  <si>
    <t>TIMUS 1057</t>
  </si>
  <si>
    <t>dp, dp_digit, dp_counting or combinatorics</t>
  </si>
  <si>
    <t>SPOJ KOPC12H</t>
  </si>
  <si>
    <t>dp, dp_digit or impl</t>
  </si>
  <si>
    <t>See editorials</t>
  </si>
  <si>
    <t>SRM300-D1-500</t>
  </si>
  <si>
    <t>dp, dp_digit or bf</t>
  </si>
  <si>
    <t>SRM437-D1-500</t>
  </si>
  <si>
    <t>SRM311-D1-500</t>
  </si>
  <si>
    <t>dp, dp_digit, dp_counting, lower/upper bounds, [~=UVA 12670, UVA 12208]</t>
  </si>
  <si>
    <t>dp, dp_digits</t>
  </si>
  <si>
    <t>dp, dp_sibling, [ACPC 14]</t>
  </si>
  <si>
    <t>[115]</t>
  </si>
  <si>
    <t>dp, dp_sibling, [knapsack dp on siblings], [Mido: This trick can sometimes change O(N^3) DP solutions to O(N^2).]</t>
  </si>
  <si>
    <r>
      <rPr>
        <sz val="10"/>
        <color theme="1"/>
        <rFont val="arial,sans,sans-serif"/>
      </rPr>
      <t xml:space="preserve">dp, dp_sibling, dp_build_output, </t>
    </r>
    <r>
      <rPr>
        <b/>
        <sz val="10"/>
        <color theme="1"/>
        <rFont val="arial,sans,sans-serif"/>
      </rPr>
      <t>hard to impl</t>
    </r>
    <r>
      <rPr>
        <sz val="10"/>
        <color theme="1"/>
        <rFont val="arial,sans,sans-serif"/>
      </rPr>
      <t>, [https://github.com/farmerboy95/CompetitiveProgramming/blob/master/Codeforces/CF440-D12-D.cpp</t>
    </r>
  </si>
  <si>
    <t>dp, dp_sibling or graph, trees, dfs, case analysis</t>
  </si>
  <si>
    <t>dp, dp_sibling</t>
  </si>
  <si>
    <t>dp, dp_profile, [broken profile]</t>
  </si>
  <si>
    <t>[116]</t>
  </si>
  <si>
    <t>dp, dp_profile, maximum matching, games</t>
  </si>
  <si>
    <t>TIMUS 1519</t>
  </si>
  <si>
    <t>dp, dp_profile, impl</t>
  </si>
  <si>
    <t>SRM444-D1-500</t>
  </si>
  <si>
    <t>dp, dp_profile, dp_bitmasks</t>
  </si>
  <si>
    <t>dp, dp_profile</t>
  </si>
  <si>
    <t>dp, dp_profile, hexagonal patterns</t>
  </si>
  <si>
    <t>SRM532-D2-1000</t>
  </si>
  <si>
    <t>dp, dp_profile, dp_bitmasks, [editorial states what is profile - oversimplifid dp profile], [another editorial http://sk765.blogspot.com/2012/02/dynamic-programming-with-profile.html]</t>
  </si>
  <si>
    <t>LIVEARCHIVE 6663</t>
  </si>
  <si>
    <t>graph, dfs, flood-fill</t>
  </si>
  <si>
    <t>[117]</t>
  </si>
  <si>
    <t>SPOJ SPIDY</t>
  </si>
  <si>
    <t>LIVEARCHIVE 5130</t>
  </si>
  <si>
    <t>graph, dfs, flood-fill, stack or dsu, [RTE problem]</t>
  </si>
  <si>
    <t>LIVEARCHIVE 4247</t>
  </si>
  <si>
    <t>graph, dfs, flood-fill, impl or backtrack, optimizations, [http://codeforces.com/gym/100646/attachments]</t>
  </si>
  <si>
    <t>SRM411-D2-1000</t>
  </si>
  <si>
    <t>graph, dfs, flood-fill, geometry</t>
  </si>
  <si>
    <t>SRM297-D1-500</t>
  </si>
  <si>
    <t>graph, dfs, flood-fill or bfs, bf</t>
  </si>
  <si>
    <t>SRM371-D2-1000</t>
  </si>
  <si>
    <t>UVA 830</t>
  </si>
  <si>
    <t>graph, dfs, flood-fill, impl</t>
  </si>
  <si>
    <t>UVA 10592</t>
  </si>
  <si>
    <t>UVA 1419</t>
  </si>
  <si>
    <t>UVA 868</t>
  </si>
  <si>
    <t>graph, dfs, flood-fill, [unclear text]</t>
  </si>
  <si>
    <t>UVA 722</t>
  </si>
  <si>
    <t>UVA 782</t>
  </si>
  <si>
    <t>graph, dfs, flood-fill, [hard text]</t>
  </si>
  <si>
    <t>TIMUS 1033</t>
  </si>
  <si>
    <t>graph, dfs, flood-fill, [WAs?]</t>
  </si>
  <si>
    <t>UVA 871</t>
  </si>
  <si>
    <t>SPOJ TREEISO</t>
  </si>
  <si>
    <t>graph, dfs, isomorphism, tree center, tree isomorphism, impl</t>
  </si>
  <si>
    <t>[118]</t>
  </si>
  <si>
    <t>UVA 10707</t>
  </si>
  <si>
    <t>graph, dfs, isomorphism, matching bf, impl</t>
  </si>
  <si>
    <t>SPOJ PAIRGRPH</t>
  </si>
  <si>
    <t>graph, dfs, isomorphism, graph</t>
  </si>
  <si>
    <t>SPOJ TRANSL</t>
  </si>
  <si>
    <t>graph, dfs, isomorphism, canonical form or ad-hoc decomposition</t>
  </si>
  <si>
    <t>graph, dfs, isomorphism or d&amp;c, hashing</t>
  </si>
  <si>
    <t>graph, dfs, isomorphism, parsing, center of tree</t>
  </si>
  <si>
    <t>TJU 3480</t>
  </si>
  <si>
    <t>graph, dfs, topological sort</t>
  </si>
  <si>
    <t>[119]</t>
  </si>
  <si>
    <t>SPOJ CODESPTI</t>
  </si>
  <si>
    <t>graph, dfs, topological sort, impl, [I thought of a greedy solution, which failed, this problem was actually published in a research paper which is very long, and algorithm has no proof!]</t>
  </si>
  <si>
    <t>graph, dfs, topological sort, binary search</t>
  </si>
  <si>
    <t>UVA 1222</t>
  </si>
  <si>
    <t>graph, dfs, topological sort or dp_siblings, parsing</t>
  </si>
  <si>
    <t>graph, dfs, topological sort or euler, [https://www.youtube.com/watch?v=O7BnKy7wEto]</t>
  </si>
  <si>
    <t>LIVEARCHIVE 7154</t>
  </si>
  <si>
    <t>TC(MINIMALLABELS)</t>
  </si>
  <si>
    <t>SPOJ DAGCNT2</t>
  </si>
  <si>
    <t>graph, dfs, topological sort, bitmask, [MLE]</t>
  </si>
  <si>
    <t>graph, dfs, topological sort, cases</t>
  </si>
  <si>
    <t>graph, dfs, topological sort, impl or construcive</t>
  </si>
  <si>
    <t>SPOJ ALL</t>
  </si>
  <si>
    <t>graph, dfs, topological sort, greedy</t>
  </si>
  <si>
    <t>SPOJ RPLA</t>
  </si>
  <si>
    <t>graph, dfs, topological sort, [fast cin, direct]</t>
  </si>
  <si>
    <t>SRM550-D2-1000</t>
  </si>
  <si>
    <t>UVA 12645</t>
  </si>
  <si>
    <t>graph, dfs, topological sort or scc</t>
  </si>
  <si>
    <t>ACMWF19-E</t>
  </si>
  <si>
    <t>UVA 11060</t>
  </si>
  <si>
    <t>graph, dfs, topological sort, [repeated]</t>
  </si>
  <si>
    <t>UVA 11680</t>
  </si>
  <si>
    <t>graph, dfs, topological sort, misc</t>
  </si>
  <si>
    <t>graph, dfs, topological sort, forest or bfs</t>
  </si>
  <si>
    <t>SRM419-D2-1000</t>
  </si>
  <si>
    <t>graph, dfs, topological sort, cycles</t>
  </si>
  <si>
    <t>LIVEARCHIVE 6195</t>
  </si>
  <si>
    <t>SRM516-D2-1000</t>
  </si>
  <si>
    <t>UVA 196</t>
  </si>
  <si>
    <t>graph, dfs, topological sort or dp</t>
  </si>
  <si>
    <t>UVA 12263</t>
  </si>
  <si>
    <t>UVA 11686</t>
  </si>
  <si>
    <t>graph, dfs, topological sort, detect cycles</t>
  </si>
  <si>
    <t>SPOJ HMRO</t>
  </si>
  <si>
    <t>graph, dfs, topological sort, dsu or ad-hoc, [TLE, hard text?]</t>
  </si>
  <si>
    <t>SPOJ DEPEND</t>
  </si>
  <si>
    <t>UVA 10305</t>
  </si>
  <si>
    <t>SPOJ MAKETREE</t>
  </si>
  <si>
    <t>graph, max-flow, min-cut, [repeated]</t>
  </si>
  <si>
    <t>[120]</t>
  </si>
  <si>
    <t>LIVEARCHIVE 3811</t>
  </si>
  <si>
    <t>graph, max-flow, min-cut</t>
  </si>
  <si>
    <t>graph, max-flow, min-cut, expectation</t>
  </si>
  <si>
    <t>UVA 1515</t>
  </si>
  <si>
    <t>graph, max-flow, min-cut, dp_table</t>
  </si>
  <si>
    <t>graph, max-flow, min-cut, geometry</t>
  </si>
  <si>
    <t>graph, max-flow, min-cut, independent set</t>
  </si>
  <si>
    <t>SPOJ OPTM</t>
  </si>
  <si>
    <t>graph, max-flow, min-cut, 2-sat style</t>
  </si>
  <si>
    <t>UVA 11765</t>
  </si>
  <si>
    <t>UVA 11419</t>
  </si>
  <si>
    <t>graph, max-flow, min-cut or min-vertex-cover, [print sol is the important part]</t>
  </si>
  <si>
    <t>SPOJ COCONUTS</t>
  </si>
  <si>
    <t>LIVEARCHIVE 5099</t>
  </si>
  <si>
    <t>graph, max-flow, min-cut, [Stoer–Wagner algo]</t>
  </si>
  <si>
    <t>SRM465-D1-500</t>
  </si>
  <si>
    <t>graph, max-flow, min-cut, [https://github.com/shashank0107/CompetitiveProgramming/blob/master/Topcoder/SRM465-D1-500.cpp]</t>
  </si>
  <si>
    <t>ZOJ 2587</t>
  </si>
  <si>
    <t>graph, max-flow, min-cut, cut edges, [not intended sol https://ideone.com/DaQgYh]</t>
  </si>
  <si>
    <t>SRM447-D1-500</t>
  </si>
  <si>
    <t>graph, max-flow, min-cut or dp or bf, [bf https://github.com/ZeyadKhattab/Competitive-Programming/blob/master/Topcoder/SRM447-D1-500.java]</t>
  </si>
  <si>
    <t>SPOJ BANKROB</t>
  </si>
  <si>
    <t>graph, max-flow, min-cut, vertex split, [direct]</t>
  </si>
  <si>
    <t>graph, max-flow, min-cut, vertex constraints</t>
  </si>
  <si>
    <t>graph, max-flow, min-cut, [print, as in video]</t>
  </si>
  <si>
    <t>SRM334-D1-1000</t>
  </si>
  <si>
    <t>graph, max-flow, min-cut, [bf all pairs]</t>
  </si>
  <si>
    <t>math, probability, expectation, linearity of expectation</t>
  </si>
  <si>
    <t>[121]</t>
  </si>
  <si>
    <t>math, probability, expectation</t>
  </si>
  <si>
    <t>SRM526.5-D1-500</t>
  </si>
  <si>
    <t>math, probability, expectation, binomial coefficient, mod, inversion</t>
  </si>
  <si>
    <t>math, probability, expectation, quadratic equation</t>
  </si>
  <si>
    <t>SRM487-D1-500</t>
  </si>
  <si>
    <t>math, probability, expectation, bicoloring, backtracking</t>
  </si>
  <si>
    <t>SRM542-D2-1000</t>
  </si>
  <si>
    <t>UVA 1188</t>
  </si>
  <si>
    <t>math, probability, expectation, recursion, [master theorm helps]</t>
  </si>
  <si>
    <t>math, probability, expectation, dfs or dp</t>
  </si>
  <si>
    <t>math, probability, expectation, linearity of expectation, sweep or dp_probability or segment tree</t>
  </si>
  <si>
    <t>Read Editorials for several approaches</t>
  </si>
  <si>
    <t>math, probability, expectation, formula, greedy or dp_probability</t>
  </si>
  <si>
    <t>math, probability, expectation, linearity of expectation, [https://s3.amazonaws.com/codechef_shared/download/editorials/acmamr12/fssync.pdf]</t>
  </si>
  <si>
    <t>math, probability, expectation or oeis</t>
  </si>
  <si>
    <t>SRM500-D2-500</t>
  </si>
  <si>
    <t>math, probability, expectation, bfs</t>
  </si>
  <si>
    <t>SRM470-D1-500</t>
  </si>
  <si>
    <t>math, probability, expectation, dfs</t>
  </si>
  <si>
    <t>math, probability, expectation, lineary of expectation, bf, counting</t>
  </si>
  <si>
    <t>UVA 11667</t>
  </si>
  <si>
    <t>math, probability, expectation, summations</t>
  </si>
  <si>
    <t>SRM515-D2-1000</t>
  </si>
  <si>
    <t>math, probability, expectation, [scary in begin]</t>
  </si>
  <si>
    <t>SRM577-D1-250</t>
  </si>
  <si>
    <t>math, probability, expectation, linearity of expectation or dp_probability or greedy</t>
  </si>
  <si>
    <t>math, probability, expectation, greedy or dp</t>
  </si>
  <si>
    <t>math, probability, expectation, pattern</t>
  </si>
  <si>
    <t>SRM458-D2-500</t>
  </si>
  <si>
    <t>math, probability, expectation, bitmasks</t>
  </si>
  <si>
    <t>math, probability, expectation or dp_probability</t>
  </si>
  <si>
    <t>math, probability, expectation, [hard text]</t>
  </si>
  <si>
    <t>math, probability, expectation, permutation</t>
  </si>
  <si>
    <t>CODECHEF EDGEST</t>
  </si>
  <si>
    <t>graph, hld, bit</t>
  </si>
  <si>
    <t>[122]</t>
  </si>
  <si>
    <t>graph, hld, block-cut tree, bcc, impl, [ok idea, hard impl]</t>
  </si>
  <si>
    <t>graph, hld, dp, tree</t>
  </si>
  <si>
    <t>graph, hld, segment tree</t>
  </si>
  <si>
    <t>graph, hld, segment tree or link-cut tree</t>
  </si>
  <si>
    <t>graph, hld, segment tree or mo's algorithm</t>
  </si>
  <si>
    <t>graph, hld, 2-sat</t>
  </si>
  <si>
    <t>graph, hld, kmp, datastructures</t>
  </si>
  <si>
    <t>SPOJ COT3</t>
  </si>
  <si>
    <t>graph, hld</t>
  </si>
  <si>
    <t>SPOJ QTREE7</t>
  </si>
  <si>
    <t>graph, hld, lca, segment tree, lazy propagation</t>
  </si>
  <si>
    <t>graph, hld, impl or virtual tree, sortings</t>
  </si>
  <si>
    <t>graph, hld or sqrt decomposition, [boring]</t>
  </si>
  <si>
    <t>graph, hld, lca</t>
  </si>
  <si>
    <t>graph, hld, bit or bbst, splay tree, [complexity analysis]</t>
  </si>
  <si>
    <t>SPOJ GOT</t>
  </si>
  <si>
    <t>graph, hld or lca, segment tree, presistent or mo's algorithm on tree, [easy if solved SPOJ MKTHNUM]</t>
  </si>
  <si>
    <t>graph, hld, persistance, arithmatic operation</t>
  </si>
  <si>
    <t>graph, hld, math</t>
  </si>
  <si>
    <t>SPOJ GSS7</t>
  </si>
  <si>
    <t>graph, hld, segment tree, [solve GSS1 first]</t>
  </si>
  <si>
    <t>graph, hld, segment tree, bfs or dsu-on-trees</t>
  </si>
  <si>
    <t>PKU 2763</t>
  </si>
  <si>
    <t>graph, hld or lca, bit</t>
  </si>
  <si>
    <t>TIMUS 1553</t>
  </si>
  <si>
    <t>SPOJ QTREE3</t>
  </si>
  <si>
    <t>graph, hld or segment tree or bfs</t>
  </si>
  <si>
    <t>SPOJ QTREE</t>
  </si>
  <si>
    <t>graph, hld, lca, segment tree or splay tree, [in video]</t>
  </si>
  <si>
    <t>SPOJ GRASSPLA</t>
  </si>
  <si>
    <t>graph, hld, segment tree or mo's algorithm or bit or merge sort trees</t>
  </si>
  <si>
    <t>graph, hld, bit or sqrt decomposition</t>
  </si>
  <si>
    <t>graph, centroid-decomposition, parallel binary search, binary indexed tree, lca</t>
  </si>
  <si>
    <t>[123]</t>
  </si>
  <si>
    <t>graph, centroid-decomposition, constructive, impl</t>
  </si>
  <si>
    <r>
      <rPr>
        <sz val="10"/>
        <color theme="1"/>
        <rFont val="Arial"/>
      </rPr>
      <t xml:space="preserve">graph, centroid-decomposition, </t>
    </r>
    <r>
      <rPr>
        <b/>
        <sz val="10"/>
        <color theme="1"/>
        <rFont val="Arial"/>
      </rPr>
      <t>hard to impl</t>
    </r>
    <r>
      <rPr>
        <sz val="10"/>
        <color theme="1"/>
        <rFont val="Arial"/>
      </rPr>
      <t xml:space="preserve"> or bit or treap, [standard]</t>
    </r>
  </si>
  <si>
    <t>graph, centroid-decomposition, bitmasks or dsu-on-trees, [classical]</t>
  </si>
  <si>
    <t>graph, centroid-decomposition</t>
  </si>
  <si>
    <t>graph, centroid-decomposition, sieve or math, fft or dfs, flat tree</t>
  </si>
  <si>
    <t>graph, centroid-decomposition, d&amp;c</t>
  </si>
  <si>
    <t>graph, centroid-decomposition, [~= IOI 11-race], [offline queries to static centroid-decomposition]</t>
  </si>
  <si>
    <t>SPOJ QTREE5</t>
  </si>
  <si>
    <t>graph, centroid-decomposition or hld, [harder version CF342-D2-E]</t>
  </si>
  <si>
    <t>graph, centroid-decomposition or dp_trees, [=COCI 19-deblo]</t>
  </si>
  <si>
    <t>graph, centroid-decomposition or dsu-on-trees, bit [=UVA 13164]</t>
  </si>
  <si>
    <t>graph, centroid-decomposition, segment tree</t>
  </si>
  <si>
    <t>graph, centroid-decomposition, dp, math or dsu-on-trees, [classical]</t>
  </si>
  <si>
    <t>graph, centroid-decomposition, [tutorial problem]</t>
  </si>
  <si>
    <t>graph, centroid-decomposition, primes</t>
  </si>
  <si>
    <t>dp, dp_convex_hull</t>
  </si>
  <si>
    <t>[124]</t>
  </si>
  <si>
    <t>dp, dp_convex_hull, [!cht]</t>
  </si>
  <si>
    <t>SPOJ GOODG</t>
  </si>
  <si>
    <t>dp, dp_convex_hull, [type 1 or 3]</t>
  </si>
  <si>
    <t>dp, dp_convex_hull, segment tree or mo's algorithm</t>
  </si>
  <si>
    <t>PKU 3266</t>
  </si>
  <si>
    <t>dp, dp_convex_hull, [type 3]</t>
  </si>
  <si>
    <t>dp, dp_convex_hull, !dp, datastructure, LiChao</t>
  </si>
  <si>
    <t>dp, dp_convex_hull, d&amp;c</t>
  </si>
  <si>
    <t>dp, dp_convex_hull, LIS or segment tree, LiChao implicit, [solve LIVEARCHIVE 5133 first[], [https://github.com/MetalBall887/Competitive-Programming/blob/master/LiveArchive/LIVEARCHIVE%205133.cpp]</t>
  </si>
  <si>
    <t>dp, dp_convex_hull, segment tree</t>
  </si>
  <si>
    <t>dp, dp_convex_hull, segment tree, impl or dsu-on-trees</t>
  </si>
  <si>
    <t>SPOJ TRAKA</t>
  </si>
  <si>
    <t>dp, dp_convex_hull, [=COCI 11-traka]</t>
  </si>
  <si>
    <t>dp, dp_convex_hull, greedy, [https://github.com/MetalBall887/Competitive-Programming/blob/master/HACKERRANK/HACKR%20sword-profit.cpp]</t>
  </si>
  <si>
    <t>SPOJ BAABO</t>
  </si>
  <si>
    <t>dp, dp_convex_hull, greedy, [type 2]</t>
  </si>
  <si>
    <t>dp, dp_convex_hull, binary search, tricky impl</t>
  </si>
  <si>
    <t>dp, dp_convex_hull, sqrt decomposition</t>
  </si>
  <si>
    <t>dp, dp_convex_hull, dynamic, [https://github.com/MetalBall887/Competitive-Programming/blob/master/CodeChef/CODECHEF%20CYCLRACE.cpp]</t>
  </si>
  <si>
    <t>dp, dp_convex_hull, [practice problem]</t>
  </si>
  <si>
    <t>LIVEARCHIVE 5133</t>
  </si>
  <si>
    <t>dp, dp_convex_hull, [in video], [needs bbst (e.g. set) not usual deque - line's angle coefficient is not monotune)</t>
  </si>
  <si>
    <t>SPOJ ACQUIRE</t>
  </si>
  <si>
    <t>dp, dp_convex_hull, [type 1], [in editorial], [txt clarification: In this problem FJ can actually *REARRANGE* the plots and then groups them. * I misunderstood the statement by the word 'successive'.]</t>
  </si>
  <si>
    <t>dp, dp_convex_hull or LiChao, [straightforward, LiChao link]</t>
  </si>
  <si>
    <t>dp, dp_convex_hull or segment tree, LiChao implicit, [in CF blog]</t>
  </si>
  <si>
    <t>graph, dsu-on-trees or kmp on tree</t>
  </si>
  <si>
    <t>[125]</t>
  </si>
  <si>
    <t>graph, dsu-on-trees, [standard]</t>
  </si>
  <si>
    <t>graph, dsu-on-trees, [standard, , [Main a prefix and suffix of DSU's then for each query between [L,R], you merge prefix and suffix. Can sometimes be used instead of dynamic DSU.]]</t>
  </si>
  <si>
    <t>graph, dsu-on-trees</t>
  </si>
  <si>
    <t>graph, dsu-on-trees or graph, euler tour, binary search,  trees</t>
  </si>
  <si>
    <t>graph, dsu-on-trees or trees, dfs, binary search or segment tree</t>
  </si>
  <si>
    <t>sqrt decomposition, dsu</t>
  </si>
  <si>
    <t>[126]</t>
  </si>
  <si>
    <t>sqrt decomposition</t>
  </si>
  <si>
    <t>sqrt decomposition or segment tree, impl</t>
  </si>
  <si>
    <t>sqrt decomposition, dp knapscak</t>
  </si>
  <si>
    <t>sqrt decomposition, meet in middle, math</t>
  </si>
  <si>
    <t>sqrt decomposition, dp</t>
  </si>
  <si>
    <t>sqrt decomposition, datastructures</t>
  </si>
  <si>
    <t>sqrt decomposition, lca,bit or link-cut, [sqrt decomposition is interesting, but trivial with link cut tree]</t>
  </si>
  <si>
    <t>sqrt decomposition, long impl or treap</t>
  </si>
  <si>
    <t>sqrt decomposition, trie, impl</t>
  </si>
  <si>
    <t>sqrt decomposition, geometry or segment tree, convex hull trick</t>
  </si>
  <si>
    <t>sqrt decomposition, kmp, trie or suffix automaton or suffix array, segment tree, persistent</t>
  </si>
  <si>
    <t>sqrt decomposition, convex_hull_trick</t>
  </si>
  <si>
    <t>sqrt decomposition, dsu or segment tree [https://gist.github.com/luciocf/57c6dd2b3924fa02bae77f281618346d]</t>
  </si>
  <si>
    <t>sqrt decomposition, binary search, [repeated, standard]</t>
  </si>
  <si>
    <t>sqrt decomposition, bfs or centroid-decomposition, lca or hld, [standard, solve first SPOJ QTREE5]</t>
  </si>
  <si>
    <t>sqrt decomposition, [standard]</t>
  </si>
  <si>
    <t>SPOJ FREQ2</t>
  </si>
  <si>
    <t>sqrt decomposition or Mo's algorithm</t>
  </si>
  <si>
    <t>dp, dp_alien, [aka lambda optimization]</t>
  </si>
  <si>
    <t>[127]</t>
  </si>
  <si>
    <t>dp, dp_knuth, sparse table or dp_d&amp;c</t>
  </si>
  <si>
    <t>[128]</t>
  </si>
  <si>
    <t>SPOJ BRKSTRNG</t>
  </si>
  <si>
    <t>dp, dp_knuth, [standard]</t>
  </si>
  <si>
    <t>UVA 12836</t>
  </si>
  <si>
    <t>UVA 10304</t>
  </si>
  <si>
    <t>dp, dp_knuth, [standard], [=UVA 12057]</t>
  </si>
  <si>
    <t>dp, dp_open_close, graph, permutation or greedy, dp_component</t>
  </si>
  <si>
    <t>[129]</t>
  </si>
  <si>
    <t>dp, dp_open_close, dp_counting</t>
  </si>
  <si>
    <t>dp, dp_open_close, dp_counting, [dp_component ?]</t>
  </si>
  <si>
    <t>dp, dp_trick</t>
  </si>
  <si>
    <t>[130]</t>
  </si>
  <si>
    <t>dp, dp_trick, aliens_trick or greedy</t>
  </si>
  <si>
    <t>dp, dp_trick, aliens_trick or dp_d&amp;c_opt, [solve CF739-D1-E first], [China, this method is called wqs divide&amp;conquer, because the true name of s-quark is Qinshi Wang, http://codeforces.com/blog/entry/46693 http://codeforces.com/blog/entry/49691 http://tsinsen.com/resources/Train2012-sol-wqs.pdf]</t>
  </si>
  <si>
    <t>dp, dp_trick, aliens_trick, [solve CF674-D12-C first]</t>
  </si>
  <si>
    <t>SRM577-D1-500</t>
  </si>
  <si>
    <t>dp, dp_trick, dp_subrectangle, Manhattan2DRotation or inclusion-execlusion, [tricky dp], [For rotation trick, solve CF124-D2-D first]</t>
  </si>
  <si>
    <t>string processing, suffix tree, impl</t>
  </si>
  <si>
    <t>[132]</t>
  </si>
  <si>
    <t>string processing, z-algo</t>
  </si>
  <si>
    <t>[133]</t>
  </si>
  <si>
    <t>dp, dp_sos, todo</t>
  </si>
  <si>
    <t>[134]</t>
  </si>
  <si>
    <t>dp, dp_sos, todo, d&amp;c</t>
  </si>
  <si>
    <t>dp, dp_sos or bf, np-hard</t>
  </si>
  <si>
    <t>dp, dp_sos</t>
  </si>
  <si>
    <t>dp, dp_sos, lucas' theorem, xor. [same as infoarena xortransform]</t>
  </si>
  <si>
    <t>dp, dp_sos, number theory</t>
  </si>
  <si>
    <t>dp, dp_sos or ad-hoc, bitmasks, fast_walsh_hadamard_transform or fft</t>
  </si>
  <si>
    <t>Solvable in several ways. Read editorials</t>
  </si>
  <si>
    <t>dp, dp_sos, inclusion-exclusion, [~=HACKR vim-war]</t>
  </si>
  <si>
    <t>dp, dp_sos, [no oj]</t>
  </si>
  <si>
    <t>watched Errichto's video</t>
  </si>
  <si>
    <t>dp, dp_sos, meet in middle or only meet in middle, []</t>
  </si>
  <si>
    <t>dp, dp_sos or ad-hoc, bitmasks</t>
  </si>
  <si>
    <t>dp, dp_sos, inclusion-exclusion or ad-hoc</t>
  </si>
  <si>
    <t>dp, dp_sos, math</t>
  </si>
  <si>
    <t>string processing, suffix automaton</t>
  </si>
  <si>
    <t>[135]</t>
  </si>
  <si>
    <t>dp, dp_trees</t>
  </si>
  <si>
    <t>[136]</t>
  </si>
  <si>
    <t>dp, dp_trees, polynomial interpolation, ad-hoc</t>
  </si>
  <si>
    <t>dp, dp_trees, binary search, impl</t>
  </si>
  <si>
    <t>dp, dp_trees, bignum</t>
  </si>
  <si>
    <t>dp, dp_trees, greedy, observation</t>
  </si>
  <si>
    <t>dp, dp_trees, observation</t>
  </si>
  <si>
    <t>dp, dp_trees, [O(n^2) is challenging]</t>
  </si>
  <si>
    <t>dp, dp_trees, edit distance, [several sub-problems]</t>
  </si>
  <si>
    <t>SPOJ TWOPATHS</t>
  </si>
  <si>
    <t>dp, dp_trees, impl, [solve first CF14-D2-D - repeated idea?]</t>
  </si>
  <si>
    <t>dp, dp_trees, combinatorics</t>
  </si>
  <si>
    <t>dp, dp_trees, dp_counting</t>
  </si>
  <si>
    <t>dp, dp_trees. lcm</t>
  </si>
  <si>
    <t>SRM386-D2-1000</t>
  </si>
  <si>
    <t>dp, dp_trees, greedy, recursion</t>
  </si>
  <si>
    <t>SPOJ MAIN75</t>
  </si>
  <si>
    <t>dp, dp_trees, optimizations</t>
  </si>
  <si>
    <t>dp, dp_trees, lca</t>
  </si>
  <si>
    <t>dp, dp_trees, combinatroics</t>
  </si>
  <si>
    <t>dp, dp_trees, [reroot tree]</t>
  </si>
  <si>
    <t>dp, dp_trees, dp_parametric, dfs, [Mido I know this trick from a guy named dotorya. In enough conditions it can optimise DP's by a factor of N.]</t>
  </si>
  <si>
    <t>dp, dp_trees, impl</t>
  </si>
  <si>
    <t>UVA 11174</t>
  </si>
  <si>
    <t>dp, dp_trees or combinatorics, mod inv</t>
  </si>
  <si>
    <t>dp, dp_trees, dfs</t>
  </si>
  <si>
    <t>dp, dp_trees or greedy, dfs</t>
  </si>
  <si>
    <t>dp, dp_trees, [standard]</t>
  </si>
  <si>
    <t>UVA 12452</t>
  </si>
  <si>
    <t>UVA 10859</t>
  </si>
  <si>
    <t>dp, dp_trees, tree vertex cover or dfs, [optimize 2 vals to M * a + b]</t>
  </si>
  <si>
    <t>dp, dp_trees, d&amp;c</t>
  </si>
  <si>
    <t>UVA 12093</t>
  </si>
  <si>
    <t>dp, dp_trees or dp_sibling</t>
  </si>
  <si>
    <t>dp, dp_trees or dfs, diameter like, [tricky to guess its level]</t>
  </si>
  <si>
    <t>UVA 1218</t>
  </si>
  <si>
    <t>dp, dp_trees, [vertex cover releated]</t>
  </si>
  <si>
    <t>LiveArchive 6631</t>
  </si>
  <si>
    <t>CODECHEF TREE02</t>
  </si>
  <si>
    <t>dp, dp_trees, binary search or greedy</t>
  </si>
  <si>
    <t>dp, dp_trees, [repeated dea]</t>
  </si>
  <si>
    <t>dp, dp_trees, geometry or greedy</t>
  </si>
  <si>
    <t>dp, dp_trees, math or centroid-decomposition</t>
  </si>
  <si>
    <t>dp, dp_trees or dsu-on-trees or centroid-decomposition , dp_trees</t>
  </si>
  <si>
    <t>Timus 1362</t>
  </si>
  <si>
    <t>dp, dp_trees or greedy</t>
  </si>
  <si>
    <t>string processing, greedy, [new trick]</t>
  </si>
  <si>
    <t>[137]</t>
  </si>
  <si>
    <t>string processing, hashing</t>
  </si>
  <si>
    <t>string processing, palindrome, hasing, greedy, impl</t>
  </si>
  <si>
    <t>string processing, observation</t>
  </si>
  <si>
    <t>string processing, hashing or trie</t>
  </si>
  <si>
    <t>math, fft, generating functions or ntt</t>
  </si>
  <si>
    <t>[138]</t>
  </si>
  <si>
    <t>CODECHEF SERSUM</t>
  </si>
  <si>
    <t>math, fft, faulhaber's formula, newton sums, polynomial interpolation, sqrt decomposition or math, fft, d&amp;c, combinatorics, formal power series</t>
  </si>
  <si>
    <t>math, fft or bf [triples of arithmatic progression]</t>
  </si>
  <si>
    <t>math, fft</t>
  </si>
  <si>
    <t>math, fft, power series, combinatorics</t>
  </si>
  <si>
    <t>math, fft or nnt, [second stirling number]</t>
  </si>
  <si>
    <t>math, fft, matching, bits</t>
  </si>
  <si>
    <t>math, fft, [direct if know fft]</t>
  </si>
  <si>
    <t>LIVEARCHIVE 7159</t>
  </si>
  <si>
    <t>math, fft, number theory or precalculation, [not geom problem, just little rectanlges calculations]</t>
  </si>
  <si>
    <t>math, fft, xor, graph</t>
  </si>
  <si>
    <t>math, fft, nnt, dp_counting</t>
  </si>
  <si>
    <t>math, fft, sqrt decomposition, [optimising sqrt decomp]</t>
  </si>
  <si>
    <t>math, fft or nnt</t>
  </si>
  <si>
    <t>math, fft, d&amp;c</t>
  </si>
  <si>
    <t>math, fft, [practice]</t>
  </si>
  <si>
    <t>graph, max-flow, general matching, game theory, [reduction]</t>
  </si>
  <si>
    <t>[139]</t>
  </si>
  <si>
    <t>graph, max-flow, general matching, [reduction]</t>
  </si>
  <si>
    <t>graph, max-flow, general matching, max cost</t>
  </si>
  <si>
    <t>SPOJ ADABLOOM</t>
  </si>
  <si>
    <t>graph, max-flow, general matching</t>
  </si>
  <si>
    <t>graph, max-flow, general matching, [direct]</t>
  </si>
  <si>
    <t>UVA 11439</t>
  </si>
  <si>
    <t>graph, max-flow, general matching, binary search</t>
  </si>
  <si>
    <t>Code</t>
  </si>
  <si>
    <r>
      <rPr>
        <sz val="10"/>
        <color theme="1"/>
        <rFont val="Arial"/>
      </rPr>
      <t>segment tree, bit, [</t>
    </r>
    <r>
      <rPr>
        <b/>
        <sz val="10"/>
        <color theme="1"/>
        <rFont val="Arial"/>
      </rPr>
      <t>bit as nodes</t>
    </r>
    <r>
      <rPr>
        <sz val="10"/>
        <color theme="1"/>
        <rFont val="Arial"/>
      </rPr>
      <t xml:space="preserve"> in seg]</t>
    </r>
  </si>
  <si>
    <t>dp, dp_d&amp;c_opt or dp, ternary</t>
  </si>
  <si>
    <r>
      <rPr>
        <sz val="10"/>
        <color theme="1"/>
        <rFont val="Arial"/>
      </rPr>
      <t xml:space="preserve">segment tree, </t>
    </r>
    <r>
      <rPr>
        <b/>
        <sz val="10"/>
        <color theme="1"/>
        <rFont val="Arial"/>
      </rPr>
      <t>beats</t>
    </r>
    <r>
      <rPr>
        <sz val="10"/>
        <color theme="1"/>
        <rFont val="Arial"/>
      </rPr>
      <t>, [chineese txt - long]</t>
    </r>
  </si>
  <si>
    <r>
      <rPr>
        <sz val="10"/>
        <color theme="1"/>
        <rFont val="Arial"/>
      </rPr>
      <t xml:space="preserve">segment tree, </t>
    </r>
    <r>
      <rPr>
        <b/>
        <sz val="10"/>
        <color theme="1"/>
        <rFont val="Arial"/>
      </rPr>
      <t>beats</t>
    </r>
    <r>
      <rPr>
        <sz val="10"/>
        <color theme="1"/>
        <rFont val="Arial"/>
      </rPr>
      <t>, [chineese txt - short]</t>
    </r>
  </si>
  <si>
    <t>dp, binary search or dp_digit</t>
  </si>
  <si>
    <t>dp, optimizations, [dp over factors], [Mido: Also lots of random optimisations..IIRC, I got this from many submissions trying weird stuff]</t>
  </si>
  <si>
    <r>
      <rPr>
        <sz val="10"/>
        <color theme="1"/>
        <rFont val="Arial"/>
      </rPr>
      <t xml:space="preserve">game theory, bfs, </t>
    </r>
    <r>
      <rPr>
        <b/>
        <sz val="10"/>
        <color theme="1"/>
        <rFont val="Arial"/>
      </rPr>
      <t>impl</t>
    </r>
    <r>
      <rPr>
        <sz val="10"/>
        <color theme="1"/>
        <rFont val="Arial"/>
      </rPr>
      <t xml:space="preserve"> or dp_depth, [mainly heavy impl]</t>
    </r>
  </si>
  <si>
    <t>math, cyclic permutation or ad-hoc, [Mido: Pretty well known technique (maybe lately/now). Bruteforce/fix the first element of something, and then you can infer the rest. So it reduces the searching space from something like O(N!) to O(N).]</t>
  </si>
  <si>
    <t>math, matrix, matrix pow, matrix sum, fib sequence sum, [oeis may help]</t>
  </si>
  <si>
    <r>
      <rPr>
        <sz val="10"/>
        <color theme="1"/>
        <rFont val="Arial"/>
      </rPr>
      <t xml:space="preserve">graph, centroid-decomposition, </t>
    </r>
    <r>
      <rPr>
        <b/>
        <sz val="10"/>
        <color theme="1"/>
        <rFont val="Arial"/>
      </rPr>
      <t>hard to impl</t>
    </r>
    <r>
      <rPr>
        <sz val="10"/>
        <color theme="1"/>
        <rFont val="Arial"/>
      </rPr>
      <t xml:space="preserve"> or bit or treap, [standard]</t>
    </r>
  </si>
  <si>
    <r>
      <rPr>
        <sz val="10"/>
        <color theme="1"/>
        <rFont val="Arial"/>
      </rPr>
      <t xml:space="preserve">geometry, sweep line, segments, topological sort, </t>
    </r>
    <r>
      <rPr>
        <b/>
        <sz val="10"/>
        <color theme="1"/>
        <rFont val="Arial"/>
      </rPr>
      <t>hard to impl</t>
    </r>
  </si>
  <si>
    <r>
      <rPr>
        <sz val="10"/>
        <color theme="1"/>
        <rFont val="Arial"/>
      </rPr>
      <t xml:space="preserve">geometry, pattern, </t>
    </r>
    <r>
      <rPr>
        <b/>
        <sz val="10"/>
        <color theme="1"/>
        <rFont val="Arial"/>
      </rPr>
      <t>impl</t>
    </r>
  </si>
  <si>
    <r>
      <rPr>
        <sz val="10"/>
        <color theme="1"/>
        <rFont val="arial,sans,sans-serif"/>
      </rPr>
      <t xml:space="preserve">dp, dp_sibling, dp_build_output, </t>
    </r>
    <r>
      <rPr>
        <b/>
        <sz val="10"/>
        <color theme="1"/>
        <rFont val="arial,sans,sans-serif"/>
      </rPr>
      <t>hard to impl</t>
    </r>
    <r>
      <rPr>
        <sz val="10"/>
        <color theme="1"/>
        <rFont val="arial,sans,sans-serif"/>
      </rPr>
      <t>, [https://github.com/farmerboy95/CompetitiveProgramming/blob/master/Codeforces/CF440-D12-D.cpp</t>
    </r>
  </si>
  <si>
    <r>
      <rPr>
        <sz val="10"/>
        <color rgb="FF000000"/>
        <rFont val="Arial"/>
      </rPr>
      <t xml:space="preserve">geometry, lines, floyd, </t>
    </r>
    <r>
      <rPr>
        <b/>
        <sz val="10"/>
        <color rgb="FF000000"/>
        <rFont val="Arial"/>
      </rPr>
      <t>hard to impl</t>
    </r>
  </si>
  <si>
    <r>
      <rPr>
        <sz val="10"/>
        <color theme="1"/>
        <rFont val="Arial"/>
      </rPr>
      <t xml:space="preserve">math, number theory, bf, </t>
    </r>
    <r>
      <rPr>
        <b/>
        <sz val="10"/>
        <color theme="1"/>
        <rFont val="Arial"/>
      </rPr>
      <t>hard to impl</t>
    </r>
  </si>
  <si>
    <r>
      <rPr>
        <strike/>
        <u/>
        <sz val="10"/>
        <color theme="1"/>
        <rFont val="arial,sans,sans-serif"/>
      </rPr>
      <t xml:space="preserve">bit, binary search, policy-based-datastructures, trees or datastructures, [inversion count, </t>
    </r>
    <r>
      <rPr>
        <b/>
        <strike/>
        <u/>
        <sz val="10"/>
        <color theme="1"/>
        <rFont val="arial,sans,sans-serif"/>
      </rPr>
      <t>boring</t>
    </r>
    <r>
      <rPr>
        <strike/>
        <u/>
        <sz val="10"/>
        <color theme="1"/>
        <rFont val="arial,sans,sans-serif"/>
      </rPr>
      <t>]</t>
    </r>
  </si>
  <si>
    <r>
      <rPr>
        <sz val="10"/>
        <color theme="1"/>
        <rFont val="Arial"/>
      </rPr>
      <t>graph, cc, prufer_codes, [</t>
    </r>
    <r>
      <rPr>
        <b/>
        <sz val="10"/>
        <color theme="1"/>
        <rFont val="Arial"/>
      </rPr>
      <t>Cayley's</t>
    </r>
    <r>
      <rPr>
        <sz val="10"/>
        <color theme="1"/>
        <rFont val="Arial"/>
      </rPr>
      <t xml:space="preserve"> formula], or mst, bf, bitmasks</t>
    </r>
  </si>
  <si>
    <r>
      <rPr>
        <sz val="10"/>
        <color theme="1"/>
        <rFont val="arial,sans,sans-serif"/>
      </rPr>
      <t xml:space="preserve">ternary search or </t>
    </r>
    <r>
      <rPr>
        <b/>
        <sz val="10"/>
        <color theme="1"/>
        <rFont val="arial,sans,sans-serif"/>
      </rPr>
      <t>math, probability</t>
    </r>
  </si>
  <si>
    <r>
      <rPr>
        <sz val="10"/>
        <color theme="1"/>
        <rFont val="arial,sans,sans-serif"/>
      </rPr>
      <t xml:space="preserve">string processing, rolling hash, two pointer, </t>
    </r>
    <r>
      <rPr>
        <b/>
        <sz val="10"/>
        <color theme="1"/>
        <rFont val="arial,sans,sans-serif"/>
      </rPr>
      <t>impl</t>
    </r>
    <r>
      <rPr>
        <sz val="10"/>
        <color theme="1"/>
        <rFont val="arial,sans,sans-serif"/>
      </rPr>
      <t xml:space="preserve"> or manachar’s agorithm, [Longest Palindromic Sub-string]</t>
    </r>
  </si>
  <si>
    <r>
      <rPr>
        <sz val="10"/>
        <color theme="1"/>
        <rFont val="arial,sans,sans-serif"/>
      </rPr>
      <t xml:space="preserve">graph, dijkstra, sparse graph or segment tree, </t>
    </r>
    <r>
      <rPr>
        <b/>
        <sz val="10"/>
        <color theme="1"/>
        <rFont val="arial,sans,sans-serif"/>
      </rPr>
      <t>impl</t>
    </r>
  </si>
  <si>
    <r>
      <rPr>
        <sz val="10"/>
        <color theme="1"/>
        <rFont val="Arial"/>
      </rPr>
      <t>meet in middle, bfs, [</t>
    </r>
    <r>
      <rPr>
        <b/>
        <sz val="10"/>
        <color theme="1"/>
        <rFont val="Arial"/>
      </rPr>
      <t>long impl</t>
    </r>
    <r>
      <rPr>
        <sz val="10"/>
        <color theme="1"/>
        <rFont val="Arial"/>
      </rPr>
      <t>] or bfs, prune</t>
    </r>
  </si>
  <si>
    <r>
      <rPr>
        <sz val="10"/>
        <color rgb="FF000000"/>
        <rFont val="Arial"/>
      </rPr>
      <t xml:space="preserve">segment tree, lazy propagation, </t>
    </r>
    <r>
      <rPr>
        <b/>
        <sz val="10"/>
        <color rgb="FF000000"/>
        <rFont val="Arial"/>
      </rPr>
      <t>trickty to impl</t>
    </r>
    <r>
      <rPr>
        <sz val="10"/>
        <color rgb="FF000000"/>
        <rFont val="Arial"/>
      </rPr>
      <t>, [count sort] or sqrt decomposition</t>
    </r>
  </si>
  <si>
    <r>
      <rPr>
        <sz val="10"/>
        <color theme="1"/>
        <rFont val="Arial"/>
      </rPr>
      <t xml:space="preserve">dp, dp_ranges, </t>
    </r>
    <r>
      <rPr>
        <b/>
        <sz val="10"/>
        <color theme="1"/>
        <rFont val="Arial"/>
      </rPr>
      <t>hard to impl</t>
    </r>
    <r>
      <rPr>
        <sz val="10"/>
        <color theme="1"/>
        <rFont val="Arial"/>
      </rPr>
      <t>, floyd, [cases, edit distance]</t>
    </r>
  </si>
  <si>
    <r>
      <rPr>
        <sz val="10"/>
        <color theme="1"/>
        <rFont val="Arial"/>
      </rPr>
      <t xml:space="preserve">math, factorial, factoradic index, </t>
    </r>
    <r>
      <rPr>
        <b/>
        <sz val="10"/>
        <color theme="1"/>
        <rFont val="Arial"/>
      </rPr>
      <t>impl</t>
    </r>
    <r>
      <rPr>
        <sz val="10"/>
        <color theme="1"/>
        <rFont val="Arial"/>
      </rPr>
      <t>, bigint</t>
    </r>
  </si>
  <si>
    <t>Level</t>
  </si>
  <si>
    <t>ad-hoc, long impl, optimizations, [tedious, boring]</t>
  </si>
  <si>
    <t>ad-hoc, heuristics, constructive, [output-only], [bad editorial], [not good problem]</t>
  </si>
  <si>
    <t>ad-hoc, long impl</t>
  </si>
  <si>
    <t>ad-hoc, [https://tioj.ck.tp.edu.tw/problems/1519]</t>
  </si>
  <si>
    <t>ad-hoc, cases analysis, observations</t>
  </si>
  <si>
    <t>ad-hoc, data compression, bigInteger</t>
  </si>
  <si>
    <t>ad-hoc, [https://tioj.ck.tp.edu.tw/problems/1430]</t>
  </si>
  <si>
    <t>ad-hoc, d&amp;c, [const factor optimizations]</t>
  </si>
  <si>
    <t>ad-hoc, optimizations</t>
  </si>
  <si>
    <t>ad-hoc, string, transformations</t>
  </si>
  <si>
    <t>ad-hoc, interactive, d&amp;c, bits, [hard to impl]</t>
  </si>
  <si>
    <t>ad-hoc, interactive, DAG, [communication style]</t>
  </si>
  <si>
    <t>ad-hoc, interactive</t>
  </si>
  <si>
    <t>ad-hoc?</t>
  </si>
  <si>
    <t>ad-hoc, encoding, [different grader, where statement?], [Sperner's theorem]</t>
  </si>
  <si>
    <t>ad-hoc, logic</t>
  </si>
  <si>
    <t>ad-hoc, sliding window, dp</t>
  </si>
  <si>
    <t>ad-hoc, permutations, interactive, [HKOI 11-stones]</t>
  </si>
  <si>
    <t>ad-hoc, [avoid, weird, stef don't understand problem nature]</t>
  </si>
  <si>
    <t>ad-hoc, math, [very short code? maybe trivial]</t>
  </si>
  <si>
    <t>ad-hoc, quick sort, [judge not working]</t>
  </si>
  <si>
    <t>ad-hoc, games or scc, topological sort, MLE</t>
  </si>
  <si>
    <t>ad-hoc, d&amp;c, interactive, pigeonhole principle</t>
  </si>
  <si>
    <t>ad-hoc, bits, interactive</t>
  </si>
  <si>
    <t>ad-hoc, datastructures, [communication], [solve POI 05-ToyCars first]</t>
  </si>
  <si>
    <t>ad-hoc, interactive, impl</t>
  </si>
  <si>
    <t>ad-hoc, bits, bignum, [annoying, avoid]</t>
  </si>
  <si>
    <t>ad-hoc, constructive, interactive, manhattan distance, hard to impl</t>
  </si>
  <si>
    <t>ad-hoc, observations, [casework]</t>
  </si>
  <si>
    <t>ad-hoc, sweep, bit or stack, set</t>
  </si>
  <si>
    <t>ad-hoc, construcive, [independece], [seems very close to IOI 05-birthday]</t>
  </si>
  <si>
    <t>ad-hoc, intetractive</t>
  </si>
  <si>
    <t>ad-hoc, datastructures, observation</t>
  </si>
  <si>
    <t>ad-hoc, quick sort, randomization or datastructures, heap, impl</t>
  </si>
  <si>
    <t>ad-hoc, geoemtry, center of gravity, cyclic shifts, [precision issues]</t>
  </si>
  <si>
    <r>
      <rPr>
        <sz val="10"/>
        <color theme="1"/>
        <rFont val="arial,sans,sans-serif"/>
      </rPr>
      <t xml:space="preserve">ad-hoc, </t>
    </r>
    <r>
      <rPr>
        <b/>
        <sz val="10"/>
        <color theme="1"/>
        <rFont val="arial,sans,sans-serif"/>
      </rPr>
      <t>slope_trick</t>
    </r>
    <r>
      <rPr>
        <sz val="10"/>
        <color theme="1"/>
        <rFont val="arial,sans,sans-serif"/>
      </rPr>
      <t xml:space="preserve"> or others</t>
    </r>
  </si>
  <si>
    <t>ad-hoc, d&amp;c, interactive, [solve APIO 16-gap first is helpful], [constant optimization], [pigeonhole principle]</t>
  </si>
  <si>
    <t>ad-hoc, heuristics, tuning</t>
  </si>
  <si>
    <t>ad-hoc, [hard to prove]</t>
  </si>
  <si>
    <t>ad-hoc, string, hashing</t>
  </si>
  <si>
    <t>ad-hoc, string parsing, [boring]</t>
  </si>
  <si>
    <t>ad-hoc, cases, impl</t>
  </si>
  <si>
    <t>ad-hoc, bits ??</t>
  </si>
  <si>
    <t>ad-hoc, d&amp;c, two pointers, modular inverse, [using less than O(n) memory]</t>
  </si>
  <si>
    <t>ad-hoc, hashing, integer partitions</t>
  </si>
  <si>
    <t>ad-hoc, d&amp;c, 2d prefix sums, 2d sliding window, impl [https://www.acmicpc.net/category/detail/223]</t>
  </si>
  <si>
    <t>ad-hoc, fracturing search</t>
  </si>
  <si>
    <t>ad-hoc, games, interactive?, [JAPANESE]</t>
  </si>
  <si>
    <t>ad-hoc, bitsets or dp, [educational]</t>
  </si>
  <si>
    <t>ad-hoc, observation</t>
  </si>
  <si>
    <t>ad-hoc, binary search, geometry, polygon, triangles</t>
  </si>
  <si>
    <r>
      <rPr>
        <sz val="10"/>
        <color rgb="FF000000"/>
        <rFont val="Arial"/>
      </rPr>
      <t xml:space="preserve">ad-hoc, Manhattan2DRotation, sliding window, </t>
    </r>
    <r>
      <rPr>
        <b/>
        <sz val="10"/>
        <color rgb="FF000000"/>
        <rFont val="Arial"/>
      </rPr>
      <t>impl</t>
    </r>
    <r>
      <rPr>
        <sz val="10"/>
        <color rgb="FF000000"/>
        <rFont val="Arial"/>
      </rPr>
      <t xml:space="preserve"> or sweep, [easy idea]</t>
    </r>
  </si>
  <si>
    <t>ad-hoc, hashing, [no string algo in IOI]</t>
  </si>
  <si>
    <t>ad-hoc, greedy, [Romanian txt]</t>
  </si>
  <si>
    <t>ad-hoc, [communication]</t>
  </si>
  <si>
    <t>ad-hoc, hanoi</t>
  </si>
  <si>
    <t>ad-hoc, [Cool restore X with queries problem.]</t>
  </si>
  <si>
    <t>ad-hoc, interactive, [harder version infoarena password2]</t>
  </si>
  <si>
    <t>ad-hoc, interactive, binary search, [todo review submission link]</t>
  </si>
  <si>
    <t>ad-hoc, huffman coding, interactive, [~= IOIPractice 17-Coins]</t>
  </si>
  <si>
    <t>ad-hoc, sorting or segment tree, dp</t>
  </si>
  <si>
    <t>ad-hoc, interactive?, [JAPANESE]</t>
  </si>
  <si>
    <t>ad-hoc, games</t>
  </si>
  <si>
    <t>ad-hoc, prefix sums, binary search</t>
  </si>
  <si>
    <t>ad-hoc, merge sort</t>
  </si>
  <si>
    <t>ad-hoc, d&amp;c</t>
  </si>
  <si>
    <t>ad-hoc, [OJ.UZ grading server where memory isn't freed between test cases, and it took a while to figure that out. ?? ]</t>
  </si>
  <si>
    <t>ad-hoc, expressions, postfix, infix, queue</t>
  </si>
  <si>
    <t>ad-hoc, preprocessing or bfs</t>
  </si>
  <si>
    <t>ad-hoc, combinatorics</t>
  </si>
  <si>
    <t>ad-hoc, binary search or KMR or hasging</t>
  </si>
  <si>
    <t>ad-hoc, [constrains is not mentioned]</t>
  </si>
  <si>
    <t>ad-hoc, prefix sum 2d</t>
  </si>
  <si>
    <t>ad-hoc, strings, prefix sums, combinatorics</t>
  </si>
  <si>
    <t>ad-hoc, [Romanian txt]</t>
  </si>
  <si>
    <t>ad-hoc, 2D prefix sum, impl</t>
  </si>
  <si>
    <t>ad-hoc, cycles</t>
  </si>
  <si>
    <t>ad-hoc, [output only]</t>
  </si>
  <si>
    <t>ad-hoc, sieve-like</t>
  </si>
  <si>
    <t>ad-hoc, constructive, [Romanian txt]</t>
  </si>
  <si>
    <t>ad-hoc, lexi</t>
  </si>
  <si>
    <t>ad-hoc, sliding window</t>
  </si>
  <si>
    <t>ad-hoc or bipartite match, binary search</t>
  </si>
  <si>
    <t>ad-hoc, trivial</t>
  </si>
  <si>
    <t>ad-hoc, prefix_sums, sorting [JOI20_ho_t1]</t>
  </si>
  <si>
    <t>ad-hoc, sliding window, datastructures</t>
  </si>
  <si>
    <t>ad-hoc, hex</t>
  </si>
  <si>
    <t>ad-hoc, trivial, [COCI18_nadan]</t>
  </si>
  <si>
    <t>ad-hoc, dfs</t>
  </si>
  <si>
    <t>ad-hoc, impl, [output only]</t>
  </si>
  <si>
    <r>
      <rPr>
        <sz val="10"/>
        <color theme="1"/>
        <rFont val="arial,sans,sans-serif"/>
      </rPr>
      <t xml:space="preserve">bf, </t>
    </r>
    <r>
      <rPr>
        <b/>
        <sz val="10"/>
        <color theme="1"/>
        <rFont val="arial,sans,sans-serif"/>
      </rPr>
      <t xml:space="preserve">long </t>
    </r>
    <r>
      <rPr>
        <sz val="10"/>
        <color theme="1"/>
        <rFont val="arial,sans,sans-serif"/>
      </rPr>
      <t>impl</t>
    </r>
  </si>
  <si>
    <r>
      <rPr>
        <sz val="10"/>
        <color rgb="FF000000"/>
        <rFont val="Arial"/>
      </rPr>
      <t xml:space="preserve">bf, </t>
    </r>
    <r>
      <rPr>
        <b/>
        <sz val="10"/>
        <color rgb="FF000000"/>
        <rFont val="Arial"/>
      </rPr>
      <t>optimizations</t>
    </r>
    <r>
      <rPr>
        <sz val="10"/>
        <color rgb="FF000000"/>
        <rFont val="Arial"/>
      </rPr>
      <t>, mask</t>
    </r>
  </si>
  <si>
    <t>bf, ad-hoc, permutations, [optimizations is the hard part]</t>
  </si>
  <si>
    <t>bf, greedy, [lexicographically smallest sequence] or dp</t>
  </si>
  <si>
    <t>bf, graph, stl, bst</t>
  </si>
  <si>
    <t>bf, strings, hashing, [russian txt]</t>
  </si>
  <si>
    <t>bf, ad-hoc, [complexity analysis]</t>
  </si>
  <si>
    <t>bfs, euler cycles, implementation</t>
  </si>
  <si>
    <t>bf, cycle, pidgeon hole</t>
  </si>
  <si>
    <t>COCI 20-nivelle</t>
  </si>
  <si>
    <t>bf, [todo link]</t>
  </si>
  <si>
    <t>bf, [JOI19_ho_t1]</t>
  </si>
  <si>
    <t>bfs, implementation</t>
  </si>
  <si>
    <t>COCI 20-emacs</t>
  </si>
  <si>
    <t>bf, todo link</t>
  </si>
  <si>
    <t>bf, [short code but no one full score in contest - todo]</t>
  </si>
  <si>
    <t>simulation, bfs, impl, [smart impl], [easy idea]</t>
  </si>
  <si>
    <t>datastructures, segment tree, d&amp;c</t>
  </si>
  <si>
    <t>datastructures, binary lifting, greedy, observations, [https://www.acmicpc.net/category/detail/223]</t>
  </si>
  <si>
    <t>datastructures, range tree, [small-to-large], [easy idea]</t>
  </si>
  <si>
    <t>datastructures, binary lifting, observations, [may solve similar easier first: IOI 12-scrivener]</t>
  </si>
  <si>
    <t>datastructures, binary search, impl</t>
  </si>
  <si>
    <t>datastructures, optimization</t>
  </si>
  <si>
    <t>datastructures, stack or segment tree</t>
  </si>
  <si>
    <t>datastructures, stack, prefix max, impl</t>
  </si>
  <si>
    <r>
      <rPr>
        <sz val="10"/>
        <color theme="1"/>
        <rFont val="Arial"/>
      </rPr>
      <t xml:space="preserve">datastructures, math, </t>
    </r>
    <r>
      <rPr>
        <b/>
        <sz val="10"/>
        <color theme="1"/>
        <rFont val="Arial"/>
      </rPr>
      <t>median</t>
    </r>
    <r>
      <rPr>
        <sz val="10"/>
        <color theme="1"/>
        <rFont val="Arial"/>
      </rPr>
      <t>, [solve IOI 11-ricehub first]</t>
    </r>
  </si>
  <si>
    <t>datastructures, stack, impl or dp</t>
  </si>
  <si>
    <t>datastructures, heap, observation or bit</t>
  </si>
  <si>
    <t>datastructures or segment tree, presistent [https://github.com/win11905/submission/blob/master/USACO/12/cbs.cpp]</t>
  </si>
  <si>
    <t>datastructures or segment_tree, bst, [logarithms]</t>
  </si>
  <si>
    <t>datastructures, min deque</t>
  </si>
  <si>
    <t>datastructures, long impl, [boring]</t>
  </si>
  <si>
    <t>datastructures, impl, [tight memory]</t>
  </si>
  <si>
    <t>datastructures, stack, d&amp;c, prefix, [COCI18_strah]</t>
  </si>
  <si>
    <t>datastructures, [~=SPOJ MKTHNUM]</t>
  </si>
  <si>
    <t>datastructures, binary search, greedy</t>
  </si>
  <si>
    <t>datastructures, monotonic queue</t>
  </si>
  <si>
    <t>datastructures, greedy, d&amp;c, impl</t>
  </si>
  <si>
    <t>datastructures, d&amp;c, randomization, [~=COCI 09-snowwhite], [subpart of CF840-D1-D], [https://github.com/MetalBall887/Competitive-Programming/blob/master/Olympiad/COCI/COCI%2009-Patuljci.cpp]</t>
  </si>
  <si>
    <t>datastructures, [Romanian txt]</t>
  </si>
  <si>
    <t>datastructures, trees, dfs, optimizations, [repeated idea]</t>
  </si>
  <si>
    <t>datastructures, greedy, stack, cumulative sum</t>
  </si>
  <si>
    <t xml:space="preserve">datastructures, monotonic stack, greedy or d&amp;c </t>
  </si>
  <si>
    <t>datastructures, stack or monotonic queue or bit, [easy if repeated idea]</t>
  </si>
  <si>
    <t>datastructures, [Straightforward 2D range sum queries with point updates problem]</t>
  </si>
  <si>
    <t>datastructures, [normal idea, heavy DS, e.g. segment tree]</t>
  </si>
  <si>
    <t>datastructures, impl, [where OJ]</t>
  </si>
  <si>
    <t>datastructures, dfs and similar, [Romanian txt]</t>
  </si>
  <si>
    <t>datastructures, math</t>
  </si>
  <si>
    <t>datastructures, dp, [classical]</t>
  </si>
  <si>
    <t>datastructures, ad-hoc</t>
  </si>
  <si>
    <t>datastructures, binary search, impl, [POI11_tem]</t>
  </si>
  <si>
    <t>datastructures, impl, [easy idea]</t>
  </si>
  <si>
    <t>datastructures, greedy, [Romanian txt]</t>
  </si>
  <si>
    <t>datastructures, graph</t>
  </si>
  <si>
    <t>datastructures, sliding window</t>
  </si>
  <si>
    <t>backtrack, [https://open.kattis.com/problems/friends2]</t>
  </si>
  <si>
    <t>backtrack, math, bitmasks, constructive, d&amp;c</t>
  </si>
  <si>
    <r>
      <rPr>
        <sz val="10"/>
        <color theme="1"/>
        <rFont val="Arial"/>
      </rPr>
      <t xml:space="preserve">backtrack, heuristics, </t>
    </r>
    <r>
      <rPr>
        <b/>
        <sz val="10"/>
        <color theme="1"/>
        <rFont val="Arial"/>
      </rPr>
      <t>hard impl</t>
    </r>
    <r>
      <rPr>
        <sz val="10"/>
        <color theme="1"/>
        <rFont val="Arial"/>
      </rPr>
      <t>, [not insightful]</t>
    </r>
  </si>
  <si>
    <t>backtrack, binary search</t>
  </si>
  <si>
    <t>binary search, bfs, interactive [See JOISC-17-abduction2.txt]</t>
  </si>
  <si>
    <t>binary search, game, long impl, interactive</t>
  </si>
  <si>
    <t>binary search, case analysis</t>
  </si>
  <si>
    <t>binary search, dsu, huffman tree, dsu</t>
  </si>
  <si>
    <t>binary search, parallel binary search, datastructures</t>
  </si>
  <si>
    <t>binary search, interactive, [tedious]</t>
  </si>
  <si>
    <t>binary search, parallel binary search, segment tree</t>
  </si>
  <si>
    <t>binary search, interactive, [easier version infoarena interact]</t>
  </si>
  <si>
    <t>binary search, dfs</t>
  </si>
  <si>
    <t>binary search, greedy, [Manhattan distance to Chebysehv distance trick - Manhattan2DRotation reverse]</t>
  </si>
  <si>
    <t>binary search or ad-hoc, permutations, [seems very close to IOI 02-Utopia]</t>
  </si>
  <si>
    <t>binary search, meta binary search, math, fractions</t>
  </si>
  <si>
    <r>
      <rPr>
        <sz val="10"/>
        <color theme="1"/>
        <rFont val="arial,sans,sans-serif"/>
      </rPr>
      <t xml:space="preserve">binary search, math, </t>
    </r>
    <r>
      <rPr>
        <b/>
        <sz val="10"/>
        <color theme="1"/>
        <rFont val="arial,sans,sans-serif"/>
      </rPr>
      <t>median</t>
    </r>
    <r>
      <rPr>
        <sz val="10"/>
        <color theme="1"/>
        <rFont val="arial,sans,sans-serif"/>
      </rPr>
      <t>, greedy</t>
    </r>
  </si>
  <si>
    <t>binary search, then SPOJ HISTOGRA, [=APIOPractice 14-minsub, SPOJ MINSUB]</t>
  </si>
  <si>
    <t>binary search, persistence</t>
  </si>
  <si>
    <t>binary search, math, [classical]</t>
  </si>
  <si>
    <t>binary search, sliding window, [stack trick/convex hull optimization]</t>
  </si>
  <si>
    <t>binary search, combinatorics, impl or dp</t>
  </si>
  <si>
    <t>binary searchm randomization</t>
  </si>
  <si>
    <t>binary search, factrization, optimization</t>
  </si>
  <si>
    <t>binary search or search</t>
  </si>
  <si>
    <r>
      <rPr>
        <sz val="10"/>
        <color theme="1"/>
        <rFont val="arial,sans,sans-serif"/>
      </rPr>
      <t>binary search, impl, [</t>
    </r>
    <r>
      <rPr>
        <b/>
        <sz val="10"/>
        <color theme="1"/>
        <rFont val="arial,sans,sans-serif"/>
      </rPr>
      <t>JAPANESE</t>
    </r>
    <r>
      <rPr>
        <sz val="10"/>
        <color theme="1"/>
        <rFont val="arial,sans,sans-serif"/>
      </rPr>
      <t>]</t>
    </r>
  </si>
  <si>
    <r>
      <rPr>
        <sz val="10"/>
        <color theme="1"/>
        <rFont val="arial,sans,sans-serif"/>
      </rPr>
      <t>binary search, [</t>
    </r>
    <r>
      <rPr>
        <b/>
        <sz val="10"/>
        <color theme="1"/>
        <rFont val="arial,sans,sans-serif"/>
      </rPr>
      <t>JAPANESE</t>
    </r>
    <r>
      <rPr>
        <sz val="10"/>
        <color theme="1"/>
        <rFont val="arial,sans,sans-serif"/>
      </rPr>
      <t>]</t>
    </r>
  </si>
  <si>
    <t>binary search, interactive, d&amp;c, [also sol at http://blog.brucemerry.org.za/2013/07]</t>
  </si>
  <si>
    <t>binary search, math, interactive, d&amp;c, [editorial]</t>
  </si>
  <si>
    <t>binary search, interactive, observation, impl</t>
  </si>
  <si>
    <t>binary search, two pointers</t>
  </si>
  <si>
    <t>binary search, bfs</t>
  </si>
  <si>
    <t>ternary search, impl or binary search, interactive</t>
  </si>
  <si>
    <t>meet in middle, bf</t>
  </si>
  <si>
    <t>segment tree, fib, impl</t>
  </si>
  <si>
    <t>segment tree, [solve CODECHEF SAFPAR first]</t>
  </si>
  <si>
    <t>segment tree, hld, centroid decomposition or others</t>
  </si>
  <si>
    <t>segment tree, binary search, observations, tricky or editorial sol</t>
  </si>
  <si>
    <t>segment tree, d&amp;c or bit, persistent or dp_d&amp;c_opt</t>
  </si>
  <si>
    <t>segment tree or sqrt decomposition or rmq, binary lifting</t>
  </si>
  <si>
    <t>segment tree, [offline queries]</t>
  </si>
  <si>
    <t>segment tree, math, impl</t>
  </si>
  <si>
    <t>segment tree, lazy propagation, queries</t>
  </si>
  <si>
    <t>segment tree or datastructures, sweep range</t>
  </si>
  <si>
    <r>
      <rPr>
        <sz val="10"/>
        <color theme="1"/>
        <rFont val="arial,sans,sans-serif"/>
      </rPr>
      <t xml:space="preserve">segment tree, optimizations, </t>
    </r>
    <r>
      <rPr>
        <b/>
        <sz val="10"/>
        <color theme="1"/>
        <rFont val="arial,sans,sans-serif"/>
      </rPr>
      <t>hard impl</t>
    </r>
  </si>
  <si>
    <t>segment tree, lazy, geomery, impl, [geometry part is hard]</t>
  </si>
  <si>
    <t>segment tree, dp_knuth or dp_d&amp;c_opt, long impl</t>
  </si>
  <si>
    <t>segment tree, persistent, euler's formula or datastructures</t>
  </si>
  <si>
    <r>
      <rPr>
        <sz val="10"/>
        <color theme="1"/>
        <rFont val="arial,sans,sans-serif"/>
      </rPr>
      <t xml:space="preserve">segment tree, dynamic, 2D segment tree, impl or 1D treap, [easy idea - </t>
    </r>
    <r>
      <rPr>
        <b/>
        <sz val="10"/>
        <color theme="1"/>
        <rFont val="arial,sans,sans-serif"/>
      </rPr>
      <t>hard impl</t>
    </r>
    <r>
      <rPr>
        <sz val="10"/>
        <color theme="1"/>
        <rFont val="arial,sans,sans-serif"/>
      </rPr>
      <t>]</t>
    </r>
  </si>
  <si>
    <t>segment tree, dijkstra, d&amp;c</t>
  </si>
  <si>
    <t>segment tree, implicit, [hard text?]</t>
  </si>
  <si>
    <t>segment tree, trie, [classical]</t>
  </si>
  <si>
    <t>segment tree, dynamic</t>
  </si>
  <si>
    <t>segment tree, dp, impl</t>
  </si>
  <si>
    <t>segment tree, constructive, bst, simulation</t>
  </si>
  <si>
    <t>segment tree, 2d, [properties allowed 2d]</t>
  </si>
  <si>
    <t>segment tree, greedy, bipartite graph or dsu, odd cycle</t>
  </si>
  <si>
    <r>
      <rPr>
        <sz val="10"/>
        <color theme="1"/>
        <rFont val="arial,sans,sans-serif"/>
      </rPr>
      <t xml:space="preserve">segment tree, </t>
    </r>
    <r>
      <rPr>
        <b/>
        <sz val="10"/>
        <color theme="1"/>
        <rFont val="arial,sans,sans-serif"/>
      </rPr>
      <t>impl</t>
    </r>
    <r>
      <rPr>
        <sz val="10"/>
        <color theme="1"/>
        <rFont val="arial,sans,sans-serif"/>
      </rPr>
      <t>, [__int128 simplifies] or math, binary search</t>
    </r>
  </si>
  <si>
    <t>segment tree, math, [standard]</t>
  </si>
  <si>
    <t>segment tree, greedy, persistent, binary search, [Combination of standard techniques]</t>
  </si>
  <si>
    <t>segment tree, lazy, graph, dynamic connectivity</t>
  </si>
  <si>
    <t>segment tree, greedy, sweep, observations or bit, [solve first CSA41-E https://csacademy.com/contest/round-41/task/candles/]</t>
  </si>
  <si>
    <t xml:space="preserve">segment tree, max subarray sum </t>
  </si>
  <si>
    <t>segment tree, d&amp;c, bitmasks, optimization, [repeated]</t>
  </si>
  <si>
    <t>segment tree, polynomial, [repeated]</t>
  </si>
  <si>
    <t>segment tree, [hard state]</t>
  </si>
  <si>
    <t>segment tree, persistent, dp, sweep</t>
  </si>
  <si>
    <t>segment tree, tournament tree</t>
  </si>
  <si>
    <r>
      <rPr>
        <sz val="10"/>
        <color theme="1"/>
        <rFont val="arial,sans,sans-serif"/>
      </rPr>
      <t xml:space="preserve">segment tree, ad-hoc, </t>
    </r>
    <r>
      <rPr>
        <b/>
        <sz val="10"/>
        <color theme="1"/>
        <rFont val="arial,sans,sans-serif"/>
      </rPr>
      <t>nice to impl</t>
    </r>
  </si>
  <si>
    <t>segment tree, matrix pow, [~=POI fib]</t>
  </si>
  <si>
    <t>segment tree, sweep line</t>
  </si>
  <si>
    <t>segment tree, LiChao or datastructures, binary search, geometry</t>
  </si>
  <si>
    <r>
      <rPr>
        <strike/>
        <u/>
        <sz val="10"/>
        <color theme="1"/>
        <rFont val="arial,sans,sans-serif"/>
      </rPr>
      <t>segment tree, sweep line, [</t>
    </r>
    <r>
      <rPr>
        <b/>
        <strike/>
        <u/>
        <sz val="10"/>
        <color theme="1"/>
        <rFont val="arial,sans,sans-serif"/>
      </rPr>
      <t>no submit</t>
    </r>
    <r>
      <rPr>
        <strike/>
        <u/>
        <sz val="10"/>
        <color theme="1"/>
        <rFont val="arial,sans,sans-serif"/>
      </rPr>
      <t>], [test data: last entry here http://hsin.hr/2015/]</t>
    </r>
  </si>
  <si>
    <r>
      <rPr>
        <sz val="10"/>
        <color theme="1"/>
        <rFont val="arial,sans,sans-serif"/>
      </rPr>
      <t xml:space="preserve">segment tree or treap, observation, greedy, </t>
    </r>
    <r>
      <rPr>
        <b/>
        <sz val="10"/>
        <color theme="1"/>
        <rFont val="arial,sans,sans-serif"/>
      </rPr>
      <t>impl</t>
    </r>
    <r>
      <rPr>
        <sz val="10"/>
        <color theme="1"/>
        <rFont val="arial,sans,sans-serif"/>
      </rPr>
      <t>, [easy idea]</t>
    </r>
  </si>
  <si>
    <t>segment tree, implicit, offline processing, [constant optimizations]</t>
  </si>
  <si>
    <t>segment tree, math or math, fibonacci perid</t>
  </si>
  <si>
    <t>segment tree, grid compress or bit, dp or dp, impl [lis prefix and postfix], [https://oj.uz/problem/view/CEOI18_glo]</t>
  </si>
  <si>
    <t>segment tree or bit or datastructures, [strict time/memory]</t>
  </si>
  <si>
    <t>segment tree, grid compress</t>
  </si>
  <si>
    <t>segment tree, dfs, data structures</t>
  </si>
  <si>
    <t>segment tree, [=CSA41 candles]</t>
  </si>
  <si>
    <t>segment tree, lazy or sqrt decomposition</t>
  </si>
  <si>
    <t>segment tree, topological sort</t>
  </si>
  <si>
    <t>segment tree, lazy, dp</t>
  </si>
  <si>
    <t>segment tree or bit, dfs or merge-sort tree with updates, binary-lifting, dfs</t>
  </si>
  <si>
    <t>segment tree or bit or dfs, [count unique]</t>
  </si>
  <si>
    <r>
      <rPr>
        <sz val="10"/>
        <color theme="1"/>
        <rFont val="arial,sans,sans-serif"/>
      </rPr>
      <t>segment tree, math, [</t>
    </r>
    <r>
      <rPr>
        <b/>
        <sz val="10"/>
        <color theme="1"/>
        <rFont val="arial,sans,sans-serif"/>
      </rPr>
      <t>JAPANESE</t>
    </r>
    <r>
      <rPr>
        <sz val="10"/>
        <color theme="1"/>
        <rFont val="arial,sans,sans-serif"/>
      </rPr>
      <t>]</t>
    </r>
  </si>
  <si>
    <t>segment tree, bfs, bfs order</t>
  </si>
  <si>
    <t xml:space="preserve">segment tree, monotone queue </t>
  </si>
  <si>
    <t>segment tree or bit or sqrt decomposition</t>
  </si>
  <si>
    <t>segment tree, prefix sum</t>
  </si>
  <si>
    <t>segment tree, sweep, arithmetic progression</t>
  </si>
  <si>
    <t>bit, impl</t>
  </si>
  <si>
    <t>bit, dfs or centroid-decomposition, segment tree or link-cut</t>
  </si>
  <si>
    <t>bit or dp, datastructures, LIS</t>
  </si>
  <si>
    <t>bit, dp, LIS, math, mod, overflow, impl</t>
  </si>
  <si>
    <t>bit, merge sort tree, tough impl</t>
  </si>
  <si>
    <t>bit, d&amp;c, [similar to IOI 14-holiday[</t>
  </si>
  <si>
    <t>bit, d&amp;c or segment tree, lazy, bit, stack-style observation</t>
  </si>
  <si>
    <t>bit, observation</t>
  </si>
  <si>
    <r>
      <rPr>
        <sz val="10"/>
        <color theme="1"/>
        <rFont val="arial,sans,sans-serif"/>
      </rPr>
      <t xml:space="preserve">bit or datastructures. </t>
    </r>
    <r>
      <rPr>
        <b/>
        <sz val="10"/>
        <color theme="1"/>
        <rFont val="arial,sans,sans-serif"/>
      </rPr>
      <t>tricky to impl</t>
    </r>
  </si>
  <si>
    <r>
      <rPr>
        <sz val="10"/>
        <color theme="1"/>
        <rFont val="arial,sans,sans-serif"/>
      </rPr>
      <t xml:space="preserve">bit, 2d bit, Manhattan2DRotation, </t>
    </r>
    <r>
      <rPr>
        <b/>
        <sz val="10"/>
        <color theme="1"/>
        <rFont val="arial,sans,sans-serif"/>
      </rPr>
      <t>impl</t>
    </r>
  </si>
  <si>
    <t>bit, JOI20_ho_t5</t>
  </si>
  <si>
    <r>
      <rPr>
        <sz val="10"/>
        <color theme="1"/>
        <rFont val="arial,sans,sans-serif"/>
      </rPr>
      <t>bit, binary search or segment tree, [</t>
    </r>
    <r>
      <rPr>
        <b/>
        <sz val="10"/>
        <color theme="1"/>
        <rFont val="arial,sans,sans-serif"/>
      </rPr>
      <t>JAPANESE</t>
    </r>
    <r>
      <rPr>
        <sz val="10"/>
        <color theme="1"/>
        <rFont val="arial,sans,sans-serif"/>
      </rPr>
      <t>]</t>
    </r>
  </si>
  <si>
    <t>bit, dp</t>
  </si>
  <si>
    <t>bit, binary search or segment tree</t>
  </si>
  <si>
    <t>bit, grid compress or segment tree</t>
  </si>
  <si>
    <t>bit, 3d</t>
  </si>
  <si>
    <t>bit, dfs</t>
  </si>
  <si>
    <t>bit, datastructures, offline</t>
  </si>
  <si>
    <t>bit, grid compress</t>
  </si>
  <si>
    <t>bit, graph or datastructures</t>
  </si>
  <si>
    <t>bit or hld, [basic]</t>
  </si>
  <si>
    <t>dp, impl, [not nice]</t>
  </si>
  <si>
    <t>dp, bitmasks, impl</t>
  </si>
  <si>
    <t>dp, slope_trick, datastructures</t>
  </si>
  <si>
    <t>dp, backtrack, math</t>
  </si>
  <si>
    <t>dp, stack, next greater element, preprocessing</t>
  </si>
  <si>
    <t>dp, dsu, constructive, [small-to-large]</t>
  </si>
  <si>
    <t>dp, trees, impl, [cases]</t>
  </si>
  <si>
    <t>dp, strings or randomization, [not clear editorial - assign strong guy]</t>
  </si>
  <si>
    <t>dp, greedy, impl, [cases, non standard]</t>
  </si>
  <si>
    <t>dp, ad-hoc, observations, partitioning</t>
  </si>
  <si>
    <t>dp, dijkstra, palindromes</t>
  </si>
  <si>
    <t>dp, slope_trick</t>
  </si>
  <si>
    <t>dp, dp_output, tournament tree, [sp in grid with buildings]</t>
  </si>
  <si>
    <t>dp, ternary search, [Romanian txt]</t>
  </si>
  <si>
    <t>dp, strings, [Romanian txt]</t>
  </si>
  <si>
    <t>dp, bitset, knapsack optimization</t>
  </si>
  <si>
    <t>dp, binary search, greedy</t>
  </si>
  <si>
    <t>dp, graph, datastructures</t>
  </si>
  <si>
    <t>dp, deques or math, stack, [strict TL]</t>
  </si>
  <si>
    <t>dp, rmq</t>
  </si>
  <si>
    <t>dp, simple combinatorics</t>
  </si>
  <si>
    <t>dp, bignum, base conversion</t>
  </si>
  <si>
    <t>dp , convex hull</t>
  </si>
  <si>
    <t>dp, dsu, map, [small-to-large]</t>
  </si>
  <si>
    <t>dp, binary search, [trick to reduce order]</t>
  </si>
  <si>
    <t>dp, permutations, [split to 2 seperate subproblems], [=infoarena kcons]</t>
  </si>
  <si>
    <t>dp, dp_d&amp;c</t>
  </si>
  <si>
    <t>dp, cyclic permutation, primes, gcd, bignum [using double percision], [smaller constraints infoarena perm5]</t>
  </si>
  <si>
    <t>dp, knapsack, ad-hoc, prime module, [some tricks in also CF981-D12-E]</t>
  </si>
  <si>
    <t>dp, binary tree, [restricted time and memory]</t>
  </si>
  <si>
    <t>dp, rectangles, ad-hoc</t>
  </si>
  <si>
    <t>dp or dijkstra, impl</t>
  </si>
  <si>
    <t>dp, [also https://www.youtube.com/watch?v=8CTteoBqW6A]</t>
  </si>
  <si>
    <t>dp, knapsack, trees, math, [educational]</t>
  </si>
  <si>
    <t>dp, permutation, observation</t>
  </si>
  <si>
    <t>dp, brackets, optimizations</t>
  </si>
  <si>
    <t>dp, bignum, impl or, math, closed form, [Narayana number]</t>
  </si>
  <si>
    <t>dp, [Romanian txt]</t>
  </si>
  <si>
    <t>dp, impl or bfs, pruning</t>
  </si>
  <si>
    <t>dp, meet in middle, bitmasks</t>
  </si>
  <si>
    <t>dp, math, divisors, [weak cases?]</t>
  </si>
  <si>
    <t>dp, [dp on diagonal, non-standard]</t>
  </si>
  <si>
    <t>dp, greedy, all permutations</t>
  </si>
  <si>
    <t>dp, [bounded knapsack] or ad-hoc, stl or dp_convex_hull, deque</t>
  </si>
  <si>
    <t>dp, optimal splitting, minque or monotonic stack</t>
  </si>
  <si>
    <t>dp, matrix pow</t>
  </si>
  <si>
    <t>dp, datastructures or greedy, combinatorics</t>
  </si>
  <si>
    <t>dp, bfs ,constructive, optimize</t>
  </si>
  <si>
    <t>dp, greedy, primes, monotonicity, [mathy proof}]</t>
  </si>
  <si>
    <t>dp, deque, [easy impl]</t>
  </si>
  <si>
    <t>dp, math, meet in middle</t>
  </si>
  <si>
    <t>dp, binary search or ad-hoc, bitmasks, knapsack</t>
  </si>
  <si>
    <t>dp, geometry, triangulation, [solve first POI 06-Invasion]</t>
  </si>
  <si>
    <t>dp, polygon, mod inv</t>
  </si>
  <si>
    <t>dp, [close to USACO 14open-silver-odometer]</t>
  </si>
  <si>
    <t>dp, backtrack, impl</t>
  </si>
  <si>
    <t>dp, [bf to get observations and pattern]</t>
  </si>
  <si>
    <t>dp, [https://www.iarcs.org.in/inoi/online-study-material/problems/mexico-soln.php]</t>
  </si>
  <si>
    <t>dp, dfs, hash, [Romanian txt]</t>
  </si>
  <si>
    <t>dp, game or game theory, ad-hoc, greedy</t>
  </si>
  <si>
    <t>dp or dp_convex_hull</t>
  </si>
  <si>
    <t>dp, dp_couning</t>
  </si>
  <si>
    <t>dp, sorting, exchange argument</t>
  </si>
  <si>
    <t>dp, graph, datastructures, impl or greedy, [easy idea]</t>
  </si>
  <si>
    <t>dp, datastructures, impl. [strict tl]</t>
  </si>
  <si>
    <t>COI 19-ljepotica</t>
  </si>
  <si>
    <t>dp [put link when available]</t>
  </si>
  <si>
    <t>dp, histogram, monotonic deque or datastructures</t>
  </si>
  <si>
    <t>dp, hashing</t>
  </si>
  <si>
    <t>p?</t>
  </si>
  <si>
    <r>
      <rPr>
        <sz val="10"/>
        <color rgb="FF000000"/>
        <rFont val="Arial"/>
      </rPr>
      <t xml:space="preserve">dp, </t>
    </r>
    <r>
      <rPr>
        <b/>
        <sz val="10"/>
        <color rgb="FF000000"/>
        <rFont val="Arial"/>
      </rPr>
      <t>impl</t>
    </r>
  </si>
  <si>
    <t>dp, topological sort, DAG, [assign for romanians only]]</t>
  </si>
  <si>
    <t>dp, [strict time], [assign for romanians only]]</t>
  </si>
  <si>
    <t>dp, backtracking</t>
  </si>
  <si>
    <t>dp, state compression, [repeated], [rephrasing You need to select some elements and split the elements into two equal (by sum) parts. The sum of the left part should be minimum possible. The left part goes to casino and becomes two times greater.]</t>
  </si>
  <si>
    <t>dp, prefix sum, [https://gist.github.com/luciocf/5f35f24f4c7e510fb95e09aba9eacad2]</t>
  </si>
  <si>
    <t>dp, d&amp;c, dp_build_output, [optimize memory], [easy idea]</t>
  </si>
  <si>
    <t>dp, strings, some const optimizations</t>
  </si>
  <si>
    <t>dp, segment tree</t>
  </si>
  <si>
    <t>dp, deques, implementation</t>
  </si>
  <si>
    <t>dp, impl, [standard]</t>
  </si>
  <si>
    <t>dp, periodic output</t>
  </si>
  <si>
    <t>dp, bit. permutations or math, recurrance, swaps, [also https://www.youtube.com/watch?v=8CTteoBqW6A]</t>
  </si>
  <si>
    <t>dp, graph, [strict time]</t>
  </si>
  <si>
    <t>dp, [has a cute O(n^3) solution using a dp approach similar to the max sum subarray]</t>
  </si>
  <si>
    <t>dp, dag, model graph</t>
  </si>
  <si>
    <t>dp, [JAPANESE], [From google translated statement you may think that the first player can take any cake he wants and the rule of taking a cake next to some already taken cake didnt apply. This is not the case], [https://github.com/Evilandrew228/CompetitiveProgramming/blob/master/JOI%2015-Cake2]</t>
  </si>
  <si>
    <t>dp, divisors, [Standard trick of changing dimension for dp], []</t>
  </si>
  <si>
    <t>dp, trees or lca</t>
  </si>
  <si>
    <t>dp, [time memory] or graph, ad-hoc</t>
  </si>
  <si>
    <t>dp, dsu, [basic]</t>
  </si>
  <si>
    <t>dp, sorting, greedy</t>
  </si>
  <si>
    <t>dp, trees</t>
  </si>
  <si>
    <t>dp, matrix pow, [classical]</t>
  </si>
  <si>
    <t>dp, hashing, strings</t>
  </si>
  <si>
    <t>dp, bfs, [Romanian txt]</t>
  </si>
  <si>
    <r>
      <rPr>
        <sz val="10"/>
        <color theme="1"/>
        <rFont val="arial,sans,sans-serif"/>
      </rPr>
      <t>dp, mod inv, factorial, [</t>
    </r>
    <r>
      <rPr>
        <b/>
        <sz val="10"/>
        <color theme="1"/>
        <rFont val="arial,sans,sans-serif"/>
      </rPr>
      <t>JAPANESE</t>
    </r>
    <r>
      <rPr>
        <sz val="10"/>
        <color theme="1"/>
        <rFont val="arial,sans,sans-serif"/>
      </rPr>
      <t>]</t>
    </r>
  </si>
  <si>
    <t>dp, sorting, sweep</t>
  </si>
  <si>
    <t>dp, dag</t>
  </si>
  <si>
    <t>dp, [https://ideone.com/GSEJmj]</t>
  </si>
  <si>
    <t>dp, lis, nlogn, [np-hard-special-case-reduce]</t>
  </si>
  <si>
    <t>dp, [https://ideone.com/LO0Jfr]</t>
  </si>
  <si>
    <t>dp, [max sum 1d, trivial old problem]</t>
  </si>
  <si>
    <t>dp, dp_bitmaks, dp_trees</t>
  </si>
  <si>
    <t>dp or bfs, bitmasks, exchange arguments</t>
  </si>
  <si>
    <t>dp, tree or segment tree</t>
  </si>
  <si>
    <t>dp, JOI20_ho_t3</t>
  </si>
  <si>
    <t>dp, queue</t>
  </si>
  <si>
    <t>dp, tree, bignum, memory compression</t>
  </si>
  <si>
    <r>
      <rPr>
        <strike/>
        <u/>
        <sz val="10"/>
        <color rgb="FF000000"/>
        <rFont val="Arial"/>
      </rPr>
      <t xml:space="preserve">dp, </t>
    </r>
    <r>
      <rPr>
        <b/>
        <strike/>
        <u/>
        <sz val="10"/>
        <color rgb="FF000000"/>
        <rFont val="Arial"/>
      </rPr>
      <t>bignum</t>
    </r>
    <r>
      <rPr>
        <strike/>
        <u/>
        <sz val="10"/>
        <color rgb="FF000000"/>
        <rFont val="Arial"/>
      </rPr>
      <t>, standard</t>
    </r>
  </si>
  <si>
    <t>dp, max sum, strings, [POI11_roz, POI XVIII-roz]</t>
  </si>
  <si>
    <r>
      <rPr>
        <sz val="10"/>
        <color theme="1"/>
        <rFont val="arial,sans,sans-serif"/>
      </rPr>
      <t>dp, [small code], [</t>
    </r>
    <r>
      <rPr>
        <b/>
        <sz val="10"/>
        <color theme="1"/>
        <rFont val="arial,sans,sans-serif"/>
      </rPr>
      <t>JAPANESE</t>
    </r>
    <r>
      <rPr>
        <sz val="10"/>
        <color theme="1"/>
        <rFont val="arial,sans,sans-serif"/>
      </rPr>
      <t>]</t>
    </r>
  </si>
  <si>
    <t>dp, binary search, [https://github.com/Rockbet/Problems/blob/master/NOI/2007/Hole.cpp]</t>
  </si>
  <si>
    <t>dp, [cases]</t>
  </si>
  <si>
    <r>
      <rPr>
        <sz val="10"/>
        <color theme="1"/>
        <rFont val="arial,sans,sans-serif"/>
      </rPr>
      <t>dp, [</t>
    </r>
    <r>
      <rPr>
        <b/>
        <sz val="10"/>
        <color theme="1"/>
        <rFont val="arial,sans,sans-serif"/>
      </rPr>
      <t>JAPANESE</t>
    </r>
    <r>
      <rPr>
        <sz val="10"/>
        <color theme="1"/>
        <rFont val="arial,sans,sans-serif"/>
      </rPr>
      <t>]</t>
    </r>
  </si>
  <si>
    <t>dp, prefix sums</t>
  </si>
  <si>
    <t>dp, lis or greedy</t>
  </si>
  <si>
    <t>dp, [basic, leave or take]</t>
  </si>
  <si>
    <t>dp, lcs, [np-hard-special-case-reduce]</t>
  </si>
  <si>
    <r>
      <rPr>
        <sz val="10"/>
        <color theme="1"/>
        <rFont val="arial,sans,sans-serif"/>
      </rPr>
      <t>dp, impl, [</t>
    </r>
    <r>
      <rPr>
        <b/>
        <sz val="10"/>
        <color theme="1"/>
        <rFont val="arial,sans,sans-serif"/>
      </rPr>
      <t>JAPANESE</t>
    </r>
    <r>
      <rPr>
        <sz val="10"/>
        <color theme="1"/>
        <rFont val="arial,sans,sans-serif"/>
      </rPr>
      <t>]</t>
    </r>
  </si>
  <si>
    <t>dp, [where OJ]</t>
  </si>
  <si>
    <t>dp, dp_state_reduce, combinatorics, [dublicate counting]</t>
  </si>
  <si>
    <t>dp, dp_subrectangle, [count paths, cases, sstrict ml]</t>
  </si>
  <si>
    <t>dp, dp_subrectangle, dp_counting, impl</t>
  </si>
  <si>
    <t>dp, dp_subrectangle, 2d, observations</t>
  </si>
  <si>
    <t>dp, dp_table, bfs, long impl, [tight time]</t>
  </si>
  <si>
    <t>dp, dp_table, LCS-like, some memory optimizations</t>
  </si>
  <si>
    <t>dp, dp_table, knapsack</t>
  </si>
  <si>
    <t>dp, dp_table, impl, [roll table for memory], boring]</t>
  </si>
  <si>
    <t>dp, dp_bitmasks, optimizations</t>
  </si>
  <si>
    <t>dp, dp_bitmasks, factorization, mod inv, misc, impl</t>
  </si>
  <si>
    <t>dp, dp_bitmasks or d&amp;c, precalc</t>
  </si>
  <si>
    <t>dp, dp_bitmasks, [cases]</t>
  </si>
  <si>
    <t>dp, dp_bitmasks, dfs, game, induction principle</t>
  </si>
  <si>
    <t>dp, dp_bitmasks, meet in middle, [strict time]</t>
  </si>
  <si>
    <t>dp, dp_bitmasks, sliding window, [max-sat]</t>
  </si>
  <si>
    <t>dp, dp_bitmasks, [others faced MLE?]</t>
  </si>
  <si>
    <t>dp, dp_bitmasks, mask-all-subsets, [split to 2 masks and process independently]</t>
  </si>
  <si>
    <t>dp, dp_bitmasks, precompute</t>
  </si>
  <si>
    <t>dp, dp_bitmasks, bf, [observe to opitimize], [same idea as COCI 16-vjestica]</t>
  </si>
  <si>
    <t>dp, dp_bitmasks, [https://pastebin.com/2LyrBGjz]</t>
  </si>
  <si>
    <t>dp, dp_counting, impl</t>
  </si>
  <si>
    <t>dp, dp_counting, observations, optimizations</t>
  </si>
  <si>
    <t>dp, dp_counting, dp_table, xor, indepndence, game theory (nim), [strict mem]</t>
  </si>
  <si>
    <t>dp, dp_counting, mod inv, trees</t>
  </si>
  <si>
    <t>dp, dp_counting, dp_table, dp_roll, cases, lexi</t>
  </si>
  <si>
    <t>dp, dp_counting, [JOI19_ho_t3], [dp table creation during run time], [mix of old tricks]</t>
  </si>
  <si>
    <t>dp, dp_counting, prefix sum or d&amp;c, inclusion-exclusion, [interactive]</t>
  </si>
  <si>
    <t>dp, dp_counting, dp_build_output</t>
  </si>
  <si>
    <t>dp, dp_counting or greedy</t>
  </si>
  <si>
    <t>dp, dp_counting or fft</t>
  </si>
  <si>
    <t>dp, dp_games, dp_table, bfs, 2d grid</t>
  </si>
  <si>
    <t>dp, dp_ranges or greedy, d&amp;c, [first Subtask : Ranges dp second Subtask : Ranges dp with bitset third subtask : next array]</t>
  </si>
  <si>
    <t>dp, dp_ranges, trees</t>
  </si>
  <si>
    <t>dp, dp_ranges, [tricky states], [solve IOI 06-mexico first]</t>
  </si>
  <si>
    <t>dp, dp_ranges, dp_table, dp_roll</t>
  </si>
  <si>
    <t>dp, dp_ranges, cross product</t>
  </si>
  <si>
    <t>greedy, slope_trick</t>
  </si>
  <si>
    <t>greedy, matching, datastructures, [=JOISC 18-candies]</t>
  </si>
  <si>
    <t>greedy, sorting, LIS, coordinate transformation, [if hard solve first CF76-D12-F CODECHEF CHRL3]</t>
  </si>
  <si>
    <t>greedy, trees, exchange argument, small-to-large</t>
  </si>
  <si>
    <t>greedy, strings, [Romanian txt]</t>
  </si>
  <si>
    <t>greedy, dsu, observation</t>
  </si>
  <si>
    <t>greedy, dp, 2d prefix sums</t>
  </si>
  <si>
    <r>
      <rPr>
        <sz val="10"/>
        <color rgb="FF000000"/>
        <rFont val="Arial"/>
      </rPr>
      <t xml:space="preserve">greedy, flood-fill, </t>
    </r>
    <r>
      <rPr>
        <b/>
        <sz val="10"/>
        <color rgb="FF000000"/>
        <rFont val="Arial"/>
      </rPr>
      <t>prefix sums</t>
    </r>
  </si>
  <si>
    <t>greedy, graph, math, interactive</t>
  </si>
  <si>
    <t>greedy, observation, impl, [cases]</t>
  </si>
  <si>
    <t>greedy, bits, impl, [misleading constraints]</t>
  </si>
  <si>
    <t>greedy, [choose-later-correct]</t>
  </si>
  <si>
    <t>greedy, fibonacci, constructive</t>
  </si>
  <si>
    <t>greedy, d&amp;c, induction, [cases]</t>
  </si>
  <si>
    <t>greedy, [JOI19_ho_t4]</t>
  </si>
  <si>
    <t>greedy, dp, [=CF981-D12-D]</t>
  </si>
  <si>
    <t>greedy, bitset, datastructures, impl, [boring?]</t>
  </si>
  <si>
    <t>greedy, observation, graph, prove</t>
  </si>
  <si>
    <t>greedy, pruning, long code or dp, short code</t>
  </si>
  <si>
    <t>greedy, pattern, palindromes</t>
  </si>
  <si>
    <t>greedy, binary search, math</t>
  </si>
  <si>
    <t>greedy, POI11_liz</t>
  </si>
  <si>
    <t>greedy, brute force, math</t>
  </si>
  <si>
    <t>greedy, monotonic queue, simulation</t>
  </si>
  <si>
    <t>greedy, [https://dunjudge.me/analysis/problems/555/]</t>
  </si>
  <si>
    <t>greedy, [See JOISC-17-abduction2.txt]</t>
  </si>
  <si>
    <t>greedy, datastructures, hashing, [standard]</t>
  </si>
  <si>
    <t>greedy, datastructures, [hard to prove]</t>
  </si>
  <si>
    <t>greedy, binary search, quadratic equation ,titu's lemma</t>
  </si>
  <si>
    <t>greedy, sorting, sweep, observation, grid</t>
  </si>
  <si>
    <t>greedy, constructive, stl, careful impl or monotonic queue</t>
  </si>
  <si>
    <t>greedy, trees</t>
  </si>
  <si>
    <t>greedy, binary search, stack, circles</t>
  </si>
  <si>
    <t>greedy, bf, [strict TL - optimizations], [output-only]</t>
  </si>
  <si>
    <t>greedy, datastrucrures, prefix, suffix</t>
  </si>
  <si>
    <t>greedy, tree, constructive, observation</t>
  </si>
  <si>
    <t>greedy, impl or bit</t>
  </si>
  <si>
    <t>greedy, binary Search</t>
  </si>
  <si>
    <t>greedy, two pointers</t>
  </si>
  <si>
    <t>greedy, [POI13_usu]</t>
  </si>
  <si>
    <t xml:space="preserve">greedy or segment tree </t>
  </si>
  <si>
    <t>greedy, data structures</t>
  </si>
  <si>
    <t>greedy, geometry basics, POI11_pat</t>
  </si>
  <si>
    <t>greedy, binary search, [See JOISC-17-abduction2.txt]</t>
  </si>
  <si>
    <t>greedy or bit</t>
  </si>
  <si>
    <t>greedy, matching</t>
  </si>
  <si>
    <t>greedy, math, [hard txt?]</t>
  </si>
  <si>
    <t>greedy, dfs or dp, [cover the tree with minimum number of paths from one node to another one]</t>
  </si>
  <si>
    <t>greedy, datastructures, binary search, [greedy with undo]</t>
  </si>
  <si>
    <t>greedy, mst, [badly integrated checker, http://apio-olympiad.org/2008/], [english txt: http://apio-olympiad.org/2008/apio-en.pdf]        https://github.com/MohamedAhmed04/Competitive-programming/blob/master/APIO/APIO2008-roads.cpp</t>
  </si>
  <si>
    <t>greedy, constructive, pattern</t>
  </si>
  <si>
    <t>greedy, implementation</t>
  </si>
  <si>
    <t>greedy, hashing</t>
  </si>
  <si>
    <t>greedy or ternary search, [editoral]</t>
  </si>
  <si>
    <t>greedy or d&amp;c</t>
  </si>
  <si>
    <t>greedy, constructive algorithm</t>
  </si>
  <si>
    <t>greedy, matrix, [https://ideone.com/3V5rzT]</t>
  </si>
  <si>
    <t>greedy, parentheses or dp</t>
  </si>
  <si>
    <t>greedy, [=IOI 12-Supper]</t>
  </si>
  <si>
    <t>greedy. sorting</t>
  </si>
  <si>
    <t>greedy, divide and conquer, [Romanian txt]</t>
  </si>
  <si>
    <t>greedy, [text summry in sol]</t>
  </si>
  <si>
    <t>greedy, ad-hoc, impl</t>
  </si>
  <si>
    <t>greedy, [Romanian txt]</t>
  </si>
  <si>
    <t>greedy, sortings, [Romanian txt]</t>
  </si>
  <si>
    <t>greedy, sorting, multiset</t>
  </si>
  <si>
    <t>greedy, set, [strictl tl, multset TLE]</t>
  </si>
  <si>
    <t>greedy, sorting, math, [text summry in sol]</t>
  </si>
  <si>
    <t>greedy, bf</t>
  </si>
  <si>
    <t>greedy, number theory, [test interactive problem]</t>
  </si>
  <si>
    <t>COCI 20-pod</t>
  </si>
  <si>
    <t>greedy, [todo link]</t>
  </si>
  <si>
    <t>greedy, [short]</t>
  </si>
  <si>
    <t>greedy or ad-hoc</t>
  </si>
  <si>
    <t>game theory, topological sort, parity game, [solve Baltic 14-coprobber first]</t>
  </si>
  <si>
    <t>game theory, math, greedy, [split to 2 sub-games - long proof]</t>
  </si>
  <si>
    <t>game theory, bfs, dp , [cases, editorial]</t>
  </si>
  <si>
    <t>game theory, stl or segment tree, sliding window. [monotone queue]</t>
  </si>
  <si>
    <t>game theory, interactive, [use cout/cin not printf/scanf]</t>
  </si>
  <si>
    <t>geometry, primes, factrization</t>
  </si>
  <si>
    <t>geometry, rectangles, binary search</t>
  </si>
  <si>
    <t>geometry, triangles, d&amp;c, [=CF1045-D12-E with smaller constraints]</t>
  </si>
  <si>
    <t>geometry, graph, impl</t>
  </si>
  <si>
    <t>geometry, segment tree, [optimization]</t>
  </si>
  <si>
    <t>geometry, binary search, long impl, half-plane intersection</t>
  </si>
  <si>
    <t>geometry, impl, [your own 128 bit], [idea not hard]</t>
  </si>
  <si>
    <t>geometry, bfs, impl, [No local submissions]</t>
  </si>
  <si>
    <t>geometry, ad-hoc, impl</t>
  </si>
  <si>
    <t>geometry, rectangles, impl ?</t>
  </si>
  <si>
    <t>geometry, prefix sum, interactive</t>
  </si>
  <si>
    <t>geometry, optimization, convex hull trick, [=SPOJ TRAKA]</t>
  </si>
  <si>
    <t>geometry, line sweep</t>
  </si>
  <si>
    <t>geometry, convex hull, stack, greedy</t>
  </si>
  <si>
    <t>geometry, angles, convex hull, [slow input on https://www.acmicpc.net/problem/7057 - TLE], [https://github.com/SpeedOfMagic/CompetitiveProgramming/blob/master/CEOI/02-dwarfs.cpp]</t>
  </si>
  <si>
    <t xml:space="preserve">geometry, bitmasks or convex hull-like, sets </t>
  </si>
  <si>
    <t>geometry, ordered_set</t>
  </si>
  <si>
    <t>geometry, inclusion-exclusion</t>
  </si>
  <si>
    <t>geometry. sweep line, dp, [weak test cases?]</t>
  </si>
  <si>
    <t>geometry, [cases, editorial], [easy idea]</t>
  </si>
  <si>
    <t>geometry, dp, [Romanian txt]</t>
  </si>
  <si>
    <t>geometry, angles, [close to soring in convex hull]</t>
  </si>
  <si>
    <t>geometry, rectangles, inversion</t>
  </si>
  <si>
    <t>geometry, [short]</t>
  </si>
  <si>
    <t>geometry, circles, datastructures</t>
  </si>
  <si>
    <t>geometry, circles, binary search or formula</t>
  </si>
  <si>
    <t>geometry, circles, ad-hoc, prefix sum</t>
  </si>
  <si>
    <t>geometry, circles, gcd</t>
  </si>
  <si>
    <t>geometry, circles, simulation</t>
  </si>
  <si>
    <t>geometry, circles, [cosine rule]</t>
  </si>
  <si>
    <t>geometry, polygon, visibility, [interesting o(n) sol]</t>
  </si>
  <si>
    <t>geometry, polygon, impl</t>
  </si>
  <si>
    <t>geometry, polygon, floyd, cases, [simpler version Baltic 07-Fence (less geom)]</t>
  </si>
  <si>
    <t>geometry, polygon, circle, binary search, constructive</t>
  </si>
  <si>
    <t>geometry, polygon, fft</t>
  </si>
  <si>
    <t>geometry, polygon, tangents, cases, [boring]</t>
  </si>
  <si>
    <t>geometry, polygon, Minkowski sum</t>
  </si>
  <si>
    <t>geometry, polygon, palindrome</t>
  </si>
  <si>
    <t>geometry, polygon, convex hull-like</t>
  </si>
  <si>
    <t>geometry, polygon, convex hull, floyd, cycles</t>
  </si>
  <si>
    <t>geometry, polygon, convex hull, [merge hulls]</t>
  </si>
  <si>
    <t>geometry, polygon, convex hull or math, convexity, datastructures</t>
  </si>
  <si>
    <t>geometry, polygon, convex hull, bit, binary search ?</t>
  </si>
  <si>
    <t>geometry, sweep line, circles, datastructures, greedy, [editorial https://codeforces.com/blog/entry/59650]</t>
  </si>
  <si>
    <t>geometry, sweep line, angular sweep, bit, sqrt decomposition, impl</t>
  </si>
  <si>
    <t>geometry, sweep line, cirles, combinatorics, impl, interactive, [https://tioj.ck.tp.edu.tw/problems/1747]</t>
  </si>
  <si>
    <t>geometry, sweep line, datastructures, impl</t>
  </si>
  <si>
    <r>
      <rPr>
        <sz val="10"/>
        <color rgb="FF000000"/>
        <rFont val="Arial"/>
      </rPr>
      <t>geometry, sweep line, segment tree or sweep, bit, [</t>
    </r>
    <r>
      <rPr>
        <b/>
        <sz val="10"/>
        <color rgb="FF000000"/>
        <rFont val="Arial"/>
      </rPr>
      <t>judge not working</t>
    </r>
    <r>
      <rPr>
        <sz val="10"/>
        <color rgb="FF000000"/>
        <rFont val="Arial"/>
      </rPr>
      <t>]</t>
    </r>
  </si>
  <si>
    <t>geometry, sweep line, 2d bit, [cuboid intersections]</t>
  </si>
  <si>
    <t>geometry, sweep line, impl</t>
  </si>
  <si>
    <t>geometry, sweep line or segment tree, prefix sum</t>
  </si>
  <si>
    <t>geometry, sweep line, math</t>
  </si>
  <si>
    <t>geometry, sweep line, radial sweep, binary search</t>
  </si>
  <si>
    <t>graph, greedy, recursion, clique, max independent set</t>
  </si>
  <si>
    <t>graph, tree diamter, others, [JOI19_ho_t5]</t>
  </si>
  <si>
    <t>graph, tree, [communication style]</t>
  </si>
  <si>
    <t>graph, trees, interactive</t>
  </si>
  <si>
    <t>graph, datastructures, maths, [Eldar got 93]</t>
  </si>
  <si>
    <t xml:space="preserve">graph, sp, [Tim: Works only for 51 points -&gt; I don't know the solution but only 1 contestant solved it during the competition] </t>
  </si>
  <si>
    <t>graph, subgraph, isomorphism, [Forbidden subgraph problem], [submission problem?]</t>
  </si>
  <si>
    <t xml:space="preserve">graph, cycles, graph compression, constructive </t>
  </si>
  <si>
    <t>graph, meet in middle, dp, [remove constant factors from order] or ad-hoc</t>
  </si>
  <si>
    <t>graph, trees, datastructures, [cases]</t>
  </si>
  <si>
    <t>graph, upper hull of functions, [similar to convex hull trick]</t>
  </si>
  <si>
    <t>graph, trees, constructive, impl, [sierpinski's triangle]</t>
  </si>
  <si>
    <t>graph, constructive, recursion, observation, induction, [in Looking for a Challenge book]</t>
  </si>
  <si>
    <t>graph, sp, grid compress, sweep line, impl</t>
  </si>
  <si>
    <t>graph, cycles, bfs, long impl, [cases]</t>
  </si>
  <si>
    <t>graph, impl, [sol translation doesn't work]</t>
  </si>
  <si>
    <t>graph, 2-sat ?</t>
  </si>
  <si>
    <t>graph theory, ad-hoc, [weird, avoid]</t>
  </si>
  <si>
    <t>graph, constructive, trees, dsu, dfs</t>
  </si>
  <si>
    <t>graph, Cayley's formula, dp_counting</t>
  </si>
  <si>
    <t>graph, backtrack, greedy, [optimizations, max-independent-set NP hard]</t>
  </si>
  <si>
    <t>graph, trees, [problem doesn't open]</t>
  </si>
  <si>
    <t>graph, bf, clique, [fixed parameter technique (FPT)]</t>
  </si>
  <si>
    <t>graph, circles, dus or sp</t>
  </si>
  <si>
    <t>graph, tree, impl, [dynamic trick]</t>
  </si>
  <si>
    <t>graph, ad-hoc, tree diameter, greedy</t>
  </si>
  <si>
    <t>graph, online bridges, binary search, parallel, [https://cp-algorithms.com/graph/bridge-searching-online.html]</t>
  </si>
  <si>
    <t>graph, [DOWNLOAD cases], [communication style]</t>
  </si>
  <si>
    <t>graph, ad-hoc, dp_trees</t>
  </si>
  <si>
    <t>graph, impl, [MLE, memory optimizations]</t>
  </si>
  <si>
    <t>graph, stl, [tricky to short impl], [easy idea]</t>
  </si>
  <si>
    <t>graph, trees, data structures, [Romanian txt]</t>
  </si>
  <si>
    <t>graph, greedy or dp, inductive graph transformation</t>
  </si>
  <si>
    <t>graph, greedy or dsu-on-trees or lca, [think in proof]</t>
  </si>
  <si>
    <t>graph, math, constructive, [output-only]</t>
  </si>
  <si>
    <t>graph, ad-hoc, floodfill, circuts, impl, [easy idea]</t>
  </si>
  <si>
    <t>graph, cc, dfs, dp, impl</t>
  </si>
  <si>
    <t>graph, cycles, datastructures, smart impl</t>
  </si>
  <si>
    <t>graph, trees, prefix sums or dsu-on-trees, [merge trees]</t>
  </si>
  <si>
    <t>graph, trees, datastructures, dsu-on-trees, [https://tioj.ck.tp.edu.tw/problems/1429]</t>
  </si>
  <si>
    <t>graph, greedy, exhange arguments or dp_trees</t>
  </si>
  <si>
    <t>graph, ad-hoc. [reverse input]</t>
  </si>
  <si>
    <t>graph, halls marriage theorem,observation, day 0</t>
  </si>
  <si>
    <t>graph, cycles, greedy, [max independent set in pseudoforest]</t>
  </si>
  <si>
    <r>
      <rPr>
        <sz val="10"/>
        <color theme="1"/>
        <rFont val="arial,sans,sans-serif"/>
      </rPr>
      <t>graph, cycles, scc, [</t>
    </r>
    <r>
      <rPr>
        <b/>
        <sz val="10"/>
        <color theme="1"/>
        <rFont val="arial,sans,sans-serif"/>
      </rPr>
      <t>JAPANESE</t>
    </r>
    <r>
      <rPr>
        <sz val="10"/>
        <color theme="1"/>
        <rFont val="arial,sans,sans-serif"/>
      </rPr>
      <t>]</t>
    </r>
  </si>
  <si>
    <t>graph, greedy, [implicit]</t>
  </si>
  <si>
    <t>graph, impl, [tediuos impl]</t>
  </si>
  <si>
    <t>graph, trees, datastructures</t>
  </si>
  <si>
    <t>graph, tree, traversal</t>
  </si>
  <si>
    <t>graph. lca, mst, [https://github.com/samyravitoria/olympics-problems/blob/master/NOI%20Singapore/2017/roadsideadverts.cpp]</t>
  </si>
  <si>
    <t>graph, ad-hoc, map</t>
  </si>
  <si>
    <t>graph, sp</t>
  </si>
  <si>
    <t>graph, trees, dfs</t>
  </si>
  <si>
    <t>graph, dijsktra or bfs, [ignore subtask 5/6 in evaluation]</t>
  </si>
  <si>
    <t>graphs, data structures, [Romanian txt]</t>
  </si>
  <si>
    <t>graph, trees, constructive algorithms, [where OJ]</t>
  </si>
  <si>
    <r>
      <rPr>
        <sz val="10"/>
        <color theme="1"/>
        <rFont val="arial,sans,sans-serif"/>
      </rPr>
      <t>graph, [</t>
    </r>
    <r>
      <rPr>
        <b/>
        <sz val="10"/>
        <color theme="1"/>
        <rFont val="arial,sans,sans-serif"/>
      </rPr>
      <t>JAPANESE</t>
    </r>
    <r>
      <rPr>
        <sz val="10"/>
        <color theme="1"/>
        <rFont val="arial,sans,sans-serif"/>
      </rPr>
      <t>]</t>
    </r>
  </si>
  <si>
    <t>graph, tree, datastructures</t>
  </si>
  <si>
    <t>graphs, shortest paths, [Romanian txt]</t>
  </si>
  <si>
    <t>graph, [no submit]</t>
  </si>
  <si>
    <t>graph, bfs, bidirectional or search, A*, impl</t>
  </si>
  <si>
    <t>graph, bfs, impl, implicit graph, [bfs to avoid cycle in dp], [strict tl/ml]</t>
  </si>
  <si>
    <t>graph, bfs, 0-1 bfs, flood-fill or dfs, convex hull-like iterating</t>
  </si>
  <si>
    <t>graph, bfs, math, [strict tl]</t>
  </si>
  <si>
    <t>graph, bfs, [easy impl - big order]</t>
  </si>
  <si>
    <t>graph, bfs, [Input Processing is boring]</t>
  </si>
  <si>
    <t xml:space="preserve">graph, bfs, datastructures </t>
  </si>
  <si>
    <t>graph, bfs, 0-1 bfs or dijkstra</t>
  </si>
  <si>
    <t>graph, bfs, dp, [https://ideone.com/Aw2JQq]</t>
  </si>
  <si>
    <t xml:space="preserve">graph, bfs or dp, [avoid, Pancake sorting, hard to guess limit in contest without trial/error, https://csacademy.com/code/Q1DVq1p0/] </t>
  </si>
  <si>
    <t>graph, bfs, grid compress</t>
  </si>
  <si>
    <t>graph, bfs, tree diameter, interactive or randomization</t>
  </si>
  <si>
    <t>graph, bfs, tree diameter, [tree centroid], [easier version CF1092-D3-E], [also https://www.quora.com/What-is-the-solution-for-Dreaming-on-IOI-2013]</t>
  </si>
  <si>
    <t>graph, dfs, long impl</t>
  </si>
  <si>
    <t>graph, dfs, eqs or 2-sat, xor</t>
  </si>
  <si>
    <t>graph, dfs, trees, [communication style], [interesting use of the values of the nodes, operator &lt; ], [https://github.com/luciocf/OI-Problems/blob/master/JOI/JOISC/JOISC%202015/navigation.cpp]</t>
  </si>
  <si>
    <t>graph, dfs, lis, combinatorics</t>
  </si>
  <si>
    <t>graph, dfs, bfs, observation</t>
  </si>
  <si>
    <t>graph, dfs, [small-to-large] or hld or rmq</t>
  </si>
  <si>
    <r>
      <rPr>
        <sz val="10"/>
        <color theme="1"/>
        <rFont val="arial,sans,sans-serif"/>
      </rPr>
      <t xml:space="preserve">graph, dfs, cycles, </t>
    </r>
    <r>
      <rPr>
        <b/>
        <sz val="10"/>
        <color theme="1"/>
        <rFont val="arial,sans,sans-serif"/>
      </rPr>
      <t>impl, [</t>
    </r>
    <r>
      <rPr>
        <sz val="10"/>
        <color theme="1"/>
        <rFont val="arial,sans,sans-serif"/>
      </rPr>
      <t>functional graph</t>
    </r>
    <r>
      <rPr>
        <b/>
        <sz val="10"/>
        <color theme="1"/>
        <rFont val="arial,sans,sans-serif"/>
      </rPr>
      <t>]</t>
    </r>
  </si>
  <si>
    <t>graph, dfs, cycles, ad-hoc, [MLEs]</t>
  </si>
  <si>
    <t>graph, dfs, [random optimizations]</t>
  </si>
  <si>
    <t>graph, dfs, coloring</t>
  </si>
  <si>
    <t>graph, dfs, greedy or dp_trees</t>
  </si>
  <si>
    <t>graph, dfs, [Romanian txt]</t>
  </si>
  <si>
    <r>
      <rPr>
        <sz val="10"/>
        <color theme="1"/>
        <rFont val="arial,sans,sans-serif"/>
      </rPr>
      <t>graph, dfs, bfs, [</t>
    </r>
    <r>
      <rPr>
        <b/>
        <sz val="10"/>
        <color theme="1"/>
        <rFont val="arial,sans,sans-serif"/>
      </rPr>
      <t>JAPANESE</t>
    </r>
    <r>
      <rPr>
        <sz val="10"/>
        <color theme="1"/>
        <rFont val="arial,sans,sans-serif"/>
      </rPr>
      <t>]</t>
    </r>
  </si>
  <si>
    <r>
      <rPr>
        <sz val="10"/>
        <color theme="1"/>
        <rFont val="arial,sans,sans-serif"/>
      </rPr>
      <t>graph, dfs, [</t>
    </r>
    <r>
      <rPr>
        <b/>
        <sz val="10"/>
        <color theme="1"/>
        <rFont val="arial,sans,sans-serif"/>
      </rPr>
      <t>JAPANESE</t>
    </r>
    <r>
      <rPr>
        <sz val="10"/>
        <color theme="1"/>
        <rFont val="arial,sans,sans-serif"/>
      </rPr>
      <t>]</t>
    </r>
  </si>
  <si>
    <t>graph, dfs, bfs, floodfill</t>
  </si>
  <si>
    <t>graph, dfs, tree center, bfs or topological sort</t>
  </si>
  <si>
    <t>graph, dfs, tree, queries, [https://ideone.com/g7VF8C]</t>
  </si>
  <si>
    <t>graph, dfs, [No local submissions]</t>
  </si>
  <si>
    <t>COCI 20-politicari</t>
  </si>
  <si>
    <t>graph, dfs, todo link</t>
  </si>
  <si>
    <t>graph, dijkstra, [editorial]</t>
  </si>
  <si>
    <t>graph, dijkstra, [communication]</t>
  </si>
  <si>
    <t>graph, dijkstra, binary search, impl</t>
  </si>
  <si>
    <t>graph, dijkstra, shortest path tree, [tight limit on: https://www.spoj.com/problems/SPATHS]</t>
  </si>
  <si>
    <t>graph, dijkstra, eculidan distances, observations</t>
  </si>
  <si>
    <t>graph, dijkstra, masks, steiner trees</t>
  </si>
  <si>
    <t>graph, dijkstra grid compress, geometry scanline. [harder version fences]</t>
  </si>
  <si>
    <t>graph, dijkstra, todo, JOI20_ho_t4</t>
  </si>
  <si>
    <r>
      <rPr>
        <sz val="10"/>
        <color theme="1"/>
        <rFont val="arial,sans,sans-serif"/>
      </rPr>
      <t>graph, dijkstra?, [</t>
    </r>
    <r>
      <rPr>
        <b/>
        <sz val="10"/>
        <color theme="1"/>
        <rFont val="arial,sans,sans-serif"/>
      </rPr>
      <t>JAPANESE]</t>
    </r>
    <r>
      <rPr>
        <sz val="10"/>
        <color theme="1"/>
        <rFont val="arial,sans,sans-serif"/>
      </rPr>
      <t>, [long txt - don't assign - Riya don't understand]</t>
    </r>
  </si>
  <si>
    <t>graph, dijkstra, optimization, [multi-critiera]</t>
  </si>
  <si>
    <t>graph, dijkstra, summations, diphontine or math, [POI 03-sums, dijikstra on modulo graph]</t>
  </si>
  <si>
    <t>graph, dijkstra, [some tricks]</t>
  </si>
  <si>
    <r>
      <rPr>
        <sz val="10"/>
        <color rgb="FF000000"/>
        <rFont val="Arial"/>
      </rPr>
      <t xml:space="preserve">graph, dijkstra, dp, </t>
    </r>
    <r>
      <rPr>
        <b/>
        <sz val="10"/>
        <color rgb="FF000000"/>
        <rFont val="Arial"/>
      </rPr>
      <t>tricky impl</t>
    </r>
    <r>
      <rPr>
        <sz val="10"/>
        <color rgb="FF000000"/>
        <rFont val="Arial"/>
      </rPr>
      <t>, [easy idea]</t>
    </r>
  </si>
  <si>
    <r>
      <rPr>
        <sz val="10"/>
        <color theme="1"/>
        <rFont val="arial,sans,sans-serif"/>
      </rPr>
      <t>graph, dijkstra, impl, [</t>
    </r>
    <r>
      <rPr>
        <b/>
        <sz val="10"/>
        <color theme="1"/>
        <rFont val="arial,sans,sans-serif"/>
      </rPr>
      <t>JAPANESE</t>
    </r>
    <r>
      <rPr>
        <sz val="10"/>
        <color theme="1"/>
        <rFont val="arial,sans,sans-serif"/>
      </rPr>
      <t>]</t>
    </r>
  </si>
  <si>
    <t>graph, dijkstra, compression, math</t>
  </si>
  <si>
    <t>graph, dijkstra, binary search, circles</t>
  </si>
  <si>
    <t>graph, dijkstra, implicit graph, impl</t>
  </si>
  <si>
    <r>
      <rPr>
        <sz val="10"/>
        <color theme="1"/>
        <rFont val="arial,sans,sans-serif"/>
      </rPr>
      <t>graph, dijkstra, [</t>
    </r>
    <r>
      <rPr>
        <b/>
        <sz val="10"/>
        <color theme="1"/>
        <rFont val="arial,sans,sans-serif"/>
      </rPr>
      <t>JAPANESE</t>
    </r>
    <r>
      <rPr>
        <sz val="10"/>
        <color theme="1"/>
        <rFont val="arial,sans,sans-serif"/>
      </rPr>
      <t>]</t>
    </r>
  </si>
  <si>
    <t>graph, dijkstra, [https://github.com/sofhiasouza/CompetitiveProgramming/blob/master/NOI/hotspot.cpp]</t>
  </si>
  <si>
    <t>graph, dijkstra, primes</t>
  </si>
  <si>
    <t>graph, dijkstra, cycle, impl</t>
  </si>
  <si>
    <t>graph, dijkstra, [JAPANESE]</t>
  </si>
  <si>
    <t>graph, dijkstra, math</t>
  </si>
  <si>
    <t>graph, dsu, dsu on trees, bit, [new trick to find common elements b/w two subtrees, Interesting reduction to 2d sum queries, uses similar technique as NOI 18 D1P1.]</t>
  </si>
  <si>
    <t>graph, dsu, Euler's formula</t>
  </si>
  <si>
    <t>graph, dsu, hashing</t>
  </si>
  <si>
    <t>graph, dsu, datastructures or bit</t>
  </si>
  <si>
    <t>graph, dsu, hard to impl or lca</t>
  </si>
  <si>
    <r>
      <rPr>
        <sz val="10"/>
        <color theme="1"/>
        <rFont val="Arial"/>
      </rPr>
      <t xml:space="preserve">graph, dsu, cycles, </t>
    </r>
    <r>
      <rPr>
        <b/>
        <sz val="10"/>
        <color theme="1"/>
        <rFont val="Arial"/>
      </rPr>
      <t>impl</t>
    </r>
  </si>
  <si>
    <r>
      <rPr>
        <sz val="10"/>
        <color theme="1"/>
        <rFont val="arial,sans,sans-serif"/>
      </rPr>
      <t>graph, dsu, [</t>
    </r>
    <r>
      <rPr>
        <b/>
        <sz val="10"/>
        <color theme="1"/>
        <rFont val="arial,sans,sans-serif"/>
      </rPr>
      <t>JAPANESE</t>
    </r>
    <r>
      <rPr>
        <sz val="10"/>
        <color theme="1"/>
        <rFont val="arial,sans,sans-serif"/>
      </rPr>
      <t>]</t>
    </r>
  </si>
  <si>
    <t>graph, dsu, math, xor, [small-to-large] or centroid-decomposition</t>
  </si>
  <si>
    <t>graph, dsu, flood-fill, hard impl</t>
  </si>
  <si>
    <t>graph, dsu, birdges, constructive, greedy</t>
  </si>
  <si>
    <r>
      <rPr>
        <sz val="10"/>
        <color theme="1"/>
        <rFont val="arial,sans,sans-serif"/>
      </rPr>
      <t>graph, dsu, impl, hmm, [</t>
    </r>
    <r>
      <rPr>
        <b/>
        <sz val="10"/>
        <color theme="1"/>
        <rFont val="arial,sans,sans-serif"/>
      </rPr>
      <t>JAPANESE</t>
    </r>
    <r>
      <rPr>
        <sz val="10"/>
        <color theme="1"/>
        <rFont val="arial,sans,sans-serif"/>
      </rPr>
      <t>]</t>
    </r>
  </si>
  <si>
    <t>graph, dsu, matrix</t>
  </si>
  <si>
    <r>
      <rPr>
        <sz val="10"/>
        <color theme="1"/>
        <rFont val="arial,sans,sans-serif"/>
      </rPr>
      <t xml:space="preserve">graph, dsu, sorting, </t>
    </r>
    <r>
      <rPr>
        <b/>
        <sz val="10"/>
        <color theme="1"/>
        <rFont val="arial,sans,sans-serif"/>
      </rPr>
      <t>impl, [cases]</t>
    </r>
    <r>
      <rPr>
        <sz val="10"/>
        <color theme="1"/>
        <rFont val="arial,sans,sans-serif"/>
      </rPr>
      <t>, [easy idea]</t>
    </r>
  </si>
  <si>
    <t>graph, dsu or stack</t>
  </si>
  <si>
    <t>graph, dsu, math, impl</t>
  </si>
  <si>
    <t>graph, dsu, stack combi</t>
  </si>
  <si>
    <t>graph, dsu or hld or 2D-range tree or k-d tree</t>
  </si>
  <si>
    <t>graph, dsu, bridges</t>
  </si>
  <si>
    <t>graph, dsu, rollback-dsu</t>
  </si>
  <si>
    <t>graph, dsu , [Romanian txt]</t>
  </si>
  <si>
    <t>graph, dsu, cycles</t>
  </si>
  <si>
    <t>graph, euler tour or others</t>
  </si>
  <si>
    <t>graph, euler tour, optimization, [POI11_smi]</t>
  </si>
  <si>
    <t>graph, euler tour, [basic, just strict TL]</t>
  </si>
  <si>
    <t>graph, floyd, implicit graph, math, impl, [last task tedious]</t>
  </si>
  <si>
    <t>graph, floyd, traveling sales man</t>
  </si>
  <si>
    <t>graph, floyd, polygon, [https://blog.csdn.net/l04205613/article/details/6427378]</t>
  </si>
  <si>
    <r>
      <rPr>
        <sz val="10"/>
        <color theme="1"/>
        <rFont val="arial,sans,sans-serif"/>
      </rPr>
      <t xml:space="preserve">graph, max-flow, [editorial solution </t>
    </r>
    <r>
      <rPr>
        <b/>
        <sz val="10"/>
        <color theme="1"/>
        <rFont val="arial,sans,sans-serif"/>
      </rPr>
      <t>seems to be incorrect</t>
    </r>
    <r>
      <rPr>
        <sz val="10"/>
        <color theme="1"/>
        <rFont val="arial,sans,sans-serif"/>
      </rPr>
      <t xml:space="preserve"> (or I'm misunderstanding editorial) &amp; I can't find any code solution.]</t>
    </r>
  </si>
  <si>
    <t>graph, max-flow, euler cycle</t>
  </si>
  <si>
    <t>graph, max-flow, bipartite match, two pointers</t>
  </si>
  <si>
    <t>graph, max-flow, bipartite match, [variant]</t>
  </si>
  <si>
    <t>graph, max-flow, bipartite match, [direct]</t>
  </si>
  <si>
    <t>graph, max-flow, bipartite match, [https://ideone.com/SU69ra]</t>
  </si>
  <si>
    <t>graph, mst, datastructures</t>
  </si>
  <si>
    <t>graph, mst, d&amp;c, [specific algo to learn]</t>
  </si>
  <si>
    <t>graph, mst, directed, arborescence</t>
  </si>
  <si>
    <t>graph, mst, geometry, lines, ccw</t>
  </si>
  <si>
    <t>graph, mst, data compression</t>
  </si>
  <si>
    <r>
      <rPr>
        <sz val="10"/>
        <color theme="1"/>
        <rFont val="arial,sans,sans-serif"/>
      </rPr>
      <t xml:space="preserve">graph, mst, </t>
    </r>
    <r>
      <rPr>
        <b/>
        <sz val="10"/>
        <color theme="1"/>
        <rFont val="arial,sans,sans-serif"/>
      </rPr>
      <t>sieve</t>
    </r>
    <r>
      <rPr>
        <sz val="10"/>
        <color theme="1"/>
        <rFont val="arial,sans,sans-serif"/>
      </rPr>
      <t>, math</t>
    </r>
  </si>
  <si>
    <t>graph, mst, ad-hoc</t>
  </si>
  <si>
    <t>graph, mst, or lca</t>
  </si>
  <si>
    <t>graph, mst, constructive, [matroid]</t>
  </si>
  <si>
    <t>graph, mst, [basic]</t>
  </si>
  <si>
    <t>graph, mst, 2D grid, [also https://www.youtube.com/watch?v=8CTteoBqW6A]</t>
  </si>
  <si>
    <t>graph, scc, queries, back edges, binary search, interactive</t>
  </si>
  <si>
    <t>graph, scc, dfs, [small-to-large]</t>
  </si>
  <si>
    <t>graph, scc, topo sort, dp, impl</t>
  </si>
  <si>
    <t>graph, scc, dsu, edges, [one can avoid LCA], [https://codeforces.com/blog/entry/68138]</t>
  </si>
  <si>
    <t>graph, scc, dp_sibling, [https://www.acmicpc.net/category/detail/223]</t>
  </si>
  <si>
    <t>graph, scc, topological sort, impl</t>
  </si>
  <si>
    <t>graph, scc, topological sort</t>
  </si>
  <si>
    <t>graph, scc, planer graph, impl [english txt http://ceoi.inf.elte.hu/probarch/11/trazad.pdf]</t>
  </si>
  <si>
    <t>graph, scc, dsu or lca, dsu, [LONG code in notes, https://dunjudge.me/analysis/problems/800/  relax time]</t>
  </si>
  <si>
    <t>graph, scc or dp, dfs</t>
  </si>
  <si>
    <t>graph, scc, 2-sat, [direct]</t>
  </si>
  <si>
    <t>graph, scc, articulation point, lca, bridges, impl, [easy idea]</t>
  </si>
  <si>
    <t>graph, scc, biconnected components, dsu</t>
  </si>
  <si>
    <t>graph, scc, biconnected components, impl or block cut tree, centroid</t>
  </si>
  <si>
    <t>graph, scc, biconnected components, cactus, dp_games, sparse table, [ok idea - tricky details]</t>
  </si>
  <si>
    <t>graph, scc, biconnected components, math, impl, [onion graph]</t>
  </si>
  <si>
    <t>graph, scc, biconnected components, d&amp;c, bf</t>
  </si>
  <si>
    <t>graph, scc, biconnected components, impl, [direct]</t>
  </si>
  <si>
    <t>graph, scc, biconnected components, block cut tree</t>
  </si>
  <si>
    <r>
      <rPr>
        <sz val="10"/>
        <color theme="1"/>
        <rFont val="arial,sans,sans-serif"/>
      </rPr>
      <t xml:space="preserve">graph, lca, </t>
    </r>
    <r>
      <rPr>
        <b/>
        <sz val="10"/>
        <color theme="1"/>
        <rFont val="arial,sans,sans-serif"/>
      </rPr>
      <t>hard impl</t>
    </r>
  </si>
  <si>
    <r>
      <rPr>
        <sz val="10"/>
        <color rgb="FF000000"/>
        <rFont val="Arial"/>
      </rPr>
      <t>graph, lca, greedy, [</t>
    </r>
    <r>
      <rPr>
        <b/>
        <sz val="10"/>
        <color rgb="FF000000"/>
        <rFont val="Arial"/>
      </rPr>
      <t>, [judge not working]</t>
    </r>
    <r>
      <rPr>
        <sz val="10"/>
        <color rgb="FF000000"/>
        <rFont val="Arial"/>
      </rPr>
      <t>]</t>
    </r>
  </si>
  <si>
    <t>graph, lca, DAG or bfs, bitset [educational - LCA on dag], [strict TL]</t>
  </si>
  <si>
    <t>COCI 20-putovanje</t>
  </si>
  <si>
    <t>graph, lca, fenwick-tree, todo link</t>
  </si>
  <si>
    <t>graph, lcal, binary lifting, dfs, trees, impl</t>
  </si>
  <si>
    <t>graph, lca, dfs</t>
  </si>
  <si>
    <t>graph, lca, mst or parallel binary search or dijkstra, mst</t>
  </si>
  <si>
    <t>graph, lca, observations, sets</t>
  </si>
  <si>
    <t>graph, lca, binary lifting, impl</t>
  </si>
  <si>
    <t>graph, lca, [close to CF192-D2-E]</t>
  </si>
  <si>
    <t>graph, lca, persistent stack</t>
  </si>
  <si>
    <t>math, permutations, swaps, queries, impl, [restrict time]</t>
  </si>
  <si>
    <t>math, eulerian numbers, combinatorics, integrals, inclusion-exclusion, [William: Would be easy if OEIS is allowed. Interesting math problem, but it's not about algorithms :(]</t>
  </si>
  <si>
    <t>math, seive, divisors, misc, long impl</t>
  </si>
  <si>
    <t>math, number theory, power tower</t>
  </si>
  <si>
    <t>math, countings, mods, overflows, ????</t>
  </si>
  <si>
    <t>math, ad-hoc, impl, [heavy math]</t>
  </si>
  <si>
    <t>math, geometry, simulation, observations to speed</t>
  </si>
  <si>
    <t>math,  inclusion-exclusion, pascal, stars and bars] or dp_counting</t>
  </si>
  <si>
    <t>math, number theory, hashing</t>
  </si>
  <si>
    <t>math, number theory, sqrt or sqrt decomposition</t>
  </si>
  <si>
    <t>math, xor, periods, random numbers, interactive</t>
  </si>
  <si>
    <t>math, sorting, mod, gcd</t>
  </si>
  <si>
    <t>math, ad-hoc, round-robin</t>
  </si>
  <si>
    <t>math combinatorics, [Romanian txt], [easy idea]</t>
  </si>
  <si>
    <t>math, implementation, [Romanian txt]</t>
  </si>
  <si>
    <t>math, xor, interactive, [communication style]</t>
  </si>
  <si>
    <t>math, two pointers</t>
  </si>
  <si>
    <t>math, log, prop</t>
  </si>
  <si>
    <t>math, impl, greedy</t>
  </si>
  <si>
    <t>COCI 20-zapina</t>
  </si>
  <si>
    <t>math, dp, todo link</t>
  </si>
  <si>
    <t>math, [Romanian txt]</t>
  </si>
  <si>
    <t>math, [https://www.comp.nus.edu.sg/~noi/2012/2012_soln.pdf]</t>
  </si>
  <si>
    <t>math ?</t>
  </si>
  <si>
    <t>math, number theory, precomputation</t>
  </si>
  <si>
    <t>math, memoization</t>
  </si>
  <si>
    <t>math, [=CF955-C]</t>
  </si>
  <si>
    <t>math, seive</t>
  </si>
  <si>
    <t>math, primes</t>
  </si>
  <si>
    <t>math, number theory, [unclear text?]</t>
  </si>
  <si>
    <t>math, base conversion</t>
  </si>
  <si>
    <r>
      <rPr>
        <sz val="10"/>
        <color rgb="FF000000"/>
        <rFont val="Arial"/>
      </rPr>
      <t xml:space="preserve">math, formula or </t>
    </r>
    <r>
      <rPr>
        <b/>
        <sz val="10"/>
        <color rgb="FF000000"/>
        <rFont val="Arial"/>
      </rPr>
      <t>pattern</t>
    </r>
    <r>
      <rPr>
        <sz val="10"/>
        <color rgb="FF000000"/>
        <rFont val="Arial"/>
      </rPr>
      <t>, constructive</t>
    </r>
  </si>
  <si>
    <t>math, formula, binary search, convex function</t>
  </si>
  <si>
    <t>math, gcd, ad-hoc</t>
  </si>
  <si>
    <t>math, gcd, impl</t>
  </si>
  <si>
    <t>math, gcd, [pascal code]</t>
  </si>
  <si>
    <t>math, mod, impl, [boring?]</t>
  </si>
  <si>
    <t>math, mod, ad-hoc</t>
  </si>
  <si>
    <t>math, summations, ad-hoc or binary search</t>
  </si>
  <si>
    <t>math, combinatorics, two pointers, [complementary counting], [~=COCI 19-strah, repeated]</t>
  </si>
  <si>
    <t>math, combinatorics, impl, tree</t>
  </si>
  <si>
    <t>math, combinatorics, bf</t>
  </si>
  <si>
    <t>math, cyclic permutation, bit, patterns</t>
  </si>
  <si>
    <t>math, factorization, lcm, cycles, permutations, impl</t>
  </si>
  <si>
    <t>math, factorization, dfs</t>
  </si>
  <si>
    <t>math, inclusion-exclusion, bitmasks, dsu</t>
  </si>
  <si>
    <t>math, inclusion-exclusion, gcd, primes</t>
  </si>
  <si>
    <t>math, inclusion-exclusion, math</t>
  </si>
  <si>
    <t>math, inclusion-exclusion, hashing</t>
  </si>
  <si>
    <t>math, inclusion-exclusion, bitmasks</t>
  </si>
  <si>
    <t>math, matrix, matrix pow, dp, graph, binary search, math</t>
  </si>
  <si>
    <t>math, matrix, matrix pow, inclusion-exclusion, matrix difference, [reccurence on a graph, keep old values]</t>
  </si>
  <si>
    <t>math, matrix, matrix pow, [kth shortest path]</t>
  </si>
  <si>
    <t>math, probability, ad-hoc</t>
  </si>
  <si>
    <t>math, sieve, datastructures, impl</t>
  </si>
  <si>
    <t>math, sieve, mod, simulation</t>
  </si>
  <si>
    <t>math, sieve, segments</t>
  </si>
  <si>
    <t>math, sieve, [Miller–Rabin primality test]</t>
  </si>
  <si>
    <t>math, sieve, coprimes, LIS</t>
  </si>
  <si>
    <t>math, sieve, Miller–Rabin test, impl</t>
  </si>
  <si>
    <t>COCI 20-spiderman</t>
  </si>
  <si>
    <t>math, sieve, [todo link]</t>
  </si>
  <si>
    <t>math, mod inv, lcm, search</t>
  </si>
  <si>
    <t>math, mod inv, combinatorics, stack, impl</t>
  </si>
  <si>
    <t>math, mod inv, factorization, tree, impl</t>
  </si>
  <si>
    <t>math, mod inv or fft</t>
  </si>
  <si>
    <t>string processing, trie, sweep or 2D trie or trie, bit</t>
  </si>
  <si>
    <t>string processing, trie, greedy, tree</t>
  </si>
  <si>
    <t>string processing, trie or search, datastructures, [optimizations], [easy idea]</t>
  </si>
  <si>
    <t>COCI 20-klasika</t>
  </si>
  <si>
    <t>string processing, trie, [todo link]</t>
  </si>
  <si>
    <t xml:space="preserve">string processing, trie or binary lifting or lca or segment tree, persistent </t>
  </si>
  <si>
    <t>string processing, trie, impl, bf, [russian]</t>
  </si>
  <si>
    <t>string processing, trie or greedy, sorting</t>
  </si>
  <si>
    <t>string processing, kmp or hashing</t>
  </si>
  <si>
    <t>string processing, kmp, expected value</t>
  </si>
  <si>
    <t>string processing, kmp, periods</t>
  </si>
  <si>
    <t>string processing, kmp, observations</t>
  </si>
  <si>
    <t>string processing, kmp, z-algo, bit or rmq, [easy idea]</t>
  </si>
  <si>
    <t>string processing, aho_corasick, bit or aho, hld or suffix array, bit</t>
  </si>
  <si>
    <t>string processing, suffix array, impl, [=SPOJ APIO14_A, https://tioj.ck.tp.edu.tw/problems/1935] or Palindrome tree</t>
  </si>
  <si>
    <t>string processing, suffix array, rmq, binary search</t>
  </si>
  <si>
    <t>string processing, rolling hash, bf, [strict tl]</t>
  </si>
  <si>
    <t>string processing, rolling hash, bf</t>
  </si>
  <si>
    <t>bbst, treap, implicit or segment tree or bit</t>
  </si>
  <si>
    <r>
      <rPr>
        <sz val="10"/>
        <color theme="1"/>
        <rFont val="arial,sans,sans-serif"/>
      </rPr>
      <t>bbst, splay or link-cut trees, [</t>
    </r>
    <r>
      <rPr>
        <b/>
        <sz val="10"/>
        <color theme="1"/>
        <rFont val="arial,sans,sans-serif"/>
      </rPr>
      <t>JAPANESE</t>
    </r>
    <r>
      <rPr>
        <sz val="10"/>
        <color theme="1"/>
        <rFont val="arial,sans,sans-serif"/>
      </rPr>
      <t>]</t>
    </r>
  </si>
  <si>
    <t>mo's algorithm, segment tree, Boyer-Moore majority vote</t>
  </si>
  <si>
    <t>bst, catlan, mod inv, formula</t>
  </si>
  <si>
    <t>impl, [official is too many cases to handle], ignore</t>
  </si>
  <si>
    <t>impl, [very specific - don't assign]</t>
  </si>
  <si>
    <t>impl, [very specific - don't assign], [output-only], [code then change output!]</t>
  </si>
  <si>
    <t>impl, ???</t>
  </si>
  <si>
    <t>impl??</t>
  </si>
  <si>
    <t>impl, bits</t>
  </si>
  <si>
    <t>impl, trees</t>
  </si>
  <si>
    <t>impl, observations, [careful impl]</t>
  </si>
  <si>
    <t>impl, [hard to impl], [easy idea]</t>
  </si>
  <si>
    <t>impl, dfs, parsing input</t>
  </si>
  <si>
    <t>impl, graph, constructive</t>
  </si>
  <si>
    <t>impl, cases, boring, [communication style] - https://oj.uz/submission/67071, [See JOISC-17-abduction2.txt]</t>
  </si>
  <si>
    <t>impl, bf, [problem in text cases?]</t>
  </si>
  <si>
    <r>
      <rPr>
        <sz val="10"/>
        <color theme="1"/>
        <rFont val="arial,sans,sans-serif"/>
      </rPr>
      <t>impl, prefix sum, suffix sum, [</t>
    </r>
    <r>
      <rPr>
        <b/>
        <sz val="10"/>
        <color theme="1"/>
        <rFont val="arial,sans,sans-serif"/>
      </rPr>
      <t>JAPANESE</t>
    </r>
    <r>
      <rPr>
        <sz val="10"/>
        <color theme="1"/>
        <rFont val="arial,sans,sans-serif"/>
      </rPr>
      <t>]</t>
    </r>
  </si>
  <si>
    <t>impl, linked-list, ad-hoc</t>
  </si>
  <si>
    <r>
      <rPr>
        <sz val="10"/>
        <color theme="1"/>
        <rFont val="arial,sans,sans-serif"/>
      </rPr>
      <t>impl, [</t>
    </r>
    <r>
      <rPr>
        <b/>
        <sz val="10"/>
        <color theme="1"/>
        <rFont val="arial,sans,sans-serif"/>
      </rPr>
      <t>JAPANESE</t>
    </r>
    <r>
      <rPr>
        <sz val="10"/>
        <color theme="1"/>
        <rFont val="arial,sans,sans-serif"/>
      </rPr>
      <t>]</t>
    </r>
  </si>
  <si>
    <t>impl, [https://github.com/ZeyadKhattab/Competitive-Programming/blob/master/Problems/NOI%2014-orchard.java]</t>
  </si>
  <si>
    <t>impl, bignum</t>
  </si>
  <si>
    <r>
      <rPr>
        <sz val="10"/>
        <color theme="1"/>
        <rFont val="arial,sans,sans-serif"/>
      </rPr>
      <t>impl, [</t>
    </r>
    <r>
      <rPr>
        <b/>
        <sz val="10"/>
        <color theme="1"/>
        <rFont val="arial,sans,sans-serif"/>
      </rPr>
      <t>JAPANESE</t>
    </r>
    <r>
      <rPr>
        <sz val="10"/>
        <color theme="1"/>
        <rFont val="arial,sans,sans-serif"/>
      </rPr>
      <t>]</t>
    </r>
  </si>
  <si>
    <t>impl, matrix, preprocessing</t>
  </si>
  <si>
    <t>impl, string, stack, [where OJ]</t>
  </si>
  <si>
    <t>impl, [boring]</t>
  </si>
  <si>
    <t>impl, stl</t>
  </si>
  <si>
    <t>two pointers, data structures, [Romanian txt], [=IOIPractice 16-increasing_subarrays, use it]</t>
  </si>
  <si>
    <t>two pointers, deque, ad-hoc, [=infoarena calancea]</t>
  </si>
  <si>
    <t>two pointers, sliding window or rmq</t>
  </si>
  <si>
    <t>two pointers, median</t>
  </si>
  <si>
    <t>two pointers, prefix sum</t>
  </si>
  <si>
    <t>two pointers, deques</t>
  </si>
  <si>
    <t>two pointers, impl</t>
  </si>
  <si>
    <t>two pointers, bf, ad-hoc</t>
  </si>
  <si>
    <t>two pointers, math</t>
  </si>
  <si>
    <t>two pointers, [JOI19_ho_t2]</t>
  </si>
  <si>
    <t>two pointers, [JOI20_ho_t2]</t>
  </si>
  <si>
    <t>two pointers, map</t>
  </si>
  <si>
    <t>dp, dp_build_output, impl, cases, optimization, [boring]</t>
  </si>
  <si>
    <t>dp, dp_build_output, greedy, two pointers. impl</t>
  </si>
  <si>
    <t>dp, dp_build_output, lexi, graph or combinatorics, [IOI08_linear_garden]</t>
  </si>
  <si>
    <t>dp, dp_build_output, lcs</t>
  </si>
  <si>
    <t>dp, dp_d&amp;c_opt, [get rid of dp cycle]</t>
  </si>
  <si>
    <t>dp, dp_d&amp;c_opt, binary search</t>
  </si>
  <si>
    <r>
      <rPr>
        <sz val="10"/>
        <color rgb="FF000000"/>
        <rFont val="Arial"/>
      </rPr>
      <t xml:space="preserve">dp, dp_digit, </t>
    </r>
    <r>
      <rPr>
        <b/>
        <sz val="10"/>
        <color rgb="FF000000"/>
        <rFont val="Arial"/>
      </rPr>
      <t>annoying impl</t>
    </r>
  </si>
  <si>
    <t>dp, dp_digit or math, prefix</t>
  </si>
  <si>
    <t>dp, dp_digit, impl, [~=ROI-regional 16-numbers]</t>
  </si>
  <si>
    <t>dp, dp_digit, binary search</t>
  </si>
  <si>
    <r>
      <rPr>
        <sz val="10"/>
        <color theme="1"/>
        <rFont val="arial,sans,sans-serif"/>
      </rPr>
      <t>dp, dp_sibling, [</t>
    </r>
    <r>
      <rPr>
        <b/>
        <sz val="10"/>
        <color theme="1"/>
        <rFont val="arial,sans,sans-serif"/>
      </rPr>
      <t>hard impl</t>
    </r>
    <r>
      <rPr>
        <sz val="10"/>
        <color theme="1"/>
        <rFont val="arial,sans,sans-serif"/>
      </rPr>
      <t xml:space="preserve"> and tricky cases]</t>
    </r>
  </si>
  <si>
    <t>dp, dp_sibling, [cases]</t>
  </si>
  <si>
    <t>dp, dp_profile, matrix, matrix pow</t>
  </si>
  <si>
    <t>graph, dfs, topological sort, game theory, [interesting topo]</t>
  </si>
  <si>
    <t>graph, dfs, topological sort, math</t>
  </si>
  <si>
    <t>graph, dfs, topological sort, [official cases are weak (used on oz.uz). Please AC on dmoj]</t>
  </si>
  <si>
    <t>graph, dfs, topological sort, [https://github.com/ZeyadKhattab/Competitive-Programming/blob/master/Problems/NOI%2008-rank.cpp]</t>
  </si>
  <si>
    <t>graph, dfs, topological sort, bfs</t>
  </si>
  <si>
    <t>graph, max-flow, min-cut, vertex split, basic circles, [newcomers]</t>
  </si>
  <si>
    <t>graph, hld, datastructures, impl</t>
  </si>
  <si>
    <t>graph, hld, bit or link-cut tree or binary lifting, segment tree, [common trick for some]</t>
  </si>
  <si>
    <t>graph, hld, impl, [is similar to JOIOC 13-synchronization?]</t>
  </si>
  <si>
    <r>
      <rPr>
        <sz val="10"/>
        <color theme="1"/>
        <rFont val="Arial"/>
      </rPr>
      <t>graph, hld, sqrt decomposition, [</t>
    </r>
    <r>
      <rPr>
        <b/>
        <sz val="10"/>
        <color theme="1"/>
        <rFont val="Arial"/>
      </rPr>
      <t>strict</t>
    </r>
    <r>
      <rPr>
        <sz val="10"/>
        <color theme="1"/>
        <rFont val="Arial"/>
      </rPr>
      <t xml:space="preserve"> TL on dmoj]</t>
    </r>
  </si>
  <si>
    <t>graph, centroid-decomposition, dp_trees, [has another nice sol]</t>
  </si>
  <si>
    <t>graph, centroid-decomposition, dsu-on-trees, dp, number theory</t>
  </si>
  <si>
    <t>graph, centroid-decomposition, bit</t>
  </si>
  <si>
    <t>graph, centroid-decomposition, greedy, dfs, [=CF752-D12-F]</t>
  </si>
  <si>
    <t>graph, centroid-decomposition or lca, tree diameter, [almost direct]</t>
  </si>
  <si>
    <t>graph, centroid-decomposition or subtree set merging</t>
  </si>
  <si>
    <t>graph, centroid-decomposition, lca, [micro optimizations], [easy idea]</t>
  </si>
  <si>
    <t>graph, centroid-decomposition, greedy or segment tree, Maximum Independent Set on Tree, [BOI17_catinatree], [may solve first CF342-D2-E]</t>
  </si>
  <si>
    <t>graph, centroid-decomposition, bit, [=CF766-D2-E]</t>
  </si>
  <si>
    <t>dp, dp_convex_hull, bfs, impl, [!dp]</t>
  </si>
  <si>
    <t>dp, dp_convex_hull, bit or dp, segment tree</t>
  </si>
  <si>
    <t>dp, dp_convex_hull, geometry</t>
  </si>
  <si>
    <t>dp, dp_convex_hull or dp_d&amp;c or segment tree or ad-hoc, [POI11_pio]</t>
  </si>
  <si>
    <t>dp, dp_convex_hull or dp_d&amp;c_opt, [strict time, easy for one knows these techniques - NOT fun for constant optimizations]</t>
  </si>
  <si>
    <t>dp, dp_convex_hull, math, [type 1, =SPOJ APIO10A, ~=kattis coveredwalkway]</t>
  </si>
  <si>
    <t>dp, dp_convex_hull or ad-hoc, binary search, [!dp]</t>
  </si>
  <si>
    <t>dp, dp_convex_hull, binary search</t>
  </si>
  <si>
    <t>dp, dp_convex_hull, tree, [k-median problem]</t>
  </si>
  <si>
    <t>dp, dp_convex_hull, Lichao segment tree or ad-hoc, binary partition</t>
  </si>
  <si>
    <t>dp, dp_convex_hull or LiChao</t>
  </si>
  <si>
    <t>dp, dp_convex_hull or LiChao, [actually not dp case]</t>
  </si>
  <si>
    <t>graph, dsu-on-trees or centroid-decomposition, [standard], [http://www.ioi2011.or.th/hsc/tasks/solutions/race.pdf]</t>
  </si>
  <si>
    <t>graph, dsu-on-trees, [bigger constraints that POI 11-Rotation - POI11_rot]</t>
  </si>
  <si>
    <t>graph, dsu-on-trees or segment tree, [classical, good for practice], POI11_rot</t>
  </si>
  <si>
    <t>sqrt decomposition, ad-hoc, interactive</t>
  </si>
  <si>
    <t>sqrt decomposition, dfs, observations, tricky</t>
  </si>
  <si>
    <t>sqrt decomposition, long impl, [strict time]</t>
  </si>
  <si>
    <t>sqrt decomposition, dijkstra</t>
  </si>
  <si>
    <t>sqrt decomposition, dsu, [constant factorization]</t>
  </si>
  <si>
    <t>sqrt decomposition, math, dp, [Romanian txt], [A rather classical problem, turned into something harder(How many subarrays have majoritary element). Since restrictions were allowing it, I solved it using O(n sqrt n), by brute forcing elements with frequences &lt; sqrt n while doing O(n) on the elements with frequencies &gt;= sqrt n]</t>
  </si>
  <si>
    <t>sqrt decomposition, dsu or bit, binary search, dsu</t>
  </si>
  <si>
    <t>sqrt decomposition, online insertion/deletion or link-cut tree, greedy</t>
  </si>
  <si>
    <t>sqrt decomposition, Manhattan2DRotation or segment tree</t>
  </si>
  <si>
    <t>sqrt decomposition, prefix sum or euler tour, two pointers, [easy if saw idea before]</t>
  </si>
  <si>
    <t>sqrt decomposition, dp or dp</t>
  </si>
  <si>
    <t>sqrt decomposition, trees, bitmasks</t>
  </si>
  <si>
    <t>sqrt decomposition or dp or link-cut tree</t>
  </si>
  <si>
    <t>sqrt decomposition, optimizations</t>
  </si>
  <si>
    <t>dp, dp_alien</t>
  </si>
  <si>
    <t>dp, dp_alien or greedy, dp, [solve APIO 07-backup first], [=SACO 2008 Banquet]</t>
  </si>
  <si>
    <t>dp, dp_knuth, dp_counting, impl, permutation, [similar: AtCoder-dp_t   https://atcoder.jp/contests/dp/tasks/dp_t]</t>
  </si>
  <si>
    <t>dp, dp_knuth or dp_d&amp;c_opt</t>
  </si>
  <si>
    <t>dp, dp_trick, montonic queue</t>
  </si>
  <si>
    <t>dp, dp_component, dp_open_close, [solve CEOI 16-Kangaroo first], [|x-y| = max(x,y)-min(x,y), seperating it this way is useful in many problems.]   [https://github.com/stefdasca/CompetitiveProgramming/blob/master/JOI/JOIOC%2016-skyscraper.cpp]</t>
  </si>
  <si>
    <t>[131]</t>
  </si>
  <si>
    <t>dp, dp_component, [solve CEOI 16-kangaroo first]</t>
  </si>
  <si>
    <t>dp, dp_component</t>
  </si>
  <si>
    <t>dp, dp_sos, lucas's theorem, observations</t>
  </si>
  <si>
    <t>dp, dp_sos, lucas' theorem, xor, [solve first CSA78-E, a bit similar]</t>
  </si>
  <si>
    <t>dp, dp_sos, [standard]</t>
  </si>
  <si>
    <t>dp, dp_trees, [Interesting reduction to tree problem]</t>
  </si>
  <si>
    <t>dp, dp_trees, dp_bitmasks. lca</t>
  </si>
  <si>
    <t>dp, dp_trees, hld</t>
  </si>
  <si>
    <t>dp, dp_trees, bitset</t>
  </si>
  <si>
    <t>dp, dp_trees, floyd, [harder limits CEOIPractice 17-Museum]</t>
  </si>
  <si>
    <t>dp, dp_trees, [skip unused states]</t>
  </si>
  <si>
    <t>dp, dp_trees. [dfs traversal for optimization]</t>
  </si>
  <si>
    <t>dp, dp_trees or dp_sibling (slow), [easier limits IOI 05-rivers)</t>
  </si>
  <si>
    <t>dp, dp_trees, binary search</t>
  </si>
  <si>
    <t>dp, dp_trees, euler tour, [amortizd analysis]</t>
  </si>
  <si>
    <t>dp, dp_trees, [strict tl, mem], [easy idea]</t>
  </si>
  <si>
    <t>dp, dp_trees, mst or dijsktra</t>
  </si>
  <si>
    <t>dp, dp_trees or segment tree dp, centroid-decomposition</t>
  </si>
  <si>
    <t>dp, dp_trees or segment tree</t>
  </si>
  <si>
    <t>dp, dp_trees or lca, prefix sum</t>
  </si>
  <si>
    <t>dp, dp_trees, [Romanian txt]</t>
  </si>
  <si>
    <t>dp, dp_trees, [also https://www.youtube.com/watch?v=PRmAUzgbOBI]</t>
  </si>
  <si>
    <t>dp, dp_trees, [repeated]</t>
  </si>
  <si>
    <t>string processing, hashing, binary search, palindromes</t>
  </si>
  <si>
    <t>string processing, ad-hoc</t>
  </si>
  <si>
    <t>string processing, hashing, probability, [double hashing]</t>
  </si>
  <si>
    <r>
      <rPr>
        <sz val="10"/>
        <color theme="1"/>
        <rFont val="Arial"/>
      </rPr>
      <t xml:space="preserve">string processing, hashing, binary search, </t>
    </r>
    <r>
      <rPr>
        <b/>
        <sz val="10"/>
        <color theme="1"/>
        <rFont val="Arial"/>
      </rPr>
      <t>impl</t>
    </r>
    <r>
      <rPr>
        <sz val="10"/>
        <color theme="1"/>
        <rFont val="Arial"/>
      </rPr>
      <t>, [easy idea]</t>
    </r>
  </si>
  <si>
    <t>string processing, map or trie</t>
  </si>
  <si>
    <t>string processing, hashing, masks, [solve COCI 06-Dvaput first]</t>
  </si>
  <si>
    <r>
      <rPr>
        <sz val="10"/>
        <color theme="1"/>
        <rFont val="Arial"/>
      </rPr>
      <t xml:space="preserve">string processing, hashing, binary search, </t>
    </r>
    <r>
      <rPr>
        <b/>
        <sz val="10"/>
        <color theme="1"/>
        <rFont val="Arial"/>
      </rPr>
      <t>impl</t>
    </r>
    <r>
      <rPr>
        <sz val="10"/>
        <color theme="1"/>
        <rFont val="Arial"/>
      </rPr>
      <t>, [double hashing]</t>
    </r>
  </si>
  <si>
    <t>string processing or roll hashing</t>
  </si>
  <si>
    <t>todo, [https://www.acmicpc.net/category/detail/221 - http://140.136.150.68/judge/problem/view/240]</t>
  </si>
  <si>
    <t>[222]</t>
  </si>
  <si>
    <t>todo, [output only]</t>
  </si>
  <si>
    <t>todo</t>
  </si>
  <si>
    <t>todo, [not in actual contest]</t>
  </si>
  <si>
    <t>todo, [https://dunjudge.me/analysis/problems/756/]</t>
  </si>
  <si>
    <t>todo, [https://dunjudge.me/analysis/problems/750/]</t>
  </si>
  <si>
    <t>todo, geometry</t>
  </si>
  <si>
    <t>todo, hmm, [short code]</t>
  </si>
  <si>
    <t>todo, [weak cases]</t>
  </si>
  <si>
    <t>COCI 20-birmingham</t>
  </si>
  <si>
    <t>COCI 20-datum</t>
  </si>
  <si>
    <t>COCI 20-skandi</t>
  </si>
  <si>
    <t>COCI 20-trener</t>
  </si>
  <si>
    <t>todo, interaction</t>
  </si>
  <si>
    <t>todo, hmm, dijkstras?</t>
  </si>
  <si>
    <t>todo, backup task</t>
  </si>
  <si>
    <t>todo, judge?</t>
  </si>
  <si>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</si>
  <si>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</si>
  <si>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</si>
  <si>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</si>
  <si>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t>todo, NOT available</t>
  </si>
  <si>
    <t>todo, is hld ?</t>
  </si>
  <si>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</si>
  <si>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</si>
  <si>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</si>
  <si>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</si>
  <si>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</si>
  <si>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</si>
  <si>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</si>
  <si>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</si>
  <si>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</si>
  <si>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</si>
  <si>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</si>
  <si>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</si>
  <si>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</si>
  <si>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</si>
  <si>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</si>
  <si>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</si>
  <si>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</si>
  <si>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</si>
  <si>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</si>
  <si>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</si>
  <si>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</si>
  <si>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</si>
  <si>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</si>
  <si>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</si>
  <si>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</si>
  <si>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</si>
  <si>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</si>
  <si>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</si>
  <si>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</si>
  <si>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</si>
  <si>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</si>
  <si>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</si>
  <si>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t>todo, ad-hoc, Graph Theory, Blackbox, Bit Manipulation</t>
  </si>
  <si>
    <t>todo, impl</t>
  </si>
  <si>
    <t>todo, long impl</t>
  </si>
  <si>
    <t>todo, long impl, dfs</t>
  </si>
  <si>
    <t>todo, [POI13_tak]</t>
  </si>
  <si>
    <t>todo, hmm, [https://www.youtube.com/watch?v=PRmAUzgbOBI]</t>
  </si>
  <si>
    <t>todo, hmm, preprocessing, impl</t>
  </si>
  <si>
    <t>todo, hmm</t>
  </si>
  <si>
    <t>todo, boring</t>
  </si>
  <si>
    <t>Name</t>
  </si>
  <si>
    <r>
      <rPr>
        <sz val="10"/>
        <color theme="1"/>
        <rFont val="arial,sans,sans-serif"/>
      </rPr>
      <t xml:space="preserve">graph, lca, </t>
    </r>
    <r>
      <rPr>
        <b/>
        <sz val="10"/>
        <color theme="1"/>
        <rFont val="arial,sans,sans-serif"/>
      </rPr>
      <t>hard impl</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</si>
  <si>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</si>
  <si>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</si>
  <si>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</si>
  <si>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 xml:space="preserve">segment tree, optimizations, </t>
    </r>
    <r>
      <rPr>
        <b/>
        <sz val="10"/>
        <color theme="1"/>
        <rFont val="arial,sans,sans-serif"/>
      </rPr>
      <t>hard impl</t>
    </r>
  </si>
  <si>
    <r>
      <rPr>
        <sz val="10"/>
        <color theme="1"/>
        <rFont val="arial,sans,sans-serif"/>
      </rPr>
      <t xml:space="preserve">graph, max-flow, [editorial solution </t>
    </r>
    <r>
      <rPr>
        <b/>
        <sz val="10"/>
        <color theme="1"/>
        <rFont val="arial,sans,sans-serif"/>
      </rPr>
      <t>seems to be incorrect</t>
    </r>
    <r>
      <rPr>
        <sz val="10"/>
        <color theme="1"/>
        <rFont val="arial,sans,sans-serif"/>
      </rPr>
      <t xml:space="preserve"> (or I'm misunderstanding editorial) &amp; I can't find any code solution.]</t>
    </r>
  </si>
  <si>
    <r>
      <rPr>
        <sz val="10"/>
        <color theme="1"/>
        <rFont val="arial,sans,sans-serif"/>
      </rPr>
      <t>dp, dp_sibling, [</t>
    </r>
    <r>
      <rPr>
        <b/>
        <sz val="10"/>
        <color theme="1"/>
        <rFont val="arial,sans,sans-serif"/>
      </rPr>
      <t>hard impl</t>
    </r>
    <r>
      <rPr>
        <sz val="10"/>
        <color theme="1"/>
        <rFont val="arial,sans,sans-serif"/>
      </rPr>
      <t xml:space="preserve"> and tricky cases]</t>
    </r>
  </si>
  <si>
    <r>
      <rPr>
        <sz val="10"/>
        <color theme="1"/>
        <rFont val="arial,sans,sans-serif"/>
      </rPr>
      <t xml:space="preserve">segment tree, dynamic, 2D segment tree, impl or 1D treap, [easy idea - </t>
    </r>
    <r>
      <rPr>
        <b/>
        <sz val="10"/>
        <color theme="1"/>
        <rFont val="arial,sans,sans-serif"/>
      </rPr>
      <t>hard impl</t>
    </r>
    <r>
      <rPr>
        <sz val="10"/>
        <color theme="1"/>
        <rFont val="arial,sans,sans-serif"/>
      </rPr>
      <t>]</t>
    </r>
  </si>
  <si>
    <r>
      <rPr>
        <sz val="10"/>
        <color theme="1"/>
        <rFont val="arial,sans,sans-serif"/>
      </rPr>
      <t xml:space="preserve">bf, </t>
    </r>
    <r>
      <rPr>
        <b/>
        <sz val="10"/>
        <color theme="1"/>
        <rFont val="arial,sans,sans-serif"/>
      </rPr>
      <t xml:space="preserve">long </t>
    </r>
    <r>
      <rPr>
        <sz val="10"/>
        <color theme="1"/>
        <rFont val="arial,sans,sans-serif"/>
      </rPr>
      <t>impl</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</si>
  <si>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</si>
  <si>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</si>
  <si>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</si>
  <si>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</si>
  <si>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</si>
  <si>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rgb="FF000000"/>
        <rFont val="Arial"/>
      </rPr>
      <t>geometry, sweep line, segment tree or sweep, bit, [</t>
    </r>
    <r>
      <rPr>
        <b/>
        <sz val="10"/>
        <color rgb="FF000000"/>
        <rFont val="Arial"/>
      </rPr>
      <t>judge not working</t>
    </r>
    <r>
      <rPr>
        <sz val="10"/>
        <color rgb="FF000000"/>
        <rFont val="Arial"/>
      </rPr>
      <t>]</t>
    </r>
  </si>
  <si>
    <r>
      <rPr>
        <sz val="10"/>
        <color rgb="FF000000"/>
        <rFont val="Arial"/>
      </rPr>
      <t>graph, lca, greedy, [</t>
    </r>
    <r>
      <rPr>
        <b/>
        <sz val="10"/>
        <color rgb="FF000000"/>
        <rFont val="Arial"/>
      </rPr>
      <t>, [judge not working]</t>
    </r>
    <r>
      <rPr>
        <sz val="10"/>
        <color rgb="FF000000"/>
        <rFont val="Arial"/>
      </rPr>
      <t>]</t>
    </r>
  </si>
  <si>
    <r>
      <rPr>
        <sz val="10"/>
        <color theme="1"/>
        <rFont val="arial,sans,sans-serif"/>
      </rPr>
      <t xml:space="preserve">graph, mst, </t>
    </r>
    <r>
      <rPr>
        <b/>
        <sz val="10"/>
        <color theme="1"/>
        <rFont val="arial,sans,sans-serif"/>
      </rPr>
      <t>sieve</t>
    </r>
    <r>
      <rPr>
        <sz val="10"/>
        <color theme="1"/>
        <rFont val="arial,sans,sans-serif"/>
      </rPr>
      <t>, math</t>
    </r>
  </si>
  <si>
    <r>
      <rPr>
        <sz val="10"/>
        <color rgb="FF000000"/>
        <rFont val="Arial"/>
      </rPr>
      <t xml:space="preserve">bf, </t>
    </r>
    <r>
      <rPr>
        <b/>
        <sz val="10"/>
        <color rgb="FF000000"/>
        <rFont val="Arial"/>
      </rPr>
      <t>optimizations</t>
    </r>
    <r>
      <rPr>
        <sz val="10"/>
        <color rgb="FF000000"/>
        <rFont val="Arial"/>
      </rPr>
      <t>, mask</t>
    </r>
  </si>
  <si>
    <r>
      <rPr>
        <sz val="10"/>
        <color rgb="FF000000"/>
        <rFont val="Arial"/>
      </rPr>
      <t xml:space="preserve">greedy, flood-fill, </t>
    </r>
    <r>
      <rPr>
        <b/>
        <sz val="10"/>
        <color rgb="FF000000"/>
        <rFont val="Arial"/>
      </rPr>
      <t>prefix sums</t>
    </r>
  </si>
  <si>
    <r>
      <rPr>
        <sz val="10"/>
        <color theme="1"/>
        <rFont val="Arial"/>
      </rPr>
      <t xml:space="preserve">datastructures, math, </t>
    </r>
    <r>
      <rPr>
        <b/>
        <sz val="10"/>
        <color theme="1"/>
        <rFont val="Arial"/>
      </rPr>
      <t>median</t>
    </r>
    <r>
      <rPr>
        <sz val="10"/>
        <color theme="1"/>
        <rFont val="Arial"/>
      </rPr>
      <t>, [solve IOI 11-ricehub first]</t>
    </r>
  </si>
  <si>
    <r>
      <rPr>
        <sz val="10"/>
        <color theme="1"/>
        <rFont val="arial,sans,sans-serif"/>
      </rPr>
      <t xml:space="preserve">segment tree, </t>
    </r>
    <r>
      <rPr>
        <b/>
        <sz val="10"/>
        <color theme="1"/>
        <rFont val="arial,sans,sans-serif"/>
      </rPr>
      <t>impl</t>
    </r>
    <r>
      <rPr>
        <sz val="10"/>
        <color theme="1"/>
        <rFont val="arial,sans,sans-serif"/>
      </rPr>
      <t>, [__int128 simplifies] or math, binary search</t>
    </r>
  </si>
  <si>
    <r>
      <rPr>
        <sz val="10"/>
        <color theme="1"/>
        <rFont val="Arial"/>
      </rPr>
      <t xml:space="preserve">backtrack, heuristics, </t>
    </r>
    <r>
      <rPr>
        <b/>
        <sz val="10"/>
        <color theme="1"/>
        <rFont val="Arial"/>
      </rPr>
      <t>hard impl</t>
    </r>
    <r>
      <rPr>
        <sz val="10"/>
        <color theme="1"/>
        <rFont val="Arial"/>
      </rPr>
      <t>, [not insightful]</t>
    </r>
  </si>
  <si>
    <r>
      <rPr>
        <sz val="10"/>
        <color rgb="FF000000"/>
        <rFont val="Arial"/>
      </rPr>
      <t xml:space="preserve">dp, dp_digit, </t>
    </r>
    <r>
      <rPr>
        <b/>
        <sz val="10"/>
        <color rgb="FF000000"/>
        <rFont val="Arial"/>
      </rPr>
      <t>annoying impl</t>
    </r>
  </si>
  <si>
    <r>
      <rPr>
        <sz val="10"/>
        <color theme="1"/>
        <rFont val="arial,sans,sans-serif"/>
      </rPr>
      <t xml:space="preserve">bit or datastructures. </t>
    </r>
    <r>
      <rPr>
        <b/>
        <sz val="10"/>
        <color theme="1"/>
        <rFont val="arial,sans,sans-serif"/>
      </rPr>
      <t>tricky to impl</t>
    </r>
  </si>
  <si>
    <r>
      <rPr>
        <sz val="10"/>
        <color theme="1"/>
        <rFont val="arial,sans,sans-serif"/>
      </rPr>
      <t xml:space="preserve">ad-hoc, </t>
    </r>
    <r>
      <rPr>
        <b/>
        <sz val="10"/>
        <color theme="1"/>
        <rFont val="arial,sans,sans-serif"/>
      </rPr>
      <t>slope_trick</t>
    </r>
    <r>
      <rPr>
        <sz val="10"/>
        <color theme="1"/>
        <rFont val="arial,sans,sans-serif"/>
      </rPr>
      <t xml:space="preserve"> or others</t>
    </r>
  </si>
  <si>
    <r>
      <rPr>
        <sz val="10"/>
        <color theme="1"/>
        <rFont val="Arial"/>
      </rPr>
      <t>graph, hld, sqrt decomposition, [</t>
    </r>
    <r>
      <rPr>
        <b/>
        <sz val="10"/>
        <color theme="1"/>
        <rFont val="Arial"/>
      </rPr>
      <t>strict</t>
    </r>
    <r>
      <rPr>
        <sz val="10"/>
        <color theme="1"/>
        <rFont val="Arial"/>
      </rPr>
      <t xml:space="preserve"> TL on dmoj]</t>
    </r>
  </si>
  <si>
    <r>
      <rPr>
        <sz val="10"/>
        <color theme="1"/>
        <rFont val="Arial"/>
      </rPr>
      <t xml:space="preserve">string processing, hashing, binary search, </t>
    </r>
    <r>
      <rPr>
        <b/>
        <sz val="10"/>
        <color theme="1"/>
        <rFont val="Arial"/>
      </rPr>
      <t>impl</t>
    </r>
    <r>
      <rPr>
        <sz val="10"/>
        <color theme="1"/>
        <rFont val="Arial"/>
      </rPr>
      <t>, [easy idea]</t>
    </r>
  </si>
  <si>
    <r>
      <rPr>
        <sz val="10"/>
        <color theme="1"/>
        <rFont val="arial,sans,sans-serif"/>
      </rPr>
      <t xml:space="preserve">bit, 2d bit, Manhattan2DRotation, </t>
    </r>
    <r>
      <rPr>
        <b/>
        <sz val="10"/>
        <color theme="1"/>
        <rFont val="arial,sans,sans-serif"/>
      </rPr>
      <t>impl</t>
    </r>
  </si>
  <si>
    <r>
      <rPr>
        <sz val="10"/>
        <color theme="1"/>
        <rFont val="Arial"/>
      </rPr>
      <t xml:space="preserve">graph, dsu, cycles, </t>
    </r>
    <r>
      <rPr>
        <b/>
        <sz val="10"/>
        <color theme="1"/>
        <rFont val="Arial"/>
      </rPr>
      <t>impl</t>
    </r>
  </si>
  <si>
    <r>
      <rPr>
        <sz val="10"/>
        <color theme="1"/>
        <rFont val="arial,sans,sans-serif"/>
      </rPr>
      <t>bit, binary search or segment tree, [</t>
    </r>
    <r>
      <rPr>
        <b/>
        <sz val="10"/>
        <color theme="1"/>
        <rFont val="arial,sans,sans-serif"/>
      </rPr>
      <t>JAPANESE</t>
    </r>
    <r>
      <rPr>
        <sz val="10"/>
        <color theme="1"/>
        <rFont val="arial,sans,sans-serif"/>
      </rPr>
      <t>]</t>
    </r>
  </si>
  <si>
    <r>
      <rPr>
        <sz val="10"/>
        <color theme="1"/>
        <rFont val="arial,sans,sans-serif"/>
      </rPr>
      <t>graph, dijkstra?, [</t>
    </r>
    <r>
      <rPr>
        <b/>
        <sz val="10"/>
        <color theme="1"/>
        <rFont val="arial,sans,sans-serif"/>
      </rPr>
      <t>JAPANESE]</t>
    </r>
    <r>
      <rPr>
        <sz val="10"/>
        <color theme="1"/>
        <rFont val="arial,sans,sans-serif"/>
      </rPr>
      <t>, [long txt - don't assign - Riya don't understand]</t>
    </r>
  </si>
  <si>
    <r>
      <rPr>
        <sz val="10"/>
        <color theme="1"/>
        <rFont val="arial,sans,sans-serif"/>
      </rPr>
      <t>graph, dsu, [</t>
    </r>
    <r>
      <rPr>
        <b/>
        <sz val="10"/>
        <color theme="1"/>
        <rFont val="arial,sans,sans-serif"/>
      </rPr>
      <t>JAPANESE</t>
    </r>
    <r>
      <rPr>
        <sz val="10"/>
        <color theme="1"/>
        <rFont val="arial,sans,sans-serif"/>
      </rPr>
      <t>]</t>
    </r>
  </si>
  <si>
    <r>
      <rPr>
        <sz val="10"/>
        <color rgb="FF000000"/>
        <rFont val="Arial"/>
      </rPr>
      <t xml:space="preserve">math, formula or </t>
    </r>
    <r>
      <rPr>
        <b/>
        <sz val="10"/>
        <color rgb="FF000000"/>
        <rFont val="Arial"/>
      </rPr>
      <t>pattern</t>
    </r>
    <r>
      <rPr>
        <sz val="10"/>
        <color rgb="FF000000"/>
        <rFont val="Arial"/>
      </rPr>
      <t>, constructive</t>
    </r>
  </si>
  <si>
    <r>
      <rPr>
        <sz val="10"/>
        <color theme="1"/>
        <rFont val="arial,sans,sans-serif"/>
      </rPr>
      <t xml:space="preserve">segment tree, ad-hoc, </t>
    </r>
    <r>
      <rPr>
        <b/>
        <sz val="10"/>
        <color theme="1"/>
        <rFont val="arial,sans,sans-serif"/>
      </rPr>
      <t>nice to impl</t>
    </r>
  </si>
  <si>
    <r>
      <rPr>
        <sz val="10"/>
        <color theme="1"/>
        <rFont val="arial,sans,sans-serif"/>
      </rPr>
      <t xml:space="preserve">graph, dfs, cycles, </t>
    </r>
    <r>
      <rPr>
        <b/>
        <sz val="10"/>
        <color theme="1"/>
        <rFont val="arial,sans,sans-serif"/>
      </rPr>
      <t>impl, [</t>
    </r>
    <r>
      <rPr>
        <sz val="10"/>
        <color theme="1"/>
        <rFont val="arial,sans,sans-serif"/>
      </rPr>
      <t>functional graph</t>
    </r>
    <r>
      <rPr>
        <b/>
        <sz val="10"/>
        <color theme="1"/>
        <rFont val="arial,sans,sans-serif"/>
      </rPr>
      <t>]</t>
    </r>
  </si>
  <si>
    <r>
      <rPr>
        <strike/>
        <u/>
        <sz val="10"/>
        <color theme="1"/>
        <rFont val="arial,sans,sans-serif"/>
      </rPr>
      <t>segment tree, sweep line, [</t>
    </r>
    <r>
      <rPr>
        <b/>
        <strike/>
        <u/>
        <sz val="10"/>
        <color theme="1"/>
        <rFont val="arial,sans,sans-serif"/>
      </rPr>
      <t>no submit</t>
    </r>
    <r>
      <rPr>
        <strike/>
        <u/>
        <sz val="10"/>
        <color theme="1"/>
        <rFont val="arial,sans,sans-serif"/>
      </rPr>
      <t>], [test data: last entry here http://hsin.hr/2015/]</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</si>
  <si>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</si>
  <si>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</si>
  <si>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</si>
  <si>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</si>
  <si>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</si>
  <si>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</si>
  <si>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graph, dsu, impl, hmm, [</t>
    </r>
    <r>
      <rPr>
        <b/>
        <sz val="10"/>
        <color theme="1"/>
        <rFont val="arial,sans,sans-serif"/>
      </rPr>
      <t>JAPANESE</t>
    </r>
    <r>
      <rPr>
        <sz val="10"/>
        <color theme="1"/>
        <rFont val="arial,sans,sans-serif"/>
      </rPr>
      <t>]</t>
    </r>
  </si>
  <si>
    <r>
      <rPr>
        <sz val="10"/>
        <color theme="1"/>
        <rFont val="arial,sans,sans-serif"/>
      </rPr>
      <t xml:space="preserve">segment tree or treap, observation, greedy, </t>
    </r>
    <r>
      <rPr>
        <b/>
        <sz val="10"/>
        <color theme="1"/>
        <rFont val="arial,sans,sans-serif"/>
      </rPr>
      <t>impl</t>
    </r>
    <r>
      <rPr>
        <sz val="10"/>
        <color theme="1"/>
        <rFont val="arial,sans,sans-serif"/>
      </rPr>
      <t>, [easy idea]</t>
    </r>
  </si>
  <si>
    <r>
      <rPr>
        <sz val="10"/>
        <color rgb="FF000000"/>
        <rFont val="Arial"/>
      </rPr>
      <t xml:space="preserve">graph, dijkstra, dp, </t>
    </r>
    <r>
      <rPr>
        <b/>
        <sz val="10"/>
        <color rgb="FF000000"/>
        <rFont val="Arial"/>
      </rPr>
      <t>tricky impl</t>
    </r>
    <r>
      <rPr>
        <sz val="10"/>
        <color rgb="FF000000"/>
        <rFont val="Arial"/>
      </rPr>
      <t>, [easy idea]</t>
    </r>
  </si>
  <si>
    <r>
      <rPr>
        <sz val="10"/>
        <color rgb="FF000000"/>
        <rFont val="Arial"/>
      </rPr>
      <t xml:space="preserve">ad-hoc, Manhattan2DRotation, sliding window, </t>
    </r>
    <r>
      <rPr>
        <b/>
        <sz val="10"/>
        <color rgb="FF000000"/>
        <rFont val="Arial"/>
      </rPr>
      <t>impl</t>
    </r>
    <r>
      <rPr>
        <sz val="10"/>
        <color rgb="FF000000"/>
        <rFont val="Arial"/>
      </rPr>
      <t xml:space="preserve"> or sweep, [easy idea]</t>
    </r>
  </si>
  <si>
    <r>
      <rPr>
        <sz val="10"/>
        <color theme="1"/>
        <rFont val="arial,sans,sans-serif"/>
      </rPr>
      <t xml:space="preserve">graph, dsu, sorting, </t>
    </r>
    <r>
      <rPr>
        <b/>
        <sz val="10"/>
        <color theme="1"/>
        <rFont val="arial,sans,sans-serif"/>
      </rPr>
      <t>impl, [cases]</t>
    </r>
    <r>
      <rPr>
        <sz val="10"/>
        <color theme="1"/>
        <rFont val="arial,sans,sans-serif"/>
      </rPr>
      <t>, [easy idea]</t>
    </r>
  </si>
  <si>
    <r>
      <rPr>
        <sz val="10"/>
        <color rgb="FF000000"/>
        <rFont val="Arial"/>
      </rPr>
      <t xml:space="preserve">dp, </t>
    </r>
    <r>
      <rPr>
        <b/>
        <sz val="10"/>
        <color rgb="FF000000"/>
        <rFont val="Arial"/>
      </rPr>
      <t>impl</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</si>
  <si>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</si>
  <si>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</si>
  <si>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</si>
  <si>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</si>
  <si>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</si>
  <si>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</si>
  <si>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</si>
  <si>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</si>
  <si>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</si>
  <si>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</si>
  <si>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graph, cycles, scc, [</t>
    </r>
    <r>
      <rPr>
        <b/>
        <sz val="10"/>
        <color theme="1"/>
        <rFont val="arial,sans,sans-serif"/>
      </rPr>
      <t>JAPANESE</t>
    </r>
    <r>
      <rPr>
        <sz val="10"/>
        <color theme="1"/>
        <rFont val="arial,sans,sans-serif"/>
      </rPr>
      <t>]</t>
    </r>
  </si>
  <si>
    <r>
      <rPr>
        <sz val="10"/>
        <color theme="1"/>
        <rFont val="arial,sans,sans-serif"/>
      </rPr>
      <t>graph, dijkstra, impl, [</t>
    </r>
    <r>
      <rPr>
        <b/>
        <sz val="10"/>
        <color theme="1"/>
        <rFont val="arial,sans,sans-serif"/>
      </rPr>
      <t>JAPANESE</t>
    </r>
    <r>
      <rPr>
        <sz val="10"/>
        <color theme="1"/>
        <rFont val="arial,sans,sans-serif"/>
      </rPr>
      <t>]</t>
    </r>
  </si>
  <si>
    <r>
      <rPr>
        <sz val="10"/>
        <color theme="1"/>
        <rFont val="arial,sans,sans-serif"/>
      </rPr>
      <t xml:space="preserve">binary search, math, </t>
    </r>
    <r>
      <rPr>
        <b/>
        <sz val="10"/>
        <color theme="1"/>
        <rFont val="arial,sans,sans-serif"/>
      </rPr>
      <t>median</t>
    </r>
    <r>
      <rPr>
        <sz val="10"/>
        <color theme="1"/>
        <rFont val="arial,sans,sans-serif"/>
      </rPr>
      <t>, greedy</t>
    </r>
  </si>
  <si>
    <r>
      <rPr>
        <sz val="10"/>
        <color theme="1"/>
        <rFont val="Arial"/>
      </rPr>
      <t xml:space="preserve">string processing, hashing, binary search, </t>
    </r>
    <r>
      <rPr>
        <b/>
        <sz val="10"/>
        <color theme="1"/>
        <rFont val="Arial"/>
      </rPr>
      <t>impl</t>
    </r>
    <r>
      <rPr>
        <sz val="10"/>
        <color theme="1"/>
        <rFont val="Arial"/>
      </rPr>
      <t>, [double hashing]</t>
    </r>
  </si>
  <si>
    <r>
      <rPr>
        <sz val="10"/>
        <color theme="1"/>
        <rFont val="arial,sans,sans-serif"/>
      </rPr>
      <t>impl, prefix sum, suffix sum, [</t>
    </r>
    <r>
      <rPr>
        <b/>
        <sz val="10"/>
        <color theme="1"/>
        <rFont val="arial,sans,sans-serif"/>
      </rPr>
      <t>JAPANESE</t>
    </r>
    <r>
      <rPr>
        <sz val="10"/>
        <color theme="1"/>
        <rFont val="arial,sans,sans-serif"/>
      </rPr>
      <t>]</t>
    </r>
  </si>
  <si>
    <r>
      <rPr>
        <sz val="10"/>
        <color theme="1"/>
        <rFont val="arial,sans,sans-serif"/>
      </rPr>
      <t>impl, [</t>
    </r>
    <r>
      <rPr>
        <b/>
        <sz val="10"/>
        <color theme="1"/>
        <rFont val="arial,sans,sans-serif"/>
      </rPr>
      <t>JAPANESE</t>
    </r>
    <r>
      <rPr>
        <sz val="10"/>
        <color theme="1"/>
        <rFont val="arial,sans,sans-serif"/>
      </rPr>
      <t>]</t>
    </r>
  </si>
  <si>
    <r>
      <rPr>
        <sz val="10"/>
        <color theme="1"/>
        <rFont val="arial,sans,sans-serif"/>
      </rPr>
      <t>segment tree, math, [</t>
    </r>
    <r>
      <rPr>
        <b/>
        <sz val="10"/>
        <color theme="1"/>
        <rFont val="arial,sans,sans-serif"/>
      </rPr>
      <t>JAPANESE</t>
    </r>
    <r>
      <rPr>
        <sz val="10"/>
        <color theme="1"/>
        <rFont val="arial,sans,sans-serif"/>
      </rPr>
      <t>]</t>
    </r>
  </si>
  <si>
    <r>
      <rPr>
        <sz val="10"/>
        <color theme="1"/>
        <rFont val="arial,sans,sans-serif"/>
      </rPr>
      <t>dp, mod inv, factorial,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</si>
  <si>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</si>
  <si>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</si>
  <si>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</si>
  <si>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graph, dfs, bfs, [</t>
    </r>
    <r>
      <rPr>
        <b/>
        <sz val="10"/>
        <color theme="1"/>
        <rFont val="arial,sans,sans-serif"/>
      </rPr>
      <t>JAPANESE</t>
    </r>
    <r>
      <rPr>
        <sz val="10"/>
        <color theme="1"/>
        <rFont val="arial,sans,sans-serif"/>
      </rPr>
      <t>]</t>
    </r>
  </si>
  <si>
    <r>
      <rPr>
        <sz val="10"/>
        <color theme="1"/>
        <rFont val="arial,sans,sans-serif"/>
      </rPr>
      <t>graph, dfs, [</t>
    </r>
    <r>
      <rPr>
        <b/>
        <sz val="10"/>
        <color theme="1"/>
        <rFont val="arial,sans,sans-serif"/>
      </rPr>
      <t>JAPANESE</t>
    </r>
    <r>
      <rPr>
        <sz val="10"/>
        <color theme="1"/>
        <rFont val="arial,sans,sans-serif"/>
      </rPr>
      <t>]</t>
    </r>
  </si>
  <si>
    <r>
      <rPr>
        <sz val="10"/>
        <color theme="1"/>
        <rFont val="arial,sans,sans-serif"/>
      </rPr>
      <t>graph, dijkstra, [</t>
    </r>
    <r>
      <rPr>
        <b/>
        <sz val="10"/>
        <color theme="1"/>
        <rFont val="arial,sans,sans-serif"/>
      </rPr>
      <t>JAPANESE</t>
    </r>
    <r>
      <rPr>
        <sz val="10"/>
        <color theme="1"/>
        <rFont val="arial,sans,sans-serif"/>
      </rPr>
      <t>]</t>
    </r>
  </si>
  <si>
    <r>
      <rPr>
        <sz val="10"/>
        <color theme="1"/>
        <rFont val="arial,sans,sans-serif"/>
      </rPr>
      <t>binary search, impl, [</t>
    </r>
    <r>
      <rPr>
        <b/>
        <sz val="10"/>
        <color theme="1"/>
        <rFont val="arial,sans,sans-serif"/>
      </rPr>
      <t>JAPANESE</t>
    </r>
    <r>
      <rPr>
        <sz val="10"/>
        <color theme="1"/>
        <rFont val="arial,sans,sans-serif"/>
      </rPr>
      <t>]</t>
    </r>
  </si>
  <si>
    <r>
      <rPr>
        <sz val="10"/>
        <color theme="1"/>
        <rFont val="arial,sans,sans-serif"/>
      </rPr>
      <t>binary search, [</t>
    </r>
    <r>
      <rPr>
        <b/>
        <sz val="10"/>
        <color theme="1"/>
        <rFont val="arial,sans,sans-serif"/>
      </rPr>
      <t>JAPANESE</t>
    </r>
    <r>
      <rPr>
        <sz val="10"/>
        <color theme="1"/>
        <rFont val="arial,sans,sans-serif"/>
      </rPr>
      <t>]</t>
    </r>
  </si>
  <si>
    <r>
      <rPr>
        <sz val="10"/>
        <color theme="1"/>
        <rFont val="arial,sans,sans-serif"/>
      </rPr>
      <t>bbst, splay or link-cut trees, [</t>
    </r>
    <r>
      <rPr>
        <b/>
        <sz val="10"/>
        <color theme="1"/>
        <rFont val="arial,sans,sans-serif"/>
      </rPr>
      <t>JAPANESE</t>
    </r>
    <r>
      <rPr>
        <sz val="10"/>
        <color theme="1"/>
        <rFont val="arial,sans,sans-serif"/>
      </rPr>
      <t>]</t>
    </r>
  </si>
  <si>
    <r>
      <rPr>
        <sz val="10"/>
        <color theme="1"/>
        <rFont val="arial,sans,sans-serif"/>
      </rPr>
      <t>impl, [</t>
    </r>
    <r>
      <rPr>
        <b/>
        <sz val="10"/>
        <color theme="1"/>
        <rFont val="arial,sans,sans-serif"/>
      </rPr>
      <t>JAPANESE</t>
    </r>
    <r>
      <rPr>
        <sz val="10"/>
        <color theme="1"/>
        <rFont val="arial,sans,sans-serif"/>
      </rPr>
      <t>]</t>
    </r>
  </si>
  <si>
    <r>
      <rPr>
        <strike/>
        <u/>
        <sz val="10"/>
        <color rgb="FF000000"/>
        <rFont val="Arial"/>
      </rPr>
      <t xml:space="preserve">dp, </t>
    </r>
    <r>
      <rPr>
        <b/>
        <strike/>
        <u/>
        <sz val="10"/>
        <color rgb="FF000000"/>
        <rFont val="Arial"/>
      </rPr>
      <t>bignum</t>
    </r>
    <r>
      <rPr>
        <strike/>
        <u/>
        <sz val="10"/>
        <color rgb="FF000000"/>
        <rFont val="Arial"/>
      </rPr>
      <t>, standard</t>
    </r>
  </si>
  <si>
    <r>
      <rPr>
        <sz val="10"/>
        <color theme="1"/>
        <rFont val="arial,sans,sans-serif"/>
      </rPr>
      <t>dp, [small code],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</si>
  <si>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</si>
  <si>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</si>
  <si>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</si>
  <si>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</si>
  <si>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dp, [</t>
    </r>
    <r>
      <rPr>
        <b/>
        <sz val="10"/>
        <color theme="1"/>
        <rFont val="arial,sans,sans-serif"/>
      </rPr>
      <t>JAPANESE</t>
    </r>
    <r>
      <rPr>
        <sz val="10"/>
        <color theme="1"/>
        <rFont val="arial,sans,sans-serif"/>
      </rPr>
      <t>]</t>
    </r>
  </si>
  <si>
    <r>
      <rPr>
        <sz val="10"/>
        <color theme="1"/>
        <rFont val="arial,sans,sans-serif"/>
      </rPr>
      <t>dp, impl,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</si>
  <si>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</si>
  <si>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graph,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</si>
  <si>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</si>
  <si>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</si>
  <si>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</si>
  <si>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</si>
  <si>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dp, dp_sibling, [</t>
    </r>
    <r>
      <rPr>
        <b/>
        <sz val="10"/>
        <color theme="1"/>
        <rFont val="arial,sans,sans-serif"/>
      </rPr>
      <t>hard impl</t>
    </r>
    <r>
      <rPr>
        <sz val="10"/>
        <color theme="1"/>
        <rFont val="arial,sans,sans-serif"/>
      </rPr>
      <t xml:space="preserve"> and tricky cases]</t>
    </r>
  </si>
  <si>
    <r>
      <rPr>
        <sz val="10"/>
        <color theme="1"/>
        <rFont val="Arial"/>
      </rPr>
      <t xml:space="preserve">datastructures, math, </t>
    </r>
    <r>
      <rPr>
        <b/>
        <sz val="10"/>
        <color theme="1"/>
        <rFont val="Arial"/>
      </rPr>
      <t>median</t>
    </r>
    <r>
      <rPr>
        <sz val="10"/>
        <color theme="1"/>
        <rFont val="Arial"/>
      </rPr>
      <t>, [solve IOI 11-ricehub first]</t>
    </r>
  </si>
  <si>
    <r>
      <rPr>
        <sz val="10"/>
        <color rgb="FF000000"/>
        <rFont val="Arial"/>
      </rPr>
      <t xml:space="preserve">dp, </t>
    </r>
    <r>
      <rPr>
        <b/>
        <sz val="10"/>
        <color rgb="FF000000"/>
        <rFont val="Arial"/>
      </rPr>
      <t>bignum</t>
    </r>
    <r>
      <rPr>
        <sz val="10"/>
        <color rgb="FF000000"/>
        <rFont val="Arial"/>
      </rPr>
      <t>, standard</t>
    </r>
  </si>
  <si>
    <r>
      <rPr>
        <sz val="10"/>
        <color rgb="FF000000"/>
        <rFont val="Arial"/>
      </rPr>
      <t xml:space="preserve">dp, dp_digit, </t>
    </r>
    <r>
      <rPr>
        <b/>
        <sz val="10"/>
        <color rgb="FF000000"/>
        <rFont val="Arial"/>
      </rPr>
      <t>annoying impl</t>
    </r>
  </si>
  <si>
    <r>
      <rPr>
        <sz val="10"/>
        <color rgb="FF000000"/>
        <rFont val="Arial"/>
      </rPr>
      <t xml:space="preserve">dp, </t>
    </r>
    <r>
      <rPr>
        <b/>
        <sz val="10"/>
        <color rgb="FF000000"/>
        <rFont val="Arial"/>
      </rPr>
      <t>impl</t>
    </r>
  </si>
  <si>
    <r>
      <rPr>
        <sz val="10"/>
        <color rgb="FF000000"/>
        <rFont val="Arial"/>
      </rPr>
      <t xml:space="preserve">ad-hoc, Manhattan2DRotation, sliding window, </t>
    </r>
    <r>
      <rPr>
        <b/>
        <sz val="10"/>
        <color rgb="FF000000"/>
        <rFont val="Arial"/>
      </rPr>
      <t>impl</t>
    </r>
    <r>
      <rPr>
        <sz val="10"/>
        <color rgb="FF000000"/>
        <rFont val="Arial"/>
      </rPr>
      <t xml:space="preserve"> or sweep, [easy idea]</t>
    </r>
  </si>
  <si>
    <r>
      <rPr>
        <sz val="10"/>
        <color theme="1"/>
        <rFont val="arial,sans,sans-serif"/>
      </rPr>
      <t xml:space="preserve">graph, max-flow, [editorial solution </t>
    </r>
    <r>
      <rPr>
        <b/>
        <sz val="10"/>
        <color theme="1"/>
        <rFont val="arial,sans,sans-serif"/>
      </rPr>
      <t>seems to be incorrect</t>
    </r>
    <r>
      <rPr>
        <sz val="10"/>
        <color theme="1"/>
        <rFont val="arial,sans,sans-serif"/>
      </rPr>
      <t xml:space="preserve"> (or I'm misunderstanding editorial) &amp; I can't find any code solution.]</t>
    </r>
  </si>
  <si>
    <r>
      <rPr>
        <sz val="10"/>
        <color theme="1"/>
        <rFont val="arial,sans,sans-serif"/>
      </rPr>
      <t xml:space="preserve">segment tree, ad-hoc, </t>
    </r>
    <r>
      <rPr>
        <b/>
        <sz val="10"/>
        <color theme="1"/>
        <rFont val="arial,sans,sans-serif"/>
      </rPr>
      <t>nice to impl</t>
    </r>
  </si>
  <si>
    <r>
      <rPr>
        <sz val="10"/>
        <color theme="1"/>
        <rFont val="Arial"/>
      </rPr>
      <t xml:space="preserve">string processing, hashing, binary search, </t>
    </r>
    <r>
      <rPr>
        <b/>
        <sz val="10"/>
        <color theme="1"/>
        <rFont val="Arial"/>
      </rPr>
      <t>impl</t>
    </r>
    <r>
      <rPr>
        <sz val="10"/>
        <color theme="1"/>
        <rFont val="Arial"/>
      </rPr>
      <t>, [double hashing]</t>
    </r>
  </si>
  <si>
    <r>
      <rPr>
        <sz val="10"/>
        <color theme="1"/>
        <rFont val="arial,sans,sans-serif"/>
      </rPr>
      <t xml:space="preserve">segment tree, </t>
    </r>
    <r>
      <rPr>
        <b/>
        <sz val="10"/>
        <color theme="1"/>
        <rFont val="arial,sans,sans-serif"/>
      </rPr>
      <t>impl</t>
    </r>
    <r>
      <rPr>
        <sz val="10"/>
        <color theme="1"/>
        <rFont val="arial,sans,sans-serif"/>
      </rPr>
      <t>, [__int128 simplifies] or math, binary search</t>
    </r>
  </si>
  <si>
    <r>
      <rPr>
        <sz val="10"/>
        <color theme="1"/>
        <rFont val="arial,sans,sans-serif"/>
      </rPr>
      <t xml:space="preserve">graph, mst, </t>
    </r>
    <r>
      <rPr>
        <b/>
        <sz val="10"/>
        <color theme="1"/>
        <rFont val="arial,sans,sans-serif"/>
      </rPr>
      <t>sieve</t>
    </r>
    <r>
      <rPr>
        <sz val="10"/>
        <color theme="1"/>
        <rFont val="arial,sans,sans-serif"/>
      </rPr>
      <t>, math</t>
    </r>
  </si>
  <si>
    <r>
      <rPr>
        <sz val="10"/>
        <color theme="1"/>
        <rFont val="arial,sans,sans-serif"/>
      </rPr>
      <t xml:space="preserve">ad-hoc, </t>
    </r>
    <r>
      <rPr>
        <b/>
        <sz val="10"/>
        <color theme="1"/>
        <rFont val="arial,sans,sans-serif"/>
      </rPr>
      <t>slope_trick</t>
    </r>
    <r>
      <rPr>
        <sz val="10"/>
        <color theme="1"/>
        <rFont val="arial,sans,sans-serif"/>
      </rPr>
      <t xml:space="preserve"> or others</t>
    </r>
  </si>
  <si>
    <r>
      <rPr>
        <sz val="10"/>
        <color theme="1"/>
        <rFont val="Arial"/>
      </rPr>
      <t>graph, hld, sqrt decomposition, [</t>
    </r>
    <r>
      <rPr>
        <b/>
        <sz val="10"/>
        <color theme="1"/>
        <rFont val="Arial"/>
      </rPr>
      <t>strict</t>
    </r>
    <r>
      <rPr>
        <sz val="10"/>
        <color theme="1"/>
        <rFont val="Arial"/>
      </rPr>
      <t xml:space="preserve"> TL on dmoj]</t>
    </r>
  </si>
  <si>
    <r>
      <rPr>
        <sz val="10"/>
        <color theme="1"/>
        <rFont val="arial,sans,sans-serif"/>
      </rPr>
      <t xml:space="preserve">graph, lca, </t>
    </r>
    <r>
      <rPr>
        <b/>
        <sz val="10"/>
        <color theme="1"/>
        <rFont val="arial,sans,sans-serif"/>
      </rPr>
      <t>hard impl</t>
    </r>
  </si>
  <si>
    <r>
      <rPr>
        <strike/>
        <u/>
        <sz val="10"/>
        <color theme="1"/>
        <rFont val="arial,sans,sans-serif"/>
      </rPr>
      <t>segment tree, sweep line, [</t>
    </r>
    <r>
      <rPr>
        <b/>
        <strike/>
        <u/>
        <sz val="10"/>
        <color theme="1"/>
        <rFont val="arial,sans,sans-serif"/>
      </rPr>
      <t>no submit</t>
    </r>
    <r>
      <rPr>
        <strike/>
        <u/>
        <sz val="10"/>
        <color theme="1"/>
        <rFont val="arial,sans,sans-serif"/>
      </rPr>
      <t>], [test data: last entry here http://hsin.hr/2015/]</t>
    </r>
  </si>
  <si>
    <r>
      <rPr>
        <sz val="10"/>
        <color theme="1"/>
        <rFont val="arial,sans,sans-serif"/>
      </rPr>
      <t xml:space="preserve">bit or datastructures. </t>
    </r>
    <r>
      <rPr>
        <b/>
        <sz val="10"/>
        <color theme="1"/>
        <rFont val="arial,sans,sans-serif"/>
      </rPr>
      <t>tricky to impl</t>
    </r>
  </si>
  <si>
    <r>
      <rPr>
        <sz val="10"/>
        <color theme="1"/>
        <rFont val="arial,sans,sans-serif"/>
      </rPr>
      <t xml:space="preserve">graph, dsu, sorting, </t>
    </r>
    <r>
      <rPr>
        <b/>
        <sz val="10"/>
        <color theme="1"/>
        <rFont val="arial,sans,sans-serif"/>
      </rPr>
      <t>impl, [cases]</t>
    </r>
    <r>
      <rPr>
        <sz val="10"/>
        <color theme="1"/>
        <rFont val="arial,sans,sans-serif"/>
      </rPr>
      <t>, [easy idea]</t>
    </r>
  </si>
  <si>
    <r>
      <rPr>
        <sz val="10"/>
        <color theme="1"/>
        <rFont val="arial,sans,sans-serif"/>
      </rPr>
      <t xml:space="preserve">bf, </t>
    </r>
    <r>
      <rPr>
        <b/>
        <sz val="10"/>
        <color theme="1"/>
        <rFont val="arial,sans,sans-serif"/>
      </rPr>
      <t xml:space="preserve">long </t>
    </r>
    <r>
      <rPr>
        <sz val="10"/>
        <color theme="1"/>
        <rFont val="arial,sans,sans-serif"/>
      </rPr>
      <t>impl</t>
    </r>
  </si>
  <si>
    <r>
      <rPr>
        <sz val="10"/>
        <color theme="1"/>
        <rFont val="Arial"/>
      </rPr>
      <t xml:space="preserve">string processing, hashing, binary search, </t>
    </r>
    <r>
      <rPr>
        <b/>
        <sz val="10"/>
        <color theme="1"/>
        <rFont val="Arial"/>
      </rPr>
      <t>impl</t>
    </r>
    <r>
      <rPr>
        <sz val="10"/>
        <color theme="1"/>
        <rFont val="Arial"/>
      </rPr>
      <t>, [easy idea]</t>
    </r>
  </si>
  <si>
    <r>
      <rPr>
        <sz val="10"/>
        <color theme="1"/>
        <rFont val="arial,sans,sans-serif"/>
      </rPr>
      <t xml:space="preserve">bit, 2d bit, Manhattan2DRotation, </t>
    </r>
    <r>
      <rPr>
        <b/>
        <sz val="10"/>
        <color theme="1"/>
        <rFont val="arial,sans,sans-serif"/>
      </rPr>
      <t>impl</t>
    </r>
  </si>
  <si>
    <r>
      <rPr>
        <sz val="10"/>
        <color theme="1"/>
        <rFont val="arial,sans,sans-serif"/>
      </rPr>
      <t xml:space="preserve">graph, dfs, cycles, </t>
    </r>
    <r>
      <rPr>
        <b/>
        <sz val="10"/>
        <color theme="1"/>
        <rFont val="arial,sans,sans-serif"/>
      </rPr>
      <t>impl, [</t>
    </r>
    <r>
      <rPr>
        <sz val="10"/>
        <color theme="1"/>
        <rFont val="arial,sans,sans-serif"/>
      </rPr>
      <t>functional graph</t>
    </r>
    <r>
      <rPr>
        <b/>
        <sz val="10"/>
        <color theme="1"/>
        <rFont val="arial,sans,sans-serif"/>
      </rPr>
      <t>]</t>
    </r>
  </si>
  <si>
    <r>
      <rPr>
        <sz val="10"/>
        <color theme="1"/>
        <rFont val="arial,sans,sans-serif"/>
      </rPr>
      <t xml:space="preserve">binary search, math, </t>
    </r>
    <r>
      <rPr>
        <b/>
        <sz val="10"/>
        <color theme="1"/>
        <rFont val="arial,sans,sans-serif"/>
      </rPr>
      <t>median</t>
    </r>
    <r>
      <rPr>
        <sz val="10"/>
        <color theme="1"/>
        <rFont val="arial,sans,sans-serif"/>
      </rPr>
      <t>, greedy</t>
    </r>
  </si>
  <si>
    <r>
      <rPr>
        <sz val="10"/>
        <color theme="1"/>
        <rFont val="Arial"/>
      </rPr>
      <t xml:space="preserve">graph, dsu, cycles, </t>
    </r>
    <r>
      <rPr>
        <b/>
        <sz val="10"/>
        <color theme="1"/>
        <rFont val="Arial"/>
      </rPr>
      <t>impl</t>
    </r>
  </si>
  <si>
    <r>
      <rPr>
        <sz val="10"/>
        <color theme="1"/>
        <rFont val="arial,sans,sans-serif"/>
      </rPr>
      <t xml:space="preserve">segment tree, dynamic, 2D segment tree, impl or 1D treap, [easy idea - </t>
    </r>
    <r>
      <rPr>
        <b/>
        <sz val="10"/>
        <color theme="1"/>
        <rFont val="arial,sans,sans-serif"/>
      </rPr>
      <t>hard impl</t>
    </r>
    <r>
      <rPr>
        <sz val="10"/>
        <color theme="1"/>
        <rFont val="arial,sans,sans-serif"/>
      </rPr>
      <t>]</t>
    </r>
  </si>
  <si>
    <r>
      <rPr>
        <sz val="10"/>
        <color theme="1"/>
        <rFont val="Arial"/>
      </rPr>
      <t xml:space="preserve">backtrack, heuristics, </t>
    </r>
    <r>
      <rPr>
        <b/>
        <sz val="10"/>
        <color theme="1"/>
        <rFont val="Arial"/>
      </rPr>
      <t>hard impl</t>
    </r>
    <r>
      <rPr>
        <sz val="10"/>
        <color theme="1"/>
        <rFont val="Arial"/>
      </rPr>
      <t>, [not insightful]</t>
    </r>
  </si>
  <si>
    <r>
      <rPr>
        <sz val="10"/>
        <color theme="1"/>
        <rFont val="arial,sans,sans-serif"/>
      </rPr>
      <t xml:space="preserve">segment tree, optimizations, </t>
    </r>
    <r>
      <rPr>
        <b/>
        <sz val="10"/>
        <color theme="1"/>
        <rFont val="arial,sans,sans-serif"/>
      </rPr>
      <t>hard impl</t>
    </r>
  </si>
  <si>
    <r>
      <rPr>
        <sz val="10"/>
        <color rgb="FF000000"/>
        <rFont val="Arial"/>
      </rPr>
      <t>geometry, sweep line, segment tree or sweep, bit, [</t>
    </r>
    <r>
      <rPr>
        <b/>
        <sz val="10"/>
        <color rgb="FF000000"/>
        <rFont val="Arial"/>
      </rPr>
      <t>judge not working</t>
    </r>
    <r>
      <rPr>
        <sz val="10"/>
        <color rgb="FF000000"/>
        <rFont val="Arial"/>
      </rPr>
      <t>]</t>
    </r>
  </si>
  <si>
    <r>
      <rPr>
        <sz val="10"/>
        <color rgb="FF000000"/>
        <rFont val="Arial"/>
      </rPr>
      <t>graph, lca, greedy, [</t>
    </r>
    <r>
      <rPr>
        <b/>
        <sz val="10"/>
        <color rgb="FF000000"/>
        <rFont val="Arial"/>
      </rPr>
      <t>, [judge not working]</t>
    </r>
    <r>
      <rPr>
        <sz val="10"/>
        <color rgb="FF000000"/>
        <rFont val="Arial"/>
      </rPr>
      <t>]</t>
    </r>
  </si>
  <si>
    <r>
      <rPr>
        <sz val="10"/>
        <color theme="1"/>
        <rFont val="arial,sans,sans-serif"/>
      </rPr>
      <t>dp, impl, [</t>
    </r>
    <r>
      <rPr>
        <b/>
        <sz val="10"/>
        <color theme="1"/>
        <rFont val="arial,sans,sans-serif"/>
      </rPr>
      <t>JAPANESE</t>
    </r>
    <r>
      <rPr>
        <sz val="10"/>
        <color theme="1"/>
        <rFont val="arial,sans,sans-serif"/>
      </rPr>
      <t>]</t>
    </r>
  </si>
  <si>
    <r>
      <rPr>
        <sz val="10"/>
        <color theme="1"/>
        <rFont val="arial,sans,sans-serif"/>
      </rPr>
      <t>binary search, impl, [</t>
    </r>
    <r>
      <rPr>
        <b/>
        <sz val="10"/>
        <color theme="1"/>
        <rFont val="arial,sans,sans-serif"/>
      </rPr>
      <t>JAPANESE</t>
    </r>
    <r>
      <rPr>
        <sz val="10"/>
        <color theme="1"/>
        <rFont val="arial,sans,sans-serif"/>
      </rPr>
      <t>]</t>
    </r>
  </si>
  <si>
    <r>
      <rPr>
        <sz val="10"/>
        <color theme="1"/>
        <rFont val="arial,sans,sans-serif"/>
      </rPr>
      <t>binary search,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</si>
  <si>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</si>
  <si>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dp, [small code], [</t>
    </r>
    <r>
      <rPr>
        <b/>
        <sz val="10"/>
        <color theme="1"/>
        <rFont val="arial,sans,sans-serif"/>
      </rPr>
      <t>JAPANESE</t>
    </r>
    <r>
      <rPr>
        <sz val="10"/>
        <color theme="1"/>
        <rFont val="arial,sans,sans-serif"/>
      </rPr>
      <t>]</t>
    </r>
  </si>
  <si>
    <r>
      <rPr>
        <sz val="10"/>
        <color theme="1"/>
        <rFont val="arial,sans,sans-serif"/>
      </rPr>
      <t>impl, [</t>
    </r>
    <r>
      <rPr>
        <b/>
        <sz val="10"/>
        <color theme="1"/>
        <rFont val="arial,sans,sans-serif"/>
      </rPr>
      <t>JAPANESE</t>
    </r>
    <r>
      <rPr>
        <sz val="10"/>
        <color theme="1"/>
        <rFont val="arial,sans,sans-serif"/>
      </rPr>
      <t>]</t>
    </r>
  </si>
  <si>
    <r>
      <rPr>
        <sz val="10"/>
        <color theme="1"/>
        <rFont val="arial,sans,sans-serif"/>
      </rPr>
      <t>graph, dijkstra?, [</t>
    </r>
    <r>
      <rPr>
        <b/>
        <sz val="10"/>
        <color theme="1"/>
        <rFont val="arial,sans,sans-serif"/>
      </rPr>
      <t>JAPANESE]</t>
    </r>
    <r>
      <rPr>
        <sz val="10"/>
        <color theme="1"/>
        <rFont val="arial,sans,sans-serif"/>
      </rPr>
      <t>, [long txt - don't assign - Riya don't understand]</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</si>
  <si>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</si>
  <si>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graph, dijkstra, [</t>
    </r>
    <r>
      <rPr>
        <b/>
        <sz val="10"/>
        <color theme="1"/>
        <rFont val="arial,sans,sans-serif"/>
      </rPr>
      <t>JAPANESE</t>
    </r>
    <r>
      <rPr>
        <sz val="10"/>
        <color theme="1"/>
        <rFont val="arial,sans,sans-serif"/>
      </rPr>
      <t>]</t>
    </r>
  </si>
  <si>
    <r>
      <rPr>
        <sz val="10"/>
        <color theme="1"/>
        <rFont val="arial,sans,sans-serif"/>
      </rPr>
      <t>graph,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</si>
  <si>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</si>
  <si>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impl, prefix sum, suffix sum, [</t>
    </r>
    <r>
      <rPr>
        <b/>
        <sz val="10"/>
        <color theme="1"/>
        <rFont val="arial,sans,sans-serif"/>
      </rPr>
      <t>JAPANESE</t>
    </r>
    <r>
      <rPr>
        <sz val="10"/>
        <color theme="1"/>
        <rFont val="arial,sans,sans-serif"/>
      </rPr>
      <t>]</t>
    </r>
  </si>
  <si>
    <r>
      <rPr>
        <sz val="10"/>
        <color theme="1"/>
        <rFont val="arial,sans,sans-serif"/>
      </rPr>
      <t>bit, binary search or segment tree, [</t>
    </r>
    <r>
      <rPr>
        <b/>
        <sz val="10"/>
        <color theme="1"/>
        <rFont val="arial,sans,sans-serif"/>
      </rPr>
      <t>JAPANESE</t>
    </r>
    <r>
      <rPr>
        <sz val="10"/>
        <color theme="1"/>
        <rFont val="arial,sans,sans-serif"/>
      </rPr>
      <t>]</t>
    </r>
  </si>
  <si>
    <r>
      <rPr>
        <sz val="10"/>
        <color theme="1"/>
        <rFont val="arial,sans,sans-serif"/>
      </rPr>
      <t>dp,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</si>
  <si>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</si>
  <si>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graph, dfs, bfs, [</t>
    </r>
    <r>
      <rPr>
        <b/>
        <sz val="10"/>
        <color theme="1"/>
        <rFont val="arial,sans,sans-serif"/>
      </rPr>
      <t>JAPANESE</t>
    </r>
    <r>
      <rPr>
        <sz val="10"/>
        <color theme="1"/>
        <rFont val="arial,sans,sans-serif"/>
      </rPr>
      <t>]</t>
    </r>
  </si>
  <si>
    <r>
      <rPr>
        <sz val="10"/>
        <color theme="1"/>
        <rFont val="arial,sans,sans-serif"/>
      </rPr>
      <t xml:space="preserve">segment tree or treap, observation, greedy, </t>
    </r>
    <r>
      <rPr>
        <b/>
        <sz val="10"/>
        <color theme="1"/>
        <rFont val="arial,sans,sans-serif"/>
      </rPr>
      <t>impl</t>
    </r>
    <r>
      <rPr>
        <sz val="10"/>
        <color theme="1"/>
        <rFont val="arial,sans,sans-serif"/>
      </rPr>
      <t>, [easy idea]</t>
    </r>
  </si>
  <si>
    <r>
      <rPr>
        <sz val="10"/>
        <color theme="1"/>
        <rFont val="arial,sans,sans-serif"/>
      </rPr>
      <t>graph, dijkstra, impl,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</si>
  <si>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</si>
  <si>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segment tree, math, [</t>
    </r>
    <r>
      <rPr>
        <b/>
        <sz val="10"/>
        <color theme="1"/>
        <rFont val="arial,sans,sans-serif"/>
      </rPr>
      <t>JAPANESE</t>
    </r>
    <r>
      <rPr>
        <sz val="10"/>
        <color theme="1"/>
        <rFont val="arial,sans,sans-serif"/>
      </rPr>
      <t>]</t>
    </r>
  </si>
  <si>
    <r>
      <rPr>
        <sz val="10"/>
        <color theme="1"/>
        <rFont val="arial,sans,sans-serif"/>
      </rPr>
      <t>graph, dsu, impl, hmm, [</t>
    </r>
    <r>
      <rPr>
        <b/>
        <sz val="10"/>
        <color theme="1"/>
        <rFont val="arial,sans,sans-serif"/>
      </rPr>
      <t>JAPANESE</t>
    </r>
    <r>
      <rPr>
        <sz val="10"/>
        <color theme="1"/>
        <rFont val="arial,sans,sans-serif"/>
      </rPr>
      <t>]</t>
    </r>
  </si>
  <si>
    <r>
      <rPr>
        <sz val="10"/>
        <color theme="1"/>
        <rFont val="arial,sans,sans-serif"/>
      </rPr>
      <t>graph, dsu, [</t>
    </r>
    <r>
      <rPr>
        <b/>
        <sz val="10"/>
        <color theme="1"/>
        <rFont val="arial,sans,sans-serif"/>
      </rPr>
      <t>JAPANESE</t>
    </r>
    <r>
      <rPr>
        <sz val="10"/>
        <color theme="1"/>
        <rFont val="arial,sans,sans-serif"/>
      </rPr>
      <t>]</t>
    </r>
  </si>
  <si>
    <r>
      <rPr>
        <sz val="10"/>
        <color theme="1"/>
        <rFont val="arial,sans,sans-serif"/>
      </rPr>
      <t>dp, mod inv, factorial, [</t>
    </r>
    <r>
      <rPr>
        <b/>
        <sz val="10"/>
        <color theme="1"/>
        <rFont val="arial,sans,sans-serif"/>
      </rPr>
      <t>JAPANESE</t>
    </r>
    <r>
      <rPr>
        <sz val="10"/>
        <color theme="1"/>
        <rFont val="arial,sans,sans-serif"/>
      </rPr>
      <t>]</t>
    </r>
  </si>
  <si>
    <r>
      <rPr>
        <sz val="10"/>
        <color theme="1"/>
        <rFont val="arial,sans,sans-serif"/>
      </rPr>
      <t>impl, [</t>
    </r>
    <r>
      <rPr>
        <b/>
        <sz val="10"/>
        <color theme="1"/>
        <rFont val="arial,sans,sans-serif"/>
      </rPr>
      <t>JAPANESE</t>
    </r>
    <r>
      <rPr>
        <sz val="10"/>
        <color theme="1"/>
        <rFont val="arial,sans,sans-serif"/>
      </rPr>
      <t>]</t>
    </r>
  </si>
  <si>
    <r>
      <rPr>
        <sz val="10"/>
        <color theme="1"/>
        <rFont val="arial,sans,sans-serif"/>
      </rPr>
      <t>graph, cycles, scc, [</t>
    </r>
    <r>
      <rPr>
        <b/>
        <sz val="10"/>
        <color theme="1"/>
        <rFont val="arial,sans,sans-serif"/>
      </rPr>
      <t>JAPANESE</t>
    </r>
    <r>
      <rPr>
        <sz val="10"/>
        <color theme="1"/>
        <rFont val="arial,sans,sans-serif"/>
      </rPr>
      <t>]</t>
    </r>
  </si>
  <si>
    <r>
      <rPr>
        <sz val="10"/>
        <color theme="1"/>
        <rFont val="arial,sans,sans-serif"/>
      </rPr>
      <t>bbst, splay or link-cut trees, [</t>
    </r>
    <r>
      <rPr>
        <b/>
        <sz val="10"/>
        <color theme="1"/>
        <rFont val="arial,sans,sans-serif"/>
      </rPr>
      <t>JAPANESE</t>
    </r>
    <r>
      <rPr>
        <sz val="10"/>
        <color theme="1"/>
        <rFont val="arial,sans,sans-serif"/>
      </rPr>
      <t>]</t>
    </r>
  </si>
  <si>
    <r>
      <rPr>
        <sz val="10"/>
        <color theme="1"/>
        <rFont val="arial,sans,sans-serif"/>
      </rPr>
      <t>graph, dfs,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</si>
  <si>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</si>
  <si>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</si>
  <si>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</si>
  <si>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</si>
  <si>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</si>
  <si>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</si>
  <si>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</si>
  <si>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</si>
  <si>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</si>
  <si>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</si>
  <si>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</si>
  <si>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</si>
  <si>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</si>
  <si>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</si>
  <si>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</si>
  <si>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</si>
  <si>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</si>
  <si>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</si>
  <si>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</si>
  <si>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</si>
  <si>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</si>
  <si>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</si>
  <si>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</si>
  <si>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</si>
  <si>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</si>
  <si>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</si>
  <si>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</si>
  <si>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</si>
  <si>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</si>
  <si>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</si>
  <si>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theme="1"/>
        <rFont val="arial,sans,sans-serif"/>
      </rPr>
      <t>todo, [</t>
    </r>
    <r>
      <rPr>
        <b/>
        <sz val="10"/>
        <color theme="1"/>
        <rFont val="arial,sans,sans-serif"/>
      </rPr>
      <t>JAPANESE</t>
    </r>
    <r>
      <rPr>
        <sz val="10"/>
        <color theme="1"/>
        <rFont val="arial,sans,sans-serif"/>
      </rPr>
      <t>]</t>
    </r>
  </si>
  <si>
    <r>
      <rPr>
        <sz val="10"/>
        <color rgb="FF000000"/>
        <rFont val="Arial"/>
      </rPr>
      <t xml:space="preserve">math, formula or </t>
    </r>
    <r>
      <rPr>
        <b/>
        <sz val="10"/>
        <color rgb="FF000000"/>
        <rFont val="Arial"/>
      </rPr>
      <t>pattern</t>
    </r>
    <r>
      <rPr>
        <sz val="10"/>
        <color rgb="FF000000"/>
        <rFont val="Arial"/>
      </rPr>
      <t>, constructive</t>
    </r>
  </si>
  <si>
    <r>
      <rPr>
        <sz val="10"/>
        <color rgb="FF000000"/>
        <rFont val="Arial"/>
      </rPr>
      <t xml:space="preserve">graph, dijkstra, dp, </t>
    </r>
    <r>
      <rPr>
        <b/>
        <sz val="10"/>
        <color rgb="FF000000"/>
        <rFont val="Arial"/>
      </rPr>
      <t>tricky impl</t>
    </r>
    <r>
      <rPr>
        <sz val="10"/>
        <color rgb="FF000000"/>
        <rFont val="Arial"/>
      </rPr>
      <t>, [easy idea]</t>
    </r>
  </si>
  <si>
    <t>math, log, prop, greedy</t>
  </si>
  <si>
    <r>
      <rPr>
        <sz val="10"/>
        <color rgb="FF000000"/>
        <rFont val="Arial"/>
      </rPr>
      <t xml:space="preserve">bf, </t>
    </r>
    <r>
      <rPr>
        <b/>
        <sz val="10"/>
        <color rgb="FF000000"/>
        <rFont val="Arial"/>
      </rPr>
      <t>optimizations</t>
    </r>
    <r>
      <rPr>
        <sz val="10"/>
        <color rgb="FF000000"/>
        <rFont val="Arial"/>
      </rPr>
      <t>, mask</t>
    </r>
  </si>
  <si>
    <r>
      <rPr>
        <sz val="10"/>
        <color theme="1"/>
        <rFont val="arial,sans,sans-serif"/>
      </rPr>
      <t>graph, dijkstra, summations, diphontine or math, [</t>
    </r>
    <r>
      <rPr>
        <b/>
        <sz val="10"/>
        <color theme="1"/>
        <rFont val="arial,sans,sans-serif"/>
      </rPr>
      <t>POI 03</t>
    </r>
    <r>
      <rPr>
        <sz val="10"/>
        <color theme="1"/>
        <rFont val="arial,sans,sans-serif"/>
      </rPr>
      <t>-sums, dijikstra on modulo graph]</t>
    </r>
  </si>
  <si>
    <r>
      <rPr>
        <sz val="10"/>
        <color rgb="FF000000"/>
        <rFont val="Arial"/>
      </rPr>
      <t xml:space="preserve">greedy, flood-fill, </t>
    </r>
    <r>
      <rPr>
        <b/>
        <sz val="10"/>
        <color rgb="FF000000"/>
        <rFont val="Arial"/>
      </rPr>
      <t>prefix sums</t>
    </r>
  </si>
  <si>
    <t>Problem</t>
  </si>
  <si>
    <t>Status</t>
  </si>
  <si>
    <t>Submit Count</t>
  </si>
  <si>
    <t>Reading Time(m)</t>
  </si>
  <si>
    <t>Thinking Time(m)</t>
  </si>
  <si>
    <t>Coding Time(m)</t>
  </si>
  <si>
    <t>Debug Time(m)</t>
  </si>
  <si>
    <t>Total Time(m)</t>
  </si>
  <si>
    <t>Problem Level /10</t>
  </si>
  <si>
    <t>By yourself?</t>
  </si>
  <si>
    <t>Comments</t>
  </si>
  <si>
    <t>binary indexed tree</t>
  </si>
  <si>
    <t>brute force</t>
  </si>
  <si>
    <t>math, math_adhock</t>
  </si>
  <si>
    <t>dp, dp_optimal_substructure_analysis</t>
  </si>
  <si>
    <t>dp general</t>
  </si>
  <si>
    <t>math, numerical analysis</t>
  </si>
  <si>
    <t>string processing, polynomial hashing</t>
  </si>
  <si>
    <t>game theory adhocks</t>
  </si>
  <si>
    <t>geometry general</t>
  </si>
  <si>
    <t>dp, dp_adhock</t>
  </si>
  <si>
    <t>graph general</t>
  </si>
  <si>
    <t>dp, dp_divide and conquer optimizations</t>
  </si>
  <si>
    <t>binary search tree</t>
  </si>
  <si>
    <t>dp, dp_sibiling, trees</t>
  </si>
  <si>
    <t>geometry, polygon adhocks</t>
  </si>
  <si>
    <t>dp, dp_depth</t>
  </si>
  <si>
    <t>mo's Algorithm</t>
  </si>
  <si>
    <t>dp, profile</t>
  </si>
  <si>
    <t>balanced binary search tree</t>
  </si>
  <si>
    <t>dp, dp_knuth</t>
  </si>
  <si>
    <t>dp, dp_open_close</t>
  </si>
  <si>
    <t>dp, memoize</t>
  </si>
  <si>
    <t>graph, dfs, isomorphism</t>
  </si>
  <si>
    <t>graph, heavy light decomposition</t>
  </si>
  <si>
    <t>math, matrix adhocks</t>
  </si>
  <si>
    <t>string processing, adhock</t>
  </si>
  <si>
    <t>string processing, suffix tree</t>
  </si>
  <si>
    <t>#ERROR!</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</si>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</sst>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58">
    <font>
      <sz val="10"/>
      <color rgb="FF000000"/>
      <name val="Arial"/>
      <scheme val="minor"/>
    </font>
    <font>
      <b/>
      <sz val="10"/>
      <color theme="1"/>
      <name val="Arial"/>
      <scheme val="minor"/>
    </font>
    <font>
      <sz val="10"/>
      <color theme="1"/>
      <name val="Arial"/>
      <scheme val="minor"/>
    </font>
    <font>
      <u/>
      <sz val="10"/>
      <color rgb="FF1155CC"/>
      <name val="Arial"/>
    </font>
    <font>
      <b/>
      <sz val="12"/>
      <color theme="1"/>
      <name val="Arial"/>
    </font>
    <font>
      <b/>
      <u/>
      <sz val="12"/>
      <color rgb="FF1155CC"/>
      <name val="Arial"/>
    </font>
    <font>
      <b/>
      <u/>
      <sz val="12"/>
      <color rgb="FF1155CC"/>
      <name val="Arial"/>
    </font>
    <font>
      <sz val="10"/>
      <color rgb="FF0000FF"/>
      <name val="Arial"/>
    </font>
    <font>
      <u/>
      <sz val="10"/>
      <color rgb="FF1155CC"/>
      <name val="Arial"/>
    </font>
    <font>
      <b/>
      <sz val="10"/>
      <color rgb="FF000000"/>
      <name val="Arial"/>
    </font>
    <font>
      <b/>
      <sz val="10"/>
      <color rgb="FFFF0000"/>
      <name val="Arial"/>
      <scheme val="minor"/>
    </font>
    <font>
      <b/>
      <sz val="10"/>
      <color rgb="FFFF0000"/>
      <name val="Arial"/>
    </font>
    <font>
      <sz val="10"/>
      <color theme="1"/>
      <name val="Arial"/>
    </font>
    <font>
      <sz val="10"/>
      <color rgb="FF000000"/>
      <name val="Arial"/>
    </font>
    <font>
      <sz val="10"/>
      <color theme="1"/>
      <name val="Arial"/>
    </font>
    <font>
      <u/>
      <sz val="10"/>
      <color rgb="FF0000FF"/>
      <name val="Arial"/>
    </font>
    <font>
      <u/>
      <sz val="10"/>
      <color rgb="FF1155CC"/>
      <name val="Arial"/>
    </font>
    <font>
      <u/>
      <sz val="10"/>
      <color rgb="FF0000FF"/>
      <name val="Arial"/>
    </font>
    <font>
      <sz val="10"/>
      <color theme="1"/>
      <name val="Arial"/>
      <scheme val="minor"/>
    </font>
    <font>
      <sz val="10"/>
      <color rgb="FF000000"/>
      <name val="Arial"/>
    </font>
    <font>
      <sz val="10"/>
      <color rgb="FF000000"/>
      <name val="'Arial'"/>
    </font>
    <font>
      <sz val="10"/>
      <color rgb="FF000000"/>
      <name val="'Arial'"/>
    </font>
    <font>
      <sz val="11"/>
      <color rgb="FF222222"/>
      <name val="Arial"/>
    </font>
    <font>
      <strike/>
      <u/>
      <sz val="10"/>
      <color theme="1"/>
      <name val="Arial"/>
    </font>
    <font>
      <strike/>
      <u/>
      <sz val="10"/>
      <color theme="1"/>
      <name val="Arial"/>
    </font>
    <font>
      <strike/>
      <u/>
      <sz val="10"/>
      <color theme="1"/>
      <name val="Arial"/>
      <scheme val="minor"/>
    </font>
    <font>
      <strike/>
      <sz val="10"/>
      <color theme="1"/>
      <name val="Arial"/>
      <scheme val="minor"/>
    </font>
    <font>
      <strike/>
      <sz val="10"/>
      <color theme="1"/>
      <name val="Arial"/>
      <scheme val="minor"/>
    </font>
    <font>
      <strike/>
      <sz val="10"/>
      <color theme="1"/>
      <name val="Arial"/>
    </font>
    <font>
      <strike/>
      <u/>
      <sz val="10"/>
      <color theme="1"/>
      <name val="Arial"/>
    </font>
    <font>
      <u/>
      <sz val="10"/>
      <color rgb="FF1155CC"/>
      <name val="Arial"/>
    </font>
    <font>
      <u/>
      <sz val="10"/>
      <color rgb="FF0000FF"/>
      <name val="Arial"/>
    </font>
    <font>
      <strike/>
      <u/>
      <sz val="10"/>
      <color theme="1"/>
      <name val="Arial"/>
      <scheme val="minor"/>
    </font>
    <font>
      <strike/>
      <u/>
      <sz val="10"/>
      <color theme="1"/>
      <name val="Arial"/>
      <scheme val="minor"/>
    </font>
    <font>
      <strike/>
      <u/>
      <sz val="10"/>
      <color theme="1"/>
      <name val="Arial"/>
      <scheme val="minor"/>
    </font>
    <font>
      <strike/>
      <u/>
      <sz val="10"/>
      <color rgb="FF000000"/>
      <name val="Arial"/>
    </font>
    <font>
      <strike/>
      <u/>
      <sz val="10"/>
      <color theme="1"/>
      <name val="Arial"/>
      <scheme val="minor"/>
    </font>
    <font>
      <u/>
      <sz val="10"/>
      <color theme="1"/>
      <name val="Arial"/>
      <scheme val="minor"/>
    </font>
    <font>
      <strike/>
      <u/>
      <sz val="10"/>
      <color theme="1"/>
      <name val="Arial"/>
      <scheme val="minor"/>
    </font>
    <font>
      <strike/>
      <u/>
      <sz val="10"/>
      <color theme="1"/>
      <name val="Arial"/>
    </font>
    <font>
      <strike/>
      <u/>
      <sz val="10"/>
      <color theme="1"/>
      <name val="Arial"/>
    </font>
    <font>
      <strike/>
      <u/>
      <sz val="10"/>
      <color theme="1"/>
      <name val="Arial"/>
    </font>
    <font>
      <strike/>
      <u/>
      <sz val="10"/>
      <color theme="1"/>
      <name val="Arial"/>
    </font>
    <font>
      <u/>
      <sz val="10"/>
      <color theme="1"/>
      <name val="Arial"/>
    </font>
    <font>
      <strike/>
      <u/>
      <sz val="10"/>
      <color theme="1"/>
      <name val="Arial"/>
    </font>
    <font>
      <u/>
      <sz val="10"/>
      <color theme="1"/>
      <name val="Arial"/>
    </font>
    <font>
      <u/>
      <sz val="10"/>
      <color rgb="FF1155CC"/>
      <name val="Arial"/>
    </font>
    <font>
      <u/>
      <sz val="10"/>
      <color rgb="FF1155CC"/>
      <name val="Arial"/>
    </font>
    <font>
      <b/>
      <sz val="10"/>
      <color theme="1"/>
      <name val="Arial"/>
    </font>
    <font>
      <b/>
      <sz val="10"/>
      <color rgb="FF0000FF"/>
      <name val="Arial"/>
    </font>
    <font>
      <b/>
      <sz val="12"/>
      <color rgb="FF0000FF"/>
      <name val="Arial"/>
    </font>
    <font>
      <b/>
      <sz val="10"/>
      <name val="Arial"/>
    </font>
    <font>
      <sz val="10"/>
      <color theme="1"/>
      <name val="arial,sans,sans-serif"/>
    </font>
    <font>
      <b/>
      <sz val="10"/>
      <color theme="1"/>
      <name val="arial,sans,sans-serif"/>
    </font>
    <font>
      <strike/>
      <u/>
      <sz val="10"/>
      <color theme="1"/>
      <name val="arial,sans,sans-serif"/>
    </font>
    <font>
      <b/>
      <strike/>
      <u/>
      <sz val="10"/>
      <color theme="1"/>
      <name val="arial,sans,sans-serif"/>
    </font>
    <font>
      <b/>
      <strike/>
      <u/>
      <sz val="10"/>
      <color rgb="FF000000"/>
      <name val="Arial"/>
    </font>
    <font>
      <sz val="10"/>
      <color theme="1"/>
      <name val="Arial"/>
      <family val="2"/>
      <scheme val="minor"/>
    </font>
  </fonts>
  <fills count="10">
    <fill>
      <patternFill patternType="none"/>
    </fill>
    <fill>
      <patternFill patternType="gray125"/>
    </fill>
    <fill>
      <patternFill patternType="solid">
        <fgColor rgb="FFFFFF00"/>
        <bgColor rgb="FFFFFF00"/>
      </patternFill>
    </fill>
    <fill>
      <patternFill patternType="solid">
        <fgColor rgb="FF00FF00"/>
        <bgColor rgb="FF00FF00"/>
      </patternFill>
    </fill>
    <fill>
      <patternFill patternType="solid">
        <fgColor rgb="FFFFD966"/>
        <bgColor rgb="FFFFD966"/>
      </patternFill>
    </fill>
    <fill>
      <patternFill patternType="solid">
        <fgColor rgb="FFFFFFFF"/>
        <bgColor rgb="FFFFFFFF"/>
      </patternFill>
    </fill>
    <fill>
      <patternFill patternType="solid">
        <fgColor rgb="FF00FFFF"/>
        <bgColor rgb="FF00FFFF"/>
      </patternFill>
    </fill>
    <fill>
      <patternFill patternType="solid">
        <fgColor rgb="FFC27BA0"/>
        <bgColor rgb="FFC27BA0"/>
      </patternFill>
    </fill>
    <fill>
      <patternFill patternType="solid">
        <fgColor theme="9" tint="0.59999389629810485"/>
        <bgColor rgb="FFFFFF00"/>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93">
    <xf numFmtId="0" fontId="0" fillId="0" borderId="0" xfId="0"/>
    <xf numFmtId="0" fontId="1" fillId="2" borderId="0" xfId="0" applyFont="1" applyFill="1" applyAlignment="1">
      <alignment horizontal="left" vertical="center" wrapText="1"/>
    </xf>
    <xf numFmtId="0" fontId="2" fillId="0" borderId="0" xfId="0" applyFont="1" applyAlignment="1">
      <alignment wrapText="1"/>
    </xf>
    <xf numFmtId="0" fontId="3" fillId="0" borderId="0" xfId="0" applyFont="1" applyAlignment="1">
      <alignment wrapText="1"/>
    </xf>
    <xf numFmtId="0" fontId="5" fillId="4" borderId="0" xfId="0" applyFont="1" applyFill="1"/>
    <xf numFmtId="0" fontId="6" fillId="0" borderId="0" xfId="0" applyFont="1"/>
    <xf numFmtId="0" fontId="7" fillId="0" borderId="0" xfId="0" applyFont="1" applyAlignment="1">
      <alignment wrapText="1"/>
    </xf>
    <xf numFmtId="0" fontId="1" fillId="0" borderId="0" xfId="0" applyFont="1" applyAlignment="1">
      <alignment wrapText="1"/>
    </xf>
    <xf numFmtId="0" fontId="8" fillId="0" borderId="0" xfId="0" applyFont="1" applyAlignment="1">
      <alignment wrapText="1"/>
    </xf>
    <xf numFmtId="0" fontId="9" fillId="5" borderId="0" xfId="0" applyFont="1" applyFill="1" applyAlignment="1">
      <alignment horizontal="left"/>
    </xf>
    <xf numFmtId="0" fontId="10" fillId="0" borderId="0" xfId="0" applyFont="1" applyAlignment="1">
      <alignment wrapText="1"/>
    </xf>
    <xf numFmtId="0" fontId="11" fillId="5" borderId="0" xfId="0" applyFont="1" applyFill="1" applyAlignment="1">
      <alignment horizontal="left"/>
    </xf>
    <xf numFmtId="0" fontId="12" fillId="2" borderId="0" xfId="0" applyFont="1" applyFill="1" applyAlignment="1">
      <alignment horizontal="center" vertical="center"/>
    </xf>
    <xf numFmtId="0" fontId="13" fillId="2" borderId="0" xfId="0" applyFont="1" applyFill="1" applyAlignment="1">
      <alignment horizontal="center" vertical="center" wrapText="1"/>
    </xf>
    <xf numFmtId="0" fontId="14" fillId="2" borderId="0" xfId="0" applyFont="1" applyFill="1" applyAlignment="1">
      <alignment horizontal="center" vertical="center" wrapText="1"/>
    </xf>
    <xf numFmtId="0" fontId="2" fillId="0" borderId="0" xfId="0" applyFont="1" applyAlignment="1">
      <alignment horizontal="left"/>
    </xf>
    <xf numFmtId="4" fontId="12" fillId="0" borderId="0" xfId="0" applyNumberFormat="1" applyFont="1" applyAlignment="1">
      <alignment horizontal="left"/>
    </xf>
    <xf numFmtId="0" fontId="12" fillId="0" borderId="0" xfId="0" applyFont="1" applyAlignment="1">
      <alignment horizontal="center"/>
    </xf>
    <xf numFmtId="0" fontId="12" fillId="0" borderId="0" xfId="0" applyFont="1" applyAlignment="1">
      <alignment horizontal="left"/>
    </xf>
    <xf numFmtId="0" fontId="15" fillId="0" borderId="0" xfId="0" applyFont="1" applyAlignment="1">
      <alignment horizontal="left"/>
    </xf>
    <xf numFmtId="0" fontId="12" fillId="0" borderId="0" xfId="0" applyFont="1"/>
    <xf numFmtId="164" fontId="12" fillId="0" borderId="0" xfId="0" applyNumberFormat="1" applyFont="1" applyAlignment="1">
      <alignment horizontal="center"/>
    </xf>
    <xf numFmtId="0" fontId="16" fillId="0" borderId="0" xfId="0" applyFont="1" applyAlignment="1">
      <alignment horizontal="left"/>
    </xf>
    <xf numFmtId="0" fontId="2" fillId="0" borderId="0" xfId="0" applyFont="1" applyAlignment="1">
      <alignment horizontal="left" vertical="center"/>
    </xf>
    <xf numFmtId="0" fontId="2" fillId="0" borderId="0" xfId="0" applyFont="1" applyAlignment="1">
      <alignment horizontal="center"/>
    </xf>
    <xf numFmtId="0" fontId="2" fillId="0" borderId="0" xfId="0" applyFont="1"/>
    <xf numFmtId="0" fontId="17" fillId="0" borderId="0" xfId="0" applyFont="1" applyAlignment="1">
      <alignment horizontal="left"/>
    </xf>
    <xf numFmtId="4" fontId="13" fillId="0" borderId="0" xfId="0" applyNumberFormat="1" applyFont="1" applyAlignment="1">
      <alignment horizontal="left"/>
    </xf>
    <xf numFmtId="0" fontId="18" fillId="0" borderId="0" xfId="0" applyFont="1" applyAlignment="1">
      <alignment horizontal="left"/>
    </xf>
    <xf numFmtId="0" fontId="14" fillId="0" borderId="0" xfId="0" applyFont="1" applyAlignment="1">
      <alignment horizontal="left"/>
    </xf>
    <xf numFmtId="0" fontId="14" fillId="5" borderId="0" xfId="0" applyFont="1" applyFill="1" applyAlignment="1">
      <alignment horizontal="left"/>
    </xf>
    <xf numFmtId="0" fontId="13" fillId="5" borderId="0" xfId="0" applyFont="1" applyFill="1" applyAlignment="1">
      <alignment horizontal="center"/>
    </xf>
    <xf numFmtId="0" fontId="19" fillId="0" borderId="0" xfId="0" applyFont="1" applyAlignment="1">
      <alignment horizontal="left"/>
    </xf>
    <xf numFmtId="0" fontId="12" fillId="5" borderId="0" xfId="0" applyFont="1" applyFill="1" applyAlignment="1">
      <alignment horizontal="center"/>
    </xf>
    <xf numFmtId="4" fontId="12" fillId="5" borderId="0" xfId="0" applyNumberFormat="1" applyFont="1" applyFill="1" applyAlignment="1">
      <alignment horizontal="left"/>
    </xf>
    <xf numFmtId="0" fontId="2" fillId="5" borderId="0" xfId="0" applyFont="1" applyFill="1" applyAlignment="1">
      <alignment horizontal="left"/>
    </xf>
    <xf numFmtId="0" fontId="20" fillId="0" borderId="0" xfId="0" applyFont="1" applyAlignment="1">
      <alignment horizontal="left"/>
    </xf>
    <xf numFmtId="0" fontId="13" fillId="5" borderId="0" xfId="0" applyFont="1" applyFill="1" applyAlignment="1">
      <alignment horizontal="left"/>
    </xf>
    <xf numFmtId="4" fontId="14" fillId="0" borderId="0" xfId="0" applyNumberFormat="1" applyFont="1" applyAlignment="1">
      <alignment horizontal="left"/>
    </xf>
    <xf numFmtId="0" fontId="19" fillId="5" borderId="0" xfId="0" applyFont="1" applyFill="1" applyAlignment="1">
      <alignment horizontal="left"/>
    </xf>
    <xf numFmtId="0" fontId="19" fillId="5" borderId="0" xfId="0" applyFont="1" applyFill="1" applyAlignment="1">
      <alignment horizontal="center"/>
    </xf>
    <xf numFmtId="0" fontId="12" fillId="5" borderId="0" xfId="0" applyFont="1" applyFill="1" applyAlignment="1">
      <alignment horizontal="left"/>
    </xf>
    <xf numFmtId="0" fontId="13" fillId="0" borderId="0" xfId="0" applyFont="1" applyAlignment="1">
      <alignment horizontal="left"/>
    </xf>
    <xf numFmtId="0" fontId="21" fillId="0" borderId="0" xfId="0" applyFont="1" applyAlignment="1">
      <alignment horizontal="left"/>
    </xf>
    <xf numFmtId="0" fontId="22" fillId="5" borderId="0" xfId="0" applyFont="1" applyFill="1" applyAlignment="1">
      <alignment horizontal="left"/>
    </xf>
    <xf numFmtId="0" fontId="23" fillId="0" borderId="0" xfId="0" applyFont="1" applyAlignment="1">
      <alignment horizontal="left"/>
    </xf>
    <xf numFmtId="0" fontId="24" fillId="0" borderId="0" xfId="0" applyFont="1" applyAlignment="1">
      <alignment horizontal="center"/>
    </xf>
    <xf numFmtId="0" fontId="25" fillId="0" borderId="0" xfId="0" applyFont="1" applyAlignment="1">
      <alignment horizontal="left"/>
    </xf>
    <xf numFmtId="4" fontId="13" fillId="5" borderId="0" xfId="0" applyNumberFormat="1" applyFont="1" applyFill="1" applyAlignment="1">
      <alignment horizontal="left"/>
    </xf>
    <xf numFmtId="0" fontId="12" fillId="0" borderId="0" xfId="0" applyFont="1" applyAlignment="1">
      <alignment vertical="top"/>
    </xf>
    <xf numFmtId="164" fontId="12" fillId="0" borderId="0" xfId="0" applyNumberFormat="1" applyFont="1" applyAlignment="1">
      <alignment horizontal="center" vertical="top"/>
    </xf>
    <xf numFmtId="0" fontId="18" fillId="6" borderId="0" xfId="0" applyFont="1" applyFill="1" applyAlignment="1">
      <alignment horizontal="left"/>
    </xf>
    <xf numFmtId="0" fontId="18" fillId="0" borderId="0" xfId="0" applyFont="1" applyAlignment="1">
      <alignment horizontal="left" vertical="center"/>
    </xf>
    <xf numFmtId="0" fontId="2" fillId="0" borderId="0" xfId="0" applyFont="1" applyAlignment="1">
      <alignment horizontal="center" vertical="center"/>
    </xf>
    <xf numFmtId="0" fontId="14" fillId="0" borderId="0" xfId="0" applyFont="1" applyAlignment="1">
      <alignment horizontal="center"/>
    </xf>
    <xf numFmtId="0" fontId="12" fillId="7" borderId="0" xfId="0" applyFont="1" applyFill="1" applyAlignment="1">
      <alignment horizontal="left"/>
    </xf>
    <xf numFmtId="0" fontId="26" fillId="0" borderId="0" xfId="0" applyFont="1" applyAlignment="1">
      <alignment horizontal="left"/>
    </xf>
    <xf numFmtId="0" fontId="27" fillId="0" borderId="0" xfId="0" applyFont="1" applyAlignment="1">
      <alignment horizontal="center"/>
    </xf>
    <xf numFmtId="4" fontId="19" fillId="5" borderId="0" xfId="0" applyNumberFormat="1" applyFont="1" applyFill="1" applyAlignment="1">
      <alignment horizontal="left"/>
    </xf>
    <xf numFmtId="0" fontId="28" fillId="0" borderId="0" xfId="0" applyFont="1" applyAlignment="1">
      <alignment horizontal="center"/>
    </xf>
    <xf numFmtId="0" fontId="27" fillId="0" borderId="0" xfId="0" applyFont="1" applyAlignment="1">
      <alignment horizontal="left"/>
    </xf>
    <xf numFmtId="0" fontId="20" fillId="0" borderId="0" xfId="0" applyFont="1"/>
    <xf numFmtId="0" fontId="29" fillId="0" borderId="0" xfId="0" applyFont="1" applyAlignment="1">
      <alignment horizontal="center"/>
    </xf>
    <xf numFmtId="0" fontId="30" fillId="2" borderId="0" xfId="0" applyFont="1" applyFill="1" applyAlignment="1">
      <alignment horizontal="center" vertical="center"/>
    </xf>
    <xf numFmtId="0" fontId="13" fillId="2" borderId="0" xfId="0" applyFont="1" applyFill="1" applyAlignment="1">
      <alignment horizontal="center" wrapText="1"/>
    </xf>
    <xf numFmtId="4" fontId="31" fillId="0" borderId="0" xfId="0" applyNumberFormat="1" applyFont="1"/>
    <xf numFmtId="0" fontId="32" fillId="0" borderId="0" xfId="0" applyFont="1" applyAlignment="1">
      <alignment horizontal="center"/>
    </xf>
    <xf numFmtId="0" fontId="33" fillId="0" borderId="0" xfId="0" applyFont="1" applyAlignment="1">
      <alignment horizontal="center" vertical="center"/>
    </xf>
    <xf numFmtId="0" fontId="34" fillId="0" borderId="0" xfId="0" applyFont="1" applyAlignment="1">
      <alignment horizontal="left" vertical="center"/>
    </xf>
    <xf numFmtId="4" fontId="12" fillId="0" borderId="0" xfId="0" applyNumberFormat="1" applyFont="1"/>
    <xf numFmtId="0" fontId="35" fillId="5" borderId="0" xfId="0" applyFont="1" applyFill="1" applyAlignment="1">
      <alignment horizontal="left"/>
    </xf>
    <xf numFmtId="0" fontId="36" fillId="0" borderId="0" xfId="0" applyFont="1" applyAlignment="1">
      <alignment horizontal="center"/>
    </xf>
    <xf numFmtId="0" fontId="37" fillId="0" borderId="0" xfId="0" applyFont="1" applyAlignment="1">
      <alignment horizontal="center"/>
    </xf>
    <xf numFmtId="0" fontId="38" fillId="0" borderId="0" xfId="0" applyFont="1" applyAlignment="1">
      <alignment horizontal="left"/>
    </xf>
    <xf numFmtId="0" fontId="39" fillId="0" borderId="0" xfId="0" applyFont="1"/>
    <xf numFmtId="0" fontId="13" fillId="5" borderId="0" xfId="0" applyFont="1" applyFill="1"/>
    <xf numFmtId="0" fontId="40" fillId="0" borderId="0" xfId="0" applyFont="1"/>
    <xf numFmtId="0" fontId="41" fillId="0" borderId="0" xfId="0" applyFont="1" applyAlignment="1">
      <alignment horizontal="center"/>
    </xf>
    <xf numFmtId="0" fontId="42" fillId="0" borderId="0" xfId="0" applyFont="1" applyAlignment="1">
      <alignment horizontal="center"/>
    </xf>
    <xf numFmtId="0" fontId="43" fillId="0" borderId="0" xfId="0" applyFont="1" applyAlignment="1">
      <alignment horizontal="center"/>
    </xf>
    <xf numFmtId="0" fontId="44" fillId="0" borderId="0" xfId="0" applyFont="1" applyAlignment="1">
      <alignment horizontal="center"/>
    </xf>
    <xf numFmtId="0" fontId="45" fillId="0" borderId="0" xfId="0" applyFont="1" applyAlignment="1">
      <alignment horizontal="center"/>
    </xf>
    <xf numFmtId="0" fontId="46" fillId="2" borderId="0" xfId="0" applyFont="1" applyFill="1" applyAlignment="1">
      <alignment horizontal="center" vertical="center" wrapText="1"/>
    </xf>
    <xf numFmtId="4" fontId="47" fillId="0" borderId="0" xfId="0" applyNumberFormat="1" applyFont="1"/>
    <xf numFmtId="49" fontId="12" fillId="2" borderId="0" xfId="0" applyNumberFormat="1" applyFont="1" applyFill="1" applyAlignment="1">
      <alignment horizontal="left"/>
    </xf>
    <xf numFmtId="49" fontId="12" fillId="0" borderId="0" xfId="0" applyNumberFormat="1" applyFont="1" applyAlignment="1">
      <alignment horizontal="left"/>
    </xf>
    <xf numFmtId="0" fontId="4" fillId="3" borderId="0" xfId="0" applyFont="1" applyFill="1" applyAlignment="1">
      <alignment wrapText="1"/>
    </xf>
    <xf numFmtId="0" fontId="0" fillId="0" borderId="0" xfId="0"/>
    <xf numFmtId="164" fontId="57" fillId="8" borderId="0" xfId="0" applyNumberFormat="1" applyFont="1" applyFill="1" applyAlignment="1">
      <alignment horizontal="center" vertical="center" wrapText="1"/>
    </xf>
    <xf numFmtId="164" fontId="2" fillId="8" borderId="0" xfId="0" applyNumberFormat="1" applyFont="1" applyFill="1" applyAlignment="1">
      <alignment horizontal="center" vertical="center" wrapText="1"/>
    </xf>
    <xf numFmtId="0" fontId="2" fillId="8" borderId="0" xfId="0" applyFont="1" applyFill="1" applyAlignment="1">
      <alignment horizontal="center" vertical="center" wrapText="1"/>
    </xf>
    <xf numFmtId="0" fontId="2" fillId="8" borderId="0" xfId="0" applyFont="1" applyFill="1" applyAlignment="1">
      <alignment horizontal="left" vertical="center" wrapText="1"/>
    </xf>
    <xf numFmtId="0" fontId="0" fillId="9"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codeforces.com/blog/entry/59131" TargetMode="External"/><Relationship Id="rId13" Type="http://schemas.openxmlformats.org/officeDocument/2006/relationships/hyperlink" Target="https://codeforces.com/blog/entry/65133" TargetMode="External"/><Relationship Id="rId3" Type="http://schemas.openxmlformats.org/officeDocument/2006/relationships/hyperlink" Target="https://bit.ly/36XvLlN" TargetMode="External"/><Relationship Id="rId7" Type="http://schemas.openxmlformats.org/officeDocument/2006/relationships/hyperlink" Target="http://bit.ly/3o9vkw9" TargetMode="External"/><Relationship Id="rId12" Type="http://schemas.openxmlformats.org/officeDocument/2006/relationships/hyperlink" Target="https://codeforces.com/blog/entry/64216" TargetMode="External"/><Relationship Id="rId17" Type="http://schemas.openxmlformats.org/officeDocument/2006/relationships/hyperlink" Target="https://sites.google.com/site/mostafasibrahim/programming-competitions/achievements" TargetMode="External"/><Relationship Id="rId2" Type="http://schemas.openxmlformats.org/officeDocument/2006/relationships/hyperlink" Target="https://bit.ly/3lJ2SiL" TargetMode="External"/><Relationship Id="rId16" Type="http://schemas.openxmlformats.org/officeDocument/2006/relationships/hyperlink" Target="https://bit.ly/2V4G3eS" TargetMode="External"/><Relationship Id="rId1" Type="http://schemas.openxmlformats.org/officeDocument/2006/relationships/hyperlink" Target="https://bit.ly/37MSCjV" TargetMode="External"/><Relationship Id="rId6" Type="http://schemas.openxmlformats.org/officeDocument/2006/relationships/hyperlink" Target="http://bit.ly/3o9vkw9" TargetMode="External"/><Relationship Id="rId11" Type="http://schemas.openxmlformats.org/officeDocument/2006/relationships/hyperlink" Target="https://github.com/mostafa-saad/ArabicCompetitiveProgramming" TargetMode="External"/><Relationship Id="rId5" Type="http://schemas.openxmlformats.org/officeDocument/2006/relationships/hyperlink" Target="http://bit.ly/3o9vkw9" TargetMode="External"/><Relationship Id="rId15" Type="http://schemas.openxmlformats.org/officeDocument/2006/relationships/hyperlink" Target="https://codeforces.com/blog/entry/72140" TargetMode="External"/><Relationship Id="rId10" Type="http://schemas.openxmlformats.org/officeDocument/2006/relationships/hyperlink" Target="https://www.youtube.com/user/nobody123497/playlists" TargetMode="External"/><Relationship Id="rId4" Type="http://schemas.openxmlformats.org/officeDocument/2006/relationships/hyperlink" Target="https://bit.ly/3lJ2SiL" TargetMode="External"/><Relationship Id="rId9" Type="http://schemas.openxmlformats.org/officeDocument/2006/relationships/hyperlink" Target="https://bit.ly/2V4G3eS" TargetMode="External"/><Relationship Id="rId14" Type="http://schemas.openxmlformats.org/officeDocument/2006/relationships/hyperlink" Target="https://bit.ly/37NQWXJ"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acm.hdu.edu.cn/showproblem.php?pid=5213" TargetMode="External"/><Relationship Id="rId3" Type="http://schemas.openxmlformats.org/officeDocument/2006/relationships/hyperlink" Target="https://codeforces.com/gym/102394" TargetMode="External"/><Relationship Id="rId7" Type="http://schemas.openxmlformats.org/officeDocument/2006/relationships/hyperlink" Target="http://acm.hdu.edu.cn/showproblem.php?pid=5145" TargetMode="External"/><Relationship Id="rId2" Type="http://schemas.openxmlformats.org/officeDocument/2006/relationships/hyperlink" Target="https://codeforces.com/gym/102394" TargetMode="External"/><Relationship Id="rId1" Type="http://schemas.openxmlformats.org/officeDocument/2006/relationships/hyperlink" Target="https://github.com/nya-nya-meow/CompetitiveProgramming/blob/master/Kattis/bipartitebattle.cpp" TargetMode="External"/><Relationship Id="rId6" Type="http://schemas.openxmlformats.org/officeDocument/2006/relationships/hyperlink" Target="http://acm.hdu.edu.cn/showproblem.php?pid=4638" TargetMode="External"/><Relationship Id="rId11" Type="http://schemas.openxmlformats.org/officeDocument/2006/relationships/comments" Target="../comments1.xml"/><Relationship Id="rId5" Type="http://schemas.openxmlformats.org/officeDocument/2006/relationships/hyperlink" Target="http://acm.hdu.edu.cn/showproblem.php?pid=4358" TargetMode="External"/><Relationship Id="rId10" Type="http://schemas.openxmlformats.org/officeDocument/2006/relationships/vmlDrawing" Target="../drawings/vmlDrawing1.vml"/><Relationship Id="rId4" Type="http://schemas.openxmlformats.org/officeDocument/2006/relationships/hyperlink" Target="http://www.spoj.pl/problems/SPRING/" TargetMode="External"/><Relationship Id="rId9" Type="http://schemas.openxmlformats.org/officeDocument/2006/relationships/hyperlink" Target="http://acm.hdu.edu.cn/showproblem.php?pid=5381"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deforces.com/gym/102394" TargetMode="External"/><Relationship Id="rId3" Type="http://schemas.openxmlformats.org/officeDocument/2006/relationships/hyperlink" Target="http://acm.hdu.edu.cn/showproblem.php?pid=4638" TargetMode="External"/><Relationship Id="rId7" Type="http://schemas.openxmlformats.org/officeDocument/2006/relationships/hyperlink" Target="https://codeforces.com/gym/102394" TargetMode="External"/><Relationship Id="rId2" Type="http://schemas.openxmlformats.org/officeDocument/2006/relationships/hyperlink" Target="http://acm.hdu.edu.cn/showproblem.php?pid=4358" TargetMode="External"/><Relationship Id="rId1" Type="http://schemas.openxmlformats.org/officeDocument/2006/relationships/hyperlink" Target="http://www.spoj.pl/problems/SPRING/" TargetMode="External"/><Relationship Id="rId6" Type="http://schemas.openxmlformats.org/officeDocument/2006/relationships/hyperlink" Target="http://acm.hdu.edu.cn/showproblem.php?pid=5381" TargetMode="External"/><Relationship Id="rId5" Type="http://schemas.openxmlformats.org/officeDocument/2006/relationships/hyperlink" Target="http://acm.hdu.edu.cn/showproblem.php?pid=5213" TargetMode="External"/><Relationship Id="rId10" Type="http://schemas.openxmlformats.org/officeDocument/2006/relationships/comments" Target="../comments2.xml"/><Relationship Id="rId4" Type="http://schemas.openxmlformats.org/officeDocument/2006/relationships/hyperlink" Target="http://acm.hdu.edu.cn/showproblem.php?pid=5145" TargetMode="External"/><Relationship Id="rId9"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ioi.contest.codeforces.com/group/32KGsXgiKA/blog" TargetMode="External"/></Relationships>
</file>

<file path=xl/worksheets/_rels/sheet5.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oj.uz/problem/view/COCI20_skandi" TargetMode="External"/><Relationship Id="rId7" Type="http://schemas.openxmlformats.org/officeDocument/2006/relationships/vmlDrawing" Target="../drawings/vmlDrawing4.vml"/><Relationship Id="rId2" Type="http://schemas.openxmlformats.org/officeDocument/2006/relationships/hyperlink" Target="https://oj.uz/problem/view/COCI20_nivelle" TargetMode="External"/><Relationship Id="rId1" Type="http://schemas.openxmlformats.org/officeDocument/2006/relationships/hyperlink" Target="https://ioi.contest.codeforces.com/group/32KGsXgiKA/blog" TargetMode="External"/><Relationship Id="rId6" Type="http://schemas.openxmlformats.org/officeDocument/2006/relationships/hyperlink" Target="https://oj.uz/problem/view/COCI20_birmingham" TargetMode="External"/><Relationship Id="rId5" Type="http://schemas.openxmlformats.org/officeDocument/2006/relationships/hyperlink" Target="https://oj.uz/problem/view/COCI20_emacs" TargetMode="External"/><Relationship Id="rId4" Type="http://schemas.openxmlformats.org/officeDocument/2006/relationships/hyperlink" Target="https://oj.uz/problem/view/COCI20_trener"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12"/>
  <sheetViews>
    <sheetView topLeftCell="A19" zoomScale="152" workbookViewId="0">
      <selection activeCell="B27" sqref="B27"/>
    </sheetView>
  </sheetViews>
  <sheetFormatPr defaultColWidth="12.6640625" defaultRowHeight="15.75" customHeight="1"/>
  <cols>
    <col min="1" max="1" width="32.109375" customWidth="1"/>
    <col min="2" max="2" width="112" customWidth="1"/>
  </cols>
  <sheetData>
    <row r="1" spans="1:2" ht="79.2">
      <c r="A1" s="1" t="s">
        <v>0</v>
      </c>
      <c r="B1" s="2" t="s">
        <v>1</v>
      </c>
    </row>
    <row r="2" spans="1:2" ht="13.2">
      <c r="A2" s="1"/>
      <c r="B2" s="3" t="s">
        <v>2</v>
      </c>
    </row>
    <row r="3" spans="1:2" ht="66">
      <c r="A3" s="1" t="s">
        <v>3</v>
      </c>
      <c r="B3" s="2" t="s">
        <v>4</v>
      </c>
    </row>
    <row r="4" spans="1:2" ht="13.2">
      <c r="A4" s="1"/>
      <c r="B4" s="2"/>
    </row>
    <row r="5" spans="1:2" ht="15.75" customHeight="1">
      <c r="A5" s="86" t="s">
        <v>5</v>
      </c>
      <c r="B5" s="4" t="s">
        <v>6</v>
      </c>
    </row>
    <row r="6" spans="1:2" ht="15.75" customHeight="1">
      <c r="A6" s="87"/>
      <c r="B6" s="5" t="s">
        <v>7</v>
      </c>
    </row>
    <row r="7" spans="1:2" ht="15.75" customHeight="1">
      <c r="A7" s="87"/>
      <c r="B7" s="5" t="s">
        <v>8</v>
      </c>
    </row>
    <row r="8" spans="1:2" ht="15.75" customHeight="1">
      <c r="A8" s="87"/>
      <c r="B8" s="5" t="s">
        <v>9</v>
      </c>
    </row>
    <row r="9" spans="1:2" ht="15.75" customHeight="1">
      <c r="A9" s="87"/>
      <c r="B9" s="5" t="s">
        <v>10</v>
      </c>
    </row>
    <row r="10" spans="1:2" ht="15.75" customHeight="1">
      <c r="A10" s="87"/>
      <c r="B10" s="5" t="s">
        <v>11</v>
      </c>
    </row>
    <row r="11" spans="1:2" ht="79.2">
      <c r="A11" s="1" t="s">
        <v>12</v>
      </c>
      <c r="B11" s="6" t="s">
        <v>13</v>
      </c>
    </row>
    <row r="12" spans="1:2" ht="13.2">
      <c r="A12" s="1"/>
      <c r="B12" s="2"/>
    </row>
    <row r="13" spans="1:2" ht="250.8">
      <c r="A13" s="1" t="s">
        <v>14</v>
      </c>
      <c r="B13" s="6" t="s">
        <v>15</v>
      </c>
    </row>
    <row r="14" spans="1:2" ht="13.8" customHeight="1">
      <c r="A14" s="1"/>
      <c r="B14" s="2"/>
    </row>
    <row r="15" spans="1:2" ht="237.6">
      <c r="A15" s="1" t="s">
        <v>16</v>
      </c>
      <c r="B15" s="2" t="s">
        <v>17</v>
      </c>
    </row>
    <row r="16" spans="1:2" ht="132">
      <c r="A16" s="1" t="s">
        <v>18</v>
      </c>
      <c r="B16" s="2" t="s">
        <v>19</v>
      </c>
    </row>
    <row r="17" spans="1:2" ht="26.4">
      <c r="A17" s="1" t="s">
        <v>20</v>
      </c>
      <c r="B17" s="2" t="s">
        <v>21</v>
      </c>
    </row>
    <row r="18" spans="1:2" ht="303.60000000000002">
      <c r="A18" s="1" t="s">
        <v>22</v>
      </c>
      <c r="B18" s="2" t="s">
        <v>23</v>
      </c>
    </row>
    <row r="19" spans="1:2" ht="66">
      <c r="A19" s="1" t="s">
        <v>24</v>
      </c>
      <c r="B19" s="2" t="s">
        <v>25</v>
      </c>
    </row>
    <row r="20" spans="1:2" ht="13.2">
      <c r="A20" s="1"/>
      <c r="B20" s="2"/>
    </row>
    <row r="21" spans="1:2" ht="13.2">
      <c r="A21" s="1"/>
      <c r="B21" s="7" t="s">
        <v>26</v>
      </c>
    </row>
    <row r="22" spans="1:2" ht="13.2">
      <c r="A22" s="1"/>
      <c r="B22" s="8" t="s">
        <v>27</v>
      </c>
    </row>
    <row r="23" spans="1:2" ht="13.2">
      <c r="A23" s="1"/>
      <c r="B23" s="8" t="s">
        <v>28</v>
      </c>
    </row>
    <row r="24" spans="1:2" ht="13.2">
      <c r="A24" s="1"/>
      <c r="B24" s="8" t="s">
        <v>29</v>
      </c>
    </row>
    <row r="25" spans="1:2" ht="13.2">
      <c r="A25" s="1"/>
      <c r="B25" s="8" t="s">
        <v>30</v>
      </c>
    </row>
    <row r="26" spans="1:2" ht="13.2">
      <c r="A26" s="1"/>
      <c r="B26" s="3" t="s">
        <v>31</v>
      </c>
    </row>
    <row r="27" spans="1:2" ht="13.2">
      <c r="A27" s="1"/>
      <c r="B27" s="3" t="s">
        <v>32</v>
      </c>
    </row>
    <row r="28" spans="1:2" ht="13.2">
      <c r="A28" s="1"/>
      <c r="B28" s="3" t="s">
        <v>33</v>
      </c>
    </row>
    <row r="29" spans="1:2" ht="13.2">
      <c r="A29" s="1"/>
      <c r="B29" s="8" t="s">
        <v>34</v>
      </c>
    </row>
    <row r="30" spans="1:2" ht="13.2">
      <c r="A30" s="1"/>
      <c r="B30" s="8"/>
    </row>
    <row r="31" spans="1:2" ht="26.4">
      <c r="A31" s="1"/>
      <c r="B31" s="7" t="s">
        <v>35</v>
      </c>
    </row>
    <row r="32" spans="1:2" ht="13.2">
      <c r="A32" s="1"/>
      <c r="B32" s="9" t="s">
        <v>36</v>
      </c>
    </row>
    <row r="33" spans="1:2" ht="13.2">
      <c r="A33" s="1"/>
      <c r="B33" s="9"/>
    </row>
    <row r="34" spans="1:2" ht="13.2">
      <c r="A34" s="1"/>
      <c r="B34" s="9" t="s">
        <v>37</v>
      </c>
    </row>
    <row r="35" spans="1:2" ht="13.2">
      <c r="A35" s="1"/>
      <c r="B35" s="10" t="s">
        <v>38</v>
      </c>
    </row>
    <row r="36" spans="1:2" ht="13.2">
      <c r="A36" s="1"/>
      <c r="B36" s="10" t="s">
        <v>39</v>
      </c>
    </row>
    <row r="37" spans="1:2" ht="13.2">
      <c r="A37" s="1"/>
      <c r="B37" s="10" t="s">
        <v>40</v>
      </c>
    </row>
    <row r="38" spans="1:2" ht="13.2">
      <c r="A38" s="1"/>
      <c r="B38" s="10" t="s">
        <v>41</v>
      </c>
    </row>
    <row r="39" spans="1:2" ht="13.2">
      <c r="A39" s="1"/>
      <c r="B39" s="10" t="s">
        <v>42</v>
      </c>
    </row>
    <row r="40" spans="1:2" ht="13.2">
      <c r="A40" s="1"/>
      <c r="B40" s="10" t="s">
        <v>43</v>
      </c>
    </row>
    <row r="41" spans="1:2" ht="13.2">
      <c r="A41" s="1"/>
      <c r="B41" s="10" t="s">
        <v>44</v>
      </c>
    </row>
    <row r="42" spans="1:2" ht="13.2">
      <c r="A42" s="1"/>
      <c r="B42" s="10" t="s">
        <v>45</v>
      </c>
    </row>
    <row r="43" spans="1:2" ht="13.2">
      <c r="A43" s="1"/>
      <c r="B43" s="10" t="s">
        <v>46</v>
      </c>
    </row>
    <row r="44" spans="1:2" ht="13.2">
      <c r="A44" s="1"/>
      <c r="B44" s="10" t="s">
        <v>47</v>
      </c>
    </row>
    <row r="45" spans="1:2" ht="13.2">
      <c r="A45" s="1"/>
      <c r="B45" s="10" t="s">
        <v>48</v>
      </c>
    </row>
    <row r="46" spans="1:2" ht="13.2">
      <c r="A46" s="1"/>
      <c r="B46" s="10" t="s">
        <v>49</v>
      </c>
    </row>
    <row r="47" spans="1:2" ht="13.2">
      <c r="A47" s="1"/>
      <c r="B47" s="10" t="s">
        <v>50</v>
      </c>
    </row>
    <row r="48" spans="1:2" ht="13.2">
      <c r="A48" s="1"/>
      <c r="B48" s="10" t="s">
        <v>51</v>
      </c>
    </row>
    <row r="49" spans="1:2" ht="13.2">
      <c r="A49" s="1"/>
      <c r="B49" s="10" t="s">
        <v>52</v>
      </c>
    </row>
    <row r="50" spans="1:2" ht="13.2">
      <c r="A50" s="1"/>
      <c r="B50" s="10" t="s">
        <v>53</v>
      </c>
    </row>
    <row r="51" spans="1:2" ht="13.2">
      <c r="A51" s="1"/>
      <c r="B51" s="10" t="s">
        <v>54</v>
      </c>
    </row>
    <row r="52" spans="1:2" ht="13.2">
      <c r="A52" s="1"/>
      <c r="B52" s="10" t="s">
        <v>55</v>
      </c>
    </row>
    <row r="53" spans="1:2" ht="13.2">
      <c r="A53" s="1"/>
      <c r="B53" s="10" t="s">
        <v>56</v>
      </c>
    </row>
    <row r="54" spans="1:2" ht="13.2">
      <c r="A54" s="1"/>
      <c r="B54" s="10" t="s">
        <v>57</v>
      </c>
    </row>
    <row r="55" spans="1:2" ht="13.2">
      <c r="A55" s="1"/>
      <c r="B55" s="10" t="s">
        <v>58</v>
      </c>
    </row>
    <row r="56" spans="1:2" ht="13.2">
      <c r="A56" s="1"/>
      <c r="B56" s="10" t="s">
        <v>59</v>
      </c>
    </row>
    <row r="57" spans="1:2" ht="13.2">
      <c r="A57" s="1"/>
      <c r="B57" s="10" t="s">
        <v>60</v>
      </c>
    </row>
    <row r="58" spans="1:2" ht="13.2">
      <c r="A58" s="1"/>
      <c r="B58" s="10" t="s">
        <v>61</v>
      </c>
    </row>
    <row r="59" spans="1:2" ht="13.2">
      <c r="A59" s="1"/>
      <c r="B59" s="10" t="s">
        <v>62</v>
      </c>
    </row>
    <row r="60" spans="1:2" ht="13.2">
      <c r="A60" s="1"/>
      <c r="B60" s="10" t="s">
        <v>63</v>
      </c>
    </row>
    <row r="61" spans="1:2" ht="13.2">
      <c r="A61" s="1"/>
      <c r="B61" s="10" t="s">
        <v>64</v>
      </c>
    </row>
    <row r="62" spans="1:2" ht="13.2">
      <c r="A62" s="1"/>
      <c r="B62" s="10" t="s">
        <v>65</v>
      </c>
    </row>
    <row r="63" spans="1:2" ht="13.2">
      <c r="A63" s="1"/>
      <c r="B63" s="10" t="s">
        <v>66</v>
      </c>
    </row>
    <row r="64" spans="1:2" ht="13.2">
      <c r="A64" s="1"/>
      <c r="B64" s="10" t="s">
        <v>67</v>
      </c>
    </row>
    <row r="65" spans="1:2" ht="13.2">
      <c r="A65" s="1"/>
      <c r="B65" s="10" t="s">
        <v>68</v>
      </c>
    </row>
    <row r="66" spans="1:2" ht="13.2">
      <c r="A66" s="1"/>
      <c r="B66" s="10" t="s">
        <v>69</v>
      </c>
    </row>
    <row r="67" spans="1:2" ht="13.2">
      <c r="A67" s="1"/>
      <c r="B67" s="10" t="s">
        <v>70</v>
      </c>
    </row>
    <row r="68" spans="1:2" ht="13.2">
      <c r="A68" s="1"/>
      <c r="B68" s="10" t="s">
        <v>71</v>
      </c>
    </row>
    <row r="69" spans="1:2" ht="13.2">
      <c r="A69" s="1"/>
      <c r="B69" s="10" t="s">
        <v>72</v>
      </c>
    </row>
    <row r="70" spans="1:2" ht="13.2">
      <c r="A70" s="1"/>
      <c r="B70" s="10" t="s">
        <v>73</v>
      </c>
    </row>
    <row r="71" spans="1:2" ht="13.2">
      <c r="A71" s="1"/>
      <c r="B71" s="10" t="s">
        <v>74</v>
      </c>
    </row>
    <row r="72" spans="1:2" ht="13.2">
      <c r="A72" s="1"/>
      <c r="B72" s="10" t="s">
        <v>75</v>
      </c>
    </row>
    <row r="73" spans="1:2" ht="13.2">
      <c r="A73" s="1"/>
      <c r="B73" s="10" t="s">
        <v>76</v>
      </c>
    </row>
    <row r="74" spans="1:2" ht="13.2">
      <c r="A74" s="1"/>
      <c r="B74" s="10" t="s">
        <v>77</v>
      </c>
    </row>
    <row r="75" spans="1:2" ht="13.2">
      <c r="A75" s="1"/>
      <c r="B75" s="10" t="s">
        <v>78</v>
      </c>
    </row>
    <row r="76" spans="1:2" ht="13.2">
      <c r="A76" s="1"/>
      <c r="B76" s="10" t="s">
        <v>79</v>
      </c>
    </row>
    <row r="77" spans="1:2" ht="13.2">
      <c r="A77" s="1"/>
      <c r="B77" s="10" t="s">
        <v>80</v>
      </c>
    </row>
    <row r="78" spans="1:2" ht="13.2">
      <c r="A78" s="1"/>
      <c r="B78" s="10" t="s">
        <v>81</v>
      </c>
    </row>
    <row r="79" spans="1:2" ht="13.2">
      <c r="A79" s="1"/>
      <c r="B79" s="10" t="s">
        <v>82</v>
      </c>
    </row>
    <row r="80" spans="1:2" ht="13.2">
      <c r="A80" s="1"/>
      <c r="B80" s="10" t="s">
        <v>83</v>
      </c>
    </row>
    <row r="81" spans="1:2" ht="13.2">
      <c r="A81" s="1"/>
      <c r="B81" s="10" t="s">
        <v>84</v>
      </c>
    </row>
    <row r="82" spans="1:2" ht="13.2">
      <c r="A82" s="1"/>
      <c r="B82" s="10" t="s">
        <v>85</v>
      </c>
    </row>
    <row r="83" spans="1:2" ht="13.2">
      <c r="A83" s="1"/>
      <c r="B83" s="10" t="s">
        <v>86</v>
      </c>
    </row>
    <row r="84" spans="1:2" ht="13.2">
      <c r="A84" s="1"/>
      <c r="B84" s="10" t="s">
        <v>87</v>
      </c>
    </row>
    <row r="85" spans="1:2" ht="13.2">
      <c r="A85" s="1"/>
      <c r="B85" s="10" t="s">
        <v>88</v>
      </c>
    </row>
    <row r="86" spans="1:2" ht="13.2">
      <c r="A86" s="1"/>
      <c r="B86" s="10" t="s">
        <v>89</v>
      </c>
    </row>
    <row r="87" spans="1:2" ht="13.2">
      <c r="A87" s="1"/>
      <c r="B87" s="10" t="s">
        <v>90</v>
      </c>
    </row>
    <row r="88" spans="1:2" ht="13.2">
      <c r="A88" s="1"/>
      <c r="B88" s="10" t="s">
        <v>91</v>
      </c>
    </row>
    <row r="89" spans="1:2" ht="13.2">
      <c r="A89" s="1"/>
      <c r="B89" s="10" t="s">
        <v>92</v>
      </c>
    </row>
    <row r="90" spans="1:2" ht="13.2">
      <c r="A90" s="1"/>
      <c r="B90" s="10" t="s">
        <v>93</v>
      </c>
    </row>
    <row r="91" spans="1:2" ht="13.2">
      <c r="A91" s="1"/>
      <c r="B91" s="10" t="s">
        <v>94</v>
      </c>
    </row>
    <row r="92" spans="1:2" ht="13.2">
      <c r="A92" s="1"/>
      <c r="B92" s="10" t="s">
        <v>95</v>
      </c>
    </row>
    <row r="93" spans="1:2" ht="13.2">
      <c r="A93" s="1"/>
      <c r="B93" s="10" t="s">
        <v>96</v>
      </c>
    </row>
    <row r="94" spans="1:2" ht="13.2">
      <c r="A94" s="1"/>
      <c r="B94" s="10" t="s">
        <v>97</v>
      </c>
    </row>
    <row r="95" spans="1:2" ht="13.2">
      <c r="A95" s="1"/>
      <c r="B95" s="10" t="s">
        <v>98</v>
      </c>
    </row>
    <row r="96" spans="1:2" ht="13.2">
      <c r="A96" s="1"/>
      <c r="B96" s="10" t="s">
        <v>99</v>
      </c>
    </row>
    <row r="97" spans="1:2" ht="13.2">
      <c r="A97" s="1"/>
      <c r="B97" s="10" t="s">
        <v>100</v>
      </c>
    </row>
    <row r="98" spans="1:2" ht="13.2">
      <c r="A98" s="1"/>
      <c r="B98" s="10" t="s">
        <v>101</v>
      </c>
    </row>
    <row r="99" spans="1:2" ht="13.2">
      <c r="A99" s="1"/>
      <c r="B99" s="10" t="s">
        <v>102</v>
      </c>
    </row>
    <row r="100" spans="1:2" ht="13.2">
      <c r="A100" s="1"/>
      <c r="B100" s="10" t="s">
        <v>103</v>
      </c>
    </row>
    <row r="101" spans="1:2" ht="13.2">
      <c r="A101" s="1"/>
      <c r="B101" s="10" t="s">
        <v>104</v>
      </c>
    </row>
    <row r="102" spans="1:2" ht="13.2">
      <c r="A102" s="1"/>
      <c r="B102" s="10" t="s">
        <v>105</v>
      </c>
    </row>
    <row r="103" spans="1:2" ht="13.2">
      <c r="A103" s="1"/>
      <c r="B103" s="10" t="s">
        <v>106</v>
      </c>
    </row>
    <row r="104" spans="1:2" ht="13.2">
      <c r="A104" s="1"/>
      <c r="B104" s="10" t="s">
        <v>107</v>
      </c>
    </row>
    <row r="105" spans="1:2" ht="13.2">
      <c r="A105" s="1"/>
      <c r="B105" s="10" t="s">
        <v>108</v>
      </c>
    </row>
    <row r="106" spans="1:2" ht="13.2">
      <c r="A106" s="1"/>
      <c r="B106" s="10" t="s">
        <v>109</v>
      </c>
    </row>
    <row r="107" spans="1:2" ht="13.2">
      <c r="A107" s="1"/>
      <c r="B107" s="11"/>
    </row>
    <row r="108" spans="1:2" ht="13.2">
      <c r="A108" s="1"/>
      <c r="B108" s="11" t="s">
        <v>110</v>
      </c>
    </row>
    <row r="109" spans="1:2" ht="13.2">
      <c r="A109" s="1"/>
      <c r="B109" s="10" t="s">
        <v>111</v>
      </c>
    </row>
    <row r="110" spans="1:2" ht="13.2">
      <c r="A110" s="1"/>
      <c r="B110" s="10" t="s">
        <v>112</v>
      </c>
    </row>
    <row r="111" spans="1:2" ht="13.2">
      <c r="A111" s="1"/>
      <c r="B111" s="10" t="s">
        <v>113</v>
      </c>
    </row>
    <row r="112" spans="1:2" ht="26.4">
      <c r="A112" s="1"/>
      <c r="B112" s="10" t="s">
        <v>114</v>
      </c>
    </row>
  </sheetData>
  <mergeCells count="1">
    <mergeCell ref="A5:A10"/>
  </mergeCells>
  <hyperlinks>
    <hyperlink ref="B2" r:id="rId1" xr:uid="{00000000-0004-0000-0000-000000000000}"/>
    <hyperlink ref="B5" r:id="rId2" xr:uid="{00000000-0004-0000-0000-000001000000}"/>
    <hyperlink ref="B6" r:id="rId3" xr:uid="{00000000-0004-0000-0000-000002000000}"/>
    <hyperlink ref="B7" r:id="rId4" xr:uid="{00000000-0004-0000-0000-000003000000}"/>
    <hyperlink ref="B8" r:id="rId5" xr:uid="{00000000-0004-0000-0000-000004000000}"/>
    <hyperlink ref="B9" r:id="rId6" xr:uid="{00000000-0004-0000-0000-000005000000}"/>
    <hyperlink ref="B10" r:id="rId7" xr:uid="{00000000-0004-0000-0000-000006000000}"/>
    <hyperlink ref="B11" r:id="rId8" xr:uid="{00000000-0004-0000-0000-000007000000}"/>
    <hyperlink ref="B13" r:id="rId9" xr:uid="{00000000-0004-0000-0000-000008000000}"/>
    <hyperlink ref="B22" r:id="rId10" xr:uid="{00000000-0004-0000-0000-000009000000}"/>
    <hyperlink ref="B23" r:id="rId11" xr:uid="{00000000-0004-0000-0000-00000A000000}"/>
    <hyperlink ref="B24" r:id="rId12" xr:uid="{00000000-0004-0000-0000-00000B000000}"/>
    <hyperlink ref="B25" r:id="rId13" xr:uid="{00000000-0004-0000-0000-00000C000000}"/>
    <hyperlink ref="B26" r:id="rId14" xr:uid="{00000000-0004-0000-0000-00000D000000}"/>
    <hyperlink ref="B27" r:id="rId15" xr:uid="{00000000-0004-0000-0000-00000E000000}"/>
    <hyperlink ref="B28" r:id="rId16" xr:uid="{00000000-0004-0000-0000-00000F000000}"/>
    <hyperlink ref="B29" r:id="rId17" xr:uid="{00000000-0004-0000-0000-00001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5712"/>
  <sheetViews>
    <sheetView zoomScale="148" workbookViewId="0">
      <pane xSplit="1" ySplit="1" topLeftCell="B2" activePane="bottomRight" state="frozen"/>
      <selection pane="topRight" activeCell="B1" sqref="B1"/>
      <selection pane="bottomLeft" activeCell="A2" sqref="A2"/>
      <selection pane="bottomRight" activeCell="E7" sqref="E7"/>
    </sheetView>
  </sheetViews>
  <sheetFormatPr defaultColWidth="12.6640625" defaultRowHeight="15.75" customHeight="1"/>
  <cols>
    <col min="1" max="1" width="30.21875" customWidth="1"/>
    <col min="2" max="2" width="59.6640625" customWidth="1"/>
    <col min="3" max="3" width="6.77734375" customWidth="1"/>
    <col min="4" max="4" width="6.88671875" customWidth="1"/>
    <col min="5" max="5" width="9.88671875" customWidth="1"/>
    <col min="6" max="6" width="15.77734375" customWidth="1"/>
    <col min="7" max="7" width="5" customWidth="1"/>
    <col min="8" max="8" width="8.6640625" customWidth="1"/>
  </cols>
  <sheetData>
    <row r="1" spans="1:8" ht="39.6">
      <c r="A1" s="12" t="s">
        <v>115</v>
      </c>
      <c r="B1" s="12" t="s">
        <v>116</v>
      </c>
      <c r="C1" s="12" t="s">
        <v>117</v>
      </c>
      <c r="D1" s="12" t="s">
        <v>118</v>
      </c>
      <c r="E1" s="13" t="s">
        <v>119</v>
      </c>
      <c r="F1" s="14" t="s">
        <v>120</v>
      </c>
      <c r="G1" s="14" t="s">
        <v>121</v>
      </c>
      <c r="H1" s="14" t="s">
        <v>122</v>
      </c>
    </row>
    <row r="2" spans="1:8" ht="13.2">
      <c r="A2" s="15" t="s">
        <v>123</v>
      </c>
      <c r="B2" s="16" t="s">
        <v>124</v>
      </c>
      <c r="C2" s="17">
        <v>9</v>
      </c>
      <c r="D2" s="18"/>
      <c r="E2" s="17" t="s">
        <v>125</v>
      </c>
      <c r="F2" s="17"/>
      <c r="G2" s="18"/>
      <c r="H2" s="18"/>
    </row>
    <row r="3" spans="1:8" ht="13.2">
      <c r="A3" s="15" t="s">
        <v>126</v>
      </c>
      <c r="B3" s="16" t="s">
        <v>124</v>
      </c>
      <c r="C3" s="17">
        <v>9</v>
      </c>
      <c r="D3" s="18"/>
      <c r="E3" s="17" t="s">
        <v>125</v>
      </c>
      <c r="F3" s="17"/>
      <c r="G3" s="18"/>
      <c r="H3" s="18"/>
    </row>
    <row r="4" spans="1:8" ht="13.2">
      <c r="A4" s="15" t="s">
        <v>127</v>
      </c>
      <c r="B4" s="16" t="s">
        <v>124</v>
      </c>
      <c r="C4" s="17">
        <v>8.75</v>
      </c>
      <c r="D4" s="18"/>
      <c r="E4" s="17" t="s">
        <v>125</v>
      </c>
      <c r="F4" s="17"/>
      <c r="G4" s="18"/>
      <c r="H4" s="18"/>
    </row>
    <row r="5" spans="1:8" ht="13.2">
      <c r="A5" s="19" t="str">
        <f>HYPERLINK("https://csacademy.com/contest/beta-round-4/task/soldiers/    ","CSA4-F")</f>
        <v>CSA4-F</v>
      </c>
      <c r="B5" s="15" t="s">
        <v>124</v>
      </c>
      <c r="C5" s="17">
        <v>8.5</v>
      </c>
      <c r="D5" s="18"/>
      <c r="E5" s="17" t="s">
        <v>125</v>
      </c>
      <c r="F5" s="17"/>
      <c r="G5" s="18"/>
      <c r="H5" s="18"/>
    </row>
    <row r="6" spans="1:8" ht="13.2">
      <c r="A6" s="15" t="s">
        <v>128</v>
      </c>
      <c r="B6" s="16" t="s">
        <v>124</v>
      </c>
      <c r="C6" s="17">
        <v>8.5</v>
      </c>
      <c r="D6" s="18"/>
      <c r="E6" s="17" t="s">
        <v>125</v>
      </c>
      <c r="F6" s="17"/>
      <c r="G6" s="18"/>
      <c r="H6" s="18"/>
    </row>
    <row r="7" spans="1:8" ht="13.2">
      <c r="A7" s="15" t="s">
        <v>129</v>
      </c>
      <c r="B7" s="16" t="s">
        <v>124</v>
      </c>
      <c r="C7" s="17">
        <v>8.5</v>
      </c>
      <c r="D7" s="18"/>
      <c r="E7" s="17" t="s">
        <v>125</v>
      </c>
      <c r="F7" s="17"/>
      <c r="G7" s="18"/>
      <c r="H7" s="18"/>
    </row>
    <row r="8" spans="1:8" ht="13.2">
      <c r="A8" s="15" t="s">
        <v>130</v>
      </c>
      <c r="B8" s="16" t="s">
        <v>124</v>
      </c>
      <c r="C8" s="17">
        <v>8.5</v>
      </c>
      <c r="D8" s="18"/>
      <c r="E8" s="17" t="s">
        <v>125</v>
      </c>
      <c r="F8" s="17"/>
      <c r="G8" s="18"/>
      <c r="H8" s="18"/>
    </row>
    <row r="9" spans="1:8" ht="13.2">
      <c r="A9" s="15" t="s">
        <v>131</v>
      </c>
      <c r="B9" s="16" t="s">
        <v>124</v>
      </c>
      <c r="C9" s="17">
        <v>8.5</v>
      </c>
      <c r="D9" s="18"/>
      <c r="E9" s="17" t="s">
        <v>125</v>
      </c>
      <c r="F9" s="17"/>
      <c r="G9" s="18"/>
      <c r="H9" s="18"/>
    </row>
    <row r="10" spans="1:8" ht="15" customHeight="1">
      <c r="A10" s="15" t="s">
        <v>132</v>
      </c>
      <c r="B10" s="18" t="s">
        <v>133</v>
      </c>
      <c r="C10" s="17">
        <v>8.5</v>
      </c>
      <c r="D10" s="18"/>
      <c r="E10" s="17" t="s">
        <v>125</v>
      </c>
      <c r="F10" s="17"/>
      <c r="G10" s="18"/>
      <c r="H10" s="18"/>
    </row>
    <row r="11" spans="1:8" ht="13.2">
      <c r="A11" s="15" t="s">
        <v>134</v>
      </c>
      <c r="B11" s="16" t="s">
        <v>135</v>
      </c>
      <c r="C11" s="17">
        <v>8.5</v>
      </c>
      <c r="D11" s="18"/>
      <c r="E11" s="17" t="s">
        <v>125</v>
      </c>
      <c r="F11" s="17"/>
      <c r="G11" s="18"/>
      <c r="H11" s="18"/>
    </row>
    <row r="12" spans="1:8" ht="13.2">
      <c r="A12" s="19" t="str">
        <f>HYPERLINK("https://hanoi18.kattis.com/problems/hanoi18.bipartitebattle","kattis hanoi18.bipartitebattle")</f>
        <v>kattis hanoi18.bipartitebattle</v>
      </c>
      <c r="B12" s="20" t="s">
        <v>136</v>
      </c>
      <c r="C12" s="21">
        <v>8.5</v>
      </c>
      <c r="D12" s="22" t="s">
        <v>118</v>
      </c>
      <c r="E12" s="17" t="s">
        <v>125</v>
      </c>
      <c r="F12" s="17"/>
      <c r="G12" s="18"/>
      <c r="H12" s="18"/>
    </row>
    <row r="13" spans="1:8" ht="13.2">
      <c r="A13" s="15" t="s">
        <v>137</v>
      </c>
      <c r="B13" s="16" t="s">
        <v>124</v>
      </c>
      <c r="C13" s="17">
        <v>8.25</v>
      </c>
      <c r="D13" s="18"/>
      <c r="E13" s="17" t="s">
        <v>125</v>
      </c>
      <c r="F13" s="17"/>
      <c r="G13" s="18"/>
      <c r="H13" s="18"/>
    </row>
    <row r="14" spans="1:8" ht="13.2">
      <c r="A14" s="19" t="str">
        <f>HYPERLINK("https://codeforces.com/contest/1097/problem/E", "CF1097-D12-E")</f>
        <v>CF1097-D12-E</v>
      </c>
      <c r="B14" s="15" t="s">
        <v>138</v>
      </c>
      <c r="C14" s="21">
        <v>8</v>
      </c>
      <c r="D14" s="18"/>
      <c r="E14" s="17" t="s">
        <v>125</v>
      </c>
      <c r="F14" s="17" t="s">
        <v>139</v>
      </c>
      <c r="G14" s="18"/>
      <c r="H14" s="18"/>
    </row>
    <row r="15" spans="1:8" ht="13.2">
      <c r="A15" s="19" t="str">
        <f>HYPERLINK("https://codeforces.com/contest/1070/problem/L","CF1070-D12-L")</f>
        <v>CF1070-D12-L</v>
      </c>
      <c r="B15" s="15" t="s">
        <v>140</v>
      </c>
      <c r="C15" s="17">
        <v>8</v>
      </c>
      <c r="D15" s="18"/>
      <c r="E15" s="17" t="s">
        <v>125</v>
      </c>
      <c r="F15" s="17" t="s">
        <v>139</v>
      </c>
      <c r="G15" s="18"/>
      <c r="H15" s="18"/>
    </row>
    <row r="16" spans="1:8" ht="13.2">
      <c r="A16" s="15" t="s">
        <v>141</v>
      </c>
      <c r="B16" s="16" t="s">
        <v>124</v>
      </c>
      <c r="C16" s="17">
        <v>8</v>
      </c>
      <c r="D16" s="18"/>
      <c r="E16" s="17" t="s">
        <v>125</v>
      </c>
      <c r="F16" s="17"/>
      <c r="G16" s="18"/>
      <c r="H16" s="18"/>
    </row>
    <row r="17" spans="1:8" ht="13.2">
      <c r="A17" s="15" t="s">
        <v>142</v>
      </c>
      <c r="B17" s="16" t="s">
        <v>143</v>
      </c>
      <c r="C17" s="17">
        <v>8</v>
      </c>
      <c r="D17" s="18"/>
      <c r="E17" s="17" t="s">
        <v>125</v>
      </c>
      <c r="F17" s="17"/>
      <c r="G17" s="18"/>
      <c r="H17" s="18"/>
    </row>
    <row r="18" spans="1:8" ht="13.2">
      <c r="A18" s="19" t="str">
        <f>HYPERLINK("https://csacademy.com/contest/round-47/task/max-snake/ ","CS47-F")</f>
        <v>CS47-F</v>
      </c>
      <c r="B18" s="15" t="s">
        <v>144</v>
      </c>
      <c r="C18" s="17">
        <v>8</v>
      </c>
      <c r="D18" s="18"/>
      <c r="E18" s="17" t="s">
        <v>125</v>
      </c>
      <c r="F18" s="17"/>
      <c r="G18" s="18"/>
      <c r="H18" s="18"/>
    </row>
    <row r="19" spans="1:8" ht="13.2">
      <c r="A19" s="15" t="s">
        <v>145</v>
      </c>
      <c r="B19" s="16" t="s">
        <v>146</v>
      </c>
      <c r="C19" s="17">
        <v>8</v>
      </c>
      <c r="D19" s="18"/>
      <c r="E19" s="17" t="s">
        <v>125</v>
      </c>
      <c r="F19" s="17"/>
      <c r="G19" s="18"/>
      <c r="H19" s="18"/>
    </row>
    <row r="20" spans="1:8" ht="13.2">
      <c r="A20" s="19" t="str">
        <f>HYPERLINK("https://csacademy.com/contest/beta-round-1/task/two_progressions/     ","CSA1-G")</f>
        <v>CSA1-G</v>
      </c>
      <c r="B20" s="15" t="s">
        <v>147</v>
      </c>
      <c r="C20" s="17">
        <v>8</v>
      </c>
      <c r="D20" s="18"/>
      <c r="E20" s="17" t="s">
        <v>125</v>
      </c>
      <c r="F20" s="17"/>
      <c r="G20" s="18"/>
      <c r="H20" s="18"/>
    </row>
    <row r="21" spans="1:8" ht="13.2">
      <c r="A21" s="15" t="s">
        <v>148</v>
      </c>
      <c r="B21" s="18" t="s">
        <v>149</v>
      </c>
      <c r="C21" s="17">
        <v>8</v>
      </c>
      <c r="D21" s="18"/>
      <c r="E21" s="17" t="s">
        <v>125</v>
      </c>
      <c r="F21" s="17"/>
      <c r="G21" s="18"/>
      <c r="H21" s="18"/>
    </row>
    <row r="22" spans="1:8" ht="13.2">
      <c r="A22" s="15" t="s">
        <v>150</v>
      </c>
      <c r="B22" s="16" t="s">
        <v>151</v>
      </c>
      <c r="C22" s="17">
        <v>8</v>
      </c>
      <c r="D22" s="18"/>
      <c r="E22" s="17" t="s">
        <v>125</v>
      </c>
      <c r="F22" s="17"/>
      <c r="G22" s="18"/>
      <c r="H22" s="18"/>
    </row>
    <row r="23" spans="1:8" ht="13.2">
      <c r="A23" s="19" t="str">
        <f>HYPERLINK("https://codeforces.com/contest/930/problem/D","CF930-D1-D")</f>
        <v>CF930-D1-D</v>
      </c>
      <c r="B23" s="15" t="s">
        <v>152</v>
      </c>
      <c r="C23" s="21">
        <v>8</v>
      </c>
      <c r="D23" s="18"/>
      <c r="E23" s="17" t="s">
        <v>125</v>
      </c>
      <c r="F23" s="17"/>
      <c r="G23" s="18"/>
      <c r="H23" s="18"/>
    </row>
    <row r="24" spans="1:8" ht="13.2">
      <c r="A24" s="19" t="str">
        <f>HYPERLINK("https://codeforces.com/problemset/problem/1179/E", "CF1179-D1-E")</f>
        <v>CF1179-D1-E</v>
      </c>
      <c r="B24" s="23" t="s">
        <v>153</v>
      </c>
      <c r="C24" s="24">
        <v>7.75</v>
      </c>
      <c r="D24" s="18"/>
      <c r="E24" s="25" t="s">
        <v>125</v>
      </c>
      <c r="F24" s="17" t="s">
        <v>154</v>
      </c>
      <c r="G24" s="18"/>
      <c r="H24" s="18"/>
    </row>
    <row r="25" spans="1:8" ht="17.25" customHeight="1">
      <c r="A25" s="19" t="str">
        <f>HYPERLINK("https://csacademy.com/contest/round-58/task/binary-swaps/statement/    ","CSA58-G")</f>
        <v>CSA58-G</v>
      </c>
      <c r="B25" s="15" t="s">
        <v>124</v>
      </c>
      <c r="C25" s="17">
        <v>7.75</v>
      </c>
      <c r="D25" s="18"/>
      <c r="E25" s="17" t="s">
        <v>125</v>
      </c>
      <c r="F25" s="17"/>
      <c r="G25" s="18"/>
      <c r="H25" s="18"/>
    </row>
    <row r="26" spans="1:8" ht="13.2">
      <c r="A26" s="19" t="str">
        <f>HYPERLINK("http://codeforces.com/problemset/problem/1063/E", "CF1063-D1-E")</f>
        <v>CF1063-D1-E</v>
      </c>
      <c r="B26" s="20" t="s">
        <v>138</v>
      </c>
      <c r="C26" s="21">
        <v>7.5</v>
      </c>
      <c r="D26" s="18"/>
      <c r="E26" s="17" t="s">
        <v>125</v>
      </c>
      <c r="F26" s="17" t="s">
        <v>154</v>
      </c>
      <c r="G26" s="18"/>
      <c r="H26" s="18"/>
    </row>
    <row r="27" spans="1:8" ht="13.2">
      <c r="A27" s="19" t="str">
        <f>HYPERLINK("https://agc003.contest.atcoder.jp/tasks/agc003_e","AtCoder003-AGC-E")</f>
        <v>AtCoder003-AGC-E</v>
      </c>
      <c r="B27" s="15" t="s">
        <v>155</v>
      </c>
      <c r="C27" s="17">
        <v>7.5</v>
      </c>
      <c r="D27" s="18"/>
      <c r="E27" s="17" t="s">
        <v>125</v>
      </c>
      <c r="F27" s="17" t="s">
        <v>139</v>
      </c>
      <c r="G27" s="18"/>
      <c r="H27" s="18"/>
    </row>
    <row r="28" spans="1:8" ht="13.2">
      <c r="A28" s="19" t="str">
        <f>HYPERLINK("https://agc006.contest.atcoder.jp/tasks/agc006_e","AtCoder006-AGC-E")</f>
        <v>AtCoder006-AGC-E</v>
      </c>
      <c r="B28" s="15" t="s">
        <v>156</v>
      </c>
      <c r="C28" s="17">
        <v>7.5</v>
      </c>
      <c r="D28" s="18"/>
      <c r="E28" s="17" t="s">
        <v>125</v>
      </c>
      <c r="F28" s="17" t="s">
        <v>139</v>
      </c>
      <c r="G28" s="18"/>
      <c r="H28" s="18"/>
    </row>
    <row r="29" spans="1:8" ht="13.2">
      <c r="A29" s="19" t="str">
        <f>HYPERLINK("http://codeforces.com/gym/101889","CF101889-gym-L")</f>
        <v>CF101889-gym-L</v>
      </c>
      <c r="B29" s="15" t="s">
        <v>157</v>
      </c>
      <c r="C29" s="17">
        <v>7.5</v>
      </c>
      <c r="D29" s="18"/>
      <c r="E29" s="17" t="s">
        <v>125</v>
      </c>
      <c r="F29" s="17" t="s">
        <v>139</v>
      </c>
      <c r="G29" s="18"/>
      <c r="H29" s="18"/>
    </row>
    <row r="30" spans="1:8" ht="13.2">
      <c r="A30" s="19" t="str">
        <f>HYPERLINK("http://codeforces.com/contest/914/problem/F","CF914-D12-F")</f>
        <v>CF914-D12-F</v>
      </c>
      <c r="B30" s="15" t="s">
        <v>158</v>
      </c>
      <c r="C30" s="17">
        <v>7.25</v>
      </c>
      <c r="D30" s="26" t="str">
        <f>HYPERLINK("https://github.com/mostafa-saad/MyCompetitiveProgramming/blob/master/Codeforces/CF914-D12-F.txt","Sol")</f>
        <v>Sol</v>
      </c>
      <c r="E30" s="17" t="s">
        <v>125</v>
      </c>
      <c r="F30" s="17" t="s">
        <v>154</v>
      </c>
      <c r="G30" s="18"/>
      <c r="H30" s="18"/>
    </row>
    <row r="31" spans="1:8" ht="13.2">
      <c r="A31" s="19" t="str">
        <f>HYPERLINK("https://codeforces.com/contest/1081/problem/F","CF1081-D12-F")</f>
        <v>CF1081-D12-F</v>
      </c>
      <c r="B31" s="23" t="s">
        <v>159</v>
      </c>
      <c r="C31" s="17">
        <v>7.25</v>
      </c>
      <c r="D31" s="18"/>
      <c r="E31" s="17" t="s">
        <v>125</v>
      </c>
      <c r="F31" s="17" t="s">
        <v>154</v>
      </c>
      <c r="G31" s="18"/>
      <c r="H31" s="18"/>
    </row>
    <row r="32" spans="1:8" ht="13.2">
      <c r="A32" s="19" t="str">
        <f>HYPERLINK("https://codeforces.com/contest/128/problem/D","CF128-D1-D")</f>
        <v>CF128-D1-D</v>
      </c>
      <c r="B32" s="15" t="s">
        <v>124</v>
      </c>
      <c r="C32" s="17">
        <v>7.25</v>
      </c>
      <c r="D32" s="18"/>
      <c r="E32" s="17" t="s">
        <v>125</v>
      </c>
      <c r="F32" s="17"/>
      <c r="G32" s="18"/>
      <c r="H32" s="18"/>
    </row>
    <row r="33" spans="1:8" ht="13.2">
      <c r="A33" s="15" t="s">
        <v>160</v>
      </c>
      <c r="B33" s="16" t="s">
        <v>124</v>
      </c>
      <c r="C33" s="17">
        <v>7.25</v>
      </c>
      <c r="D33" s="18"/>
      <c r="E33" s="17" t="s">
        <v>125</v>
      </c>
      <c r="F33" s="17"/>
      <c r="G33" s="18"/>
      <c r="H33" s="18"/>
    </row>
    <row r="34" spans="1:8" ht="13.2">
      <c r="A34" s="15" t="s">
        <v>161</v>
      </c>
      <c r="B34" s="16" t="s">
        <v>162</v>
      </c>
      <c r="C34" s="17">
        <v>7.25</v>
      </c>
      <c r="D34" s="18"/>
      <c r="E34" s="17" t="s">
        <v>125</v>
      </c>
      <c r="F34" s="17"/>
      <c r="G34" s="18"/>
      <c r="H34" s="18"/>
    </row>
    <row r="35" spans="1:8" ht="13.2">
      <c r="A35" s="19" t="str">
        <f>HYPERLINK("https://codeforces.com/problemset/problem/1227/G", "CF1127-D12-G")</f>
        <v>CF1127-D12-G</v>
      </c>
      <c r="B35" s="20" t="s">
        <v>138</v>
      </c>
      <c r="C35" s="21">
        <v>7</v>
      </c>
      <c r="D35" s="18"/>
      <c r="E35" s="17" t="s">
        <v>125</v>
      </c>
      <c r="F35" s="17" t="s">
        <v>139</v>
      </c>
      <c r="G35" s="18"/>
      <c r="H35" s="18"/>
    </row>
    <row r="36" spans="1:8" ht="13.2">
      <c r="A36" s="19" t="str">
        <f>HYPERLINK("https://codeforces.com/contest/1173/problem/F","CF1173-D2-F")</f>
        <v>CF1173-D2-F</v>
      </c>
      <c r="B36" s="20" t="s">
        <v>163</v>
      </c>
      <c r="C36" s="17">
        <v>7</v>
      </c>
      <c r="D36" s="18"/>
      <c r="E36" s="17" t="s">
        <v>125</v>
      </c>
      <c r="F36" s="17" t="s">
        <v>139</v>
      </c>
      <c r="G36" s="18"/>
      <c r="H36" s="18"/>
    </row>
    <row r="37" spans="1:8" ht="13.2">
      <c r="A37" s="19" t="str">
        <f>HYPERLINK("https://www.codechef.com/problems/ELPHANT","CODECHEF ELPHANT")</f>
        <v>CODECHEF ELPHANT</v>
      </c>
      <c r="B37" s="18" t="s">
        <v>124</v>
      </c>
      <c r="C37" s="17">
        <v>7</v>
      </c>
      <c r="D37" s="18"/>
      <c r="E37" s="17" t="s">
        <v>125</v>
      </c>
      <c r="F37" s="17"/>
      <c r="G37" s="18"/>
      <c r="H37" s="18"/>
    </row>
    <row r="38" spans="1:8" ht="13.2">
      <c r="A38" s="15" t="s">
        <v>164</v>
      </c>
      <c r="B38" s="27" t="s">
        <v>165</v>
      </c>
      <c r="C38" s="17">
        <v>7</v>
      </c>
      <c r="D38" s="18"/>
      <c r="E38" s="17" t="s">
        <v>125</v>
      </c>
      <c r="F38" s="17"/>
      <c r="G38" s="18"/>
      <c r="H38" s="18"/>
    </row>
    <row r="39" spans="1:8" ht="13.2">
      <c r="A39" s="15" t="s">
        <v>166</v>
      </c>
      <c r="B39" s="16" t="s">
        <v>167</v>
      </c>
      <c r="C39" s="17">
        <v>7</v>
      </c>
      <c r="D39" s="18"/>
      <c r="E39" s="17" t="s">
        <v>125</v>
      </c>
      <c r="F39" s="17"/>
      <c r="G39" s="18"/>
      <c r="H39" s="18"/>
    </row>
    <row r="40" spans="1:8" ht="13.2">
      <c r="A40" s="19" t="str">
        <f>HYPERLINK("https://codeforces.com/problemset/problem/1097/F", "CF1097-D12-F")</f>
        <v>CF1097-D12-F</v>
      </c>
      <c r="B40" s="15" t="s">
        <v>168</v>
      </c>
      <c r="C40" s="17">
        <v>6.75</v>
      </c>
      <c r="D40" s="18"/>
      <c r="E40" s="17" t="s">
        <v>125</v>
      </c>
      <c r="F40" s="17" t="s">
        <v>139</v>
      </c>
      <c r="G40" s="18"/>
      <c r="H40" s="18"/>
    </row>
    <row r="41" spans="1:8" ht="13.2">
      <c r="A41" s="19" t="str">
        <f>HYPERLINK("https://codeforces.com/contest/1287/problem/E2","CF1287-D2-E2")</f>
        <v>CF1287-D2-E2</v>
      </c>
      <c r="B41" s="15" t="s">
        <v>169</v>
      </c>
      <c r="C41" s="17">
        <v>6.75</v>
      </c>
      <c r="D41" s="18"/>
      <c r="E41" s="17" t="s">
        <v>125</v>
      </c>
      <c r="F41" s="17" t="s">
        <v>139</v>
      </c>
      <c r="G41" s="18"/>
      <c r="H41" s="18"/>
    </row>
    <row r="42" spans="1:8" ht="13.2">
      <c r="A42" s="19" t="str">
        <f>HYPERLINK("http://codeforces.com/contest/1071/problem/C","CF1072-D2-E")</f>
        <v>CF1072-D2-E</v>
      </c>
      <c r="B42" s="20" t="s">
        <v>170</v>
      </c>
      <c r="C42" s="21">
        <v>6.75</v>
      </c>
      <c r="D42" s="18"/>
      <c r="E42" s="17" t="s">
        <v>125</v>
      </c>
      <c r="F42" s="17" t="s">
        <v>139</v>
      </c>
      <c r="G42" s="18"/>
      <c r="H42" s="18"/>
    </row>
    <row r="43" spans="1:8" ht="13.2">
      <c r="A43" s="19" t="str">
        <f>HYPERLINK("http://codeforces.com/contest/909/problem/F","CF909-D2-F")</f>
        <v>CF909-D2-F</v>
      </c>
      <c r="B43" s="18" t="s">
        <v>171</v>
      </c>
      <c r="C43" s="17">
        <v>6.7</v>
      </c>
      <c r="D43" s="18"/>
      <c r="E43" s="17" t="s">
        <v>125</v>
      </c>
      <c r="F43" s="17" t="s">
        <v>139</v>
      </c>
      <c r="G43" s="18"/>
      <c r="H43" s="18"/>
    </row>
    <row r="44" spans="1:8" ht="13.2">
      <c r="A44" s="19" t="str">
        <f>HYPERLINK("https://www.hackerrank.com/challenges/meeting-point","HACKR meeting-point")</f>
        <v>HACKR meeting-point</v>
      </c>
      <c r="B44" s="28" t="s">
        <v>172</v>
      </c>
      <c r="C44" s="17">
        <v>6.5</v>
      </c>
      <c r="D44" s="26" t="str">
        <f>HYPERLINK("https://github.com/mostafa-saad/MyCompetitiveProgramming/blob/master/HACKERRANK/HACKR-meeting-point.txt","Sol")</f>
        <v>Sol</v>
      </c>
      <c r="E44" s="17" t="s">
        <v>125</v>
      </c>
      <c r="F44" s="17" t="s">
        <v>173</v>
      </c>
      <c r="G44" s="18"/>
      <c r="H44" s="18"/>
    </row>
    <row r="45" spans="1:8" ht="13.2">
      <c r="A45" s="19" t="str">
        <f>HYPERLINK("http://codeforces.com/contest/936/problem/C","CF936-D1-C")</f>
        <v>CF936-D1-C</v>
      </c>
      <c r="B45" s="18" t="s">
        <v>174</v>
      </c>
      <c r="C45" s="17">
        <v>6.5</v>
      </c>
      <c r="D45" s="26" t="str">
        <f>HYPERLINK("https://codeforces.com/blog/entry/58056?#comment-417467","Another Sol")</f>
        <v>Another Sol</v>
      </c>
      <c r="E45" s="17" t="s">
        <v>125</v>
      </c>
      <c r="F45" s="17" t="s">
        <v>154</v>
      </c>
      <c r="G45" s="18"/>
      <c r="H45" s="18"/>
    </row>
    <row r="46" spans="1:8" ht="13.2">
      <c r="A46" s="19" t="str">
        <f>HYPERLINK("https://hanoi18.kattis.com/problems/jurassicjungle","kattis hanoi18.jurassicjungle")</f>
        <v>kattis hanoi18.jurassicjungle</v>
      </c>
      <c r="B46" s="20" t="s">
        <v>175</v>
      </c>
      <c r="C46" s="21">
        <v>6.5</v>
      </c>
      <c r="D46" s="26" t="str">
        <f>HYPERLINK("https://github.com/nya-nya-meow/CompetitiveProgramming/blob/master/Kattis/hanoi18.jurassicjungle.cpp","Sol")</f>
        <v>Sol</v>
      </c>
      <c r="E46" s="17" t="s">
        <v>125</v>
      </c>
      <c r="F46" s="17" t="s">
        <v>154</v>
      </c>
      <c r="G46" s="18"/>
      <c r="H46" s="18"/>
    </row>
    <row r="47" spans="1:8" ht="13.2">
      <c r="A47" s="19" t="str">
        <f>HYPERLINK("https://codeforces.com/contest/1100/problem/D","CF1100-D2-D")</f>
        <v>CF1100-D2-D</v>
      </c>
      <c r="B47" s="23" t="s">
        <v>169</v>
      </c>
      <c r="C47" s="17">
        <v>6.5</v>
      </c>
      <c r="D47" s="18"/>
      <c r="E47" s="17" t="s">
        <v>125</v>
      </c>
      <c r="F47" s="17" t="s">
        <v>154</v>
      </c>
      <c r="G47" s="18"/>
      <c r="H47" s="18"/>
    </row>
    <row r="48" spans="1:8" ht="13.2">
      <c r="A48" s="19" t="str">
        <f>HYPERLINK("https://codeforces.com/gym/102154/problem/C","CF102154-GYM-C")</f>
        <v>CF102154-GYM-C</v>
      </c>
      <c r="B48" s="15" t="s">
        <v>176</v>
      </c>
      <c r="C48" s="17">
        <v>6.5</v>
      </c>
      <c r="D48" s="26" t="str">
        <f>HYPERLINK("https://github.com/guskal01/CompetitiveProgramming/blob/master/CodeForces/CF102154-GYM-C.cpp","Sol")</f>
        <v>Sol</v>
      </c>
      <c r="E48" s="17" t="s">
        <v>125</v>
      </c>
      <c r="F48" s="17" t="s">
        <v>154</v>
      </c>
      <c r="G48" s="18"/>
      <c r="H48" s="18"/>
    </row>
    <row r="49" spans="1:8" ht="13.2">
      <c r="A49" s="19" t="str">
        <f>HYPERLINK("https://hanoi18.kattis.com/problems/grabagraph","kattis hanoi18.grabagraph")</f>
        <v>kattis hanoi18.grabagraph</v>
      </c>
      <c r="B49" s="20" t="s">
        <v>177</v>
      </c>
      <c r="C49" s="21">
        <v>6.5</v>
      </c>
      <c r="D49" s="26" t="str">
        <f>HYPERLINK("https://github.com/mostafa-saad/MyCompetitiveProgramming/blob/master/Kattis/kattis-hanoi18.grabagraph.txt","Sol")</f>
        <v>Sol</v>
      </c>
      <c r="E49" s="17" t="s">
        <v>125</v>
      </c>
      <c r="F49" s="17" t="s">
        <v>139</v>
      </c>
      <c r="G49" s="18"/>
      <c r="H49" s="18"/>
    </row>
    <row r="50" spans="1:8" ht="13.2">
      <c r="A50" s="19" t="str">
        <f>HYPERLINK("http://codeforces.com/contest/611/problem/E","CF611-D12-E")</f>
        <v>CF611-D12-E</v>
      </c>
      <c r="B50" s="15" t="s">
        <v>178</v>
      </c>
      <c r="C50" s="24">
        <v>6.5</v>
      </c>
      <c r="D50" s="18"/>
      <c r="E50" s="17" t="s">
        <v>125</v>
      </c>
      <c r="F50" s="17" t="s">
        <v>139</v>
      </c>
      <c r="G50" s="18"/>
      <c r="H50" s="18"/>
    </row>
    <row r="51" spans="1:8" ht="13.2">
      <c r="A51" s="19" t="str">
        <f>HYPERLINK("https://codeforces.com/contest/1230/problem/F","CF1230-D2-F")</f>
        <v>CF1230-D2-F</v>
      </c>
      <c r="B51" s="15" t="s">
        <v>179</v>
      </c>
      <c r="C51" s="17">
        <v>6.5</v>
      </c>
      <c r="D51" s="18"/>
      <c r="E51" s="17" t="s">
        <v>125</v>
      </c>
      <c r="F51" s="17" t="s">
        <v>139</v>
      </c>
      <c r="G51" s="18"/>
      <c r="H51" s="18"/>
    </row>
    <row r="52" spans="1:8" ht="13.2">
      <c r="A52" s="15" t="s">
        <v>180</v>
      </c>
      <c r="B52" s="15" t="s">
        <v>181</v>
      </c>
      <c r="C52" s="17">
        <v>6.5</v>
      </c>
      <c r="D52" s="18"/>
      <c r="E52" s="17" t="s">
        <v>125</v>
      </c>
      <c r="F52" s="17" t="s">
        <v>139</v>
      </c>
      <c r="G52" s="18"/>
      <c r="H52" s="18"/>
    </row>
    <row r="53" spans="1:8" ht="13.2">
      <c r="A53" s="19" t="str">
        <f>HYPERLINK("https://codeforces.com/contest/1159/problem/D","CF1159-D2-D")</f>
        <v>CF1159-D2-D</v>
      </c>
      <c r="B53" s="15" t="s">
        <v>182</v>
      </c>
      <c r="C53" s="17">
        <v>6.5</v>
      </c>
      <c r="D53" s="18"/>
      <c r="E53" s="17" t="s">
        <v>125</v>
      </c>
      <c r="F53" s="17"/>
      <c r="G53" s="18"/>
      <c r="H53" s="18"/>
    </row>
    <row r="54" spans="1:8" ht="13.2">
      <c r="A54" s="19" t="str">
        <f>HYPERLINK("https://codeforces.com/contest/1068/problem/F","CF1067-D12-F")</f>
        <v>CF1067-D12-F</v>
      </c>
      <c r="B54" s="15" t="s">
        <v>138</v>
      </c>
      <c r="C54" s="17">
        <v>6.4</v>
      </c>
      <c r="D54" s="18"/>
      <c r="E54" s="17" t="s">
        <v>125</v>
      </c>
      <c r="F54" s="17" t="s">
        <v>139</v>
      </c>
      <c r="G54" s="18"/>
      <c r="H54" s="18"/>
    </row>
    <row r="55" spans="1:8" ht="13.2">
      <c r="A55" s="19" t="str">
        <f>HYPERLINK("https://codeforces.com/contest/1261/problem/E","CF1261-D1-E")</f>
        <v>CF1261-D1-E</v>
      </c>
      <c r="B55" s="20" t="s">
        <v>183</v>
      </c>
      <c r="C55" s="21">
        <v>6.4</v>
      </c>
      <c r="D55" s="18"/>
      <c r="E55" s="17" t="s">
        <v>125</v>
      </c>
      <c r="F55" s="17" t="s">
        <v>139</v>
      </c>
      <c r="G55" s="18"/>
      <c r="H55" s="18"/>
    </row>
    <row r="56" spans="1:8" ht="13.2">
      <c r="A56" s="19" t="str">
        <f>HYPERLINK("https://codingcompetitions.withgoogle.com/codejam/round/0000000000051705/00000000000881de","CODEJAM 19-Qualification-D")</f>
        <v>CODEJAM 19-Qualification-D</v>
      </c>
      <c r="B56" s="20" t="s">
        <v>184</v>
      </c>
      <c r="C56" s="17">
        <v>6.3</v>
      </c>
      <c r="D56" s="18"/>
      <c r="E56" s="17" t="s">
        <v>125</v>
      </c>
      <c r="F56" s="17" t="s">
        <v>139</v>
      </c>
      <c r="G56" s="18"/>
      <c r="H56" s="18"/>
    </row>
    <row r="57" spans="1:8" ht="13.2">
      <c r="A57" s="15" t="s">
        <v>185</v>
      </c>
      <c r="B57" s="29" t="s">
        <v>186</v>
      </c>
      <c r="C57" s="24">
        <v>6.25</v>
      </c>
      <c r="D57" s="26" t="str">
        <f>HYPERLINK("https://github.com/thackerhelik/Topcoder/blob/master/SRM541-D1-500.cpp","Sol")</f>
        <v>Sol</v>
      </c>
      <c r="E57" s="17" t="s">
        <v>125</v>
      </c>
      <c r="F57" s="17" t="s">
        <v>154</v>
      </c>
      <c r="G57" s="18"/>
      <c r="H57" s="18"/>
    </row>
    <row r="58" spans="1:8" ht="13.2">
      <c r="A58" s="19" t="str">
        <f>HYPERLINK("http://codeforces.com/gym/102147/problem/D","CF102147-GYM-D")</f>
        <v>CF102147-GYM-D</v>
      </c>
      <c r="B58" s="15" t="s">
        <v>187</v>
      </c>
      <c r="C58" s="17">
        <v>6.25</v>
      </c>
      <c r="D58" s="26" t="str">
        <f>HYPERLINK("https://github.com/guskal01/CompetitiveProgramming/blob/master/CodeForces/CF102147-GYM-D.cpp","Sol")</f>
        <v>Sol</v>
      </c>
      <c r="E58" s="17" t="s">
        <v>125</v>
      </c>
      <c r="F58" s="17" t="s">
        <v>154</v>
      </c>
      <c r="G58" s="18"/>
      <c r="H58" s="18"/>
    </row>
    <row r="59" spans="1:8" ht="13.2">
      <c r="A59" s="19" t="str">
        <f>HYPERLINK("http://codeforces.com/contest/425/problem/D","CF425-D1-D")</f>
        <v>CF425-D1-D</v>
      </c>
      <c r="B59" s="15" t="s">
        <v>188</v>
      </c>
      <c r="C59" s="17">
        <v>6.25</v>
      </c>
      <c r="D59" s="18"/>
      <c r="E59" s="17" t="s">
        <v>125</v>
      </c>
      <c r="F59" s="17" t="s">
        <v>139</v>
      </c>
      <c r="G59" s="18"/>
      <c r="H59" s="18"/>
    </row>
    <row r="60" spans="1:8" ht="13.2">
      <c r="A60" s="19" t="str">
        <f>HYPERLINK("https://beta.atcoder.jp/contests/arc092/tasks/arc092_b","Atcoder092-ARC-B")</f>
        <v>Atcoder092-ARC-B</v>
      </c>
      <c r="B60" s="15" t="s">
        <v>189</v>
      </c>
      <c r="C60" s="17">
        <v>6.25</v>
      </c>
      <c r="D60" s="26" t="str">
        <f>HYPERLINK("https://github.com/thackerhelik/AtCoder/blob/master/AtCoder092-ARC-B.cpp","Sol")</f>
        <v>Sol</v>
      </c>
      <c r="E60" s="17" t="s">
        <v>125</v>
      </c>
      <c r="F60" s="17" t="s">
        <v>139</v>
      </c>
      <c r="G60" s="18"/>
      <c r="H60" s="18"/>
    </row>
    <row r="61" spans="1:8" ht="13.2">
      <c r="A61" s="19" t="str">
        <f>HYPERLINK("http://codeforces.com/contest/109/problem/D","CF109-D1-D")</f>
        <v>CF109-D1-D</v>
      </c>
      <c r="B61" s="28" t="s">
        <v>190</v>
      </c>
      <c r="C61" s="24">
        <v>6.25</v>
      </c>
      <c r="D61" s="18"/>
      <c r="E61" s="24" t="s">
        <v>125</v>
      </c>
      <c r="F61" s="17" t="s">
        <v>139</v>
      </c>
      <c r="G61" s="18"/>
      <c r="H61" s="18"/>
    </row>
    <row r="62" spans="1:8" ht="13.2">
      <c r="A62" s="19" t="str">
        <f>HYPERLINK("http://codeforces.com/contest/1004/problem/D","CF1004-D2-D")</f>
        <v>CF1004-D2-D</v>
      </c>
      <c r="B62" s="15" t="s">
        <v>191</v>
      </c>
      <c r="C62" s="17">
        <v>6.25</v>
      </c>
      <c r="D62" s="26" t="str">
        <f>HYPERLINK("https://github.com/IbraheemTuffaha/Competitive-Programming/blob/master/Codeforces/2018-Nov-16/CF1004-D2-D.cpp","Sol")</f>
        <v>Sol</v>
      </c>
      <c r="E62" s="17" t="s">
        <v>125</v>
      </c>
      <c r="F62" s="17" t="s">
        <v>139</v>
      </c>
      <c r="G62" s="18"/>
      <c r="H62" s="18"/>
    </row>
    <row r="63" spans="1:8" ht="13.2">
      <c r="A63" s="19" t="str">
        <f>HYPERLINK("http://agc029.contest.atcoder.jp/tasks/agc029_d","AtCoder029-AGC-D")</f>
        <v>AtCoder029-AGC-D</v>
      </c>
      <c r="B63" s="15" t="s">
        <v>192</v>
      </c>
      <c r="C63" s="17">
        <v>6.25</v>
      </c>
      <c r="D63" s="18"/>
      <c r="E63" s="17" t="s">
        <v>125</v>
      </c>
      <c r="F63" s="17"/>
      <c r="G63" s="18"/>
      <c r="H63" s="18"/>
    </row>
    <row r="64" spans="1:8" ht="13.2">
      <c r="A64" s="19" t="str">
        <f>HYPERLINK("http://codeforces.com/contest/124/problem/D","CF124-D2-D")</f>
        <v>CF124-D2-D</v>
      </c>
      <c r="B64" s="15" t="s">
        <v>193</v>
      </c>
      <c r="C64" s="24">
        <v>6</v>
      </c>
      <c r="D64" s="26" t="str">
        <f>HYPERLINK("https://github.com/mostafa-saad/MyCompetitiveProgramming/blob/master/Codeforces/CF124-D2-D.txt","Sol")</f>
        <v>Sol</v>
      </c>
      <c r="E64" s="17" t="s">
        <v>125</v>
      </c>
      <c r="F64" s="17" t="s">
        <v>154</v>
      </c>
      <c r="G64" s="18"/>
      <c r="H64" s="18"/>
    </row>
    <row r="65" spans="1:8" ht="13.2">
      <c r="A65" s="15" t="s">
        <v>194</v>
      </c>
      <c r="B65" s="29" t="s">
        <v>195</v>
      </c>
      <c r="C65" s="17">
        <v>6</v>
      </c>
      <c r="D65" s="26" t="str">
        <f>HYPERLINK("https://github.com/yazanKabbany/CompetitiveProgramming/blob/master/UVA/UVA%201406.cpp","Sol")</f>
        <v>Sol</v>
      </c>
      <c r="E65" s="17" t="s">
        <v>125</v>
      </c>
      <c r="F65" s="17" t="s">
        <v>196</v>
      </c>
      <c r="G65" s="18"/>
      <c r="H65" s="18"/>
    </row>
    <row r="66" spans="1:8" ht="13.2">
      <c r="A66" s="19" t="str">
        <f>HYPERLINK("https://codeforces.com/contest/1084/problem/E","CF1084-D2-E")</f>
        <v>CF1084-D2-E</v>
      </c>
      <c r="B66" s="15" t="s">
        <v>197</v>
      </c>
      <c r="C66" s="17">
        <v>6</v>
      </c>
      <c r="D66" s="18"/>
      <c r="E66" s="17" t="s">
        <v>125</v>
      </c>
      <c r="F66" s="17" t="s">
        <v>139</v>
      </c>
      <c r="G66" s="18"/>
      <c r="H66" s="18"/>
    </row>
    <row r="67" spans="1:8" ht="13.2">
      <c r="A67" s="19" t="str">
        <f>HYPERLINK("http://codeforces.com/contest/898/problem/F","CF898-D2-F")</f>
        <v>CF898-D2-F</v>
      </c>
      <c r="B67" s="18" t="s">
        <v>146</v>
      </c>
      <c r="C67" s="17">
        <v>6</v>
      </c>
      <c r="D67" s="18"/>
      <c r="E67" s="17" t="s">
        <v>125</v>
      </c>
      <c r="F67" s="17" t="s">
        <v>139</v>
      </c>
      <c r="G67" s="18"/>
      <c r="H67" s="18"/>
    </row>
    <row r="68" spans="1:8" ht="13.2">
      <c r="A68" s="19" t="str">
        <f>HYPERLINK("https://codeforces.com/contest/1117/problem/E","CF1117-D2-E")</f>
        <v>CF1117-D2-E</v>
      </c>
      <c r="B68" s="15" t="s">
        <v>198</v>
      </c>
      <c r="C68" s="17">
        <v>6</v>
      </c>
      <c r="D68" s="18"/>
      <c r="E68" s="17" t="s">
        <v>125</v>
      </c>
      <c r="F68" s="17" t="s">
        <v>139</v>
      </c>
      <c r="G68" s="18"/>
      <c r="H68" s="18"/>
    </row>
    <row r="69" spans="1:8" ht="13.2">
      <c r="A69" s="15" t="s">
        <v>199</v>
      </c>
      <c r="B69" s="20" t="s">
        <v>200</v>
      </c>
      <c r="C69" s="21">
        <v>6</v>
      </c>
      <c r="D69" s="18"/>
      <c r="E69" s="17" t="s">
        <v>125</v>
      </c>
      <c r="F69" s="17" t="s">
        <v>201</v>
      </c>
      <c r="G69" s="18"/>
      <c r="H69" s="18"/>
    </row>
    <row r="70" spans="1:8" ht="13.2">
      <c r="A70" s="15" t="s">
        <v>202</v>
      </c>
      <c r="B70" s="30" t="s">
        <v>124</v>
      </c>
      <c r="C70" s="17">
        <v>6</v>
      </c>
      <c r="D70" s="18"/>
      <c r="E70" s="17" t="s">
        <v>125</v>
      </c>
      <c r="F70" s="17"/>
      <c r="G70" s="18"/>
      <c r="H70" s="18"/>
    </row>
    <row r="71" spans="1:8" ht="13.2">
      <c r="A71" s="15" t="s">
        <v>203</v>
      </c>
      <c r="B71" s="18" t="s">
        <v>124</v>
      </c>
      <c r="C71" s="31">
        <v>6</v>
      </c>
      <c r="D71" s="18"/>
      <c r="E71" s="17" t="s">
        <v>125</v>
      </c>
      <c r="F71" s="17"/>
      <c r="G71" s="18"/>
      <c r="H71" s="18"/>
    </row>
    <row r="72" spans="1:8" ht="13.2">
      <c r="A72" s="19" t="str">
        <f>HYPERLINK("http://codeforces.com/gym/101149/problem/M?locale=en","CF101149-gym-E")</f>
        <v>CF101149-gym-E</v>
      </c>
      <c r="B72" s="15" t="s">
        <v>204</v>
      </c>
      <c r="C72" s="17">
        <v>6</v>
      </c>
      <c r="D72" s="18"/>
      <c r="E72" s="17" t="s">
        <v>125</v>
      </c>
      <c r="F72" s="17"/>
      <c r="G72" s="18"/>
      <c r="H72" s="18"/>
    </row>
    <row r="73" spans="1:8" ht="13.2">
      <c r="A73" s="15" t="s">
        <v>205</v>
      </c>
      <c r="B73" s="30" t="s">
        <v>206</v>
      </c>
      <c r="C73" s="17">
        <v>6</v>
      </c>
      <c r="D73" s="18"/>
      <c r="E73" s="17" t="s">
        <v>125</v>
      </c>
      <c r="F73" s="17"/>
      <c r="G73" s="18"/>
      <c r="H73" s="18"/>
    </row>
    <row r="74" spans="1:8" ht="13.2">
      <c r="A74" s="19" t="str">
        <f>HYPERLINK("http://arc079.contest.atcoder.jp/tasks/arc079_b","AtCoder079-ARC-B")</f>
        <v>AtCoder079-ARC-B</v>
      </c>
      <c r="B74" s="29" t="s">
        <v>207</v>
      </c>
      <c r="C74" s="17">
        <v>5.5</v>
      </c>
      <c r="D74" s="18"/>
      <c r="E74" s="17" t="s">
        <v>125</v>
      </c>
      <c r="F74" s="17" t="s">
        <v>196</v>
      </c>
      <c r="G74" s="18"/>
      <c r="H74" s="18"/>
    </row>
    <row r="75" spans="1:8" ht="13.2">
      <c r="A75" s="19" t="str">
        <f>HYPERLINK("http://codeforces.com/gym/101806/problem/T","CF101806-gym-T")</f>
        <v>CF101806-gym-T</v>
      </c>
      <c r="B75" s="15" t="s">
        <v>208</v>
      </c>
      <c r="C75" s="17">
        <v>5.5</v>
      </c>
      <c r="D75" s="26" t="str">
        <f>HYPERLINK("https://github.com/adarshkr532/CompetitiveProgramming/blob/master/Codeforces/CF101806-GYM-T.cpp","Sol")</f>
        <v>Sol</v>
      </c>
      <c r="E75" s="17" t="s">
        <v>125</v>
      </c>
      <c r="F75" s="17" t="s">
        <v>139</v>
      </c>
      <c r="G75" s="18"/>
      <c r="H75" s="18"/>
    </row>
    <row r="76" spans="1:8" ht="13.2">
      <c r="A76" s="19" t="str">
        <f>HYPERLINK("https://codeforces.com/contest/1282/problem/D","CF1282-D2-D")</f>
        <v>CF1282-D2-D</v>
      </c>
      <c r="B76" s="15" t="s">
        <v>169</v>
      </c>
      <c r="C76" s="17">
        <v>5.5</v>
      </c>
      <c r="D76" s="18"/>
      <c r="E76" s="17" t="s">
        <v>125</v>
      </c>
      <c r="F76" s="17" t="s">
        <v>139</v>
      </c>
      <c r="G76" s="18"/>
      <c r="H76" s="18"/>
    </row>
    <row r="77" spans="1:8" ht="13.2">
      <c r="A77" s="19" t="str">
        <f>HYPERLINK("http://codeforces.com/contest/907/problem/D","CF907-D12-D")</f>
        <v>CF907-D12-D</v>
      </c>
      <c r="B77" s="15" t="s">
        <v>209</v>
      </c>
      <c r="C77" s="17">
        <v>5.5</v>
      </c>
      <c r="D77" s="18"/>
      <c r="E77" s="17" t="s">
        <v>125</v>
      </c>
      <c r="F77" s="17" t="s">
        <v>139</v>
      </c>
      <c r="G77" s="18"/>
      <c r="H77" s="18"/>
    </row>
    <row r="78" spans="1:8" ht="13.2">
      <c r="A78" s="19" t="str">
        <f>HYPERLINK("http://codeforces.com/gym/101149/problem/M?locale=en","CF101149-gym-M")</f>
        <v>CF101149-gym-M</v>
      </c>
      <c r="B78" s="15" t="s">
        <v>210</v>
      </c>
      <c r="C78" s="17">
        <v>5.5</v>
      </c>
      <c r="D78" s="26" t="str">
        <f>HYPERLINK("https://github.com/Szawinis/CompetitiveProgramming/blob/master/CodeForces/CF101149-GYM-M.cpp","Sol")</f>
        <v>Sol</v>
      </c>
      <c r="E78" s="17" t="s">
        <v>125</v>
      </c>
      <c r="F78" s="17" t="s">
        <v>139</v>
      </c>
      <c r="G78" s="18"/>
      <c r="H78" s="18"/>
    </row>
    <row r="79" spans="1:8" ht="13.2">
      <c r="A79" s="19" t="str">
        <f>HYPERLINK("https://codingcompetitions.withgoogle.com/kickstart/round/0000000000050edd/00000000001a2835","Kickstart 19-RH-B")</f>
        <v>Kickstart 19-RH-B</v>
      </c>
      <c r="B79" s="20" t="s">
        <v>211</v>
      </c>
      <c r="C79" s="21">
        <v>5.5</v>
      </c>
      <c r="D79" s="26" t="str">
        <f>HYPERLINK("https://github.com/farmerboy95/CompetitiveProgramming/blob/master/Google%20Kickstart/Kickstart%2019-RH-B.cpp","Sol")</f>
        <v>Sol</v>
      </c>
      <c r="E79" s="17" t="s">
        <v>125</v>
      </c>
      <c r="F79" s="17" t="s">
        <v>139</v>
      </c>
      <c r="G79" s="18"/>
      <c r="H79" s="18"/>
    </row>
    <row r="80" spans="1:8" ht="13.2">
      <c r="A80" s="19" t="str">
        <f>HYPERLINK("http://codeforces.com/contest/333/problem/D","CF333-D1-D")</f>
        <v>CF333-D1-D</v>
      </c>
      <c r="B80" s="28" t="s">
        <v>212</v>
      </c>
      <c r="C80" s="33">
        <v>5.5</v>
      </c>
      <c r="D80" s="26" t="str">
        <f>HYPERLINK("https://github.com/AhmedRamadanAbdElghany/CompetitiveProgramming/blob/master/CodeForces/CF333-D1-D.cpp","Sol")</f>
        <v>Sol</v>
      </c>
      <c r="E80" s="17" t="s">
        <v>125</v>
      </c>
      <c r="F80" s="17" t="s">
        <v>139</v>
      </c>
      <c r="G80" s="18"/>
      <c r="H80" s="18"/>
    </row>
    <row r="81" spans="1:8" ht="13.2">
      <c r="A81" s="19" t="str">
        <f>HYPERLINK("http://arc079.contest.atcoder.jp/tasks/arc079_c","AtCoder079-ARC-C")</f>
        <v>AtCoder079-ARC-C</v>
      </c>
      <c r="B81" s="29" t="s">
        <v>124</v>
      </c>
      <c r="C81" s="17">
        <v>5.5</v>
      </c>
      <c r="D81" s="18"/>
      <c r="E81" s="17" t="s">
        <v>125</v>
      </c>
      <c r="F81" s="17" t="s">
        <v>201</v>
      </c>
      <c r="G81" s="18"/>
      <c r="H81" s="18"/>
    </row>
    <row r="82" spans="1:8" ht="13.2">
      <c r="A82" s="19" t="str">
        <f>HYPERLINK("https://codeforces.com/contest/1214/problem/E","CF1214-D12-E")</f>
        <v>CF1214-D12-E</v>
      </c>
      <c r="B82" s="15" t="s">
        <v>138</v>
      </c>
      <c r="C82" s="17">
        <v>5.5</v>
      </c>
      <c r="D82" s="18"/>
      <c r="E82" s="17" t="s">
        <v>125</v>
      </c>
      <c r="F82" s="17" t="s">
        <v>201</v>
      </c>
      <c r="G82" s="18"/>
      <c r="H82" s="18"/>
    </row>
    <row r="83" spans="1:8" ht="13.2">
      <c r="A83" s="19" t="str">
        <f>HYPERLINK("http://codeforces.com/contest/591/problem/C","CF591-D2-C")</f>
        <v>CF591-D2-C</v>
      </c>
      <c r="B83" s="29" t="s">
        <v>213</v>
      </c>
      <c r="C83" s="17">
        <v>5.5</v>
      </c>
      <c r="D83" s="26" t="str">
        <f>HYPERLINK("https://codeforces.com/blog/entry/21203","Editorial")</f>
        <v>Editorial</v>
      </c>
      <c r="E83" s="17" t="s">
        <v>125</v>
      </c>
      <c r="F83" s="17" t="s">
        <v>201</v>
      </c>
      <c r="G83" s="18"/>
      <c r="H83" s="18"/>
    </row>
    <row r="84" spans="1:8" ht="13.2">
      <c r="A84" s="15" t="s">
        <v>214</v>
      </c>
      <c r="B84" s="34" t="s">
        <v>215</v>
      </c>
      <c r="C84" s="31">
        <v>5.5</v>
      </c>
      <c r="D84" s="18"/>
      <c r="E84" s="17" t="s">
        <v>125</v>
      </c>
      <c r="F84" s="17" t="s">
        <v>201</v>
      </c>
      <c r="G84" s="18"/>
      <c r="H84" s="18"/>
    </row>
    <row r="85" spans="1:8" ht="13.2">
      <c r="A85" s="19" t="str">
        <f>HYPERLINK("https://codingcompetitions.withgoogle.com/kickstart/round/0000000000050ff2/0000000000150aae","KICKSTART 19-RC-B")</f>
        <v>KICKSTART 19-RC-B</v>
      </c>
      <c r="B85" s="20" t="s">
        <v>216</v>
      </c>
      <c r="C85" s="21">
        <v>5.5</v>
      </c>
      <c r="D85" s="18"/>
      <c r="E85" s="17" t="s">
        <v>125</v>
      </c>
      <c r="F85" s="17" t="s">
        <v>201</v>
      </c>
      <c r="G85" s="18"/>
      <c r="H85" s="18"/>
    </row>
    <row r="86" spans="1:8" ht="13.2">
      <c r="A86" s="19" t="str">
        <f>HYPERLINK("https://codeforces.com/contest/1296/problem/F","CF1296-D3-E2")</f>
        <v>CF1296-D3-E2</v>
      </c>
      <c r="B86" s="20" t="s">
        <v>217</v>
      </c>
      <c r="C86" s="17">
        <v>5.5</v>
      </c>
      <c r="D86" s="18"/>
      <c r="E86" s="17" t="s">
        <v>125</v>
      </c>
      <c r="F86" s="17" t="s">
        <v>201</v>
      </c>
      <c r="G86" s="18"/>
      <c r="H86" s="18"/>
    </row>
    <row r="87" spans="1:8" ht="13.2">
      <c r="A87" s="15" t="s">
        <v>218</v>
      </c>
      <c r="B87" s="16" t="s">
        <v>219</v>
      </c>
      <c r="C87" s="17">
        <v>5.5</v>
      </c>
      <c r="D87" s="18"/>
      <c r="E87" s="17" t="s">
        <v>125</v>
      </c>
      <c r="F87" s="17"/>
      <c r="G87" s="18"/>
      <c r="H87" s="18"/>
    </row>
    <row r="88" spans="1:8" ht="13.2">
      <c r="A88" s="15" t="s">
        <v>220</v>
      </c>
      <c r="B88" s="28" t="s">
        <v>221</v>
      </c>
      <c r="C88" s="24">
        <v>5.5</v>
      </c>
      <c r="D88" s="26" t="str">
        <f>HYPERLINK("https://github.com/OmarHashim/Competitive-Programming/blob/master/LiveArchive/3695.cpp","Sol")</f>
        <v>Sol</v>
      </c>
      <c r="E88" s="24" t="s">
        <v>125</v>
      </c>
      <c r="F88" s="17"/>
      <c r="G88" s="18"/>
      <c r="H88" s="18"/>
    </row>
    <row r="89" spans="1:8" ht="13.2">
      <c r="A89" s="15" t="s">
        <v>222</v>
      </c>
      <c r="B89" s="16" t="s">
        <v>223</v>
      </c>
      <c r="C89" s="17">
        <v>5.5</v>
      </c>
      <c r="D89" s="18"/>
      <c r="E89" s="17" t="s">
        <v>125</v>
      </c>
      <c r="F89" s="17"/>
      <c r="G89" s="18"/>
      <c r="H89" s="18"/>
    </row>
    <row r="90" spans="1:8" ht="13.2">
      <c r="A90" s="19" t="str">
        <f>HYPERLINK("https://codeforces.com/contest/1230/problem/D","CF1230-D2-D")</f>
        <v>CF1230-D2-D</v>
      </c>
      <c r="B90" s="15" t="s">
        <v>124</v>
      </c>
      <c r="C90" s="17">
        <v>5.25</v>
      </c>
      <c r="D90" s="18"/>
      <c r="E90" s="17" t="s">
        <v>125</v>
      </c>
      <c r="F90" s="17" t="s">
        <v>139</v>
      </c>
      <c r="G90" s="18"/>
      <c r="H90" s="18"/>
    </row>
    <row r="91" spans="1:8" ht="13.2">
      <c r="A91" s="19" t="str">
        <f>HYPERLINK("http://codeforces.com/contest/779/problem/E","CF779-D2-E")</f>
        <v>CF779-D2-E</v>
      </c>
      <c r="B91" s="15" t="s">
        <v>224</v>
      </c>
      <c r="C91" s="17">
        <v>5.25</v>
      </c>
      <c r="D91" s="18"/>
      <c r="E91" s="17" t="s">
        <v>125</v>
      </c>
      <c r="F91" s="17" t="s">
        <v>139</v>
      </c>
      <c r="G91" s="18"/>
      <c r="H91" s="18"/>
    </row>
    <row r="92" spans="1:8" ht="13.2">
      <c r="A92" s="15" t="s">
        <v>225</v>
      </c>
      <c r="B92" s="29" t="s">
        <v>226</v>
      </c>
      <c r="C92" s="17">
        <v>5.25</v>
      </c>
      <c r="D92" s="26" t="str">
        <f>HYPERLINK("https://github.com/mostafa-saad/MyCompetitiveProgramming/blob/master/SPOJ/SPOJ_PARSUMS.txt","Sol")</f>
        <v>Sol</v>
      </c>
      <c r="E92" s="17" t="s">
        <v>125</v>
      </c>
      <c r="F92" s="17" t="s">
        <v>227</v>
      </c>
      <c r="G92" s="18"/>
      <c r="H92" s="18"/>
    </row>
    <row r="93" spans="1:8" ht="13.2">
      <c r="A93" s="19" t="str">
        <f>HYPERLINK("https://codeforces.com/gym/101807/problem/F","CF101807-GYM-F")</f>
        <v>CF101807-GYM-F</v>
      </c>
      <c r="B93" s="15" t="s">
        <v>124</v>
      </c>
      <c r="C93" s="17">
        <v>5.25</v>
      </c>
      <c r="D93" s="26" t="str">
        <f>HYPERLINK("https://github.com/YazanZebak/CompetitiveProgramming/blob/master/Codeforces/CF101807-GYM-F.cpp", "Sol")</f>
        <v>Sol</v>
      </c>
      <c r="E93" s="17" t="s">
        <v>125</v>
      </c>
      <c r="F93" s="17" t="s">
        <v>201</v>
      </c>
      <c r="G93" s="18"/>
      <c r="H93" s="18"/>
    </row>
    <row r="94" spans="1:8" ht="13.2">
      <c r="A94" s="19" t="str">
        <f>HYPERLINK("https://codeforces.com/contest/867/problem/C","CF867-D2-C")</f>
        <v>CF867-D2-C</v>
      </c>
      <c r="B94" s="15" t="s">
        <v>228</v>
      </c>
      <c r="C94" s="17">
        <v>5.25</v>
      </c>
      <c r="D94" s="18"/>
      <c r="E94" s="17" t="s">
        <v>125</v>
      </c>
      <c r="F94" s="17"/>
      <c r="G94" s="18"/>
      <c r="H94" s="18"/>
    </row>
    <row r="95" spans="1:8" ht="13.2">
      <c r="A95" s="19" t="str">
        <f>HYPERLINK("http://codeforces.com/contest/868/problem/C","CF868-D12-C")</f>
        <v>CF868-D12-C</v>
      </c>
      <c r="B95" s="18" t="s">
        <v>124</v>
      </c>
      <c r="C95" s="17">
        <v>5</v>
      </c>
      <c r="D95" s="18"/>
      <c r="E95" s="17" t="s">
        <v>125</v>
      </c>
      <c r="F95" s="17" t="s">
        <v>229</v>
      </c>
      <c r="G95" s="18"/>
      <c r="H95" s="18"/>
    </row>
    <row r="96" spans="1:8" ht="13.2">
      <c r="A96" s="15" t="s">
        <v>230</v>
      </c>
      <c r="B96" s="15" t="s">
        <v>231</v>
      </c>
      <c r="C96" s="17">
        <v>5</v>
      </c>
      <c r="D96" s="26" t="str">
        <f>HYPERLINK("http://code.cloudkaksha.org/spoj/spoj-pairsum-solution","Editorial")</f>
        <v>Editorial</v>
      </c>
      <c r="E96" s="17" t="s">
        <v>125</v>
      </c>
      <c r="F96" s="17" t="s">
        <v>154</v>
      </c>
      <c r="G96" s="18"/>
      <c r="H96" s="18"/>
    </row>
    <row r="97" spans="1:8" ht="13.2">
      <c r="A97" s="19" t="str">
        <f>HYPERLINK("http://codeforces.com/contest/23/problem/C","CF23-D12-C")</f>
        <v>CF23-D12-C</v>
      </c>
      <c r="B97" s="29" t="s">
        <v>232</v>
      </c>
      <c r="C97" s="17">
        <v>5</v>
      </c>
      <c r="D97" s="18"/>
      <c r="E97" s="17" t="s">
        <v>125</v>
      </c>
      <c r="F97" s="17" t="s">
        <v>154</v>
      </c>
      <c r="G97" s="18"/>
      <c r="H97" s="18"/>
    </row>
    <row r="98" spans="1:8" ht="13.2">
      <c r="A98" s="19" t="str">
        <f>HYPERLINK("http://codeforces.com/contest/309/problem/C","CF309-D1-C")</f>
        <v>CF309-D1-C</v>
      </c>
      <c r="B98" s="29" t="s">
        <v>233</v>
      </c>
      <c r="C98" s="17">
        <v>5</v>
      </c>
      <c r="D98" s="18"/>
      <c r="E98" s="17" t="s">
        <v>125</v>
      </c>
      <c r="F98" s="17" t="s">
        <v>139</v>
      </c>
      <c r="G98" s="18"/>
      <c r="H98" s="18"/>
    </row>
    <row r="99" spans="1:8" ht="13.2">
      <c r="A99" s="19" t="str">
        <f>HYPERLINK("https://codeforces.com/contest/1174/problem/D", "CF1174-D2-D")</f>
        <v>CF1174-D2-D</v>
      </c>
      <c r="B99" s="20" t="s">
        <v>234</v>
      </c>
      <c r="C99" s="21">
        <v>5</v>
      </c>
      <c r="D99" s="18"/>
      <c r="E99" s="17" t="s">
        <v>125</v>
      </c>
      <c r="F99" s="17" t="s">
        <v>139</v>
      </c>
      <c r="G99" s="18"/>
      <c r="H99" s="18"/>
    </row>
    <row r="100" spans="1:8" ht="13.2">
      <c r="A100" s="15" t="s">
        <v>235</v>
      </c>
      <c r="B100" s="29" t="s">
        <v>236</v>
      </c>
      <c r="C100" s="17">
        <v>5</v>
      </c>
      <c r="D100" s="26" t="str">
        <f>HYPERLINK("https://github.com/ajfabian/Competitive-Programming/blob/master/SPOJ/UCBINTC/a.cpp","Sol")</f>
        <v>Sol</v>
      </c>
      <c r="E100" s="17" t="s">
        <v>125</v>
      </c>
      <c r="F100" s="17" t="s">
        <v>139</v>
      </c>
      <c r="G100" s="18"/>
      <c r="H100" s="18"/>
    </row>
    <row r="101" spans="1:8" ht="13.2">
      <c r="A101" s="19" t="str">
        <f>HYPERLINK("https://codeforces.com/contest/1204/problem/D2", "CF1204-D2-D")</f>
        <v>CF1204-D2-D</v>
      </c>
      <c r="B101" s="20" t="s">
        <v>138</v>
      </c>
      <c r="C101" s="21">
        <v>5</v>
      </c>
      <c r="D101" s="18"/>
      <c r="E101" s="17" t="s">
        <v>125</v>
      </c>
      <c r="F101" s="17" t="s">
        <v>139</v>
      </c>
      <c r="G101" s="18"/>
      <c r="H101" s="18"/>
    </row>
    <row r="102" spans="1:8" ht="13.2">
      <c r="A102" s="19" t="str">
        <f>HYPERLINK("https://codeforces.com/contest/1270/problem/D","CF1270-D12-D")</f>
        <v>CF1270-D12-D</v>
      </c>
      <c r="B102" s="15" t="s">
        <v>138</v>
      </c>
      <c r="C102" s="17">
        <v>5</v>
      </c>
      <c r="D102" s="18"/>
      <c r="E102" s="17" t="s">
        <v>125</v>
      </c>
      <c r="F102" s="17" t="s">
        <v>139</v>
      </c>
      <c r="G102" s="18"/>
      <c r="H102" s="18"/>
    </row>
    <row r="103" spans="1:8" ht="13.2">
      <c r="A103" s="19" t="str">
        <f>HYPERLINK("http://codeforces.com/contest/41/problem/E","CF41-D2-E")</f>
        <v>CF41-D2-E</v>
      </c>
      <c r="B103" s="15" t="s">
        <v>138</v>
      </c>
      <c r="C103" s="17">
        <v>5</v>
      </c>
      <c r="D103" s="18"/>
      <c r="E103" s="17" t="s">
        <v>125</v>
      </c>
      <c r="F103" s="17" t="s">
        <v>139</v>
      </c>
      <c r="G103" s="18"/>
      <c r="H103" s="18"/>
    </row>
    <row r="104" spans="1:8" ht="13.2">
      <c r="A104" s="19" t="str">
        <f>HYPERLINK("https://codeforces.com/contest/1092/problem/D1","CF1092-D3-D1")</f>
        <v>CF1092-D3-D1</v>
      </c>
      <c r="B104" s="20" t="s">
        <v>237</v>
      </c>
      <c r="C104" s="21">
        <v>5</v>
      </c>
      <c r="D104" s="18"/>
      <c r="E104" s="17" t="s">
        <v>125</v>
      </c>
      <c r="F104" s="17" t="s">
        <v>139</v>
      </c>
      <c r="G104" s="18"/>
      <c r="H104" s="18"/>
    </row>
    <row r="105" spans="1:8" ht="13.2">
      <c r="A105" s="15" t="s">
        <v>238</v>
      </c>
      <c r="B105" s="15" t="s">
        <v>138</v>
      </c>
      <c r="C105" s="17">
        <v>5</v>
      </c>
      <c r="D105" s="18"/>
      <c r="E105" s="17" t="s">
        <v>125</v>
      </c>
      <c r="F105" s="17" t="s">
        <v>201</v>
      </c>
      <c r="G105" s="18"/>
      <c r="H105" s="18"/>
    </row>
    <row r="106" spans="1:8" ht="13.2">
      <c r="A106" s="19" t="str">
        <f>HYPERLINK("http://codeforces.com/contest/1110/problem/E","CF1110-D12-E")</f>
        <v>CF1110-D12-E</v>
      </c>
      <c r="B106" s="15" t="s">
        <v>138</v>
      </c>
      <c r="C106" s="17">
        <v>5</v>
      </c>
      <c r="D106" s="18"/>
      <c r="E106" s="17" t="s">
        <v>125</v>
      </c>
      <c r="F106" s="17" t="s">
        <v>201</v>
      </c>
      <c r="G106" s="18"/>
      <c r="H106" s="18"/>
    </row>
    <row r="107" spans="1:8" ht="13.2">
      <c r="A107" s="15" t="s">
        <v>239</v>
      </c>
      <c r="B107" s="29" t="s">
        <v>240</v>
      </c>
      <c r="C107" s="31">
        <v>5</v>
      </c>
      <c r="D107" s="18" t="s">
        <v>241</v>
      </c>
      <c r="E107" s="17" t="s">
        <v>125</v>
      </c>
      <c r="F107" s="17" t="s">
        <v>201</v>
      </c>
      <c r="G107" s="18"/>
      <c r="H107" s="18"/>
    </row>
    <row r="108" spans="1:8" ht="13.2">
      <c r="A108" s="19" t="str">
        <f>HYPERLINK("http://codeforces.com/contest/344/problem/D","CF344-D2-D")</f>
        <v>CF344-D2-D</v>
      </c>
      <c r="B108" s="29" t="s">
        <v>124</v>
      </c>
      <c r="C108" s="17">
        <v>5</v>
      </c>
      <c r="D108" s="18"/>
      <c r="E108" s="17" t="s">
        <v>125</v>
      </c>
      <c r="F108" s="17" t="s">
        <v>242</v>
      </c>
      <c r="G108" s="18"/>
      <c r="H108" s="18"/>
    </row>
    <row r="109" spans="1:8" ht="13.2">
      <c r="A109" s="15" t="s">
        <v>243</v>
      </c>
      <c r="B109" s="34" t="s">
        <v>244</v>
      </c>
      <c r="C109" s="31">
        <v>5</v>
      </c>
      <c r="D109" s="18"/>
      <c r="E109" s="17" t="s">
        <v>125</v>
      </c>
      <c r="F109" s="17" t="s">
        <v>242</v>
      </c>
      <c r="G109" s="18"/>
      <c r="H109" s="18"/>
    </row>
    <row r="110" spans="1:8" ht="13.2">
      <c r="A110" s="19" t="str">
        <f>HYPERLINK("http://codeforces.com/contest/1005/problem/E1","CF1005-D3-E1")</f>
        <v>CF1005-D3-E1</v>
      </c>
      <c r="B110" s="20" t="s">
        <v>245</v>
      </c>
      <c r="C110" s="21">
        <v>5</v>
      </c>
      <c r="D110" s="18"/>
      <c r="E110" s="17" t="s">
        <v>125</v>
      </c>
      <c r="F110" s="17" t="s">
        <v>242</v>
      </c>
      <c r="G110" s="18"/>
      <c r="H110" s="18"/>
    </row>
    <row r="111" spans="1:8" ht="13.2">
      <c r="A111" s="19" t="str">
        <f>HYPERLINK("https://agc003.contest.atcoder.jp/tasks/agc003_a","AtCoder003-AGC-A")</f>
        <v>AtCoder003-AGC-A</v>
      </c>
      <c r="B111" s="15" t="s">
        <v>124</v>
      </c>
      <c r="C111" s="17">
        <v>5</v>
      </c>
      <c r="D111" s="18"/>
      <c r="E111" s="17" t="s">
        <v>125</v>
      </c>
      <c r="F111" s="17"/>
      <c r="G111" s="18"/>
      <c r="H111" s="18"/>
    </row>
    <row r="112" spans="1:8" ht="13.2">
      <c r="A112" s="19" t="str">
        <f>HYPERLINK("http://codeforces.com/problemset/gymProblem/100812/B","CF100182-GYM-B")</f>
        <v>CF100182-GYM-B</v>
      </c>
      <c r="B112" s="15" t="s">
        <v>124</v>
      </c>
      <c r="C112" s="17">
        <v>5</v>
      </c>
      <c r="D112" s="18"/>
      <c r="E112" s="17" t="s">
        <v>125</v>
      </c>
      <c r="F112" s="17"/>
      <c r="G112" s="18"/>
      <c r="H112" s="18"/>
    </row>
    <row r="113" spans="1:8" ht="13.2">
      <c r="A113" s="19" t="str">
        <f>HYPERLINK("http://codeforces.com/contest/63/problem/D","CF63-D2-D")</f>
        <v>CF63-D2-D</v>
      </c>
      <c r="B113" s="29" t="s">
        <v>124</v>
      </c>
      <c r="C113" s="17">
        <v>5</v>
      </c>
      <c r="D113" s="18"/>
      <c r="E113" s="17" t="s">
        <v>125</v>
      </c>
      <c r="F113" s="17"/>
      <c r="G113" s="18"/>
      <c r="H113" s="18"/>
    </row>
    <row r="114" spans="1:8" ht="13.2">
      <c r="A114" s="19" t="str">
        <f>HYPERLINK("http://codeforces.com/problemset/problem/957/D","CF957-D2-D")</f>
        <v>CF957-D2-D</v>
      </c>
      <c r="B114" s="15" t="s">
        <v>124</v>
      </c>
      <c r="C114" s="17">
        <v>5</v>
      </c>
      <c r="D114" s="18"/>
      <c r="E114" s="17" t="s">
        <v>125</v>
      </c>
      <c r="F114" s="17"/>
      <c r="G114" s="18"/>
      <c r="H114" s="18"/>
    </row>
    <row r="115" spans="1:8" ht="13.2">
      <c r="A115" s="19" t="str">
        <f>HYPERLINK("https://www.codechef.com/problems/FRCPRT", "CODECHEF FRCPRT")</f>
        <v>CODECHEF FRCPRT</v>
      </c>
      <c r="B115" s="29" t="s">
        <v>124</v>
      </c>
      <c r="C115" s="21">
        <v>5</v>
      </c>
      <c r="D115" s="18"/>
      <c r="E115" s="17" t="s">
        <v>125</v>
      </c>
      <c r="F115" s="17"/>
      <c r="G115" s="18"/>
      <c r="H115" s="18"/>
    </row>
    <row r="116" spans="1:8" ht="13.2">
      <c r="A116" s="19" t="str">
        <f>HYPERLINK("https://codejam.withgoogle.com/2018/challenges/0000000000007706/dashboard", "CODEJAM 18-R2-A")</f>
        <v>CODEJAM 18-R2-A</v>
      </c>
      <c r="B116" s="20" t="s">
        <v>124</v>
      </c>
      <c r="C116" s="21">
        <v>5</v>
      </c>
      <c r="D116" s="18"/>
      <c r="E116" s="17" t="s">
        <v>125</v>
      </c>
      <c r="F116" s="17"/>
      <c r="G116" s="18"/>
      <c r="H116" s="18"/>
    </row>
    <row r="117" spans="1:8" ht="13.2">
      <c r="A117" s="15" t="s">
        <v>246</v>
      </c>
      <c r="B117" s="15" t="s">
        <v>124</v>
      </c>
      <c r="C117" s="24">
        <v>5</v>
      </c>
      <c r="D117" s="18"/>
      <c r="E117" s="17" t="s">
        <v>125</v>
      </c>
      <c r="F117" s="17"/>
      <c r="G117" s="18"/>
      <c r="H117" s="18"/>
    </row>
    <row r="118" spans="1:8" ht="13.2">
      <c r="A118" s="19" t="str">
        <f>HYPERLINK("https://codeforces.com/contest/1047/problem/D","CF1047-D2-D")</f>
        <v>CF1047-D2-D</v>
      </c>
      <c r="B118" s="15" t="s">
        <v>247</v>
      </c>
      <c r="C118" s="17">
        <v>5</v>
      </c>
      <c r="D118" s="18"/>
      <c r="E118" s="17" t="s">
        <v>125</v>
      </c>
      <c r="F118" s="17"/>
      <c r="G118" s="18"/>
      <c r="H118" s="18"/>
    </row>
    <row r="119" spans="1:8" ht="13.2">
      <c r="A119" s="19" t="str">
        <f>HYPERLINK("https://agc004.contest.atcoder.jp/tasks/agc004_c","AtCoder004-AGC-C")</f>
        <v>AtCoder004-AGC-C</v>
      </c>
      <c r="B119" s="15" t="s">
        <v>213</v>
      </c>
      <c r="C119" s="17">
        <v>5</v>
      </c>
      <c r="D119" s="18"/>
      <c r="E119" s="17" t="s">
        <v>125</v>
      </c>
      <c r="F119" s="17"/>
      <c r="G119" s="18"/>
      <c r="H119" s="18"/>
    </row>
    <row r="120" spans="1:8" ht="13.2">
      <c r="A120" s="15" t="s">
        <v>248</v>
      </c>
      <c r="B120" s="29" t="s">
        <v>249</v>
      </c>
      <c r="C120" s="17">
        <v>5</v>
      </c>
      <c r="D120" s="18"/>
      <c r="E120" s="24" t="s">
        <v>125</v>
      </c>
      <c r="F120" s="17"/>
      <c r="G120" s="18"/>
      <c r="H120" s="18"/>
    </row>
    <row r="121" spans="1:8" ht="13.2">
      <c r="A121" s="15" t="s">
        <v>250</v>
      </c>
      <c r="B121" s="29" t="s">
        <v>251</v>
      </c>
      <c r="C121" s="17">
        <v>5</v>
      </c>
      <c r="D121" s="18"/>
      <c r="E121" s="17" t="s">
        <v>125</v>
      </c>
      <c r="F121" s="17"/>
      <c r="G121" s="18"/>
      <c r="H121" s="18"/>
    </row>
    <row r="122" spans="1:8" ht="13.2">
      <c r="A122" s="19" t="str">
        <f>HYPERLINK("http://codeforces.com/problemset/problem/56/C","CF56-D2-C")</f>
        <v>CF56-D2-C</v>
      </c>
      <c r="B122" s="15" t="s">
        <v>252</v>
      </c>
      <c r="C122" s="17">
        <v>5</v>
      </c>
      <c r="D122" s="18"/>
      <c r="E122" s="17" t="s">
        <v>125</v>
      </c>
      <c r="F122" s="17"/>
      <c r="G122" s="18"/>
      <c r="H122" s="18"/>
    </row>
    <row r="123" spans="1:8" ht="13.2">
      <c r="A123" s="15" t="s">
        <v>253</v>
      </c>
      <c r="B123" s="15" t="s">
        <v>254</v>
      </c>
      <c r="C123" s="24">
        <v>5</v>
      </c>
      <c r="D123" s="18"/>
      <c r="E123" s="17" t="s">
        <v>125</v>
      </c>
      <c r="F123" s="17"/>
      <c r="G123" s="18"/>
      <c r="H123" s="18"/>
    </row>
    <row r="124" spans="1:8" ht="13.2">
      <c r="A124" s="19" t="str">
        <f>HYPERLINK("http://codeforces.com/contest/189/problem/C","CF189-D2-C")</f>
        <v>CF189-D2-C</v>
      </c>
      <c r="B124" s="29" t="s">
        <v>124</v>
      </c>
      <c r="C124" s="17">
        <v>4.5</v>
      </c>
      <c r="D124" s="26" t="str">
        <f>HYPERLINK("https://github.com/MedoN11/CompetitiveProgramming/blob/master/CodeForces/CF189-D1-C.cpp","Sol")</f>
        <v>Sol</v>
      </c>
      <c r="E124" s="17" t="s">
        <v>125</v>
      </c>
      <c r="F124" s="17" t="s">
        <v>255</v>
      </c>
      <c r="G124" s="18"/>
      <c r="H124" s="18"/>
    </row>
    <row r="125" spans="1:8" ht="13.2">
      <c r="A125" s="19" t="str">
        <f>HYPERLINK("http://agc019.contest.atcoder.jp/tasks/agc019_b","AtCoder019-AGC-B")</f>
        <v>AtCoder019-AGC-B</v>
      </c>
      <c r="B125" s="15" t="s">
        <v>124</v>
      </c>
      <c r="C125" s="24">
        <v>4.5</v>
      </c>
      <c r="D125" s="26" t="str">
        <f>HYPERLINK("https://github.com/MedoN11/CompetitiveProgramming/blob/master/Atcoder/ATCODER-AGC-019-B.cpp","Sol")</f>
        <v>Sol</v>
      </c>
      <c r="E125" s="17" t="s">
        <v>125</v>
      </c>
      <c r="F125" s="17" t="s">
        <v>229</v>
      </c>
      <c r="G125" s="18"/>
      <c r="H125" s="18"/>
    </row>
    <row r="126" spans="1:8" ht="13.2">
      <c r="A126" s="15" t="s">
        <v>256</v>
      </c>
      <c r="B126" s="15" t="s">
        <v>257</v>
      </c>
      <c r="C126" s="24">
        <v>4.5</v>
      </c>
      <c r="D126" s="26" t="str">
        <f>HYPERLINK("https://github.com/OmarKharouba/CompetitiveProgramming/blob/master/Timus/Timus_1689.java?fref=gc&amp;dti=160725894286891","Sol")</f>
        <v>Sol</v>
      </c>
      <c r="E126" s="17" t="s">
        <v>125</v>
      </c>
      <c r="F126" s="17" t="s">
        <v>229</v>
      </c>
      <c r="G126" s="18"/>
      <c r="H126" s="18"/>
    </row>
    <row r="127" spans="1:8" ht="13.2">
      <c r="A127" s="19" t="str">
        <f>HYPERLINK("https://atcoder.jp/contests/agc006/tasks/agc006_b","Atcoder006-AGC-B")</f>
        <v>Atcoder006-AGC-B</v>
      </c>
      <c r="B127" s="20" t="s">
        <v>124</v>
      </c>
      <c r="C127" s="21">
        <v>4.5</v>
      </c>
      <c r="D127" s="18"/>
      <c r="E127" s="17" t="s">
        <v>125</v>
      </c>
      <c r="F127" s="17" t="s">
        <v>139</v>
      </c>
      <c r="G127" s="18"/>
      <c r="H127" s="18"/>
    </row>
    <row r="128" spans="1:8" ht="13.2">
      <c r="A128" s="19" t="str">
        <f>HYPERLINK("https://www.codechef.com/JUNE19A/problems/LENTMO","Codechef LENTMO")</f>
        <v>Codechef LENTMO</v>
      </c>
      <c r="B128" s="20" t="s">
        <v>258</v>
      </c>
      <c r="C128" s="21">
        <v>4.5</v>
      </c>
      <c r="D128" s="18"/>
      <c r="E128" s="17" t="s">
        <v>125</v>
      </c>
      <c r="F128" s="17" t="s">
        <v>139</v>
      </c>
      <c r="G128" s="18"/>
      <c r="H128" s="18"/>
    </row>
    <row r="129" spans="1:8" ht="13.2">
      <c r="A129" s="15" t="s">
        <v>259</v>
      </c>
      <c r="B129" s="15" t="s">
        <v>260</v>
      </c>
      <c r="C129" s="17">
        <v>4.5</v>
      </c>
      <c r="D129" s="26" t="str">
        <f>HYPERLINK("https://github.com/ahmedsamir221/CompetitiveProgramming/blob/master/SPOJ/SPOJ%20KOMPICI.cpp","Sol")</f>
        <v>Sol</v>
      </c>
      <c r="E129" s="17" t="s">
        <v>125</v>
      </c>
      <c r="F129" s="17" t="s">
        <v>139</v>
      </c>
      <c r="G129" s="18"/>
      <c r="H129" s="18"/>
    </row>
    <row r="130" spans="1:8" ht="13.2">
      <c r="A130" s="19" t="str">
        <f>HYPERLINK("https://codeforces.com/contest/1148/problem/C","CF1148-D12-C")</f>
        <v>CF1148-D12-C</v>
      </c>
      <c r="B130" s="20" t="s">
        <v>213</v>
      </c>
      <c r="C130" s="17">
        <v>4.5</v>
      </c>
      <c r="D130" s="18"/>
      <c r="E130" s="17" t="s">
        <v>125</v>
      </c>
      <c r="F130" s="17" t="s">
        <v>139</v>
      </c>
      <c r="G130" s="18"/>
      <c r="H130" s="18"/>
    </row>
    <row r="131" spans="1:8" ht="13.2">
      <c r="A131" s="15" t="s">
        <v>261</v>
      </c>
      <c r="B131" s="29" t="s">
        <v>262</v>
      </c>
      <c r="C131" s="24">
        <v>4.5</v>
      </c>
      <c r="D131" s="18"/>
      <c r="E131" s="17" t="s">
        <v>125</v>
      </c>
      <c r="F131" s="17" t="s">
        <v>227</v>
      </c>
      <c r="G131" s="18"/>
      <c r="H131" s="18"/>
    </row>
    <row r="132" spans="1:8" ht="13.2">
      <c r="A132" s="15" t="s">
        <v>263</v>
      </c>
      <c r="B132" s="29" t="s">
        <v>264</v>
      </c>
      <c r="C132" s="24">
        <v>4.5</v>
      </c>
      <c r="D132" s="18"/>
      <c r="E132" s="17" t="s">
        <v>125</v>
      </c>
      <c r="F132" s="17" t="s">
        <v>201</v>
      </c>
      <c r="G132" s="18"/>
      <c r="H132" s="18"/>
    </row>
    <row r="133" spans="1:8" ht="13.2">
      <c r="A133" s="15" t="s">
        <v>265</v>
      </c>
      <c r="B133" s="29" t="s">
        <v>266</v>
      </c>
      <c r="C133" s="24">
        <v>4.5</v>
      </c>
      <c r="D133" s="18"/>
      <c r="E133" s="17" t="s">
        <v>125</v>
      </c>
      <c r="F133" s="17" t="s">
        <v>201</v>
      </c>
      <c r="G133" s="18"/>
      <c r="H133" s="18"/>
    </row>
    <row r="134" spans="1:8" ht="13.2">
      <c r="A134" s="19" t="str">
        <f>HYPERLINK("http://codeforces.com/contest/157/problem/D","CF157-D2-D")</f>
        <v>CF157-D2-D</v>
      </c>
      <c r="B134" s="29" t="s">
        <v>124</v>
      </c>
      <c r="C134" s="17">
        <v>4.5</v>
      </c>
      <c r="D134" s="18"/>
      <c r="E134" s="17" t="s">
        <v>125</v>
      </c>
      <c r="F134" s="17" t="s">
        <v>242</v>
      </c>
      <c r="G134" s="18"/>
      <c r="H134" s="18"/>
    </row>
    <row r="135" spans="1:8" ht="13.2">
      <c r="A135" s="19" t="str">
        <f>HYPERLINK("http://codeforces.com/contest/1042/problem/C","CF1042-D2-C")</f>
        <v>CF1042-D2-C</v>
      </c>
      <c r="B135" s="20" t="s">
        <v>267</v>
      </c>
      <c r="C135" s="21">
        <v>4.5</v>
      </c>
      <c r="D135" s="18"/>
      <c r="E135" s="17" t="s">
        <v>125</v>
      </c>
      <c r="F135" s="17" t="s">
        <v>242</v>
      </c>
      <c r="G135" s="18"/>
      <c r="H135" s="18"/>
    </row>
    <row r="136" spans="1:8" ht="13.2">
      <c r="A136" s="19" t="str">
        <f>HYPERLINK("http://codeforces.com/contest/808/problem/D","CF808-D12-D")</f>
        <v>CF808-D12-D</v>
      </c>
      <c r="B136" s="29" t="s">
        <v>268</v>
      </c>
      <c r="C136" s="17">
        <v>4.5</v>
      </c>
      <c r="D136" s="18"/>
      <c r="E136" s="17" t="s">
        <v>125</v>
      </c>
      <c r="F136" s="17" t="s">
        <v>242</v>
      </c>
      <c r="G136" s="18"/>
      <c r="H136" s="18"/>
    </row>
    <row r="137" spans="1:8" ht="13.2">
      <c r="A137" s="19" t="str">
        <f>HYPERLINK("https://agc005.contest.atcoder.jp/tasks/agc005_a","AtCoder005-AGC-A")</f>
        <v>AtCoder005-AGC-A</v>
      </c>
      <c r="B137" s="15" t="s">
        <v>124</v>
      </c>
      <c r="C137" s="17">
        <v>4.5</v>
      </c>
      <c r="D137" s="18"/>
      <c r="E137" s="17" t="s">
        <v>125</v>
      </c>
      <c r="F137" s="17"/>
      <c r="G137" s="18"/>
      <c r="H137" s="18"/>
    </row>
    <row r="138" spans="1:8" ht="13.2">
      <c r="A138" s="19" t="str">
        <f>HYPERLINK("http://codeforces.com/contest/298/problem/D","CF298-D2-D")</f>
        <v>CF298-D2-D</v>
      </c>
      <c r="B138" s="29" t="s">
        <v>124</v>
      </c>
      <c r="C138" s="17">
        <v>4.5</v>
      </c>
      <c r="D138" s="18"/>
      <c r="E138" s="17" t="s">
        <v>125</v>
      </c>
      <c r="F138" s="17"/>
      <c r="G138" s="18"/>
      <c r="H138" s="18"/>
    </row>
    <row r="139" spans="1:8" ht="13.2">
      <c r="A139" s="19" t="str">
        <f>HYPERLINK("http://codeforces.com/contest/353/problem/D","CF353-D2-D")</f>
        <v>CF353-D2-D</v>
      </c>
      <c r="B139" s="29" t="s">
        <v>124</v>
      </c>
      <c r="C139" s="17">
        <v>4.5</v>
      </c>
      <c r="D139" s="18"/>
      <c r="E139" s="17" t="s">
        <v>125</v>
      </c>
      <c r="F139" s="17"/>
      <c r="G139" s="18"/>
      <c r="H139" s="18"/>
    </row>
    <row r="140" spans="1:8" ht="13.2">
      <c r="A140" s="19" t="str">
        <f>HYPERLINK("http://codeforces.com/contest/124/problem/C","CF124-D2-C")</f>
        <v>CF124-D2-C</v>
      </c>
      <c r="B140" s="29" t="s">
        <v>138</v>
      </c>
      <c r="C140" s="17">
        <v>4.5</v>
      </c>
      <c r="D140" s="18"/>
      <c r="E140" s="17" t="s">
        <v>125</v>
      </c>
      <c r="F140" s="17"/>
      <c r="G140" s="18"/>
      <c r="H140" s="18"/>
    </row>
    <row r="141" spans="1:8" ht="13.2">
      <c r="A141" s="19" t="str">
        <f>HYPERLINK("http://codeforces.com/contest/493/problem/D","CF493-D2-D")</f>
        <v>CF493-D2-D</v>
      </c>
      <c r="B141" s="29" t="s">
        <v>138</v>
      </c>
      <c r="C141" s="17">
        <v>4.5</v>
      </c>
      <c r="D141" s="18"/>
      <c r="E141" s="17" t="s">
        <v>125</v>
      </c>
      <c r="F141" s="17"/>
      <c r="G141" s="18"/>
      <c r="H141" s="18"/>
    </row>
    <row r="142" spans="1:8" ht="13.2">
      <c r="A142" s="15" t="s">
        <v>269</v>
      </c>
      <c r="B142" s="18" t="s">
        <v>270</v>
      </c>
      <c r="C142" s="24">
        <v>4.5</v>
      </c>
      <c r="D142" s="26" t="str">
        <f>HYPERLINK("https://ideone.com/wPylKR","Sol")</f>
        <v>Sol</v>
      </c>
      <c r="E142" s="17" t="s">
        <v>125</v>
      </c>
      <c r="F142" s="17"/>
      <c r="G142" s="18"/>
      <c r="H142" s="18"/>
    </row>
    <row r="143" spans="1:8" ht="13.2">
      <c r="A143" s="15" t="s">
        <v>271</v>
      </c>
      <c r="B143" s="29" t="s">
        <v>245</v>
      </c>
      <c r="C143" s="17">
        <v>4.5</v>
      </c>
      <c r="D143" s="26" t="str">
        <f>HYPERLINK("https://github.com/arvindr9/CompetitiveProgramming/blob/master/UVA/UVA%201726.cpp","Sol")</f>
        <v>Sol</v>
      </c>
      <c r="E143" s="17" t="s">
        <v>125</v>
      </c>
      <c r="F143" s="17"/>
      <c r="G143" s="18"/>
      <c r="H143" s="18"/>
    </row>
    <row r="144" spans="1:8" ht="13.2">
      <c r="A144" s="19" t="str">
        <f>HYPERLINK("http://codeforces.com/contest/195/problem/C","CF195-D2-C")</f>
        <v>CF195-D2-C</v>
      </c>
      <c r="B144" s="29" t="s">
        <v>272</v>
      </c>
      <c r="C144" s="17">
        <v>4.5</v>
      </c>
      <c r="D144" s="18"/>
      <c r="E144" s="17" t="s">
        <v>125</v>
      </c>
      <c r="F144" s="17"/>
      <c r="G144" s="18"/>
      <c r="H144" s="18"/>
    </row>
    <row r="145" spans="1:8" ht="13.2">
      <c r="A145" s="19" t="str">
        <f>HYPERLINK("http://codeforces.com/contest/59/problem/C","CF59-D2-C")</f>
        <v>CF59-D2-C</v>
      </c>
      <c r="B145" s="29" t="s">
        <v>272</v>
      </c>
      <c r="C145" s="17">
        <v>4.5</v>
      </c>
      <c r="D145" s="18"/>
      <c r="E145" s="17" t="s">
        <v>125</v>
      </c>
      <c r="F145" s="17"/>
      <c r="G145" s="18"/>
      <c r="H145" s="18"/>
    </row>
    <row r="146" spans="1:8" ht="13.2">
      <c r="A146" s="15" t="s">
        <v>273</v>
      </c>
      <c r="B146" s="35" t="s">
        <v>274</v>
      </c>
      <c r="C146" s="24">
        <v>4.5</v>
      </c>
      <c r="D146" s="18"/>
      <c r="E146" s="17" t="s">
        <v>125</v>
      </c>
      <c r="F146" s="17"/>
      <c r="G146" s="18"/>
      <c r="H146" s="18"/>
    </row>
    <row r="147" spans="1:8" ht="13.2">
      <c r="A147" s="15" t="s">
        <v>275</v>
      </c>
      <c r="B147" s="15" t="s">
        <v>276</v>
      </c>
      <c r="C147" s="17">
        <v>4.25</v>
      </c>
      <c r="D147" s="18"/>
      <c r="E147" s="17" t="s">
        <v>125</v>
      </c>
      <c r="F147" s="17" t="s">
        <v>139</v>
      </c>
      <c r="G147" s="18"/>
      <c r="H147" s="18"/>
    </row>
    <row r="148" spans="1:8" ht="13.2">
      <c r="A148" s="19" t="str">
        <f>HYPERLINK("https://codeforces.com/contest/1066/problem/E","CF1066-D3-E")</f>
        <v>CF1066-D3-E</v>
      </c>
      <c r="B148" s="20" t="s">
        <v>277</v>
      </c>
      <c r="C148" s="21">
        <v>4.25</v>
      </c>
      <c r="D148" s="18"/>
      <c r="E148" s="17" t="s">
        <v>125</v>
      </c>
      <c r="F148" s="17" t="s">
        <v>139</v>
      </c>
      <c r="G148" s="18"/>
      <c r="H148" s="18"/>
    </row>
    <row r="149" spans="1:8" ht="13.2">
      <c r="A149" s="15" t="s">
        <v>278</v>
      </c>
      <c r="B149" s="15" t="s">
        <v>124</v>
      </c>
      <c r="C149" s="17">
        <v>4</v>
      </c>
      <c r="D149" s="18"/>
      <c r="E149" s="17" t="s">
        <v>125</v>
      </c>
      <c r="F149" s="17" t="s">
        <v>229</v>
      </c>
      <c r="G149" s="18"/>
      <c r="H149" s="18"/>
    </row>
    <row r="150" spans="1:8" ht="13.2">
      <c r="A150" s="19" t="str">
        <f>HYPERLINK("http://codeforces.com/contest/375/problem/B","CF375-D1-B")</f>
        <v>CF375-D1-B</v>
      </c>
      <c r="B150" s="29" t="s">
        <v>212</v>
      </c>
      <c r="C150" s="17">
        <v>4</v>
      </c>
      <c r="D150" s="18"/>
      <c r="E150" s="17" t="s">
        <v>125</v>
      </c>
      <c r="F150" s="17" t="s">
        <v>229</v>
      </c>
      <c r="G150" s="18"/>
      <c r="H150" s="18"/>
    </row>
    <row r="151" spans="1:8" ht="13.2">
      <c r="A151" s="15" t="s">
        <v>279</v>
      </c>
      <c r="B151" s="34" t="s">
        <v>212</v>
      </c>
      <c r="C151" s="17">
        <v>4</v>
      </c>
      <c r="D151" s="18"/>
      <c r="E151" s="17" t="s">
        <v>125</v>
      </c>
      <c r="F151" s="17" t="s">
        <v>229</v>
      </c>
      <c r="G151" s="18"/>
      <c r="H151" s="18"/>
    </row>
    <row r="152" spans="1:8" ht="13.2">
      <c r="A152" s="19" t="str">
        <f>HYPERLINK("https://codeforces.com/contest/1207/problem/E", "CF1207-D12-E")</f>
        <v>CF1207-D12-E</v>
      </c>
      <c r="B152" s="20" t="s">
        <v>280</v>
      </c>
      <c r="C152" s="17">
        <v>4</v>
      </c>
      <c r="D152" s="18"/>
      <c r="E152" s="17" t="s">
        <v>125</v>
      </c>
      <c r="F152" s="17" t="s">
        <v>139</v>
      </c>
      <c r="G152" s="18"/>
      <c r="H152" s="18"/>
    </row>
    <row r="153" spans="1:8" ht="13.2">
      <c r="A153" s="19" t="str">
        <f>HYPERLINK("http://codeforces.com/contest/1043/problem/C","CF1043-D12-C")</f>
        <v>CF1043-D12-C</v>
      </c>
      <c r="B153" s="15" t="s">
        <v>138</v>
      </c>
      <c r="C153" s="17">
        <v>4</v>
      </c>
      <c r="D153" s="18"/>
      <c r="E153" s="17" t="s">
        <v>125</v>
      </c>
      <c r="F153" s="17" t="s">
        <v>139</v>
      </c>
      <c r="G153" s="18"/>
      <c r="H153" s="18"/>
    </row>
    <row r="154" spans="1:8" ht="13.2">
      <c r="A154" s="19" t="str">
        <f>HYPERLINK("http://codeforces.com/contest/1075/problem/C","CF1075-D2-C")</f>
        <v>CF1075-D2-C</v>
      </c>
      <c r="B154" s="20" t="s">
        <v>281</v>
      </c>
      <c r="C154" s="21">
        <v>4</v>
      </c>
      <c r="D154" s="18"/>
      <c r="E154" s="17" t="s">
        <v>125</v>
      </c>
      <c r="F154" s="17" t="s">
        <v>139</v>
      </c>
      <c r="G154" s="18"/>
      <c r="H154" s="18"/>
    </row>
    <row r="155" spans="1:8" ht="13.2">
      <c r="A155" s="19" t="str">
        <f>HYPERLINK("http://codeforces.com/contest/122/problem/D","CF122-D2-D")</f>
        <v>CF122-D2-D</v>
      </c>
      <c r="B155" s="29" t="s">
        <v>147</v>
      </c>
      <c r="C155" s="17">
        <v>4</v>
      </c>
      <c r="D155" s="18"/>
      <c r="E155" s="17" t="s">
        <v>125</v>
      </c>
      <c r="F155" s="17" t="s">
        <v>139</v>
      </c>
      <c r="G155" s="18"/>
      <c r="H155" s="18"/>
    </row>
    <row r="156" spans="1:8" ht="13.2">
      <c r="A156" s="19" t="str">
        <f>HYPERLINK("https://www.codechef.com/LTIME64B/problems/OPPOSITE", "CODECHEF OPPOSITE")</f>
        <v>CODECHEF OPPOSITE</v>
      </c>
      <c r="B156" s="15" t="s">
        <v>124</v>
      </c>
      <c r="C156" s="17">
        <v>4</v>
      </c>
      <c r="D156" s="18"/>
      <c r="E156" s="17" t="s">
        <v>125</v>
      </c>
      <c r="F156" s="17" t="s">
        <v>201</v>
      </c>
      <c r="G156" s="18"/>
      <c r="H156" s="18"/>
    </row>
    <row r="157" spans="1:8" ht="13.2">
      <c r="A157" s="15" t="s">
        <v>282</v>
      </c>
      <c r="B157" s="29" t="s">
        <v>283</v>
      </c>
      <c r="C157" s="17">
        <v>4</v>
      </c>
      <c r="D157" s="26" t="str">
        <f>HYPERLINK("https://github.com/mostafa-saad/MyCompetitiveProgramming/blob/master/SPOJ/SPOJ_TWINSNOW.txt","Sol - text clarification")</f>
        <v>Sol - text clarification</v>
      </c>
      <c r="E157" s="17" t="s">
        <v>125</v>
      </c>
      <c r="F157" s="17" t="s">
        <v>201</v>
      </c>
      <c r="G157" s="18"/>
      <c r="H157" s="18"/>
    </row>
    <row r="158" spans="1:8" ht="13.2">
      <c r="A158" s="19" t="str">
        <f>HYPERLINK("http://codeforces.com/contest/466/problem/C","CF466-D2-C")</f>
        <v>CF466-D2-C</v>
      </c>
      <c r="B158" s="29" t="s">
        <v>284</v>
      </c>
      <c r="C158" s="17">
        <v>4</v>
      </c>
      <c r="D158" s="18"/>
      <c r="E158" s="17" t="s">
        <v>125</v>
      </c>
      <c r="F158" s="17" t="s">
        <v>201</v>
      </c>
      <c r="G158" s="18"/>
      <c r="H158" s="18"/>
    </row>
    <row r="159" spans="1:8" ht="13.2">
      <c r="A159" s="19" t="str">
        <f>HYPERLINK("http://codeforces.com/contest/112/problem/D","CF112-D2-D")</f>
        <v>CF112-D2-D</v>
      </c>
      <c r="B159" s="18" t="s">
        <v>285</v>
      </c>
      <c r="C159" s="17">
        <v>4</v>
      </c>
      <c r="D159" s="18"/>
      <c r="E159" s="17" t="s">
        <v>125</v>
      </c>
      <c r="F159" s="17" t="s">
        <v>201</v>
      </c>
      <c r="G159" s="18"/>
      <c r="H159" s="18"/>
    </row>
    <row r="160" spans="1:8" ht="13.2">
      <c r="A160" s="19" t="str">
        <f>HYPERLINK("http://codeforces.com/problemset/problem/296/C","CF296-D2-C")</f>
        <v>CF296-D2-C</v>
      </c>
      <c r="B160" s="29" t="s">
        <v>245</v>
      </c>
      <c r="C160" s="17">
        <v>4</v>
      </c>
      <c r="D160" s="18"/>
      <c r="E160" s="17" t="s">
        <v>125</v>
      </c>
      <c r="F160" s="17" t="s">
        <v>201</v>
      </c>
      <c r="G160" s="18"/>
      <c r="H160" s="18"/>
    </row>
    <row r="161" spans="1:8" ht="13.2">
      <c r="A161" s="15" t="s">
        <v>286</v>
      </c>
      <c r="B161" s="29" t="s">
        <v>287</v>
      </c>
      <c r="C161" s="17">
        <v>4</v>
      </c>
      <c r="D161" s="18"/>
      <c r="E161" s="17" t="s">
        <v>125</v>
      </c>
      <c r="F161" s="17" t="s">
        <v>201</v>
      </c>
      <c r="G161" s="18"/>
      <c r="H161" s="18"/>
    </row>
    <row r="162" spans="1:8" ht="13.2">
      <c r="A162" s="15" t="s">
        <v>288</v>
      </c>
      <c r="B162" s="15" t="s">
        <v>124</v>
      </c>
      <c r="C162" s="17">
        <v>4</v>
      </c>
      <c r="D162" s="18"/>
      <c r="E162" s="17" t="s">
        <v>125</v>
      </c>
      <c r="F162" s="17" t="s">
        <v>242</v>
      </c>
      <c r="G162" s="18"/>
      <c r="H162" s="18"/>
    </row>
    <row r="163" spans="1:8" ht="13.2">
      <c r="A163" s="19" t="str">
        <f>HYPERLINK("http://codeforces.com/contest/733/problem/D","CF733-D2-D")</f>
        <v>CF733-D2-D</v>
      </c>
      <c r="B163" s="18" t="s">
        <v>124</v>
      </c>
      <c r="C163" s="17">
        <v>4</v>
      </c>
      <c r="D163" s="18"/>
      <c r="E163" s="17" t="s">
        <v>125</v>
      </c>
      <c r="F163" s="17"/>
      <c r="G163" s="18"/>
      <c r="H163" s="18"/>
    </row>
    <row r="164" spans="1:8" ht="13.2">
      <c r="A164" s="19" t="str">
        <f>HYPERLINK("http://codeforces.com/contest/822/problem/C","CF822-D2-C")</f>
        <v>CF822-D2-C</v>
      </c>
      <c r="B164" s="29" t="s">
        <v>124</v>
      </c>
      <c r="C164" s="33">
        <v>4</v>
      </c>
      <c r="D164" s="18"/>
      <c r="E164" s="17" t="s">
        <v>125</v>
      </c>
      <c r="F164" s="17"/>
      <c r="G164" s="18"/>
      <c r="H164" s="18"/>
    </row>
    <row r="165" spans="1:8" ht="13.2">
      <c r="A165" s="19" t="str">
        <f>HYPERLINK("http://codeforces.com/problemset/problem/869/B","CF869-D2-B")</f>
        <v>CF869-D2-B</v>
      </c>
      <c r="B165" s="36" t="s">
        <v>124</v>
      </c>
      <c r="C165" s="17">
        <v>4</v>
      </c>
      <c r="D165" s="18"/>
      <c r="E165" s="17" t="s">
        <v>125</v>
      </c>
      <c r="F165" s="17"/>
      <c r="G165" s="18"/>
      <c r="H165" s="18"/>
    </row>
    <row r="166" spans="1:8" ht="13.2">
      <c r="A166" s="19" t="str">
        <f>HYPERLINK("https://www.codechef.com/problems/ORMATRIX", "CODECHEF ORMATRIX")</f>
        <v>CODECHEF ORMATRIX</v>
      </c>
      <c r="B166" s="20" t="s">
        <v>124</v>
      </c>
      <c r="C166" s="21">
        <v>4</v>
      </c>
      <c r="D166" s="18"/>
      <c r="E166" s="17" t="s">
        <v>125</v>
      </c>
      <c r="F166" s="17"/>
      <c r="G166" s="18"/>
      <c r="H166" s="18"/>
    </row>
    <row r="167" spans="1:8" ht="13.2">
      <c r="A167" s="15" t="s">
        <v>289</v>
      </c>
      <c r="B167" s="15" t="s">
        <v>124</v>
      </c>
      <c r="C167" s="17">
        <v>4</v>
      </c>
      <c r="D167" s="18"/>
      <c r="E167" s="17" t="s">
        <v>125</v>
      </c>
      <c r="F167" s="17"/>
      <c r="G167" s="18"/>
      <c r="H167" s="18"/>
    </row>
    <row r="168" spans="1:8" ht="13.2">
      <c r="A168" s="19" t="str">
        <f>HYPERLINK("http://codeforces.com/contest/479/problem/D","CF479-D2-D")</f>
        <v>CF479-D2-D</v>
      </c>
      <c r="B168" s="29" t="s">
        <v>290</v>
      </c>
      <c r="C168" s="17">
        <v>4</v>
      </c>
      <c r="D168" s="18"/>
      <c r="E168" s="17" t="s">
        <v>125</v>
      </c>
      <c r="F168" s="17"/>
      <c r="G168" s="18"/>
      <c r="H168" s="18"/>
    </row>
    <row r="169" spans="1:8" ht="13.2">
      <c r="A169" s="19" t="str">
        <f>HYPERLINK("http://codeforces.com/contest/677/problem/C","CF677-D2-C")</f>
        <v>CF677-D2-C</v>
      </c>
      <c r="B169" s="15" t="s">
        <v>291</v>
      </c>
      <c r="C169" s="17">
        <v>4</v>
      </c>
      <c r="D169" s="18"/>
      <c r="E169" s="17" t="s">
        <v>125</v>
      </c>
      <c r="F169" s="17"/>
      <c r="G169" s="18"/>
      <c r="H169" s="18"/>
    </row>
    <row r="170" spans="1:8" ht="13.2">
      <c r="A170" s="19" t="str">
        <f>HYPERLINK("http://codeforces.com/contest/862/problem/C","CF862-D2-C")</f>
        <v>CF862-D2-C</v>
      </c>
      <c r="B170" s="15" t="s">
        <v>291</v>
      </c>
      <c r="C170" s="17">
        <v>4</v>
      </c>
      <c r="D170" s="18"/>
      <c r="E170" s="17" t="s">
        <v>125</v>
      </c>
      <c r="F170" s="17"/>
      <c r="G170" s="18"/>
      <c r="H170" s="18"/>
    </row>
    <row r="171" spans="1:8" ht="13.2">
      <c r="A171" s="19" t="str">
        <f>HYPERLINK("https://agc002.contest.atcoder.jp/tasks/agc002_a","AtCoder002-AGC-A")</f>
        <v>AtCoder002-AGC-A</v>
      </c>
      <c r="B171" s="15" t="s">
        <v>292</v>
      </c>
      <c r="C171" s="17">
        <v>4</v>
      </c>
      <c r="D171" s="18"/>
      <c r="E171" s="17" t="s">
        <v>125</v>
      </c>
      <c r="F171" s="17"/>
      <c r="G171" s="18"/>
      <c r="H171" s="18"/>
    </row>
    <row r="172" spans="1:8" ht="13.2">
      <c r="A172" s="19" t="str">
        <f>HYPERLINK("http://codeforces.com/contest/913/problem/C","CF913-D12-C")</f>
        <v>CF913-D12-C</v>
      </c>
      <c r="B172" s="20" t="s">
        <v>293</v>
      </c>
      <c r="C172" s="17">
        <v>4</v>
      </c>
      <c r="D172" s="18"/>
      <c r="E172" s="17" t="s">
        <v>125</v>
      </c>
      <c r="F172" s="17"/>
      <c r="G172" s="18"/>
      <c r="H172" s="18"/>
    </row>
    <row r="173" spans="1:8" ht="13.2">
      <c r="A173" s="15" t="s">
        <v>294</v>
      </c>
      <c r="B173" s="15" t="s">
        <v>295</v>
      </c>
      <c r="C173" s="33">
        <v>4</v>
      </c>
      <c r="D173" s="26" t="str">
        <f>HYPERLINK("https://discuss.codechef.com/questions/25065/spoj-problem-minimum-permutation","Editorial")</f>
        <v>Editorial</v>
      </c>
      <c r="E173" s="17" t="s">
        <v>125</v>
      </c>
      <c r="F173" s="17"/>
      <c r="G173" s="18"/>
      <c r="H173" s="18"/>
    </row>
    <row r="174" spans="1:8" ht="15" customHeight="1">
      <c r="A174" s="19" t="str">
        <f>HYPERLINK("http://codeforces.com/contest/976/problem/C", "CF976-D2-C")</f>
        <v>CF976-D2-C</v>
      </c>
      <c r="B174" s="20" t="s">
        <v>212</v>
      </c>
      <c r="C174" s="17">
        <v>4</v>
      </c>
      <c r="D174" s="26" t="str">
        <f>HYPERLINK("https://github.com/Huvok/CompetitiveProgramming/blob/master/Codeforces/CF976-D2-C.cpp", "Sol")</f>
        <v>Sol</v>
      </c>
      <c r="E174" s="17" t="s">
        <v>125</v>
      </c>
      <c r="F174" s="17"/>
      <c r="G174" s="18"/>
      <c r="H174" s="18"/>
    </row>
    <row r="175" spans="1:8" ht="13.2">
      <c r="A175" s="15" t="s">
        <v>296</v>
      </c>
      <c r="B175" s="34" t="s">
        <v>212</v>
      </c>
      <c r="C175" s="33">
        <v>4</v>
      </c>
      <c r="D175" s="18"/>
      <c r="E175" s="17" t="s">
        <v>125</v>
      </c>
      <c r="F175" s="17"/>
      <c r="G175" s="18"/>
      <c r="H175" s="18"/>
    </row>
    <row r="176" spans="1:8" ht="13.2">
      <c r="A176" s="19" t="str">
        <f>HYPERLINK("http://codeforces.com/contest/978/problem/F","CF978-D3-F")</f>
        <v>CF978-D3-F</v>
      </c>
      <c r="B176" s="20" t="s">
        <v>297</v>
      </c>
      <c r="C176" s="21">
        <v>4</v>
      </c>
      <c r="D176" s="18"/>
      <c r="E176" s="17" t="s">
        <v>125</v>
      </c>
      <c r="F176" s="17"/>
      <c r="G176" s="18"/>
      <c r="H176" s="18"/>
    </row>
    <row r="177" spans="1:8" ht="13.2">
      <c r="A177" s="15" t="s">
        <v>298</v>
      </c>
      <c r="B177" s="35" t="s">
        <v>274</v>
      </c>
      <c r="C177" s="24">
        <v>4</v>
      </c>
      <c r="D177" s="18"/>
      <c r="E177" s="17" t="s">
        <v>125</v>
      </c>
      <c r="F177" s="17"/>
      <c r="G177" s="18"/>
      <c r="H177" s="18"/>
    </row>
    <row r="178" spans="1:8" ht="13.2">
      <c r="A178" s="19" t="str">
        <f>HYPERLINK("http://codeforces.com/problemset/problem/900/C","CF900-D2-C")</f>
        <v>CF900-D2-C</v>
      </c>
      <c r="B178" s="18" t="s">
        <v>299</v>
      </c>
      <c r="C178" s="17">
        <v>3.5</v>
      </c>
      <c r="D178" s="26" t="str">
        <f>HYPERLINK("https://github.com/MedoN11/CompetitiveProgramming/blob/master/CodeForces/CF450-D2-C.cpp","Sol")</f>
        <v>Sol</v>
      </c>
      <c r="E178" s="17" t="s">
        <v>125</v>
      </c>
      <c r="F178" s="17" t="s">
        <v>196</v>
      </c>
      <c r="G178" s="18"/>
      <c r="H178" s="18"/>
    </row>
    <row r="179" spans="1:8" ht="13.2">
      <c r="A179" s="19" t="str">
        <f>HYPERLINK("http://codeforces.com/contest/21/problem/C","CF21-D12-C")</f>
        <v>CF21-D12-C</v>
      </c>
      <c r="B179" s="37" t="s">
        <v>300</v>
      </c>
      <c r="C179" s="17">
        <v>3.5</v>
      </c>
      <c r="D179" s="26" t="str">
        <f>HYPERLINK("https://github.com/AhmedElsisy/CompetitiveProgramming/blob/master/Codeforces/CF21-D12-C.cpp","Sol")</f>
        <v>Sol</v>
      </c>
      <c r="E179" s="17" t="s">
        <v>125</v>
      </c>
      <c r="F179" s="17" t="s">
        <v>139</v>
      </c>
      <c r="G179" s="18"/>
      <c r="H179" s="18"/>
    </row>
    <row r="180" spans="1:8" ht="13.2">
      <c r="A180" s="15" t="s">
        <v>301</v>
      </c>
      <c r="B180" s="15" t="s">
        <v>231</v>
      </c>
      <c r="C180" s="17">
        <v>3.5</v>
      </c>
      <c r="D180" s="18"/>
      <c r="E180" s="17" t="s">
        <v>125</v>
      </c>
      <c r="F180" s="17" t="s">
        <v>139</v>
      </c>
      <c r="G180" s="18"/>
      <c r="H180" s="18"/>
    </row>
    <row r="181" spans="1:8" ht="13.2">
      <c r="A181" s="19" t="str">
        <f>HYPERLINK("http://codeforces.com/problemset/problem/869/A","CF869-D2-A")</f>
        <v>CF869-D2-A</v>
      </c>
      <c r="B181" s="36" t="s">
        <v>124</v>
      </c>
      <c r="C181" s="17">
        <v>3.5</v>
      </c>
      <c r="D181" s="18"/>
      <c r="E181" s="17" t="s">
        <v>125</v>
      </c>
      <c r="F181" s="17"/>
      <c r="G181" s="18"/>
      <c r="H181" s="18"/>
    </row>
    <row r="182" spans="1:8" ht="13.2">
      <c r="A182" s="19" t="str">
        <f>HYPERLINK("http://codeforces.com/contest/897/problem/B","CF897-D2-B")</f>
        <v>CF897-D2-B</v>
      </c>
      <c r="B182" s="36" t="s">
        <v>124</v>
      </c>
      <c r="C182" s="24">
        <v>3.5</v>
      </c>
      <c r="D182" s="18"/>
      <c r="E182" s="17" t="s">
        <v>125</v>
      </c>
      <c r="F182" s="17"/>
      <c r="G182" s="18"/>
      <c r="H182" s="18"/>
    </row>
    <row r="183" spans="1:8" ht="13.2">
      <c r="A183" s="19" t="str">
        <f>HYPERLINK("https://csacademy.com/contest/round-59/task/triangular-matrix/","CSA59-C")</f>
        <v>CSA59-C</v>
      </c>
      <c r="B183" s="18" t="s">
        <v>124</v>
      </c>
      <c r="C183" s="17">
        <v>3.5</v>
      </c>
      <c r="D183" s="18"/>
      <c r="E183" s="17" t="s">
        <v>125</v>
      </c>
      <c r="F183" s="17"/>
      <c r="G183" s="18"/>
      <c r="H183" s="18"/>
    </row>
    <row r="184" spans="1:8" ht="13.2">
      <c r="A184" s="15" t="s">
        <v>302</v>
      </c>
      <c r="B184" s="34" t="s">
        <v>212</v>
      </c>
      <c r="C184" s="17">
        <v>3.5</v>
      </c>
      <c r="D184" s="18"/>
      <c r="E184" s="17" t="s">
        <v>125</v>
      </c>
      <c r="F184" s="17"/>
      <c r="G184" s="18"/>
      <c r="H184" s="18"/>
    </row>
    <row r="185" spans="1:8" ht="13.2">
      <c r="A185" s="15" t="s">
        <v>303</v>
      </c>
      <c r="B185" s="15" t="s">
        <v>304</v>
      </c>
      <c r="C185" s="24">
        <v>3</v>
      </c>
      <c r="D185" s="18"/>
      <c r="E185" s="17" t="s">
        <v>125</v>
      </c>
      <c r="F185" s="17" t="s">
        <v>229</v>
      </c>
      <c r="G185" s="18"/>
      <c r="H185" s="18"/>
    </row>
    <row r="186" spans="1:8" ht="13.2">
      <c r="A186" s="15" t="s">
        <v>305</v>
      </c>
      <c r="B186" s="34" t="s">
        <v>212</v>
      </c>
      <c r="C186" s="24">
        <v>3</v>
      </c>
      <c r="D186" s="18"/>
      <c r="E186" s="17" t="s">
        <v>125</v>
      </c>
      <c r="F186" s="17" t="s">
        <v>306</v>
      </c>
      <c r="G186" s="18"/>
      <c r="H186" s="18"/>
    </row>
    <row r="187" spans="1:8" ht="13.2">
      <c r="A187" s="19" t="str">
        <f>HYPERLINK("http://codeforces.com/contest/740/problem/C","CF740-D2-C")</f>
        <v>CF740-D2-C</v>
      </c>
      <c r="B187" s="18" t="s">
        <v>138</v>
      </c>
      <c r="C187" s="17">
        <v>3</v>
      </c>
      <c r="D187" s="18"/>
      <c r="E187" s="17" t="s">
        <v>125</v>
      </c>
      <c r="F187" s="17" t="s">
        <v>201</v>
      </c>
      <c r="G187" s="18"/>
      <c r="H187" s="18"/>
    </row>
    <row r="188" spans="1:8" ht="13.2">
      <c r="A188" s="15" t="s">
        <v>307</v>
      </c>
      <c r="B188" s="28" t="s">
        <v>308</v>
      </c>
      <c r="C188" s="24">
        <v>3</v>
      </c>
      <c r="D188" s="26" t="str">
        <f>HYPERLINK("https://en.wikipedia.org/wiki/Cycle_detection#Floyd.27s_Tortoise_and_Hare","Find O(n) Solution")</f>
        <v>Find O(n) Solution</v>
      </c>
      <c r="E188" s="17" t="s">
        <v>125</v>
      </c>
      <c r="F188" s="17" t="s">
        <v>201</v>
      </c>
      <c r="G188" s="18"/>
      <c r="H188" s="18"/>
    </row>
    <row r="189" spans="1:8" ht="13.2">
      <c r="A189" s="15" t="s">
        <v>309</v>
      </c>
      <c r="B189" s="15" t="s">
        <v>310</v>
      </c>
      <c r="C189" s="17">
        <v>3</v>
      </c>
      <c r="D189" s="26" t="str">
        <f>HYPERLINK("https://github.com/AhmedElsisy/CompetitiveProgramming/blob/master/SPOJ/SPOJ%20MAIN8_E.cpp","Sol")</f>
        <v>Sol</v>
      </c>
      <c r="E189" s="17" t="s">
        <v>125</v>
      </c>
      <c r="F189" s="17" t="s">
        <v>201</v>
      </c>
      <c r="G189" s="18"/>
      <c r="H189" s="18"/>
    </row>
    <row r="190" spans="1:8" ht="13.2">
      <c r="A190" s="19" t="str">
        <f>HYPERLINK("https://atcoder.jp/contests/abc134/tasks/abc134_d","AtCoder134-ABC-D")</f>
        <v>AtCoder134-ABC-D</v>
      </c>
      <c r="B190" s="15" t="s">
        <v>124</v>
      </c>
      <c r="C190" s="17">
        <v>3</v>
      </c>
      <c r="D190" s="18"/>
      <c r="E190" s="17" t="s">
        <v>125</v>
      </c>
      <c r="F190" s="17"/>
      <c r="G190" s="18"/>
      <c r="H190" s="18"/>
    </row>
    <row r="191" spans="1:8" ht="13.2">
      <c r="A191" s="19" t="str">
        <f>HYPERLINK("http://codeforces.com/contest/88/problem/D","CF88-D2-D")</f>
        <v>CF88-D2-D</v>
      </c>
      <c r="B191" s="18" t="s">
        <v>124</v>
      </c>
      <c r="C191" s="17">
        <v>3</v>
      </c>
      <c r="D191" s="18"/>
      <c r="E191" s="17" t="s">
        <v>125</v>
      </c>
      <c r="F191" s="17"/>
      <c r="G191" s="18"/>
      <c r="H191" s="18"/>
    </row>
    <row r="192" spans="1:8" ht="13.2">
      <c r="A192" s="15" t="s">
        <v>311</v>
      </c>
      <c r="B192" s="29" t="s">
        <v>124</v>
      </c>
      <c r="C192" s="17">
        <v>3</v>
      </c>
      <c r="D192" s="18"/>
      <c r="E192" s="17" t="s">
        <v>125</v>
      </c>
      <c r="F192" s="17"/>
      <c r="G192" s="18"/>
      <c r="H192" s="18"/>
    </row>
    <row r="193" spans="1:8" ht="13.2">
      <c r="A193" s="19" t="str">
        <f>HYPERLINK("https://uva.onlinejudge.org/index.php?option=com_onlinejudge&amp;Itemid=8&amp;page=show_problem&amp;problem=163","UVA 227")</f>
        <v>UVA 227</v>
      </c>
      <c r="B193" s="18" t="s">
        <v>124</v>
      </c>
      <c r="C193" s="17">
        <v>3</v>
      </c>
      <c r="D193" s="18"/>
      <c r="E193" s="17" t="s">
        <v>125</v>
      </c>
      <c r="F193" s="17"/>
      <c r="G193" s="18"/>
      <c r="H193" s="18"/>
    </row>
    <row r="194" spans="1:8" ht="13.2">
      <c r="A194" s="19" t="str">
        <f>HYPERLINK("https://codeforces.com/contest/42/problem/B","CF42-D12-B")</f>
        <v>CF42-D12-B</v>
      </c>
      <c r="B194" s="15" t="s">
        <v>312</v>
      </c>
      <c r="C194" s="17">
        <v>3</v>
      </c>
      <c r="D194" s="18"/>
      <c r="E194" s="17" t="s">
        <v>125</v>
      </c>
      <c r="F194" s="17"/>
      <c r="G194" s="18"/>
      <c r="H194" s="18"/>
    </row>
    <row r="195" spans="1:8" ht="13.2">
      <c r="A195" s="15" t="s">
        <v>313</v>
      </c>
      <c r="B195" s="15" t="s">
        <v>314</v>
      </c>
      <c r="C195" s="24">
        <v>3</v>
      </c>
      <c r="D195" s="18"/>
      <c r="E195" s="17" t="s">
        <v>125</v>
      </c>
      <c r="F195" s="17"/>
      <c r="G195" s="18"/>
      <c r="H195" s="18"/>
    </row>
    <row r="196" spans="1:8" ht="13.2">
      <c r="A196" s="19" t="str">
        <f>HYPERLINK("https://uva.onlinejudge.org/index.php?option=com_onlinejudge&amp;Itemid=8&amp;page=show_problem&amp;problem=124","UVA 188")</f>
        <v>UVA 188</v>
      </c>
      <c r="B196" s="18" t="s">
        <v>147</v>
      </c>
      <c r="C196" s="17">
        <v>3</v>
      </c>
      <c r="D196" s="18"/>
      <c r="E196" s="17" t="s">
        <v>125</v>
      </c>
      <c r="F196" s="17"/>
      <c r="G196" s="18"/>
      <c r="H196" s="18"/>
    </row>
    <row r="197" spans="1:8" ht="13.2">
      <c r="A197" s="19" t="str">
        <f>HYPERLINK("https://csacademy.com/contest/round-27/task/huge-matrix/","CSA27-C")</f>
        <v>CSA27-C</v>
      </c>
      <c r="B197" s="29" t="s">
        <v>245</v>
      </c>
      <c r="C197" s="24">
        <v>3</v>
      </c>
      <c r="D197" s="18"/>
      <c r="E197" s="17" t="s">
        <v>125</v>
      </c>
      <c r="F197" s="17"/>
      <c r="G197" s="18"/>
      <c r="H197" s="18"/>
    </row>
    <row r="198" spans="1:8" ht="13.2">
      <c r="A198" s="15" t="s">
        <v>315</v>
      </c>
      <c r="B198" s="15" t="s">
        <v>316</v>
      </c>
      <c r="C198" s="24">
        <v>3</v>
      </c>
      <c r="D198" s="26" t="str">
        <f>HYPERLINK("https://github.com/MedoN11/CompetitiveProgramming/blob/master/Timus/1059.java","Sol")</f>
        <v>Sol</v>
      </c>
      <c r="E198" s="17" t="s">
        <v>125</v>
      </c>
      <c r="F198" s="17"/>
      <c r="G198" s="18"/>
      <c r="H198" s="18"/>
    </row>
    <row r="199" spans="1:8" ht="13.2">
      <c r="A199" s="15" t="s">
        <v>317</v>
      </c>
      <c r="B199" s="15" t="s">
        <v>318</v>
      </c>
      <c r="C199" s="24">
        <v>2</v>
      </c>
      <c r="D199" s="26" t="str">
        <f>HYPERLINK("https://github.com/marioyc/Online-Judge-Solutions/blob/master/Timus%20Online%20Judge/1100%20-%20Final%20Standings.cpp","Sol")</f>
        <v>Sol</v>
      </c>
      <c r="E199" s="17" t="s">
        <v>125</v>
      </c>
      <c r="F199" s="17" t="s">
        <v>201</v>
      </c>
      <c r="G199" s="18"/>
      <c r="H199" s="18"/>
    </row>
    <row r="200" spans="1:8" ht="13.2">
      <c r="A200" s="15" t="s">
        <v>319</v>
      </c>
      <c r="B200" s="30" t="s">
        <v>320</v>
      </c>
      <c r="C200" s="24">
        <v>2</v>
      </c>
      <c r="D200" s="18"/>
      <c r="E200" s="17" t="s">
        <v>125</v>
      </c>
      <c r="F200" s="17" t="s">
        <v>242</v>
      </c>
      <c r="G200" s="18"/>
      <c r="H200" s="18"/>
    </row>
    <row r="201" spans="1:8" ht="13.2">
      <c r="A201" s="19" t="str">
        <f>HYPERLINK("https://www.codechef.com/problems/EXTRAN","CODECHEF EXTRAN")</f>
        <v>CODECHEF EXTRAN</v>
      </c>
      <c r="B201" s="18" t="s">
        <v>124</v>
      </c>
      <c r="C201" s="17">
        <v>2</v>
      </c>
      <c r="D201" s="18"/>
      <c r="E201" s="17" t="s">
        <v>125</v>
      </c>
      <c r="F201" s="17"/>
      <c r="G201" s="18"/>
      <c r="H201" s="18"/>
    </row>
    <row r="202" spans="1:8" ht="13.2">
      <c r="A202" s="19" t="str">
        <f>HYPERLINK("https://www.codechef.com/problems/XENTASK","CODECHEF XENTASK")</f>
        <v>CODECHEF XENTASK</v>
      </c>
      <c r="B202" s="18" t="s">
        <v>124</v>
      </c>
      <c r="C202" s="17">
        <v>2</v>
      </c>
      <c r="D202" s="18"/>
      <c r="E202" s="17" t="s">
        <v>125</v>
      </c>
      <c r="F202" s="17"/>
      <c r="G202" s="18"/>
      <c r="H202" s="18"/>
    </row>
    <row r="203" spans="1:8" ht="13.2">
      <c r="A203" s="15" t="s">
        <v>321</v>
      </c>
      <c r="B203" s="28" t="s">
        <v>124</v>
      </c>
      <c r="C203" s="24">
        <v>2</v>
      </c>
      <c r="D203" s="18"/>
      <c r="E203" s="17" t="s">
        <v>125</v>
      </c>
      <c r="F203" s="17"/>
      <c r="G203" s="18"/>
      <c r="H203" s="18"/>
    </row>
    <row r="204" spans="1:8" ht="13.2">
      <c r="A204" s="15" t="s">
        <v>322</v>
      </c>
      <c r="B204" s="15" t="s">
        <v>124</v>
      </c>
      <c r="C204" s="24">
        <v>2</v>
      </c>
      <c r="D204" s="18"/>
      <c r="E204" s="17" t="s">
        <v>125</v>
      </c>
      <c r="F204" s="17"/>
      <c r="G204" s="18"/>
      <c r="H204" s="18"/>
    </row>
    <row r="205" spans="1:8" ht="13.2">
      <c r="A205" s="15" t="s">
        <v>323</v>
      </c>
      <c r="B205" s="30" t="s">
        <v>291</v>
      </c>
      <c r="C205" s="24">
        <v>2</v>
      </c>
      <c r="D205" s="18"/>
      <c r="E205" s="17" t="s">
        <v>125</v>
      </c>
      <c r="F205" s="17"/>
      <c r="G205" s="18"/>
      <c r="H205" s="18"/>
    </row>
    <row r="206" spans="1:8" ht="13.2">
      <c r="A206" s="15" t="s">
        <v>324</v>
      </c>
      <c r="B206" s="30" t="s">
        <v>291</v>
      </c>
      <c r="C206" s="24">
        <v>2</v>
      </c>
      <c r="D206" s="26" t="str">
        <f>HYPERLINK("https://github.com/MohamedNabil97/CompetitiveProgramming/tree/master/UVA/1326.cpp","Sol")</f>
        <v>Sol</v>
      </c>
      <c r="E206" s="17" t="s">
        <v>125</v>
      </c>
      <c r="F206" s="17"/>
      <c r="G206" s="18"/>
      <c r="H206" s="18"/>
    </row>
    <row r="207" spans="1:8" ht="13.2">
      <c r="A207" s="15" t="s">
        <v>325</v>
      </c>
      <c r="B207" s="35" t="s">
        <v>195</v>
      </c>
      <c r="C207" s="24">
        <v>2</v>
      </c>
      <c r="D207" s="18"/>
      <c r="E207" s="17" t="s">
        <v>125</v>
      </c>
      <c r="F207" s="17"/>
      <c r="G207" s="18"/>
      <c r="H207" s="18"/>
    </row>
    <row r="208" spans="1:8" ht="13.2">
      <c r="A208" s="15" t="s">
        <v>326</v>
      </c>
      <c r="B208" s="15" t="s">
        <v>327</v>
      </c>
      <c r="C208" s="17">
        <v>2</v>
      </c>
      <c r="D208" s="18"/>
      <c r="E208" s="17" t="s">
        <v>125</v>
      </c>
      <c r="F208" s="17"/>
      <c r="G208" s="18"/>
      <c r="H208" s="18"/>
    </row>
    <row r="209" spans="1:8" ht="13.2">
      <c r="A209" s="15" t="s">
        <v>328</v>
      </c>
      <c r="B209" s="35" t="s">
        <v>212</v>
      </c>
      <c r="C209" s="24">
        <v>2</v>
      </c>
      <c r="D209" s="18"/>
      <c r="E209" s="17" t="s">
        <v>125</v>
      </c>
      <c r="F209" s="17"/>
      <c r="G209" s="18"/>
      <c r="H209" s="18"/>
    </row>
    <row r="210" spans="1:8" ht="13.2">
      <c r="A210" s="19" t="str">
        <f>HYPERLINK("https://www.codechef.com/problems/CULPRO","CODECHEF CULPRO")</f>
        <v>CODECHEF CULPRO</v>
      </c>
      <c r="B210" s="18" t="s">
        <v>329</v>
      </c>
      <c r="C210" s="17">
        <v>2</v>
      </c>
      <c r="D210" s="18"/>
      <c r="E210" s="17" t="s">
        <v>125</v>
      </c>
      <c r="F210" s="17"/>
      <c r="G210" s="18"/>
      <c r="H210" s="18"/>
    </row>
    <row r="211" spans="1:8" ht="13.2">
      <c r="A211" s="15" t="s">
        <v>330</v>
      </c>
      <c r="B211" s="18" t="s">
        <v>331</v>
      </c>
      <c r="C211" s="17">
        <v>9</v>
      </c>
      <c r="D211" s="18"/>
      <c r="E211" s="17" t="s">
        <v>332</v>
      </c>
      <c r="F211" s="17"/>
      <c r="G211" s="18"/>
      <c r="H211" s="18"/>
    </row>
    <row r="212" spans="1:8" ht="13.2">
      <c r="A212" s="15" t="s">
        <v>333</v>
      </c>
      <c r="B212" s="29" t="s">
        <v>334</v>
      </c>
      <c r="C212" s="24">
        <v>8.5</v>
      </c>
      <c r="D212" s="26" t="str">
        <f>HYPERLINK("https://apps.topcoder.com/forums/?module=Thread&amp;threadID=686244&amp;start=0&amp;mc=8","TC Forum")</f>
        <v>TC Forum</v>
      </c>
      <c r="E212" s="17" t="s">
        <v>332</v>
      </c>
      <c r="F212" s="17"/>
      <c r="G212" s="18"/>
      <c r="H212" s="18"/>
    </row>
    <row r="213" spans="1:8" ht="13.2">
      <c r="A213" s="15" t="s">
        <v>335</v>
      </c>
      <c r="B213" s="38" t="s">
        <v>336</v>
      </c>
      <c r="C213" s="17">
        <v>8</v>
      </c>
      <c r="D213" s="18"/>
      <c r="E213" s="17" t="s">
        <v>332</v>
      </c>
      <c r="F213" s="17"/>
      <c r="G213" s="18"/>
      <c r="H213" s="18"/>
    </row>
    <row r="214" spans="1:8" ht="13.2">
      <c r="A214" s="15" t="s">
        <v>337</v>
      </c>
      <c r="B214" s="16" t="s">
        <v>338</v>
      </c>
      <c r="C214" s="17">
        <v>8</v>
      </c>
      <c r="D214" s="18"/>
      <c r="E214" s="17" t="s">
        <v>332</v>
      </c>
      <c r="F214" s="17"/>
      <c r="G214" s="18"/>
      <c r="H214" s="18"/>
    </row>
    <row r="215" spans="1:8" ht="13.2">
      <c r="A215" s="15" t="s">
        <v>339</v>
      </c>
      <c r="B215" s="34" t="s">
        <v>340</v>
      </c>
      <c r="C215" s="17">
        <v>7.75</v>
      </c>
      <c r="D215" s="18"/>
      <c r="E215" s="17" t="s">
        <v>332</v>
      </c>
      <c r="F215" s="17"/>
      <c r="G215" s="18"/>
      <c r="H215" s="18"/>
    </row>
    <row r="216" spans="1:8" ht="13.2">
      <c r="A216" s="19" t="str">
        <f>HYPERLINK("http://codeforces.com/contest/97/problem/A","CF97-D12-A")</f>
        <v>CF97-D12-A</v>
      </c>
      <c r="B216" s="29" t="s">
        <v>341</v>
      </c>
      <c r="C216" s="17">
        <v>7.75</v>
      </c>
      <c r="D216" s="18"/>
      <c r="E216" s="17" t="s">
        <v>332</v>
      </c>
      <c r="F216" s="17"/>
      <c r="G216" s="18"/>
      <c r="H216" s="18"/>
    </row>
    <row r="217" spans="1:8" ht="13.2">
      <c r="A217" s="15" t="s">
        <v>342</v>
      </c>
      <c r="B217" s="16" t="s">
        <v>343</v>
      </c>
      <c r="C217" s="17">
        <v>7.5</v>
      </c>
      <c r="D217" s="18"/>
      <c r="E217" s="17" t="s">
        <v>332</v>
      </c>
      <c r="F217" s="17"/>
      <c r="G217" s="18"/>
      <c r="H217" s="18"/>
    </row>
    <row r="218" spans="1:8" ht="13.2">
      <c r="A218" s="15" t="s">
        <v>344</v>
      </c>
      <c r="B218" s="34" t="s">
        <v>338</v>
      </c>
      <c r="C218" s="31">
        <v>7.5</v>
      </c>
      <c r="D218" s="18"/>
      <c r="E218" s="17" t="s">
        <v>332</v>
      </c>
      <c r="F218" s="17"/>
      <c r="G218" s="18"/>
      <c r="H218" s="18"/>
    </row>
    <row r="219" spans="1:8" ht="13.2">
      <c r="A219" s="19" t="str">
        <f>HYPERLINK("http://codeforces.com/contest/754/problem/E","CF754-D2-E")</f>
        <v>CF754-D2-E</v>
      </c>
      <c r="B219" s="15" t="s">
        <v>345</v>
      </c>
      <c r="C219" s="17">
        <v>7</v>
      </c>
      <c r="D219" s="18"/>
      <c r="E219" s="17" t="s">
        <v>332</v>
      </c>
      <c r="F219" s="17" t="s">
        <v>139</v>
      </c>
      <c r="G219" s="18"/>
      <c r="H219" s="18"/>
    </row>
    <row r="220" spans="1:8" ht="13.2">
      <c r="A220" s="15" t="s">
        <v>346</v>
      </c>
      <c r="B220" s="16" t="s">
        <v>347</v>
      </c>
      <c r="C220" s="17">
        <v>7</v>
      </c>
      <c r="D220" s="18"/>
      <c r="E220" s="17" t="s">
        <v>332</v>
      </c>
      <c r="F220" s="17"/>
      <c r="G220" s="18"/>
      <c r="H220" s="18"/>
    </row>
    <row r="221" spans="1:8" ht="13.2">
      <c r="A221" s="15" t="s">
        <v>348</v>
      </c>
      <c r="B221" s="29" t="s">
        <v>349</v>
      </c>
      <c r="C221" s="31">
        <v>7</v>
      </c>
      <c r="D221" s="18"/>
      <c r="E221" s="24" t="s">
        <v>332</v>
      </c>
      <c r="F221" s="17"/>
      <c r="G221" s="18"/>
      <c r="H221" s="18"/>
    </row>
    <row r="222" spans="1:8" ht="13.2">
      <c r="A222" s="15" t="s">
        <v>350</v>
      </c>
      <c r="B222" s="39" t="s">
        <v>351</v>
      </c>
      <c r="C222" s="40">
        <v>7</v>
      </c>
      <c r="D222" s="18"/>
      <c r="E222" s="17" t="s">
        <v>332</v>
      </c>
      <c r="F222" s="17"/>
      <c r="G222" s="18"/>
      <c r="H222" s="18"/>
    </row>
    <row r="223" spans="1:8" ht="13.2">
      <c r="A223" s="15" t="s">
        <v>352</v>
      </c>
      <c r="B223" s="30" t="s">
        <v>353</v>
      </c>
      <c r="C223" s="24">
        <v>7</v>
      </c>
      <c r="D223" s="18"/>
      <c r="E223" s="17" t="s">
        <v>332</v>
      </c>
      <c r="F223" s="17"/>
      <c r="G223" s="18"/>
      <c r="H223" s="18"/>
    </row>
    <row r="224" spans="1:8" ht="13.2">
      <c r="A224" s="15" t="s">
        <v>354</v>
      </c>
      <c r="B224" s="29" t="s">
        <v>355</v>
      </c>
      <c r="C224" s="17">
        <v>6.75</v>
      </c>
      <c r="D224" s="26" t="str">
        <f>HYPERLINK("https://github.com/mostafa-saad/MyCompetitiveProgramming/blob/master/UVA/UVA_1381.txt","Sol")</f>
        <v>Sol</v>
      </c>
      <c r="E224" s="17" t="s">
        <v>332</v>
      </c>
      <c r="F224" s="17" t="s">
        <v>139</v>
      </c>
      <c r="G224" s="18"/>
      <c r="H224" s="18"/>
    </row>
    <row r="225" spans="1:8" ht="13.2">
      <c r="A225" s="15" t="s">
        <v>356</v>
      </c>
      <c r="B225" s="30" t="s">
        <v>357</v>
      </c>
      <c r="C225" s="24">
        <v>6.75</v>
      </c>
      <c r="D225" s="18"/>
      <c r="E225" s="17" t="s">
        <v>332</v>
      </c>
      <c r="F225" s="17" t="s">
        <v>358</v>
      </c>
      <c r="G225" s="18"/>
      <c r="H225" s="18"/>
    </row>
    <row r="226" spans="1:8" ht="13.2">
      <c r="A226" s="19" t="str">
        <f>HYPERLINK("http://codeforces.com/contest/460/problem/D","CF460-D2-D")</f>
        <v>CF460-D2-D</v>
      </c>
      <c r="B226" s="29" t="s">
        <v>359</v>
      </c>
      <c r="C226" s="17">
        <v>6.75</v>
      </c>
      <c r="D226" s="18"/>
      <c r="E226" s="17" t="s">
        <v>332</v>
      </c>
      <c r="F226" s="17"/>
      <c r="G226" s="18"/>
      <c r="H226" s="18"/>
    </row>
    <row r="227" spans="1:8" ht="13.2">
      <c r="A227" s="19" t="str">
        <f>HYPERLINK("https://codeforces.com/contest/457/problem/C","CF457-D12-C")</f>
        <v>CF457-D12-C</v>
      </c>
      <c r="B227" s="15" t="s">
        <v>360</v>
      </c>
      <c r="C227" s="17">
        <v>6.75</v>
      </c>
      <c r="D227" s="18"/>
      <c r="E227" s="17" t="s">
        <v>332</v>
      </c>
      <c r="F227" s="17"/>
      <c r="G227" s="18"/>
      <c r="H227" s="18"/>
    </row>
    <row r="228" spans="1:8" ht="13.2">
      <c r="A228" s="19" t="str">
        <f>HYPERLINK("https://csacademy.com/contest/archive/task/escaping-courses/","CSA-fii-code-2020-round-2-E")</f>
        <v>CSA-fii-code-2020-round-2-E</v>
      </c>
      <c r="B228" s="20" t="s">
        <v>361</v>
      </c>
      <c r="C228" s="21">
        <v>6.5</v>
      </c>
      <c r="D228" s="18"/>
      <c r="E228" s="17" t="s">
        <v>332</v>
      </c>
      <c r="F228" s="17" t="s">
        <v>154</v>
      </c>
      <c r="G228" s="18"/>
      <c r="H228" s="18"/>
    </row>
    <row r="229" spans="1:8" ht="13.2">
      <c r="A229" s="19" t="str">
        <f>HYPERLINK("https://codeforces.com/contest/1041/problem/F","CF1041-D2-F")</f>
        <v>CF1041-D2-F</v>
      </c>
      <c r="B229" s="15" t="s">
        <v>362</v>
      </c>
      <c r="C229" s="17">
        <v>6.5</v>
      </c>
      <c r="D229" s="18"/>
      <c r="E229" s="17" t="s">
        <v>332</v>
      </c>
      <c r="F229" s="17" t="s">
        <v>139</v>
      </c>
      <c r="G229" s="18"/>
      <c r="H229" s="18"/>
    </row>
    <row r="230" spans="1:8" ht="13.2">
      <c r="A230" s="19" t="str">
        <f>HYPERLINK("http://codeforces.com/contest/365/problem/E","CF365-D2-E")</f>
        <v>CF365-D2-E</v>
      </c>
      <c r="B230" s="15" t="s">
        <v>363</v>
      </c>
      <c r="C230" s="24">
        <v>6.5</v>
      </c>
      <c r="D230" s="26" t="str">
        <f>HYPERLINK("https://github.com/tmwilliamlin168/CompetitiveProgramming/blob/master/CodeForces/0365E.cpp", "Sol")</f>
        <v>Sol</v>
      </c>
      <c r="E230" s="17" t="s">
        <v>332</v>
      </c>
      <c r="F230" s="17" t="s">
        <v>139</v>
      </c>
      <c r="G230" s="18"/>
      <c r="H230" s="18"/>
    </row>
    <row r="231" spans="1:8" ht="13.2">
      <c r="A231" s="15" t="s">
        <v>364</v>
      </c>
      <c r="B231" s="30" t="s">
        <v>338</v>
      </c>
      <c r="C231" s="40">
        <v>6.5</v>
      </c>
      <c r="D231" s="18"/>
      <c r="E231" s="17" t="s">
        <v>332</v>
      </c>
      <c r="F231" s="17"/>
      <c r="G231" s="18"/>
      <c r="H231" s="18"/>
    </row>
    <row r="232" spans="1:8" ht="13.2">
      <c r="A232" s="19" t="str">
        <f>HYPERLINK("http://codeforces.com/contest/680/problem/D","CF680-D2-D")</f>
        <v>CF680-D2-D</v>
      </c>
      <c r="B232" s="29" t="s">
        <v>365</v>
      </c>
      <c r="C232" s="17">
        <v>6.25</v>
      </c>
      <c r="D232" s="18"/>
      <c r="E232" s="17" t="s">
        <v>332</v>
      </c>
      <c r="F232" s="17" t="s">
        <v>173</v>
      </c>
      <c r="G232" s="18"/>
      <c r="H232" s="18"/>
    </row>
    <row r="233" spans="1:8" ht="13.2">
      <c r="A233" s="19" t="str">
        <f>HYPERLINK("http://codeforces.com/contest/868/problem/D","CF868-D2-D")</f>
        <v>CF868-D2-D</v>
      </c>
      <c r="B233" s="15" t="s">
        <v>359</v>
      </c>
      <c r="C233" s="17">
        <v>6.25</v>
      </c>
      <c r="D233" s="18"/>
      <c r="E233" s="17" t="s">
        <v>332</v>
      </c>
      <c r="F233" s="17" t="s">
        <v>139</v>
      </c>
      <c r="G233" s="18"/>
      <c r="H233" s="18"/>
    </row>
    <row r="234" spans="1:8" ht="13.2">
      <c r="A234" s="19" t="str">
        <f>HYPERLINK("http://codeforces.com/contest/835/problem/E","CF835-D2-E")</f>
        <v>CF835-D2-E</v>
      </c>
      <c r="B234" s="15" t="s">
        <v>366</v>
      </c>
      <c r="C234" s="17">
        <v>6.25</v>
      </c>
      <c r="D234" s="18"/>
      <c r="E234" s="17" t="s">
        <v>332</v>
      </c>
      <c r="F234" s="17" t="s">
        <v>139</v>
      </c>
      <c r="G234" s="18"/>
      <c r="H234" s="18"/>
    </row>
    <row r="235" spans="1:8" ht="13.2">
      <c r="A235" s="15" t="s">
        <v>367</v>
      </c>
      <c r="B235" s="28" t="s">
        <v>368</v>
      </c>
      <c r="C235" s="24">
        <v>6.25</v>
      </c>
      <c r="D235" s="18"/>
      <c r="E235" s="17" t="s">
        <v>332</v>
      </c>
      <c r="F235" s="17" t="s">
        <v>242</v>
      </c>
      <c r="G235" s="18"/>
      <c r="H235" s="18"/>
    </row>
    <row r="236" spans="1:8" ht="13.2">
      <c r="A236" s="19" t="str">
        <f>HYPERLINK("http://codeforces.com/contest/424/problem/D","CF424-D2-D")</f>
        <v>CF424-D2-D</v>
      </c>
      <c r="B236" s="20" t="s">
        <v>359</v>
      </c>
      <c r="C236" s="17">
        <v>6.25</v>
      </c>
      <c r="D236" s="18"/>
      <c r="E236" s="17" t="s">
        <v>332</v>
      </c>
      <c r="F236" s="17"/>
      <c r="G236" s="18"/>
      <c r="H236" s="18"/>
    </row>
    <row r="237" spans="1:8" ht="13.2">
      <c r="A237" s="15" t="s">
        <v>369</v>
      </c>
      <c r="B237" s="35" t="s">
        <v>370</v>
      </c>
      <c r="C237" s="40">
        <v>6.25</v>
      </c>
      <c r="D237" s="18"/>
      <c r="E237" s="17" t="s">
        <v>332</v>
      </c>
      <c r="F237" s="17"/>
      <c r="G237" s="18"/>
      <c r="H237" s="18"/>
    </row>
    <row r="238" spans="1:8" ht="13.2">
      <c r="A238" s="19" t="str">
        <f>HYPERLINK("http://codeforces.com/gym/100517/problem/D","CF100517-GYM-D")</f>
        <v>CF100517-GYM-D</v>
      </c>
      <c r="B238" s="20" t="s">
        <v>371</v>
      </c>
      <c r="C238" s="17">
        <v>6.25</v>
      </c>
      <c r="D238" s="26" t="str">
        <f>HYPERLINK("https://github.com/osamahatem/CompetitiveProgramming/blob/master/Codeforces/100517D.%20Defend%20the%20Tower.cpp","Sol")</f>
        <v>Sol</v>
      </c>
      <c r="E238" s="17" t="s">
        <v>332</v>
      </c>
      <c r="F238" s="17"/>
      <c r="G238" s="18"/>
      <c r="H238" s="18"/>
    </row>
    <row r="239" spans="1:8" ht="13.2">
      <c r="A239" s="15" t="s">
        <v>372</v>
      </c>
      <c r="B239" s="41" t="s">
        <v>373</v>
      </c>
      <c r="C239" s="17">
        <v>6</v>
      </c>
      <c r="D239" s="18"/>
      <c r="E239" s="17" t="s">
        <v>332</v>
      </c>
      <c r="F239" s="17" t="s">
        <v>201</v>
      </c>
      <c r="G239" s="18"/>
      <c r="H239" s="18"/>
    </row>
    <row r="240" spans="1:8" ht="13.2">
      <c r="A240" s="19" t="str">
        <f>HYPERLINK("http://codeforces.com/contest/366/problem/E","CF366-D2-E")</f>
        <v>CF366-D2-E</v>
      </c>
      <c r="B240" s="29" t="s">
        <v>374</v>
      </c>
      <c r="C240" s="17">
        <v>6</v>
      </c>
      <c r="D240" s="18"/>
      <c r="E240" s="17" t="s">
        <v>332</v>
      </c>
      <c r="F240" s="17" t="s">
        <v>242</v>
      </c>
      <c r="G240" s="18"/>
      <c r="H240" s="18"/>
    </row>
    <row r="241" spans="1:8" ht="13.2">
      <c r="A241" s="19" t="str">
        <f>HYPERLINK("http://codeforces.com/contest/250/problem/E","CF250-D2-E")</f>
        <v>CF250-D2-E</v>
      </c>
      <c r="B241" s="29" t="s">
        <v>359</v>
      </c>
      <c r="C241" s="17">
        <v>6</v>
      </c>
      <c r="D241" s="18"/>
      <c r="E241" s="17" t="s">
        <v>332</v>
      </c>
      <c r="F241" s="17"/>
      <c r="G241" s="18"/>
      <c r="H241" s="18"/>
    </row>
    <row r="242" spans="1:8" ht="13.2">
      <c r="A242" s="15" t="s">
        <v>375</v>
      </c>
      <c r="B242" s="18" t="s">
        <v>359</v>
      </c>
      <c r="C242" s="31">
        <v>6</v>
      </c>
      <c r="D242" s="18"/>
      <c r="E242" s="17" t="s">
        <v>332</v>
      </c>
      <c r="F242" s="17"/>
      <c r="G242" s="18"/>
      <c r="H242" s="18"/>
    </row>
    <row r="243" spans="1:8" ht="13.2">
      <c r="A243" s="15" t="s">
        <v>376</v>
      </c>
      <c r="B243" s="35" t="s">
        <v>377</v>
      </c>
      <c r="C243" s="40">
        <v>6</v>
      </c>
      <c r="D243" s="18"/>
      <c r="E243" s="17" t="s">
        <v>332</v>
      </c>
      <c r="F243" s="17"/>
      <c r="G243" s="18"/>
      <c r="H243" s="18"/>
    </row>
    <row r="244" spans="1:8" ht="13.2">
      <c r="A244" s="19" t="str">
        <f>HYPERLINK("http://codeforces.com/contest/745/problem/D","CF745-D2-D")</f>
        <v>CF745-D2-D</v>
      </c>
      <c r="B244" s="29" t="s">
        <v>347</v>
      </c>
      <c r="C244" s="17">
        <v>6</v>
      </c>
      <c r="D244" s="18"/>
      <c r="E244" s="17" t="s">
        <v>332</v>
      </c>
      <c r="F244" s="17"/>
      <c r="G244" s="18"/>
      <c r="H244" s="18"/>
    </row>
    <row r="245" spans="1:8" ht="13.2">
      <c r="A245" s="19" t="str">
        <f>HYPERLINK("http://codeforces.com/contest/552/problem/E","CF552-D2-E")</f>
        <v>CF552-D2-E</v>
      </c>
      <c r="B245" s="15" t="s">
        <v>378</v>
      </c>
      <c r="C245" s="24">
        <v>6</v>
      </c>
      <c r="D245" s="18"/>
      <c r="E245" s="17" t="s">
        <v>332</v>
      </c>
      <c r="F245" s="17"/>
      <c r="G245" s="18"/>
      <c r="H245" s="18"/>
    </row>
    <row r="246" spans="1:8" ht="13.2">
      <c r="A246" s="15" t="s">
        <v>379</v>
      </c>
      <c r="B246" s="29" t="s">
        <v>380</v>
      </c>
      <c r="C246" s="31">
        <v>6</v>
      </c>
      <c r="D246" s="18"/>
      <c r="E246" s="24" t="s">
        <v>332</v>
      </c>
      <c r="F246" s="17"/>
      <c r="G246" s="18"/>
      <c r="H246" s="18"/>
    </row>
    <row r="247" spans="1:8" ht="13.2">
      <c r="A247" s="15" t="s">
        <v>381</v>
      </c>
      <c r="B247" s="29" t="s">
        <v>382</v>
      </c>
      <c r="C247" s="31">
        <v>6</v>
      </c>
      <c r="D247" s="18"/>
      <c r="E247" s="24" t="s">
        <v>332</v>
      </c>
      <c r="F247" s="17"/>
      <c r="G247" s="18"/>
      <c r="H247" s="18"/>
    </row>
    <row r="248" spans="1:8" ht="13.2">
      <c r="A248" s="15" t="s">
        <v>383</v>
      </c>
      <c r="B248" s="35" t="s">
        <v>384</v>
      </c>
      <c r="C248" s="40">
        <v>6</v>
      </c>
      <c r="D248" s="18"/>
      <c r="E248" s="17" t="s">
        <v>332</v>
      </c>
      <c r="F248" s="17"/>
      <c r="G248" s="18"/>
      <c r="H248" s="18"/>
    </row>
    <row r="249" spans="1:8" ht="13.2">
      <c r="A249" s="15" t="s">
        <v>385</v>
      </c>
      <c r="B249" s="29" t="s">
        <v>386</v>
      </c>
      <c r="C249" s="31">
        <v>6</v>
      </c>
      <c r="D249" s="18"/>
      <c r="E249" s="24" t="s">
        <v>332</v>
      </c>
      <c r="F249" s="17"/>
      <c r="G249" s="18"/>
      <c r="H249" s="18"/>
    </row>
    <row r="250" spans="1:8" ht="13.2">
      <c r="A250" s="19" t="str">
        <f>HYPERLINK("http://codeforces.com/contest/448/problem/E","CF448-D2-E")</f>
        <v>CF448-D2-E</v>
      </c>
      <c r="B250" s="29" t="s">
        <v>387</v>
      </c>
      <c r="C250" s="17">
        <v>6</v>
      </c>
      <c r="D250" s="18"/>
      <c r="E250" s="17" t="s">
        <v>332</v>
      </c>
      <c r="F250" s="17"/>
      <c r="G250" s="18"/>
      <c r="H250" s="18"/>
    </row>
    <row r="251" spans="1:8" ht="13.2">
      <c r="A251" s="15" t="s">
        <v>388</v>
      </c>
      <c r="B251" s="34" t="s">
        <v>389</v>
      </c>
      <c r="C251" s="31">
        <v>6</v>
      </c>
      <c r="D251" s="18"/>
      <c r="E251" s="17" t="s">
        <v>332</v>
      </c>
      <c r="F251" s="17"/>
      <c r="G251" s="18"/>
      <c r="H251" s="18"/>
    </row>
    <row r="252" spans="1:8" ht="13.2">
      <c r="A252" s="15" t="s">
        <v>390</v>
      </c>
      <c r="B252" s="34" t="s">
        <v>391</v>
      </c>
      <c r="C252" s="31">
        <v>6</v>
      </c>
      <c r="D252" s="18"/>
      <c r="E252" s="17" t="s">
        <v>332</v>
      </c>
      <c r="F252" s="17"/>
      <c r="G252" s="18"/>
      <c r="H252" s="18"/>
    </row>
    <row r="253" spans="1:8" ht="13.2">
      <c r="A253" s="15" t="s">
        <v>392</v>
      </c>
      <c r="B253" s="34" t="s">
        <v>391</v>
      </c>
      <c r="C253" s="31">
        <v>6</v>
      </c>
      <c r="D253" s="18"/>
      <c r="E253" s="17" t="s">
        <v>332</v>
      </c>
      <c r="F253" s="17"/>
      <c r="G253" s="18"/>
      <c r="H253" s="18"/>
    </row>
    <row r="254" spans="1:8" ht="13.2">
      <c r="A254" s="19" t="str">
        <f>HYPERLINK("http://codeforces.com/contest/594/problem/C","CF594-D1-C")</f>
        <v>CF594-D1-C</v>
      </c>
      <c r="B254" s="29" t="s">
        <v>393</v>
      </c>
      <c r="C254" s="17">
        <v>5.6</v>
      </c>
      <c r="D254" s="18"/>
      <c r="E254" s="17" t="s">
        <v>332</v>
      </c>
      <c r="F254" s="17"/>
      <c r="G254" s="18"/>
      <c r="H254" s="18"/>
    </row>
    <row r="255" spans="1:8" ht="13.2">
      <c r="A255" s="15" t="s">
        <v>394</v>
      </c>
      <c r="B255" s="29" t="s">
        <v>395</v>
      </c>
      <c r="C255" s="17">
        <v>5.5</v>
      </c>
      <c r="D255" s="26" t="str">
        <f>HYPERLINK("https://github.com/MohamedAhmed04/Competitive-programming/blob/master/Topcoder/Topcoder%20SRM525-D1-525%20Rumor.cpp", "Sol")</f>
        <v>Sol</v>
      </c>
      <c r="E255" s="17" t="s">
        <v>332</v>
      </c>
      <c r="F255" s="17" t="s">
        <v>154</v>
      </c>
      <c r="G255" s="18"/>
      <c r="H255" s="18"/>
    </row>
    <row r="256" spans="1:8" ht="13.2">
      <c r="A256" s="19" t="str">
        <f>HYPERLINK("http://codeforces.com/contest/1166/problem/E","CF1166-D2-E")</f>
        <v>CF1166-D2-E</v>
      </c>
      <c r="B256" s="20" t="s">
        <v>359</v>
      </c>
      <c r="C256" s="17">
        <v>5.5</v>
      </c>
      <c r="D256" s="18"/>
      <c r="E256" s="17" t="s">
        <v>332</v>
      </c>
      <c r="F256" s="17" t="s">
        <v>139</v>
      </c>
      <c r="G256" s="18"/>
      <c r="H256" s="18"/>
    </row>
    <row r="257" spans="1:8" ht="13.2">
      <c r="A257" s="19" t="str">
        <f>HYPERLINK("http://codeforces.com/contest/68/problem/C","CF68-D12-C")</f>
        <v>CF68-D12-C</v>
      </c>
      <c r="B257" s="29" t="s">
        <v>359</v>
      </c>
      <c r="C257" s="17">
        <v>5.5</v>
      </c>
      <c r="D257" s="18"/>
      <c r="E257" s="17" t="s">
        <v>332</v>
      </c>
      <c r="F257" s="17" t="s">
        <v>139</v>
      </c>
      <c r="G257" s="18"/>
      <c r="H257" s="18"/>
    </row>
    <row r="258" spans="1:8" ht="13.2">
      <c r="A258" s="15" t="s">
        <v>396</v>
      </c>
      <c r="B258" s="29" t="s">
        <v>397</v>
      </c>
      <c r="C258" s="17">
        <v>5.5</v>
      </c>
      <c r="D258" s="18"/>
      <c r="E258" s="24" t="s">
        <v>332</v>
      </c>
      <c r="F258" s="17" t="s">
        <v>201</v>
      </c>
      <c r="G258" s="18"/>
      <c r="H258" s="18"/>
    </row>
    <row r="259" spans="1:8" ht="13.2">
      <c r="A259" s="19" t="str">
        <f>HYPERLINK("http://codeforces.com/contest/361/problem/C","CF361-D2-C")</f>
        <v>CF361-D2-C</v>
      </c>
      <c r="B259" s="29" t="s">
        <v>398</v>
      </c>
      <c r="C259" s="17">
        <v>5.5</v>
      </c>
      <c r="D259" s="18"/>
      <c r="E259" s="17" t="s">
        <v>332</v>
      </c>
      <c r="F259" s="17" t="s">
        <v>201</v>
      </c>
      <c r="G259" s="18"/>
      <c r="H259" s="18"/>
    </row>
    <row r="260" spans="1:8" ht="13.2">
      <c r="A260" s="19" t="str">
        <f>HYPERLINK("http://codeforces.com/contest/42/problem/C","CF42-D12-C")</f>
        <v>CF42-D12-C</v>
      </c>
      <c r="B260" s="29" t="s">
        <v>398</v>
      </c>
      <c r="C260" s="17">
        <v>5.5</v>
      </c>
      <c r="D260" s="18"/>
      <c r="E260" s="17" t="s">
        <v>332</v>
      </c>
      <c r="F260" s="17"/>
      <c r="G260" s="18"/>
      <c r="H260" s="18"/>
    </row>
    <row r="261" spans="1:8" ht="13.2">
      <c r="A261" s="15" t="s">
        <v>399</v>
      </c>
      <c r="B261" s="16" t="s">
        <v>400</v>
      </c>
      <c r="C261" s="17">
        <v>5.5</v>
      </c>
      <c r="D261" s="18"/>
      <c r="E261" s="17" t="s">
        <v>332</v>
      </c>
      <c r="F261" s="17"/>
      <c r="G261" s="18"/>
      <c r="H261" s="18"/>
    </row>
    <row r="262" spans="1:8" ht="13.2">
      <c r="A262" s="19" t="str">
        <f>HYPERLINK("http://codeforces.com/contest/370/problem/D","CF370-D2-D")</f>
        <v>CF370-D2-D</v>
      </c>
      <c r="B262" s="29" t="s">
        <v>341</v>
      </c>
      <c r="C262" s="17">
        <v>5.5</v>
      </c>
      <c r="D262" s="18"/>
      <c r="E262" s="17" t="s">
        <v>332</v>
      </c>
      <c r="F262" s="17"/>
      <c r="G262" s="18"/>
      <c r="H262" s="18"/>
    </row>
    <row r="263" spans="1:8" ht="13.2">
      <c r="A263" s="19" t="str">
        <f>HYPERLINK("http://codeforces.com/contest/105/problem/C","CF105-D12-C")</f>
        <v>CF105-D12-C</v>
      </c>
      <c r="B263" s="29" t="s">
        <v>401</v>
      </c>
      <c r="C263" s="24">
        <v>5.5</v>
      </c>
      <c r="D263" s="18"/>
      <c r="E263" s="24" t="s">
        <v>332</v>
      </c>
      <c r="F263" s="17"/>
      <c r="G263" s="18"/>
      <c r="H263" s="18"/>
    </row>
    <row r="264" spans="1:8" ht="13.2">
      <c r="A264" s="19" t="str">
        <f>HYPERLINK("https://www.codechef.com/SNCK1A19/problems/AVGMAT","CODECHEF AVGMAT")</f>
        <v>CODECHEF AVGMAT</v>
      </c>
      <c r="B264" s="15" t="s">
        <v>402</v>
      </c>
      <c r="C264" s="17">
        <v>5.5</v>
      </c>
      <c r="D264" s="18"/>
      <c r="E264" s="17" t="s">
        <v>332</v>
      </c>
      <c r="F264" s="17"/>
      <c r="G264" s="18"/>
      <c r="H264" s="18"/>
    </row>
    <row r="265" spans="1:8" ht="13.2">
      <c r="A265" s="19" t="str">
        <f>HYPERLINK("http://codeforces.com/contest/633/problem/D","CF633-D12-D")</f>
        <v>CF633-D12-D</v>
      </c>
      <c r="B265" s="29" t="s">
        <v>403</v>
      </c>
      <c r="C265" s="17">
        <v>5</v>
      </c>
      <c r="D265" s="18"/>
      <c r="E265" s="17" t="s">
        <v>332</v>
      </c>
      <c r="F265" s="17" t="s">
        <v>154</v>
      </c>
      <c r="G265" s="18"/>
      <c r="H265" s="18"/>
    </row>
    <row r="266" spans="1:8" ht="13.2">
      <c r="A266" s="19" t="str">
        <f>HYPERLINK("http://codeforces.com/contest/621/problem/D","CF621-D2-D")</f>
        <v>CF621-D2-D</v>
      </c>
      <c r="B266" s="29" t="s">
        <v>404</v>
      </c>
      <c r="C266" s="17">
        <v>5</v>
      </c>
      <c r="D266" s="26" t="str">
        <f>HYPERLINK("https://github.com/MedoN11/CompetitiveProgramming/blob/master/CodeForces/CF621-D2-D-Complex.cpp","Sol")</f>
        <v>Sol</v>
      </c>
      <c r="E266" s="17" t="s">
        <v>332</v>
      </c>
      <c r="F266" s="17" t="s">
        <v>154</v>
      </c>
      <c r="G266" s="18"/>
      <c r="H266" s="18"/>
    </row>
    <row r="267" spans="1:8" ht="13.2">
      <c r="A267" s="19" t="str">
        <f>HYPERLINK("http://codeforces.com/contest/799/problem/D","CF799-D12-D")</f>
        <v>CF799-D12-D</v>
      </c>
      <c r="B267" s="15" t="s">
        <v>359</v>
      </c>
      <c r="C267" s="17">
        <v>5</v>
      </c>
      <c r="D267" s="18"/>
      <c r="E267" s="17" t="s">
        <v>332</v>
      </c>
      <c r="F267" s="17" t="s">
        <v>139</v>
      </c>
      <c r="G267" s="18"/>
      <c r="H267" s="18"/>
    </row>
    <row r="268" spans="1:8" ht="13.2">
      <c r="A268" s="19" t="str">
        <f>HYPERLINK("http://codeforces.com/contest/818/problem/D","CF818-D12-D")</f>
        <v>CF818-D12-D</v>
      </c>
      <c r="B268" s="15" t="s">
        <v>359</v>
      </c>
      <c r="C268" s="17">
        <v>5</v>
      </c>
      <c r="D268" s="18"/>
      <c r="E268" s="17" t="s">
        <v>332</v>
      </c>
      <c r="F268" s="17" t="s">
        <v>139</v>
      </c>
      <c r="G268" s="18"/>
      <c r="H268" s="18"/>
    </row>
    <row r="269" spans="1:8" ht="13.2">
      <c r="A269" s="15" t="s">
        <v>405</v>
      </c>
      <c r="B269" s="29" t="s">
        <v>406</v>
      </c>
      <c r="C269" s="24">
        <v>5</v>
      </c>
      <c r="D269" s="26" t="str">
        <f>HYPERLINK("https://github.com/thackerhelik/UVA/blob/master/12261.cpp","Sol")</f>
        <v>Sol</v>
      </c>
      <c r="E269" s="17" t="s">
        <v>332</v>
      </c>
      <c r="F269" s="17" t="s">
        <v>139</v>
      </c>
      <c r="G269" s="18"/>
      <c r="H269" s="18"/>
    </row>
    <row r="270" spans="1:8" ht="13.2">
      <c r="A270" s="19" t="str">
        <f>HYPERLINK("http://codeforces.com/problemset/problem/1017/D","CF1017-D12-D")</f>
        <v>CF1017-D12-D</v>
      </c>
      <c r="B270" s="20" t="s">
        <v>407</v>
      </c>
      <c r="C270" s="21">
        <v>5</v>
      </c>
      <c r="D270" s="18"/>
      <c r="E270" s="17" t="s">
        <v>332</v>
      </c>
      <c r="F270" s="17" t="s">
        <v>139</v>
      </c>
      <c r="G270" s="18"/>
      <c r="H270" s="18"/>
    </row>
    <row r="271" spans="1:8" ht="13.2">
      <c r="A271" s="19" t="str">
        <f>HYPERLINK("http://codeforces.com/contest/31/problem/D","CF31-D2-D")</f>
        <v>CF31-D2-D</v>
      </c>
      <c r="B271" s="15" t="s">
        <v>341</v>
      </c>
      <c r="C271" s="17">
        <v>5</v>
      </c>
      <c r="D271" s="18"/>
      <c r="E271" s="17" t="s">
        <v>332</v>
      </c>
      <c r="F271" s="17" t="s">
        <v>139</v>
      </c>
      <c r="G271" s="18"/>
      <c r="H271" s="18"/>
    </row>
    <row r="272" spans="1:8" ht="13.2">
      <c r="A272" s="19" t="str">
        <f>HYPERLINK("http://codeforces.com/contest/872/problem/D","CF872-D2-D")</f>
        <v>CF872-D2-D</v>
      </c>
      <c r="B272" s="15" t="s">
        <v>408</v>
      </c>
      <c r="C272" s="17">
        <v>5</v>
      </c>
      <c r="D272" s="18"/>
      <c r="E272" s="17" t="s">
        <v>332</v>
      </c>
      <c r="F272" s="17" t="s">
        <v>139</v>
      </c>
      <c r="G272" s="18"/>
      <c r="H272" s="18"/>
    </row>
    <row r="273" spans="1:8" ht="13.2">
      <c r="A273" s="19" t="str">
        <f>HYPERLINK("https://codeforces.com/contest/1169/problem/D","CF1169-D2-D")</f>
        <v>CF1169-D2-D</v>
      </c>
      <c r="B273" s="15" t="s">
        <v>409</v>
      </c>
      <c r="C273" s="17">
        <v>5</v>
      </c>
      <c r="D273" s="18"/>
      <c r="E273" s="17" t="s">
        <v>332</v>
      </c>
      <c r="F273" s="17" t="s">
        <v>139</v>
      </c>
      <c r="G273" s="18"/>
      <c r="H273" s="18"/>
    </row>
    <row r="274" spans="1:8" ht="13.2">
      <c r="A274" s="15" t="s">
        <v>410</v>
      </c>
      <c r="B274" s="29" t="s">
        <v>411</v>
      </c>
      <c r="C274" s="24">
        <v>5</v>
      </c>
      <c r="D274" s="26" t="str">
        <f>HYPERLINK("https://github.com/mostafa-saad/MyCompetitiveProgramming/blob/master/UVA/UVA_10705.txt","Sol")</f>
        <v>Sol</v>
      </c>
      <c r="E274" s="17" t="s">
        <v>332</v>
      </c>
      <c r="F274" s="17" t="s">
        <v>139</v>
      </c>
      <c r="G274" s="18"/>
      <c r="H274" s="18"/>
    </row>
    <row r="275" spans="1:8" ht="13.2">
      <c r="A275" s="19" t="str">
        <f>HYPERLINK("http://codeforces.com/contest/146/problem/D","CF146-D2-D")</f>
        <v>CF146-D2-D</v>
      </c>
      <c r="B275" s="29" t="s">
        <v>412</v>
      </c>
      <c r="C275" s="17">
        <v>5</v>
      </c>
      <c r="D275" s="18"/>
      <c r="E275" s="17" t="s">
        <v>332</v>
      </c>
      <c r="F275" s="17" t="s">
        <v>413</v>
      </c>
      <c r="G275" s="18"/>
      <c r="H275" s="18"/>
    </row>
    <row r="276" spans="1:8" ht="13.2">
      <c r="A276" s="19" t="str">
        <f>HYPERLINK("https://codeforces.com/contest/1077/problem/E","CF1077-D3-E")</f>
        <v>CF1077-D3-E</v>
      </c>
      <c r="B276" s="15" t="s">
        <v>398</v>
      </c>
      <c r="C276" s="17">
        <v>5</v>
      </c>
      <c r="D276" s="18"/>
      <c r="E276" s="17" t="s">
        <v>332</v>
      </c>
      <c r="F276" s="17" t="s">
        <v>201</v>
      </c>
      <c r="G276" s="18"/>
      <c r="H276" s="18"/>
    </row>
    <row r="277" spans="1:8" ht="13.2">
      <c r="A277" s="19" t="str">
        <f>HYPERLINK("http://codeforces.com/contest/863/problem/D","CF863-D12-D")</f>
        <v>CF863-D12-D</v>
      </c>
      <c r="B277" s="15" t="s">
        <v>414</v>
      </c>
      <c r="C277" s="17">
        <v>5</v>
      </c>
      <c r="D277" s="26" t="str">
        <f>HYPERLINK("https://codeforces.com/contest/863/submission/47240069","Sol")</f>
        <v>Sol</v>
      </c>
      <c r="E277" s="17" t="s">
        <v>332</v>
      </c>
      <c r="F277" s="17" t="s">
        <v>201</v>
      </c>
      <c r="G277" s="18"/>
      <c r="H277" s="18"/>
    </row>
    <row r="278" spans="1:8" ht="13.2">
      <c r="A278" s="19" t="str">
        <f>HYPERLINK("http://codeforces.com/contest/490/problem/C","CF490-D2-C")</f>
        <v>CF490-D2-C</v>
      </c>
      <c r="B278" s="29" t="s">
        <v>389</v>
      </c>
      <c r="C278" s="17">
        <v>5</v>
      </c>
      <c r="D278" s="18"/>
      <c r="E278" s="17" t="s">
        <v>332</v>
      </c>
      <c r="F278" s="17" t="s">
        <v>201</v>
      </c>
      <c r="G278" s="18"/>
      <c r="H278" s="18"/>
    </row>
    <row r="279" spans="1:8" ht="13.2">
      <c r="A279" s="19" t="str">
        <f>HYPERLINK("http://codeforces.com/contest/252/problem/D","CF252-D2-D")</f>
        <v>CF252-D2-D</v>
      </c>
      <c r="B279" s="29" t="s">
        <v>415</v>
      </c>
      <c r="C279" s="17">
        <v>5</v>
      </c>
      <c r="D279" s="18"/>
      <c r="E279" s="17" t="s">
        <v>332</v>
      </c>
      <c r="F279" s="17" t="s">
        <v>242</v>
      </c>
      <c r="G279" s="18"/>
      <c r="H279" s="18"/>
    </row>
    <row r="280" spans="1:8" ht="13.2">
      <c r="A280" s="19" t="str">
        <f>HYPERLINK("http://codeforces.com/contest/332/problem/E","CF332-D2-E")</f>
        <v>CF332-D2-E</v>
      </c>
      <c r="B280" s="15" t="s">
        <v>359</v>
      </c>
      <c r="C280" s="24">
        <v>5</v>
      </c>
      <c r="D280" s="18"/>
      <c r="E280" s="17" t="s">
        <v>332</v>
      </c>
      <c r="F280" s="17"/>
      <c r="G280" s="18"/>
      <c r="H280" s="18"/>
    </row>
    <row r="281" spans="1:8" ht="13.2">
      <c r="A281" s="19" t="str">
        <f>HYPERLINK("http://codeforces.com/contest/465/problem/D","CF465-D2-D")</f>
        <v>CF465-D2-D</v>
      </c>
      <c r="B281" s="29" t="s">
        <v>359</v>
      </c>
      <c r="C281" s="17">
        <v>5</v>
      </c>
      <c r="D281" s="18"/>
      <c r="E281" s="17" t="s">
        <v>332</v>
      </c>
      <c r="F281" s="17"/>
      <c r="G281" s="18"/>
      <c r="H281" s="18"/>
    </row>
    <row r="282" spans="1:8" ht="13.2">
      <c r="A282" s="19" t="str">
        <f>HYPERLINK("http://codeforces.com/contest/550/problem/C","CF550-D2-C")</f>
        <v>CF550-D2-C</v>
      </c>
      <c r="B282" s="29" t="s">
        <v>359</v>
      </c>
      <c r="C282" s="17">
        <v>5</v>
      </c>
      <c r="D282" s="18"/>
      <c r="E282" s="17" t="s">
        <v>332</v>
      </c>
      <c r="F282" s="17"/>
      <c r="G282" s="18"/>
      <c r="H282" s="18"/>
    </row>
    <row r="283" spans="1:8" ht="13.2">
      <c r="A283" s="19" t="str">
        <f>HYPERLINK("http://codeforces.com/contest/58/problem/C","CF58-D2-C")</f>
        <v>CF58-D2-C</v>
      </c>
      <c r="B283" s="29" t="s">
        <v>359</v>
      </c>
      <c r="C283" s="17">
        <v>5</v>
      </c>
      <c r="D283" s="18"/>
      <c r="E283" s="17" t="s">
        <v>332</v>
      </c>
      <c r="F283" s="17"/>
      <c r="G283" s="18"/>
      <c r="H283" s="18"/>
    </row>
    <row r="284" spans="1:8" ht="13.2">
      <c r="A284" s="15" t="s">
        <v>416</v>
      </c>
      <c r="B284" s="34" t="s">
        <v>359</v>
      </c>
      <c r="C284" s="31">
        <v>5</v>
      </c>
      <c r="D284" s="18"/>
      <c r="E284" s="17" t="s">
        <v>332</v>
      </c>
      <c r="F284" s="17"/>
      <c r="G284" s="18"/>
      <c r="H284" s="18"/>
    </row>
    <row r="285" spans="1:8" ht="13.2">
      <c r="A285" s="15" t="s">
        <v>417</v>
      </c>
      <c r="B285" s="30" t="s">
        <v>359</v>
      </c>
      <c r="C285" s="24">
        <v>5</v>
      </c>
      <c r="D285" s="18"/>
      <c r="E285" s="17" t="s">
        <v>332</v>
      </c>
      <c r="F285" s="17"/>
      <c r="G285" s="18"/>
      <c r="H285" s="18"/>
    </row>
    <row r="286" spans="1:8" ht="13.2">
      <c r="A286" s="15" t="s">
        <v>418</v>
      </c>
      <c r="B286" s="30" t="s">
        <v>359</v>
      </c>
      <c r="C286" s="24">
        <v>5</v>
      </c>
      <c r="D286" s="18"/>
      <c r="E286" s="17" t="s">
        <v>332</v>
      </c>
      <c r="F286" s="17"/>
      <c r="G286" s="18"/>
      <c r="H286" s="18"/>
    </row>
    <row r="287" spans="1:8" ht="13.2">
      <c r="A287" s="15" t="s">
        <v>419</v>
      </c>
      <c r="B287" s="16" t="s">
        <v>420</v>
      </c>
      <c r="C287" s="17">
        <v>5</v>
      </c>
      <c r="D287" s="18"/>
      <c r="E287" s="17" t="s">
        <v>332</v>
      </c>
      <c r="F287" s="17"/>
      <c r="G287" s="18"/>
      <c r="H287" s="18"/>
    </row>
    <row r="288" spans="1:8" ht="13.2">
      <c r="A288" s="19" t="str">
        <f>HYPERLINK("http://codeforces.com/contest/336/problem/C","CF336-D2-C")</f>
        <v>CF336-D2-C</v>
      </c>
      <c r="B288" s="18" t="s">
        <v>398</v>
      </c>
      <c r="C288" s="17">
        <v>5</v>
      </c>
      <c r="D288" s="18"/>
      <c r="E288" s="17" t="s">
        <v>332</v>
      </c>
      <c r="F288" s="17"/>
      <c r="G288" s="18"/>
      <c r="H288" s="18"/>
    </row>
    <row r="289" spans="1:8" ht="13.2">
      <c r="A289" s="15" t="s">
        <v>421</v>
      </c>
      <c r="B289" s="15" t="s">
        <v>422</v>
      </c>
      <c r="C289" s="17">
        <v>5</v>
      </c>
      <c r="D289" s="18"/>
      <c r="E289" s="17" t="s">
        <v>332</v>
      </c>
      <c r="F289" s="17"/>
      <c r="G289" s="18"/>
      <c r="H289" s="18"/>
    </row>
    <row r="290" spans="1:8" ht="13.2">
      <c r="A290" s="15" t="s">
        <v>423</v>
      </c>
      <c r="B290" s="29" t="s">
        <v>384</v>
      </c>
      <c r="C290" s="17">
        <v>5</v>
      </c>
      <c r="D290" s="18"/>
      <c r="E290" s="24" t="s">
        <v>332</v>
      </c>
      <c r="F290" s="17"/>
      <c r="G290" s="18"/>
      <c r="H290" s="18"/>
    </row>
    <row r="291" spans="1:8" ht="13.2">
      <c r="A291" s="15" t="s">
        <v>424</v>
      </c>
      <c r="B291" s="29" t="s">
        <v>425</v>
      </c>
      <c r="C291" s="31">
        <v>5</v>
      </c>
      <c r="D291" s="18"/>
      <c r="E291" s="24" t="s">
        <v>332</v>
      </c>
      <c r="F291" s="17"/>
      <c r="G291" s="18"/>
      <c r="H291" s="18"/>
    </row>
    <row r="292" spans="1:8" ht="13.2">
      <c r="A292" s="15" t="s">
        <v>426</v>
      </c>
      <c r="B292" s="28" t="s">
        <v>427</v>
      </c>
      <c r="C292" s="24">
        <v>5</v>
      </c>
      <c r="D292" s="18"/>
      <c r="E292" s="17" t="s">
        <v>332</v>
      </c>
      <c r="F292" s="17"/>
      <c r="G292" s="18"/>
      <c r="H292" s="18"/>
    </row>
    <row r="293" spans="1:8" ht="13.2">
      <c r="A293" s="15" t="s">
        <v>428</v>
      </c>
      <c r="B293" s="29" t="s">
        <v>429</v>
      </c>
      <c r="C293" s="31">
        <v>5</v>
      </c>
      <c r="D293" s="18"/>
      <c r="E293" s="24" t="s">
        <v>332</v>
      </c>
      <c r="F293" s="17"/>
      <c r="G293" s="18"/>
      <c r="H293" s="18"/>
    </row>
    <row r="294" spans="1:8" ht="13.2">
      <c r="A294" s="19" t="str">
        <f>HYPERLINK("http://codeforces.com/contest/426/problem/C","CF426-D2-C")</f>
        <v>CF426-D2-C</v>
      </c>
      <c r="B294" s="29" t="s">
        <v>430</v>
      </c>
      <c r="C294" s="17">
        <v>5</v>
      </c>
      <c r="D294" s="18"/>
      <c r="E294" s="17" t="s">
        <v>332</v>
      </c>
      <c r="F294" s="17"/>
      <c r="G294" s="18"/>
      <c r="H294" s="18"/>
    </row>
    <row r="295" spans="1:8" ht="13.2">
      <c r="A295" s="15" t="s">
        <v>431</v>
      </c>
      <c r="B295" s="34" t="s">
        <v>389</v>
      </c>
      <c r="C295" s="33">
        <v>4.5</v>
      </c>
      <c r="D295" s="18"/>
      <c r="E295" s="17" t="s">
        <v>332</v>
      </c>
      <c r="F295" s="17" t="s">
        <v>255</v>
      </c>
      <c r="G295" s="18"/>
      <c r="H295" s="18"/>
    </row>
    <row r="296" spans="1:8" ht="13.2">
      <c r="A296" s="19" t="str">
        <f>HYPERLINK("http://codeforces.com/contest/557/problem/C","CF557-D2-C")</f>
        <v>CF557-D2-C</v>
      </c>
      <c r="B296" s="29" t="s">
        <v>360</v>
      </c>
      <c r="C296" s="17">
        <v>4.5</v>
      </c>
      <c r="D296" s="18"/>
      <c r="E296" s="17" t="s">
        <v>332</v>
      </c>
      <c r="F296" s="17" t="s">
        <v>229</v>
      </c>
      <c r="G296" s="18"/>
      <c r="H296" s="18"/>
    </row>
    <row r="297" spans="1:8" ht="13.2">
      <c r="A297" s="15" t="s">
        <v>432</v>
      </c>
      <c r="B297" s="35" t="s">
        <v>433</v>
      </c>
      <c r="C297" s="24">
        <v>4.5</v>
      </c>
      <c r="D297" s="18"/>
      <c r="E297" s="17" t="s">
        <v>332</v>
      </c>
      <c r="F297" s="17" t="s">
        <v>229</v>
      </c>
      <c r="G297" s="18"/>
      <c r="H297" s="18"/>
    </row>
    <row r="298" spans="1:8" ht="13.2">
      <c r="A298" s="19" t="str">
        <f>HYPERLINK("http://codeforces.com/contest/1036/problem/C","CF1036-D2-C")</f>
        <v>CF1036-D2-C</v>
      </c>
      <c r="B298" s="20" t="s">
        <v>434</v>
      </c>
      <c r="C298" s="21">
        <v>4.5</v>
      </c>
      <c r="D298" s="18"/>
      <c r="E298" s="17" t="s">
        <v>332</v>
      </c>
      <c r="F298" s="17" t="s">
        <v>139</v>
      </c>
      <c r="G298" s="18"/>
      <c r="H298" s="18"/>
    </row>
    <row r="299" spans="1:8" ht="13.2">
      <c r="A299" s="19" t="str">
        <f>HYPERLINK("http://codeforces.com/contest/63/problem/C","CF63-D2-C")</f>
        <v>CF63-D2-C</v>
      </c>
      <c r="B299" s="29" t="s">
        <v>435</v>
      </c>
      <c r="C299" s="17">
        <v>4.5</v>
      </c>
      <c r="D299" s="26" t="str">
        <f>HYPERLINK("https://github.com/ilyesG/Competitive-Programming/blob/master/CodeForces/CF63-D2-C.cpp","Sol")</f>
        <v>Sol</v>
      </c>
      <c r="E299" s="17" t="s">
        <v>332</v>
      </c>
      <c r="F299" s="17" t="s">
        <v>139</v>
      </c>
      <c r="G299" s="18"/>
      <c r="H299" s="18"/>
    </row>
    <row r="300" spans="1:8" ht="13.2">
      <c r="A300" s="19" t="str">
        <f>HYPERLINK("http://codeforces.com/contest/71/problem/D","CF71-D2-D")</f>
        <v>CF71-D2-D</v>
      </c>
      <c r="B300" s="29" t="s">
        <v>341</v>
      </c>
      <c r="C300" s="17">
        <v>4.5</v>
      </c>
      <c r="D300" s="18"/>
      <c r="E300" s="17" t="s">
        <v>332</v>
      </c>
      <c r="F300" s="17" t="s">
        <v>436</v>
      </c>
      <c r="G300" s="18"/>
      <c r="H300" s="18"/>
    </row>
    <row r="301" spans="1:8" ht="13.2">
      <c r="A301" s="19" t="str">
        <f>HYPERLINK("http://codeforces.com/contest/365/problem/C","CF365-D2-C")</f>
        <v>CF365-D2-C</v>
      </c>
      <c r="B301" s="29" t="s">
        <v>389</v>
      </c>
      <c r="C301" s="17">
        <v>4.5</v>
      </c>
      <c r="D301" s="18"/>
      <c r="E301" s="17" t="s">
        <v>332</v>
      </c>
      <c r="F301" s="17" t="s">
        <v>242</v>
      </c>
      <c r="G301" s="18"/>
      <c r="H301" s="18"/>
    </row>
    <row r="302" spans="1:8" ht="13.2">
      <c r="A302" s="19" t="str">
        <f>HYPERLINK("http://codeforces.com/contest/496/problem/C","CF496-D2-C")</f>
        <v>CF496-D2-C</v>
      </c>
      <c r="B302" s="29" t="s">
        <v>359</v>
      </c>
      <c r="C302" s="17">
        <v>4.5</v>
      </c>
      <c r="D302" s="18"/>
      <c r="E302" s="17" t="s">
        <v>332</v>
      </c>
      <c r="F302" s="17"/>
      <c r="G302" s="18"/>
      <c r="H302" s="18"/>
    </row>
    <row r="303" spans="1:8" ht="13.2">
      <c r="A303" s="15" t="s">
        <v>437</v>
      </c>
      <c r="B303" s="15" t="s">
        <v>359</v>
      </c>
      <c r="C303" s="17">
        <v>4.5</v>
      </c>
      <c r="D303" s="18"/>
      <c r="E303" s="17" t="s">
        <v>332</v>
      </c>
      <c r="F303" s="17"/>
      <c r="G303" s="18"/>
      <c r="H303" s="18"/>
    </row>
    <row r="304" spans="1:8" ht="13.2">
      <c r="A304" s="19" t="str">
        <f>HYPERLINK("http://codeforces.com/contest/192/problem/D","CF192-D2-D")</f>
        <v>CF192-D2-D</v>
      </c>
      <c r="B304" s="18" t="s">
        <v>438</v>
      </c>
      <c r="C304" s="17">
        <v>4.5</v>
      </c>
      <c r="D304" s="18"/>
      <c r="E304" s="17" t="s">
        <v>332</v>
      </c>
      <c r="F304" s="17"/>
      <c r="G304" s="18"/>
      <c r="H304" s="18"/>
    </row>
    <row r="305" spans="1:8" ht="13.2">
      <c r="A305" s="15" t="s">
        <v>439</v>
      </c>
      <c r="B305" s="29" t="s">
        <v>384</v>
      </c>
      <c r="C305" s="24">
        <v>4.5</v>
      </c>
      <c r="D305" s="18"/>
      <c r="E305" s="24" t="s">
        <v>332</v>
      </c>
      <c r="F305" s="17"/>
      <c r="G305" s="18"/>
      <c r="H305" s="18"/>
    </row>
    <row r="306" spans="1:8" ht="13.2">
      <c r="A306" s="19" t="str">
        <f>HYPERLINK("http://codeforces.com/contest/526/problem/C","CF526-D12-C")</f>
        <v>CF526-D12-C</v>
      </c>
      <c r="B306" s="29" t="s">
        <v>440</v>
      </c>
      <c r="C306" s="24">
        <v>4.5</v>
      </c>
      <c r="D306" s="18"/>
      <c r="E306" s="17" t="s">
        <v>332</v>
      </c>
      <c r="F306" s="17"/>
      <c r="G306" s="18"/>
      <c r="H306" s="18"/>
    </row>
    <row r="307" spans="1:8" ht="13.2">
      <c r="A307" s="15" t="s">
        <v>441</v>
      </c>
      <c r="B307" s="30" t="s">
        <v>341</v>
      </c>
      <c r="C307" s="24">
        <v>4.5</v>
      </c>
      <c r="D307" s="18"/>
      <c r="E307" s="17" t="s">
        <v>332</v>
      </c>
      <c r="F307" s="17"/>
      <c r="G307" s="18"/>
      <c r="H307" s="18"/>
    </row>
    <row r="308" spans="1:8" ht="13.2">
      <c r="A308" s="15" t="s">
        <v>442</v>
      </c>
      <c r="B308" s="28" t="s">
        <v>443</v>
      </c>
      <c r="C308" s="24">
        <v>4.5</v>
      </c>
      <c r="D308" s="26" t="str">
        <f>HYPERLINK("https://ideone.com/ODyk54","sol")</f>
        <v>sol</v>
      </c>
      <c r="E308" s="17" t="s">
        <v>332</v>
      </c>
      <c r="F308" s="17"/>
      <c r="G308" s="18"/>
      <c r="H308" s="18"/>
    </row>
    <row r="309" spans="1:8" ht="13.2">
      <c r="A309" s="19" t="str">
        <f>HYPERLINK("https://agc004.contest.atcoder.jp/tasks/agc004_b","AtCoder004-AGC-B")</f>
        <v>AtCoder004-AGC-B</v>
      </c>
      <c r="B309" s="15" t="s">
        <v>444</v>
      </c>
      <c r="C309" s="17">
        <v>4.5</v>
      </c>
      <c r="D309" s="18"/>
      <c r="E309" s="17" t="s">
        <v>332</v>
      </c>
      <c r="F309" s="17"/>
      <c r="G309" s="18"/>
      <c r="H309" s="18"/>
    </row>
    <row r="310" spans="1:8" ht="13.2">
      <c r="A310" s="15" t="s">
        <v>445</v>
      </c>
      <c r="B310" s="29" t="s">
        <v>347</v>
      </c>
      <c r="C310" s="33">
        <v>4</v>
      </c>
      <c r="D310" s="18"/>
      <c r="E310" s="24" t="s">
        <v>332</v>
      </c>
      <c r="F310" s="17" t="s">
        <v>229</v>
      </c>
      <c r="G310" s="18"/>
      <c r="H310" s="18"/>
    </row>
    <row r="311" spans="1:8" ht="13.2">
      <c r="A311" s="15" t="s">
        <v>446</v>
      </c>
      <c r="B311" s="28" t="s">
        <v>447</v>
      </c>
      <c r="C311" s="17">
        <v>4</v>
      </c>
      <c r="D311" s="26" t="str">
        <f>HYPERLINK("https://github.com/AhmedRamadanAbdElghany/CompetitiveProgramming/blob/master/UVA/565%20-%20Pizza%20Anyone.cpp","Sol")</f>
        <v>Sol</v>
      </c>
      <c r="E311" s="17" t="s">
        <v>332</v>
      </c>
      <c r="F311" s="17" t="s">
        <v>229</v>
      </c>
      <c r="G311" s="18"/>
      <c r="H311" s="18"/>
    </row>
    <row r="312" spans="1:8" ht="13.2">
      <c r="A312" s="15" t="s">
        <v>448</v>
      </c>
      <c r="B312" s="29" t="s">
        <v>449</v>
      </c>
      <c r="C312" s="17">
        <v>4</v>
      </c>
      <c r="D312" s="18"/>
      <c r="E312" s="24" t="s">
        <v>332</v>
      </c>
      <c r="F312" s="17" t="s">
        <v>229</v>
      </c>
      <c r="G312" s="18"/>
      <c r="H312" s="18"/>
    </row>
    <row r="313" spans="1:8" ht="13.2">
      <c r="A313" s="19" t="str">
        <f>HYPERLINK("http://codeforces.com/contest/558/problem/C","CF558-D2-C")</f>
        <v>CF558-D2-C</v>
      </c>
      <c r="B313" s="29" t="s">
        <v>450</v>
      </c>
      <c r="C313" s="33">
        <v>4</v>
      </c>
      <c r="D313" s="18"/>
      <c r="E313" s="17" t="s">
        <v>332</v>
      </c>
      <c r="F313" s="17" t="s">
        <v>306</v>
      </c>
      <c r="G313" s="18"/>
      <c r="H313" s="18"/>
    </row>
    <row r="314" spans="1:8" ht="13.2">
      <c r="A314" s="19" t="str">
        <f>HYPERLINK("https://codeforces.com/contest/55/problem/B","CF55-D12-B")</f>
        <v>CF55-D12-B</v>
      </c>
      <c r="B314" s="15" t="s">
        <v>451</v>
      </c>
      <c r="C314" s="17">
        <v>4</v>
      </c>
      <c r="D314" s="18"/>
      <c r="E314" s="17" t="s">
        <v>332</v>
      </c>
      <c r="F314" s="17" t="s">
        <v>139</v>
      </c>
      <c r="G314" s="18"/>
      <c r="H314" s="18"/>
    </row>
    <row r="315" spans="1:8" ht="13.2">
      <c r="A315" s="19" t="str">
        <f>HYPERLINK("http://codeforces.com/contest/911/problem/D","CF911-D12-D")</f>
        <v>CF911-D12-D</v>
      </c>
      <c r="B315" s="15" t="s">
        <v>452</v>
      </c>
      <c r="C315" s="17">
        <v>4</v>
      </c>
      <c r="D315" s="18"/>
      <c r="E315" s="17" t="s">
        <v>332</v>
      </c>
      <c r="F315" s="17" t="s">
        <v>139</v>
      </c>
      <c r="G315" s="18"/>
      <c r="H315" s="18"/>
    </row>
    <row r="316" spans="1:8" ht="13.2">
      <c r="A316" s="19" t="str">
        <f>HYPERLINK("https://codeforces.com/contest/1073/problem/D","CF1073-D2-D")</f>
        <v>CF1073-D2-D</v>
      </c>
      <c r="B316" s="15" t="s">
        <v>453</v>
      </c>
      <c r="C316" s="17">
        <v>4</v>
      </c>
      <c r="D316" s="18"/>
      <c r="E316" s="17" t="s">
        <v>332</v>
      </c>
      <c r="F316" s="17" t="s">
        <v>201</v>
      </c>
      <c r="G316" s="18"/>
      <c r="H316" s="18"/>
    </row>
    <row r="317" spans="1:8" ht="13.2">
      <c r="A317" s="15" t="s">
        <v>454</v>
      </c>
      <c r="B317" s="18" t="s">
        <v>455</v>
      </c>
      <c r="C317" s="17">
        <v>4</v>
      </c>
      <c r="D317" s="18"/>
      <c r="E317" s="17" t="s">
        <v>332</v>
      </c>
      <c r="F317" s="17" t="s">
        <v>436</v>
      </c>
      <c r="G317" s="18"/>
      <c r="H317" s="18"/>
    </row>
    <row r="318" spans="1:8" ht="13.2">
      <c r="A318" s="19" t="str">
        <f>HYPERLINK("http://codeforces.com/contest/255/problem/C","CF255-D2-C")</f>
        <v>CF255-D2-C</v>
      </c>
      <c r="B318" s="29" t="s">
        <v>359</v>
      </c>
      <c r="C318" s="17">
        <v>4</v>
      </c>
      <c r="D318" s="18"/>
      <c r="E318" s="17" t="s">
        <v>332</v>
      </c>
      <c r="F318" s="17"/>
      <c r="G318" s="18"/>
      <c r="H318" s="18"/>
    </row>
    <row r="319" spans="1:8" ht="13.2">
      <c r="A319" s="15" t="s">
        <v>456</v>
      </c>
      <c r="B319" s="35" t="s">
        <v>359</v>
      </c>
      <c r="C319" s="40">
        <v>4</v>
      </c>
      <c r="D319" s="18"/>
      <c r="E319" s="17" t="s">
        <v>332</v>
      </c>
      <c r="F319" s="17"/>
      <c r="G319" s="18"/>
      <c r="H319" s="18"/>
    </row>
    <row r="320" spans="1:8" ht="13.2">
      <c r="A320" s="15" t="s">
        <v>457</v>
      </c>
      <c r="B320" s="34" t="s">
        <v>359</v>
      </c>
      <c r="C320" s="24">
        <v>4</v>
      </c>
      <c r="D320" s="18"/>
      <c r="E320" s="17" t="s">
        <v>332</v>
      </c>
      <c r="F320" s="17"/>
      <c r="G320" s="18"/>
      <c r="H320" s="18"/>
    </row>
    <row r="321" spans="1:8" ht="13.2">
      <c r="A321" s="15" t="s">
        <v>458</v>
      </c>
      <c r="B321" s="35" t="s">
        <v>359</v>
      </c>
      <c r="C321" s="17">
        <v>4</v>
      </c>
      <c r="D321" s="18"/>
      <c r="E321" s="17" t="s">
        <v>332</v>
      </c>
      <c r="F321" s="17"/>
      <c r="G321" s="18"/>
      <c r="H321" s="18"/>
    </row>
    <row r="322" spans="1:8" ht="13.2">
      <c r="A322" s="15" t="s">
        <v>459</v>
      </c>
      <c r="B322" s="35" t="s">
        <v>359</v>
      </c>
      <c r="C322" s="40">
        <v>4</v>
      </c>
      <c r="D322" s="18"/>
      <c r="E322" s="17" t="s">
        <v>332</v>
      </c>
      <c r="F322" s="17"/>
      <c r="G322" s="18"/>
      <c r="H322" s="18"/>
    </row>
    <row r="323" spans="1:8" ht="13.2">
      <c r="A323" s="15" t="s">
        <v>460</v>
      </c>
      <c r="B323" s="29" t="s">
        <v>359</v>
      </c>
      <c r="C323" s="24">
        <v>4</v>
      </c>
      <c r="D323" s="18"/>
      <c r="E323" s="24" t="s">
        <v>332</v>
      </c>
      <c r="F323" s="17"/>
      <c r="G323" s="18"/>
      <c r="H323" s="18"/>
    </row>
    <row r="324" spans="1:8" ht="13.2">
      <c r="A324" s="15" t="s">
        <v>461</v>
      </c>
      <c r="B324" s="16" t="s">
        <v>359</v>
      </c>
      <c r="C324" s="31">
        <v>4</v>
      </c>
      <c r="D324" s="18"/>
      <c r="E324" s="17" t="s">
        <v>332</v>
      </c>
      <c r="F324" s="17"/>
      <c r="G324" s="18"/>
      <c r="H324" s="18"/>
    </row>
    <row r="325" spans="1:8" ht="13.2">
      <c r="A325" s="15" t="s">
        <v>462</v>
      </c>
      <c r="B325" s="30" t="s">
        <v>359</v>
      </c>
      <c r="C325" s="24">
        <v>4</v>
      </c>
      <c r="D325" s="18"/>
      <c r="E325" s="17" t="s">
        <v>332</v>
      </c>
      <c r="F325" s="17"/>
      <c r="G325" s="18"/>
      <c r="H325" s="18"/>
    </row>
    <row r="326" spans="1:8" ht="13.2">
      <c r="A326" s="15" t="s">
        <v>463</v>
      </c>
      <c r="B326" s="35" t="s">
        <v>397</v>
      </c>
      <c r="C326" s="24">
        <v>4</v>
      </c>
      <c r="D326" s="18"/>
      <c r="E326" s="17" t="s">
        <v>332</v>
      </c>
      <c r="F326" s="17"/>
      <c r="G326" s="18"/>
      <c r="H326" s="18"/>
    </row>
    <row r="327" spans="1:8" ht="13.2">
      <c r="A327" s="15" t="s">
        <v>464</v>
      </c>
      <c r="B327" s="28" t="s">
        <v>397</v>
      </c>
      <c r="C327" s="24">
        <v>4</v>
      </c>
      <c r="D327" s="18"/>
      <c r="E327" s="17" t="s">
        <v>332</v>
      </c>
      <c r="F327" s="17"/>
      <c r="G327" s="18"/>
      <c r="H327" s="18"/>
    </row>
    <row r="328" spans="1:8" ht="13.2">
      <c r="A328" s="19" t="str">
        <f>HYPERLINK("http://codeforces.com/contest/118/problem/C","CF118-D2-C")</f>
        <v>CF118-D2-C</v>
      </c>
      <c r="B328" s="29" t="s">
        <v>398</v>
      </c>
      <c r="C328" s="17">
        <v>4</v>
      </c>
      <c r="D328" s="18"/>
      <c r="E328" s="17" t="s">
        <v>332</v>
      </c>
      <c r="F328" s="17"/>
      <c r="G328" s="18"/>
      <c r="H328" s="18"/>
    </row>
    <row r="329" spans="1:8" ht="13.2">
      <c r="A329" s="19" t="str">
        <f>HYPERLINK("http://codeforces.com/contest/219/problem/C","CF219-D2-C")</f>
        <v>CF219-D2-C</v>
      </c>
      <c r="B329" s="29" t="s">
        <v>398</v>
      </c>
      <c r="C329" s="17">
        <v>4</v>
      </c>
      <c r="D329" s="18"/>
      <c r="E329" s="17" t="s">
        <v>332</v>
      </c>
      <c r="F329" s="17"/>
      <c r="G329" s="18"/>
      <c r="H329" s="18"/>
    </row>
    <row r="330" spans="1:8" ht="13.2">
      <c r="A330" s="19" t="str">
        <f>HYPERLINK("http://codeforces.com/contest/672/problem/C","CF672-D2-C")</f>
        <v>CF672-D2-C</v>
      </c>
      <c r="B330" s="29" t="s">
        <v>398</v>
      </c>
      <c r="C330" s="17">
        <v>4</v>
      </c>
      <c r="D330" s="18"/>
      <c r="E330" s="17" t="s">
        <v>332</v>
      </c>
      <c r="F330" s="17"/>
      <c r="G330" s="18"/>
      <c r="H330" s="18"/>
    </row>
    <row r="331" spans="1:8" ht="13.2">
      <c r="A331" s="15" t="s">
        <v>465</v>
      </c>
      <c r="B331" s="30" t="s">
        <v>466</v>
      </c>
      <c r="C331" s="24">
        <v>4</v>
      </c>
      <c r="D331" s="18"/>
      <c r="E331" s="17" t="s">
        <v>332</v>
      </c>
      <c r="F331" s="17"/>
      <c r="G331" s="18"/>
      <c r="H331" s="18"/>
    </row>
    <row r="332" spans="1:8" ht="13.2">
      <c r="A332" s="15" t="s">
        <v>467</v>
      </c>
      <c r="B332" s="30" t="s">
        <v>468</v>
      </c>
      <c r="C332" s="24">
        <v>4</v>
      </c>
      <c r="D332" s="18"/>
      <c r="E332" s="17" t="s">
        <v>332</v>
      </c>
      <c r="F332" s="17"/>
      <c r="G332" s="18"/>
      <c r="H332" s="18"/>
    </row>
    <row r="333" spans="1:8" ht="13.2">
      <c r="A333" s="19" t="str">
        <f>HYPERLINK("http://codeforces.com/contest/443/problem/C","CF443-D2-C")</f>
        <v>CF443-D2-C</v>
      </c>
      <c r="B333" s="29" t="s">
        <v>368</v>
      </c>
      <c r="C333" s="33">
        <v>4</v>
      </c>
      <c r="D333" s="18"/>
      <c r="E333" s="17" t="s">
        <v>332</v>
      </c>
      <c r="F333" s="17"/>
      <c r="G333" s="18"/>
      <c r="H333" s="18"/>
    </row>
    <row r="334" spans="1:8" ht="13.2">
      <c r="A334" s="19" t="str">
        <f>HYPERLINK("http://codeforces.com/contest/439/problem/C","CF439-D2-C")</f>
        <v>CF439-D2-C</v>
      </c>
      <c r="B334" s="29" t="s">
        <v>469</v>
      </c>
      <c r="C334" s="17">
        <v>4</v>
      </c>
      <c r="D334" s="18"/>
      <c r="E334" s="17" t="s">
        <v>332</v>
      </c>
      <c r="F334" s="17"/>
      <c r="G334" s="18"/>
      <c r="H334" s="18"/>
    </row>
    <row r="335" spans="1:8" ht="13.2">
      <c r="A335" s="19" t="str">
        <f>HYPERLINK("http://codeforces.com/contest/200/problem/C","CF200-D2-C")</f>
        <v>CF200-D2-C</v>
      </c>
      <c r="B335" s="29" t="s">
        <v>341</v>
      </c>
      <c r="C335" s="17">
        <v>4</v>
      </c>
      <c r="D335" s="18"/>
      <c r="E335" s="17" t="s">
        <v>332</v>
      </c>
      <c r="F335" s="17"/>
      <c r="G335" s="18"/>
      <c r="H335" s="18"/>
    </row>
    <row r="336" spans="1:8" ht="13.2">
      <c r="A336" s="19" t="str">
        <f>HYPERLINK("http://codeforces.com/contest/368/problem/C","CF368-D2-C")</f>
        <v>CF368-D2-C</v>
      </c>
      <c r="B336" s="29" t="s">
        <v>341</v>
      </c>
      <c r="C336" s="17">
        <v>4</v>
      </c>
      <c r="D336" s="18"/>
      <c r="E336" s="17" t="s">
        <v>332</v>
      </c>
      <c r="F336" s="17"/>
      <c r="G336" s="18"/>
      <c r="H336" s="18"/>
    </row>
    <row r="337" spans="1:8" ht="13.2">
      <c r="A337" s="15" t="s">
        <v>470</v>
      </c>
      <c r="B337" s="30" t="s">
        <v>341</v>
      </c>
      <c r="C337" s="17">
        <v>4</v>
      </c>
      <c r="D337" s="26" t="str">
        <f>HYPERLINK("https://ideone.com/VFD9au","Sol")</f>
        <v>Sol</v>
      </c>
      <c r="E337" s="17" t="s">
        <v>332</v>
      </c>
      <c r="F337" s="17"/>
      <c r="G337" s="18"/>
      <c r="H337" s="18"/>
    </row>
    <row r="338" spans="1:8" ht="13.2">
      <c r="A338" s="19" t="str">
        <f>HYPERLINK("http://codeforces.com/contest/686/problem/C","CF686-D2-C")</f>
        <v>CF686-D2-C</v>
      </c>
      <c r="B338" s="29" t="s">
        <v>389</v>
      </c>
      <c r="C338" s="17">
        <v>4</v>
      </c>
      <c r="D338" s="18"/>
      <c r="E338" s="17" t="s">
        <v>332</v>
      </c>
      <c r="F338" s="17"/>
      <c r="G338" s="18"/>
      <c r="H338" s="18"/>
    </row>
    <row r="339" spans="1:8" ht="13.2">
      <c r="A339" s="15" t="s">
        <v>471</v>
      </c>
      <c r="B339" s="29" t="s">
        <v>389</v>
      </c>
      <c r="C339" s="17">
        <v>4</v>
      </c>
      <c r="D339" s="18"/>
      <c r="E339" s="24" t="s">
        <v>332</v>
      </c>
      <c r="F339" s="17"/>
      <c r="G339" s="18"/>
      <c r="H339" s="18"/>
    </row>
    <row r="340" spans="1:8" ht="13.2">
      <c r="A340" s="15" t="s">
        <v>472</v>
      </c>
      <c r="B340" s="35" t="s">
        <v>473</v>
      </c>
      <c r="C340" s="33">
        <v>4</v>
      </c>
      <c r="D340" s="18"/>
      <c r="E340" s="17" t="s">
        <v>332</v>
      </c>
      <c r="F340" s="17"/>
      <c r="G340" s="18"/>
      <c r="H340" s="18"/>
    </row>
    <row r="341" spans="1:8" ht="13.2">
      <c r="A341" s="15" t="s">
        <v>474</v>
      </c>
      <c r="B341" s="29" t="s">
        <v>475</v>
      </c>
      <c r="C341" s="33">
        <v>4</v>
      </c>
      <c r="D341" s="18"/>
      <c r="E341" s="24" t="s">
        <v>332</v>
      </c>
      <c r="F341" s="17"/>
      <c r="G341" s="18"/>
      <c r="H341" s="18"/>
    </row>
    <row r="342" spans="1:8" ht="13.2">
      <c r="A342" s="15" t="s">
        <v>476</v>
      </c>
      <c r="B342" s="30" t="s">
        <v>359</v>
      </c>
      <c r="C342" s="17">
        <v>3.5</v>
      </c>
      <c r="D342" s="18"/>
      <c r="E342" s="17" t="s">
        <v>332</v>
      </c>
      <c r="F342" s="17" t="s">
        <v>306</v>
      </c>
      <c r="G342" s="18"/>
      <c r="H342" s="18"/>
    </row>
    <row r="343" spans="1:8" ht="13.2">
      <c r="A343" s="15" t="s">
        <v>477</v>
      </c>
      <c r="B343" s="16" t="s">
        <v>389</v>
      </c>
      <c r="C343" s="24">
        <v>3.5</v>
      </c>
      <c r="D343" s="18"/>
      <c r="E343" s="17" t="s">
        <v>332</v>
      </c>
      <c r="F343" s="17" t="s">
        <v>306</v>
      </c>
      <c r="G343" s="18"/>
      <c r="H343" s="18"/>
    </row>
    <row r="344" spans="1:8" ht="13.2">
      <c r="A344" s="19" t="str">
        <f>HYPERLINK("https://codeforces.com/gym/101609/problem/G","CF101609-GYM-G")</f>
        <v>CF101609-GYM-G</v>
      </c>
      <c r="B344" s="20" t="s">
        <v>359</v>
      </c>
      <c r="C344" s="21">
        <v>3.5</v>
      </c>
      <c r="D344" s="18"/>
      <c r="E344" s="17" t="s">
        <v>332</v>
      </c>
      <c r="F344" s="17" t="s">
        <v>139</v>
      </c>
      <c r="G344" s="18"/>
      <c r="H344" s="18"/>
    </row>
    <row r="345" spans="1:8" ht="13.2">
      <c r="A345" s="15" t="s">
        <v>478</v>
      </c>
      <c r="B345" s="30" t="s">
        <v>359</v>
      </c>
      <c r="C345" s="17">
        <v>3.5</v>
      </c>
      <c r="D345" s="18"/>
      <c r="E345" s="17" t="s">
        <v>332</v>
      </c>
      <c r="F345" s="17"/>
      <c r="G345" s="18"/>
      <c r="H345" s="18"/>
    </row>
    <row r="346" spans="1:8" ht="13.2">
      <c r="A346" s="15" t="s">
        <v>479</v>
      </c>
      <c r="B346" s="35" t="s">
        <v>480</v>
      </c>
      <c r="C346" s="17">
        <v>3.5</v>
      </c>
      <c r="D346" s="18"/>
      <c r="E346" s="17" t="s">
        <v>332</v>
      </c>
      <c r="F346" s="17"/>
      <c r="G346" s="18"/>
      <c r="H346" s="18"/>
    </row>
    <row r="347" spans="1:8" ht="13.2">
      <c r="A347" s="15" t="s">
        <v>481</v>
      </c>
      <c r="B347" s="29" t="s">
        <v>482</v>
      </c>
      <c r="C347" s="17">
        <v>3.5</v>
      </c>
      <c r="D347" s="18"/>
      <c r="E347" s="17" t="s">
        <v>332</v>
      </c>
      <c r="F347" s="17"/>
      <c r="G347" s="18"/>
      <c r="H347" s="18"/>
    </row>
    <row r="348" spans="1:8" ht="13.2">
      <c r="A348" s="19" t="str">
        <f>HYPERLINK("http://codeforces.com/contest/189/problem/A","CF189-D2-A")</f>
        <v>CF189-D2-A</v>
      </c>
      <c r="B348" s="29" t="s">
        <v>359</v>
      </c>
      <c r="C348" s="17">
        <v>3</v>
      </c>
      <c r="D348" s="18"/>
      <c r="E348" s="17" t="s">
        <v>332</v>
      </c>
      <c r="F348" s="17"/>
      <c r="G348" s="18"/>
      <c r="H348" s="18"/>
    </row>
    <row r="349" spans="1:8" ht="13.2">
      <c r="A349" s="15" t="s">
        <v>483</v>
      </c>
      <c r="B349" s="34" t="s">
        <v>359</v>
      </c>
      <c r="C349" s="24">
        <v>3</v>
      </c>
      <c r="D349" s="18"/>
      <c r="E349" s="17" t="s">
        <v>332</v>
      </c>
      <c r="F349" s="17"/>
      <c r="G349" s="18"/>
      <c r="H349" s="18"/>
    </row>
    <row r="350" spans="1:8" ht="13.2">
      <c r="A350" s="15" t="s">
        <v>484</v>
      </c>
      <c r="B350" s="35" t="s">
        <v>359</v>
      </c>
      <c r="C350" s="40">
        <v>3</v>
      </c>
      <c r="D350" s="18"/>
      <c r="E350" s="17" t="s">
        <v>332</v>
      </c>
      <c r="F350" s="17"/>
      <c r="G350" s="18"/>
      <c r="H350" s="18"/>
    </row>
    <row r="351" spans="1:8" ht="13.2">
      <c r="A351" s="15" t="s">
        <v>485</v>
      </c>
      <c r="B351" s="30" t="s">
        <v>359</v>
      </c>
      <c r="C351" s="24">
        <v>3</v>
      </c>
      <c r="D351" s="18"/>
      <c r="E351" s="17" t="s">
        <v>332</v>
      </c>
      <c r="F351" s="17"/>
      <c r="G351" s="18"/>
      <c r="H351" s="18"/>
    </row>
    <row r="352" spans="1:8" ht="13.2">
      <c r="A352" s="15" t="s">
        <v>486</v>
      </c>
      <c r="B352" s="30" t="s">
        <v>359</v>
      </c>
      <c r="C352" s="24">
        <v>3</v>
      </c>
      <c r="D352" s="18"/>
      <c r="E352" s="17" t="s">
        <v>332</v>
      </c>
      <c r="F352" s="17"/>
      <c r="G352" s="18"/>
      <c r="H352" s="18"/>
    </row>
    <row r="353" spans="1:8" ht="13.2">
      <c r="A353" s="15" t="s">
        <v>487</v>
      </c>
      <c r="B353" s="28" t="s">
        <v>359</v>
      </c>
      <c r="C353" s="17">
        <v>3</v>
      </c>
      <c r="D353" s="18"/>
      <c r="E353" s="17" t="s">
        <v>332</v>
      </c>
      <c r="F353" s="17"/>
      <c r="G353" s="18"/>
      <c r="H353" s="18"/>
    </row>
    <row r="354" spans="1:8" ht="13.2">
      <c r="A354" s="15" t="s">
        <v>488</v>
      </c>
      <c r="B354" s="29" t="s">
        <v>347</v>
      </c>
      <c r="C354" s="17">
        <v>3</v>
      </c>
      <c r="D354" s="18"/>
      <c r="E354" s="17" t="s">
        <v>332</v>
      </c>
      <c r="F354" s="17"/>
      <c r="G354" s="18"/>
      <c r="H354" s="18"/>
    </row>
    <row r="355" spans="1:8" ht="13.2">
      <c r="A355" s="15" t="s">
        <v>489</v>
      </c>
      <c r="B355" s="16" t="s">
        <v>490</v>
      </c>
      <c r="C355" s="17">
        <v>3</v>
      </c>
      <c r="D355" s="18"/>
      <c r="E355" s="17" t="s">
        <v>332</v>
      </c>
      <c r="F355" s="17"/>
      <c r="G355" s="18"/>
      <c r="H355" s="18"/>
    </row>
    <row r="356" spans="1:8" ht="13.2">
      <c r="A356" s="19" t="str">
        <f>HYPERLINK("http://codeforces.com/contest/402/problem/C","CF402-D2-C")</f>
        <v>CF402-D2-C</v>
      </c>
      <c r="B356" s="29" t="s">
        <v>438</v>
      </c>
      <c r="C356" s="17">
        <v>3</v>
      </c>
      <c r="D356" s="18"/>
      <c r="E356" s="17" t="s">
        <v>332</v>
      </c>
      <c r="F356" s="17"/>
      <c r="G356" s="18"/>
      <c r="H356" s="18"/>
    </row>
    <row r="357" spans="1:8" ht="13.2">
      <c r="A357" s="15" t="s">
        <v>491</v>
      </c>
      <c r="B357" s="35" t="s">
        <v>482</v>
      </c>
      <c r="C357" s="24">
        <v>3</v>
      </c>
      <c r="D357" s="18"/>
      <c r="E357" s="17" t="s">
        <v>332</v>
      </c>
      <c r="F357" s="17"/>
      <c r="G357" s="18"/>
      <c r="H357" s="18"/>
    </row>
    <row r="358" spans="1:8" ht="13.2">
      <c r="A358" s="15" t="s">
        <v>492</v>
      </c>
      <c r="B358" s="30" t="s">
        <v>468</v>
      </c>
      <c r="C358" s="24">
        <v>2.5</v>
      </c>
      <c r="D358" s="18"/>
      <c r="E358" s="17" t="s">
        <v>332</v>
      </c>
      <c r="F358" s="17"/>
      <c r="G358" s="18"/>
      <c r="H358" s="18"/>
    </row>
    <row r="359" spans="1:8" ht="13.2">
      <c r="A359" s="15" t="s">
        <v>493</v>
      </c>
      <c r="B359" s="35" t="s">
        <v>359</v>
      </c>
      <c r="C359" s="24">
        <v>2</v>
      </c>
      <c r="D359" s="18"/>
      <c r="E359" s="17" t="s">
        <v>332</v>
      </c>
      <c r="F359" s="17"/>
      <c r="G359" s="18"/>
      <c r="H359" s="18"/>
    </row>
    <row r="360" spans="1:8" ht="13.2">
      <c r="A360" s="15" t="s">
        <v>494</v>
      </c>
      <c r="B360" s="35" t="s">
        <v>482</v>
      </c>
      <c r="C360" s="24">
        <v>2</v>
      </c>
      <c r="D360" s="18"/>
      <c r="E360" s="17" t="s">
        <v>332</v>
      </c>
      <c r="F360" s="17"/>
      <c r="G360" s="18"/>
      <c r="H360" s="18"/>
    </row>
    <row r="361" spans="1:8" ht="13.2">
      <c r="A361" s="15" t="s">
        <v>495</v>
      </c>
      <c r="B361" s="30" t="s">
        <v>496</v>
      </c>
      <c r="C361" s="17">
        <v>2</v>
      </c>
      <c r="D361" s="18"/>
      <c r="E361" s="17" t="s">
        <v>332</v>
      </c>
      <c r="F361" s="17"/>
      <c r="G361" s="18"/>
      <c r="H361" s="18"/>
    </row>
    <row r="362" spans="1:8" ht="13.2">
      <c r="A362" s="15" t="s">
        <v>497</v>
      </c>
      <c r="B362" s="35" t="s">
        <v>498</v>
      </c>
      <c r="C362" s="17">
        <v>2</v>
      </c>
      <c r="D362" s="18"/>
      <c r="E362" s="17" t="s">
        <v>332</v>
      </c>
      <c r="F362" s="17"/>
      <c r="G362" s="18"/>
      <c r="H362" s="18"/>
    </row>
    <row r="363" spans="1:8" ht="13.2">
      <c r="A363" s="15" t="s">
        <v>499</v>
      </c>
      <c r="B363" s="35" t="s">
        <v>500</v>
      </c>
      <c r="C363" s="40">
        <v>2</v>
      </c>
      <c r="D363" s="18"/>
      <c r="E363" s="17" t="s">
        <v>332</v>
      </c>
      <c r="F363" s="17"/>
      <c r="G363" s="18"/>
      <c r="H363" s="18"/>
    </row>
    <row r="364" spans="1:8" ht="13.2">
      <c r="A364" s="15" t="s">
        <v>501</v>
      </c>
      <c r="B364" s="16" t="s">
        <v>502</v>
      </c>
      <c r="C364" s="17">
        <v>8.5</v>
      </c>
      <c r="D364" s="18"/>
      <c r="E364" s="17" t="s">
        <v>503</v>
      </c>
      <c r="F364" s="17"/>
      <c r="G364" s="18"/>
      <c r="H364" s="18"/>
    </row>
    <row r="365" spans="1:8" ht="13.2">
      <c r="A365" s="15" t="s">
        <v>504</v>
      </c>
      <c r="B365" s="16" t="s">
        <v>505</v>
      </c>
      <c r="C365" s="17">
        <v>8.5</v>
      </c>
      <c r="D365" s="18"/>
      <c r="E365" s="17" t="s">
        <v>503</v>
      </c>
      <c r="F365" s="17"/>
      <c r="G365" s="18"/>
      <c r="H365" s="18"/>
    </row>
    <row r="366" spans="1:8" ht="13.2">
      <c r="A366" s="15" t="s">
        <v>506</v>
      </c>
      <c r="B366" s="16" t="s">
        <v>507</v>
      </c>
      <c r="C366" s="17">
        <v>8.5</v>
      </c>
      <c r="D366" s="18"/>
      <c r="E366" s="17" t="s">
        <v>503</v>
      </c>
      <c r="F366" s="17"/>
      <c r="G366" s="18"/>
      <c r="H366" s="18"/>
    </row>
    <row r="367" spans="1:8" ht="13.2">
      <c r="A367" s="15" t="s">
        <v>508</v>
      </c>
      <c r="B367" s="34" t="s">
        <v>509</v>
      </c>
      <c r="C367" s="31">
        <v>7</v>
      </c>
      <c r="D367" s="18"/>
      <c r="E367" s="17" t="s">
        <v>503</v>
      </c>
      <c r="F367" s="17"/>
      <c r="G367" s="18"/>
      <c r="H367" s="18"/>
    </row>
    <row r="368" spans="1:8" ht="13.2">
      <c r="A368" s="15" t="s">
        <v>510</v>
      </c>
      <c r="B368" s="16" t="s">
        <v>511</v>
      </c>
      <c r="C368" s="17">
        <v>7</v>
      </c>
      <c r="D368" s="18"/>
      <c r="E368" s="17" t="s">
        <v>503</v>
      </c>
      <c r="F368" s="17"/>
      <c r="G368" s="18"/>
      <c r="H368" s="18"/>
    </row>
    <row r="369" spans="1:8" ht="13.2">
      <c r="A369" s="19" t="str">
        <f>HYPERLINK("https://agc011.contest.atcoder.jp/tasks/agc011_d","AtCoder011-AGC-D")</f>
        <v>AtCoder011-AGC-D</v>
      </c>
      <c r="B369" s="15" t="s">
        <v>512</v>
      </c>
      <c r="C369" s="17">
        <v>6.75</v>
      </c>
      <c r="D369" s="26" t="str">
        <f>HYPERLINK("https://agc011.contest.atcoder.jp/submissions/1157868","Sol (match editrial easily)")</f>
        <v>Sol (match editrial easily)</v>
      </c>
      <c r="E369" s="17" t="s">
        <v>503</v>
      </c>
      <c r="F369" s="17" t="s">
        <v>154</v>
      </c>
      <c r="G369" s="18"/>
      <c r="H369" s="18"/>
    </row>
    <row r="370" spans="1:8" ht="13.2">
      <c r="A370" s="15" t="s">
        <v>513</v>
      </c>
      <c r="B370" s="34" t="s">
        <v>502</v>
      </c>
      <c r="C370" s="31">
        <v>6.75</v>
      </c>
      <c r="D370" s="18"/>
      <c r="E370" s="17" t="s">
        <v>503</v>
      </c>
      <c r="F370" s="17"/>
      <c r="G370" s="18"/>
      <c r="H370" s="18"/>
    </row>
    <row r="371" spans="1:8" ht="13.2">
      <c r="A371" s="19" t="str">
        <f>HYPERLINK("http://codeforces.com/contest/161/problem/C","CF161-D12-C")</f>
        <v>CF161-D12-C</v>
      </c>
      <c r="B371" s="29" t="s">
        <v>514</v>
      </c>
      <c r="C371" s="17">
        <v>6.5</v>
      </c>
      <c r="D371" s="26" t="str">
        <f>HYPERLINK("https://github.com/thackerhelik/Codeforces/blob/master/CF161-D12-C.cpp","Prove your solution")</f>
        <v>Prove your solution</v>
      </c>
      <c r="E371" s="17" t="s">
        <v>503</v>
      </c>
      <c r="F371" s="17" t="s">
        <v>196</v>
      </c>
      <c r="G371" s="18"/>
      <c r="H371" s="18"/>
    </row>
    <row r="372" spans="1:8" ht="13.2">
      <c r="A372" s="15" t="s">
        <v>515</v>
      </c>
      <c r="B372" s="35" t="s">
        <v>502</v>
      </c>
      <c r="C372" s="40">
        <v>6.5</v>
      </c>
      <c r="D372" s="18"/>
      <c r="E372" s="17" t="s">
        <v>503</v>
      </c>
      <c r="F372" s="17"/>
      <c r="G372" s="18"/>
      <c r="H372" s="18"/>
    </row>
    <row r="373" spans="1:8" ht="13.2">
      <c r="A373" s="15" t="s">
        <v>516</v>
      </c>
      <c r="B373" s="28" t="s">
        <v>502</v>
      </c>
      <c r="C373" s="31">
        <v>6.5</v>
      </c>
      <c r="D373" s="18"/>
      <c r="E373" s="17" t="s">
        <v>503</v>
      </c>
      <c r="F373" s="17"/>
      <c r="G373" s="18"/>
      <c r="H373" s="18"/>
    </row>
    <row r="374" spans="1:8" ht="13.2">
      <c r="A374" s="19" t="str">
        <f>HYPERLINK("http://codeforces.com/contest/1030/problem/E","CF1030-D12-E")</f>
        <v>CF1030-D12-E</v>
      </c>
      <c r="B374" s="18" t="s">
        <v>517</v>
      </c>
      <c r="C374" s="21">
        <v>6.25</v>
      </c>
      <c r="D374" s="18"/>
      <c r="E374" s="17" t="s">
        <v>503</v>
      </c>
      <c r="F374" s="17" t="s">
        <v>201</v>
      </c>
      <c r="G374" s="18"/>
      <c r="H374" s="18"/>
    </row>
    <row r="375" spans="1:8" ht="13.2">
      <c r="A375" s="19" t="str">
        <f>HYPERLINK("http://codeforces.com/contest/879/problem/D","CF879-D2-D")</f>
        <v>CF879-D2-D</v>
      </c>
      <c r="B375" s="15" t="s">
        <v>518</v>
      </c>
      <c r="C375" s="17">
        <v>6</v>
      </c>
      <c r="D375" s="18"/>
      <c r="E375" s="17" t="s">
        <v>503</v>
      </c>
      <c r="F375" s="17" t="s">
        <v>154</v>
      </c>
      <c r="G375" s="18"/>
      <c r="H375" s="18"/>
    </row>
    <row r="376" spans="1:8" ht="13.2">
      <c r="A376" s="19" t="str">
        <f>HYPERLINK("http://codeforces.com/contest/950/problem/D","CF950-D2-D")</f>
        <v>CF950-D2-D</v>
      </c>
      <c r="B376" s="18" t="s">
        <v>502</v>
      </c>
      <c r="C376" s="17">
        <v>6</v>
      </c>
      <c r="D376" s="26" t="str">
        <f>HYPERLINK("https://github.com/VAMPIER000001/CompetitiveProgramming/blob/34bb83d01a91fa9d1a32e02619ddb3ae58d6400b/CF/CF950-D2-D.Cpp","Sol")</f>
        <v>Sol</v>
      </c>
      <c r="E376" s="17" t="s">
        <v>503</v>
      </c>
      <c r="F376" s="17" t="s">
        <v>242</v>
      </c>
      <c r="G376" s="18"/>
      <c r="H376" s="18"/>
    </row>
    <row r="377" spans="1:8" ht="13.2">
      <c r="A377" s="15" t="s">
        <v>519</v>
      </c>
      <c r="B377" s="28" t="s">
        <v>502</v>
      </c>
      <c r="C377" s="31">
        <v>6</v>
      </c>
      <c r="D377" s="18"/>
      <c r="E377" s="17" t="s">
        <v>503</v>
      </c>
      <c r="F377" s="17"/>
      <c r="G377" s="18"/>
      <c r="H377" s="18"/>
    </row>
    <row r="378" spans="1:8" ht="13.2">
      <c r="A378" s="15" t="s">
        <v>520</v>
      </c>
      <c r="B378" s="16" t="s">
        <v>502</v>
      </c>
      <c r="C378" s="31">
        <v>6</v>
      </c>
      <c r="D378" s="18"/>
      <c r="E378" s="17" t="s">
        <v>503</v>
      </c>
      <c r="F378" s="17"/>
      <c r="G378" s="18"/>
      <c r="H378" s="18"/>
    </row>
    <row r="379" spans="1:8" ht="13.2">
      <c r="A379" s="15" t="s">
        <v>521</v>
      </c>
      <c r="B379" s="41" t="s">
        <v>502</v>
      </c>
      <c r="C379" s="31">
        <v>6</v>
      </c>
      <c r="D379" s="18"/>
      <c r="E379" s="17" t="s">
        <v>503</v>
      </c>
      <c r="F379" s="17"/>
      <c r="G379" s="18"/>
      <c r="H379" s="18"/>
    </row>
    <row r="380" spans="1:8" ht="13.2">
      <c r="A380" s="15" t="s">
        <v>522</v>
      </c>
      <c r="B380" s="35" t="s">
        <v>502</v>
      </c>
      <c r="C380" s="40">
        <v>6</v>
      </c>
      <c r="D380" s="18"/>
      <c r="E380" s="17" t="s">
        <v>503</v>
      </c>
      <c r="F380" s="17"/>
      <c r="G380" s="18"/>
      <c r="H380" s="18"/>
    </row>
    <row r="381" spans="1:8" ht="13.2">
      <c r="A381" s="15" t="s">
        <v>523</v>
      </c>
      <c r="B381" s="15" t="s">
        <v>502</v>
      </c>
      <c r="C381" s="17">
        <v>6</v>
      </c>
      <c r="D381" s="18"/>
      <c r="E381" s="17" t="s">
        <v>503</v>
      </c>
      <c r="F381" s="17"/>
      <c r="G381" s="18"/>
      <c r="H381" s="18"/>
    </row>
    <row r="382" spans="1:8" ht="13.2">
      <c r="A382" s="15" t="s">
        <v>524</v>
      </c>
      <c r="B382" s="34" t="s">
        <v>525</v>
      </c>
      <c r="C382" s="31">
        <v>6</v>
      </c>
      <c r="D382" s="18"/>
      <c r="E382" s="17" t="s">
        <v>503</v>
      </c>
      <c r="F382" s="17"/>
      <c r="G382" s="18"/>
      <c r="H382" s="18"/>
    </row>
    <row r="383" spans="1:8" ht="13.2">
      <c r="A383" s="15" t="s">
        <v>526</v>
      </c>
      <c r="B383" s="41" t="s">
        <v>527</v>
      </c>
      <c r="C383" s="17">
        <v>6</v>
      </c>
      <c r="D383" s="18"/>
      <c r="E383" s="17" t="s">
        <v>503</v>
      </c>
      <c r="F383" s="17"/>
      <c r="G383" s="18"/>
      <c r="H383" s="18"/>
    </row>
    <row r="384" spans="1:8" ht="13.2">
      <c r="A384" s="15" t="s">
        <v>528</v>
      </c>
      <c r="B384" s="15" t="s">
        <v>529</v>
      </c>
      <c r="C384" s="17">
        <v>5.5</v>
      </c>
      <c r="D384" s="18"/>
      <c r="E384" s="17" t="s">
        <v>503</v>
      </c>
      <c r="F384" s="17" t="s">
        <v>242</v>
      </c>
      <c r="G384" s="18"/>
      <c r="H384" s="18"/>
    </row>
    <row r="385" spans="1:8" ht="13.2">
      <c r="A385" s="15" t="s">
        <v>530</v>
      </c>
      <c r="B385" s="16" t="s">
        <v>531</v>
      </c>
      <c r="C385" s="17">
        <v>5.5</v>
      </c>
      <c r="D385" s="18"/>
      <c r="E385" s="17" t="s">
        <v>503</v>
      </c>
      <c r="F385" s="17"/>
      <c r="G385" s="18"/>
      <c r="H385" s="18"/>
    </row>
    <row r="386" spans="1:8" ht="13.2">
      <c r="A386" s="19" t="str">
        <f>HYPERLINK("http://codeforces.com/gym/101201/problem/J","CF101201-gym-J")</f>
        <v>CF101201-gym-J</v>
      </c>
      <c r="B386" s="15" t="s">
        <v>532</v>
      </c>
      <c r="C386" s="17">
        <v>5.5</v>
      </c>
      <c r="D386" s="26" t="str">
        <f>HYPERLINK("https://github.com/AbdelrahmanRamadan/competitive-programming/blob/master/Codeforces/CF101201-GYM-J.cpp","Sol")</f>
        <v>Sol</v>
      </c>
      <c r="E386" s="17" t="s">
        <v>503</v>
      </c>
      <c r="F386" s="17"/>
      <c r="G386" s="18"/>
      <c r="H386" s="18"/>
    </row>
    <row r="387" spans="1:8" ht="13.2">
      <c r="A387" s="15" t="s">
        <v>533</v>
      </c>
      <c r="B387" s="41" t="s">
        <v>534</v>
      </c>
      <c r="C387" s="31">
        <v>5.5</v>
      </c>
      <c r="D387" s="18"/>
      <c r="E387" s="17" t="s">
        <v>503</v>
      </c>
      <c r="F387" s="17"/>
      <c r="G387" s="18"/>
      <c r="H387" s="18"/>
    </row>
    <row r="388" spans="1:8" ht="13.2">
      <c r="A388" s="15" t="s">
        <v>535</v>
      </c>
      <c r="B388" s="18" t="s">
        <v>536</v>
      </c>
      <c r="C388" s="17">
        <v>5</v>
      </c>
      <c r="D388" s="26" t="str">
        <f>HYPERLINK("http://ideone.com/0FAHJa","Sol")</f>
        <v>Sol</v>
      </c>
      <c r="E388" s="17" t="s">
        <v>503</v>
      </c>
      <c r="F388" s="17" t="s">
        <v>537</v>
      </c>
      <c r="G388" s="18"/>
      <c r="H388" s="18"/>
    </row>
    <row r="389" spans="1:8" ht="13.2">
      <c r="A389" s="19" t="str">
        <f>HYPERLINK("https://agc002.contest.atcoder.jp/tasks/agc002_b","AtCoder002-AGC-B")</f>
        <v>AtCoder002-AGC-B</v>
      </c>
      <c r="B389" s="15" t="s">
        <v>502</v>
      </c>
      <c r="C389" s="17">
        <v>5</v>
      </c>
      <c r="D389" s="18"/>
      <c r="E389" s="17" t="s">
        <v>503</v>
      </c>
      <c r="F389" s="17"/>
      <c r="G389" s="18"/>
      <c r="H389" s="18"/>
    </row>
    <row r="390" spans="1:8" ht="13.2">
      <c r="A390" s="15" t="s">
        <v>538</v>
      </c>
      <c r="B390" s="28" t="s">
        <v>502</v>
      </c>
      <c r="C390" s="24">
        <v>5</v>
      </c>
      <c r="D390" s="18"/>
      <c r="E390" s="17" t="s">
        <v>503</v>
      </c>
      <c r="F390" s="17"/>
      <c r="G390" s="18"/>
      <c r="H390" s="18"/>
    </row>
    <row r="391" spans="1:8" ht="13.2">
      <c r="A391" s="15" t="s">
        <v>539</v>
      </c>
      <c r="B391" s="16" t="s">
        <v>540</v>
      </c>
      <c r="C391" s="17">
        <v>5</v>
      </c>
      <c r="D391" s="18"/>
      <c r="E391" s="17" t="s">
        <v>503</v>
      </c>
      <c r="F391" s="17"/>
      <c r="G391" s="18"/>
      <c r="H391" s="18"/>
    </row>
    <row r="392" spans="1:8" ht="13.2">
      <c r="A392" s="15" t="s">
        <v>541</v>
      </c>
      <c r="B392" s="28" t="s">
        <v>542</v>
      </c>
      <c r="C392" s="24">
        <v>5</v>
      </c>
      <c r="D392" s="18"/>
      <c r="E392" s="17" t="s">
        <v>503</v>
      </c>
      <c r="F392" s="17"/>
      <c r="G392" s="18"/>
      <c r="H392" s="18"/>
    </row>
    <row r="393" spans="1:8" ht="13.2">
      <c r="A393" s="15" t="s">
        <v>543</v>
      </c>
      <c r="B393" s="16" t="s">
        <v>544</v>
      </c>
      <c r="C393" s="33">
        <v>4</v>
      </c>
      <c r="D393" s="18"/>
      <c r="E393" s="17" t="s">
        <v>503</v>
      </c>
      <c r="F393" s="17" t="s">
        <v>306</v>
      </c>
      <c r="G393" s="18"/>
      <c r="H393" s="18"/>
    </row>
    <row r="394" spans="1:8" ht="13.2">
      <c r="A394" s="15" t="s">
        <v>545</v>
      </c>
      <c r="B394" s="30" t="s">
        <v>546</v>
      </c>
      <c r="C394" s="24">
        <v>4</v>
      </c>
      <c r="D394" s="18"/>
      <c r="E394" s="17" t="s">
        <v>503</v>
      </c>
      <c r="F394" s="17" t="s">
        <v>242</v>
      </c>
      <c r="G394" s="18"/>
      <c r="H394" s="18"/>
    </row>
    <row r="395" spans="1:8" ht="13.2">
      <c r="A395" s="15" t="s">
        <v>547</v>
      </c>
      <c r="B395" s="35" t="s">
        <v>502</v>
      </c>
      <c r="C395" s="17">
        <v>4</v>
      </c>
      <c r="D395" s="18"/>
      <c r="E395" s="17" t="s">
        <v>503</v>
      </c>
      <c r="F395" s="17"/>
      <c r="G395" s="18"/>
      <c r="H395" s="18"/>
    </row>
    <row r="396" spans="1:8" ht="13.2">
      <c r="A396" s="15" t="s">
        <v>548</v>
      </c>
      <c r="B396" s="28" t="s">
        <v>502</v>
      </c>
      <c r="C396" s="24">
        <v>4</v>
      </c>
      <c r="D396" s="18"/>
      <c r="E396" s="17" t="s">
        <v>503</v>
      </c>
      <c r="F396" s="17"/>
      <c r="G396" s="18"/>
      <c r="H396" s="18"/>
    </row>
    <row r="397" spans="1:8" ht="13.2">
      <c r="A397" s="15" t="s">
        <v>549</v>
      </c>
      <c r="B397" s="28" t="s">
        <v>502</v>
      </c>
      <c r="C397" s="24">
        <v>4</v>
      </c>
      <c r="D397" s="18"/>
      <c r="E397" s="17" t="s">
        <v>503</v>
      </c>
      <c r="F397" s="17"/>
      <c r="G397" s="18"/>
      <c r="H397" s="18"/>
    </row>
    <row r="398" spans="1:8" ht="13.2">
      <c r="A398" s="15" t="s">
        <v>550</v>
      </c>
      <c r="B398" s="30" t="s">
        <v>551</v>
      </c>
      <c r="C398" s="17">
        <v>4</v>
      </c>
      <c r="D398" s="18"/>
      <c r="E398" s="17" t="s">
        <v>503</v>
      </c>
      <c r="F398" s="17"/>
      <c r="G398" s="18"/>
      <c r="H398" s="18"/>
    </row>
    <row r="399" spans="1:8" ht="13.2">
      <c r="A399" s="15" t="s">
        <v>552</v>
      </c>
      <c r="B399" s="28" t="s">
        <v>553</v>
      </c>
      <c r="C399" s="24">
        <v>4</v>
      </c>
      <c r="D399" s="18"/>
      <c r="E399" s="17" t="s">
        <v>503</v>
      </c>
      <c r="F399" s="17"/>
      <c r="G399" s="18"/>
      <c r="H399" s="18"/>
    </row>
    <row r="400" spans="1:8" ht="13.2">
      <c r="A400" s="15" t="s">
        <v>554</v>
      </c>
      <c r="B400" s="34" t="s">
        <v>540</v>
      </c>
      <c r="C400" s="17">
        <v>4</v>
      </c>
      <c r="D400" s="18"/>
      <c r="E400" s="17" t="s">
        <v>503</v>
      </c>
      <c r="F400" s="17"/>
      <c r="G400" s="18"/>
      <c r="H400" s="18"/>
    </row>
    <row r="401" spans="1:8" ht="13.2">
      <c r="A401" s="15" t="s">
        <v>555</v>
      </c>
      <c r="B401" s="28" t="s">
        <v>556</v>
      </c>
      <c r="C401" s="24">
        <v>4</v>
      </c>
      <c r="D401" s="26" t="str">
        <f>HYPERLINK("https://github.com/Huvok/CompetitiveProgramming/blob/master/UVA/326.cpp", "Sol")</f>
        <v>Sol</v>
      </c>
      <c r="E401" s="17" t="s">
        <v>503</v>
      </c>
      <c r="F401" s="17"/>
      <c r="G401" s="18"/>
      <c r="H401" s="18"/>
    </row>
    <row r="402" spans="1:8" ht="13.2">
      <c r="A402" s="15" t="s">
        <v>557</v>
      </c>
      <c r="B402" s="28" t="s">
        <v>558</v>
      </c>
      <c r="C402" s="24">
        <v>4</v>
      </c>
      <c r="D402" s="18"/>
      <c r="E402" s="17" t="s">
        <v>503</v>
      </c>
      <c r="F402" s="17"/>
      <c r="G402" s="18"/>
      <c r="H402" s="18"/>
    </row>
    <row r="403" spans="1:8" ht="13.2">
      <c r="A403" s="15" t="s">
        <v>559</v>
      </c>
      <c r="B403" s="16" t="s">
        <v>544</v>
      </c>
      <c r="C403" s="24">
        <v>3.5</v>
      </c>
      <c r="D403" s="18"/>
      <c r="E403" s="17" t="s">
        <v>503</v>
      </c>
      <c r="F403" s="17"/>
      <c r="G403" s="18"/>
      <c r="H403" s="18"/>
    </row>
    <row r="404" spans="1:8" ht="13.2">
      <c r="A404" s="15" t="s">
        <v>560</v>
      </c>
      <c r="B404" s="18" t="s">
        <v>502</v>
      </c>
      <c r="C404" s="17">
        <v>3</v>
      </c>
      <c r="D404" s="18"/>
      <c r="E404" s="17" t="s">
        <v>503</v>
      </c>
      <c r="F404" s="17"/>
      <c r="G404" s="18"/>
      <c r="H404" s="18"/>
    </row>
    <row r="405" spans="1:8" ht="13.2">
      <c r="A405" s="19" t="str">
        <f>HYPERLINK("https://uva.onlinejudge.org/index.php?option=com_onlinejudge&amp;Itemid=8&amp;page=show_problem&amp;problem=37","UVA 101")</f>
        <v>UVA 101</v>
      </c>
      <c r="B405" s="29" t="s">
        <v>502</v>
      </c>
      <c r="C405" s="17">
        <v>3</v>
      </c>
      <c r="D405" s="18"/>
      <c r="E405" s="17" t="s">
        <v>503</v>
      </c>
      <c r="F405" s="17"/>
      <c r="G405" s="18"/>
      <c r="H405" s="18"/>
    </row>
    <row r="406" spans="1:8" ht="13.2">
      <c r="A406" s="15" t="s">
        <v>561</v>
      </c>
      <c r="B406" s="15" t="s">
        <v>562</v>
      </c>
      <c r="C406" s="24">
        <v>3</v>
      </c>
      <c r="D406" s="26" t="str">
        <f>HYPERLINK("https://ideone.com/VPYfS0","Sol")</f>
        <v>Sol</v>
      </c>
      <c r="E406" s="17" t="s">
        <v>503</v>
      </c>
      <c r="F406" s="17"/>
      <c r="G406" s="18"/>
      <c r="H406" s="18"/>
    </row>
    <row r="407" spans="1:8" ht="13.2">
      <c r="A407" s="15" t="s">
        <v>563</v>
      </c>
      <c r="B407" s="29" t="s">
        <v>564</v>
      </c>
      <c r="C407" s="17">
        <v>3</v>
      </c>
      <c r="D407" s="18" t="s">
        <v>118</v>
      </c>
      <c r="E407" s="17" t="s">
        <v>503</v>
      </c>
      <c r="F407" s="17"/>
      <c r="G407" s="18"/>
      <c r="H407" s="18"/>
    </row>
    <row r="408" spans="1:8" ht="13.2">
      <c r="A408" s="15" t="s">
        <v>565</v>
      </c>
      <c r="B408" s="29" t="s">
        <v>566</v>
      </c>
      <c r="C408" s="17">
        <v>2</v>
      </c>
      <c r="D408" s="26" t="str">
        <f>HYPERLINK("http://xoptutorials.com/index.php/2017/01/01/timus1638/","Can you get AC first submission")</f>
        <v>Can you get AC first submission</v>
      </c>
      <c r="E408" s="17" t="s">
        <v>503</v>
      </c>
      <c r="F408" s="17" t="s">
        <v>201</v>
      </c>
      <c r="G408" s="18"/>
      <c r="H408" s="18"/>
    </row>
    <row r="409" spans="1:8" ht="13.2">
      <c r="A409" s="15" t="s">
        <v>567</v>
      </c>
      <c r="B409" s="29" t="s">
        <v>568</v>
      </c>
      <c r="C409" s="17">
        <v>2</v>
      </c>
      <c r="D409" s="26" t="str">
        <f>HYPERLINK("http://xoptutorials.com/index.php/2017/01/01/timus1607/","Can you get AC first submission?")</f>
        <v>Can you get AC first submission?</v>
      </c>
      <c r="E409" s="17" t="s">
        <v>503</v>
      </c>
      <c r="F409" s="17" t="s">
        <v>242</v>
      </c>
      <c r="G409" s="18"/>
      <c r="H409" s="18"/>
    </row>
    <row r="410" spans="1:8" ht="13.2">
      <c r="A410" s="15" t="s">
        <v>569</v>
      </c>
      <c r="B410" s="34" t="s">
        <v>502</v>
      </c>
      <c r="C410" s="24">
        <v>2</v>
      </c>
      <c r="D410" s="18"/>
      <c r="E410" s="17" t="s">
        <v>503</v>
      </c>
      <c r="F410" s="17"/>
      <c r="G410" s="18"/>
      <c r="H410" s="18"/>
    </row>
    <row r="411" spans="1:8" ht="13.2">
      <c r="A411" s="15" t="s">
        <v>570</v>
      </c>
      <c r="B411" s="29" t="s">
        <v>571</v>
      </c>
      <c r="C411" s="24">
        <v>2</v>
      </c>
      <c r="D411" s="18"/>
      <c r="E411" s="17" t="s">
        <v>503</v>
      </c>
      <c r="F411" s="17"/>
      <c r="G411" s="18"/>
      <c r="H411" s="18"/>
    </row>
    <row r="412" spans="1:8" ht="13.2">
      <c r="A412" s="15" t="s">
        <v>572</v>
      </c>
      <c r="B412" s="35" t="s">
        <v>573</v>
      </c>
      <c r="C412" s="24">
        <v>2</v>
      </c>
      <c r="D412" s="18"/>
      <c r="E412" s="17" t="s">
        <v>503</v>
      </c>
      <c r="F412" s="17"/>
      <c r="G412" s="18"/>
      <c r="H412" s="18"/>
    </row>
    <row r="413" spans="1:8" ht="13.2">
      <c r="A413" s="19" t="str">
        <f>HYPERLINK("http://codeforces.com/problemset/problem/1034/D", "CF1034-D1-D")</f>
        <v>CF1034-D1-D</v>
      </c>
      <c r="B413" s="20" t="s">
        <v>574</v>
      </c>
      <c r="C413" s="21">
        <v>8</v>
      </c>
      <c r="D413" s="18"/>
      <c r="E413" s="17" t="s">
        <v>575</v>
      </c>
      <c r="F413" s="17" t="s">
        <v>173</v>
      </c>
      <c r="G413" s="18"/>
      <c r="H413" s="18"/>
    </row>
    <row r="414" spans="1:8" ht="13.2">
      <c r="A414" s="19" t="str">
        <f>HYPERLINK("https://www.codechef.com/problems/ARMYOFME","CodeChef ARMYOFME")</f>
        <v>CodeChef ARMYOFME</v>
      </c>
      <c r="B414" s="15" t="s">
        <v>576</v>
      </c>
      <c r="C414" s="17">
        <v>8</v>
      </c>
      <c r="D414" s="18"/>
      <c r="E414" s="17" t="s">
        <v>575</v>
      </c>
      <c r="F414" s="17"/>
      <c r="G414" s="18"/>
      <c r="H414" s="18"/>
    </row>
    <row r="415" spans="1:8" ht="13.2">
      <c r="A415" s="19" t="str">
        <f>HYPERLINK("https://codeforces.com/problemset/problem/1032/G","CF1079-D2-G")</f>
        <v>CF1079-D2-G</v>
      </c>
      <c r="B415" s="20" t="s">
        <v>577</v>
      </c>
      <c r="C415" s="21">
        <v>7.25</v>
      </c>
      <c r="D415" s="18"/>
      <c r="E415" s="17" t="s">
        <v>575</v>
      </c>
      <c r="F415" s="17" t="s">
        <v>139</v>
      </c>
      <c r="G415" s="18"/>
      <c r="H415" s="18"/>
    </row>
    <row r="416" spans="1:8" ht="13.2">
      <c r="A416" s="19" t="str">
        <f>HYPERLINK("http://codeforces.com/contest/182/problem/C","CF182-D2-C")</f>
        <v>CF182-D2-C</v>
      </c>
      <c r="B416" s="29" t="s">
        <v>578</v>
      </c>
      <c r="C416" s="17">
        <v>7</v>
      </c>
      <c r="D416" s="18"/>
      <c r="E416" s="17" t="s">
        <v>575</v>
      </c>
      <c r="F416" s="17" t="s">
        <v>139</v>
      </c>
      <c r="G416" s="18"/>
      <c r="H416" s="18"/>
    </row>
    <row r="417" spans="1:8" ht="13.2">
      <c r="A417" s="19" t="str">
        <f>HYPERLINK("https://arc070.contest.atcoder.jp/tasks/arc070_c","AtCoder070-ARC-C")</f>
        <v>AtCoder070-ARC-C</v>
      </c>
      <c r="B417" s="37" t="s">
        <v>579</v>
      </c>
      <c r="C417" s="17">
        <v>7</v>
      </c>
      <c r="D417" s="26" t="str">
        <f>HYPERLINK("https://codeforces.com/blog/entry/47821","Editorial")</f>
        <v>Editorial</v>
      </c>
      <c r="E417" s="17" t="s">
        <v>575</v>
      </c>
      <c r="F417" s="17" t="s">
        <v>201</v>
      </c>
      <c r="G417" s="18"/>
      <c r="H417" s="18"/>
    </row>
    <row r="418" spans="1:8" ht="13.2">
      <c r="A418" s="19" t="str">
        <f>HYPERLINK("https://codeforces.com/problemset/problem/1181/E2", "CF1181-D2-E2")</f>
        <v>CF1181-D2-E2</v>
      </c>
      <c r="B418" s="20" t="s">
        <v>580</v>
      </c>
      <c r="C418" s="17">
        <v>6.75</v>
      </c>
      <c r="D418" s="18"/>
      <c r="E418" s="17" t="s">
        <v>575</v>
      </c>
      <c r="F418" s="17" t="s">
        <v>139</v>
      </c>
      <c r="G418" s="18"/>
      <c r="H418" s="18"/>
    </row>
    <row r="419" spans="1:8" ht="13.2">
      <c r="A419" s="19" t="str">
        <f>HYPERLINK("http://codeforces.com/contest/876/problem/F","CF876-D12-F")</f>
        <v>CF876-D12-F</v>
      </c>
      <c r="B419" s="15" t="s">
        <v>581</v>
      </c>
      <c r="C419" s="17">
        <v>6.5</v>
      </c>
      <c r="D419" s="18"/>
      <c r="E419" s="17" t="s">
        <v>575</v>
      </c>
      <c r="F419" s="17" t="s">
        <v>154</v>
      </c>
      <c r="G419" s="18"/>
      <c r="H419" s="18"/>
    </row>
    <row r="420" spans="1:8" ht="13.2">
      <c r="A420" s="19" t="str">
        <f>HYPERLINK("http://codeforces.com/contest/15/problem/D","CF15-D12-D")</f>
        <v>CF15-D12-D</v>
      </c>
      <c r="B420" s="15" t="s">
        <v>582</v>
      </c>
      <c r="C420" s="17">
        <v>6.5</v>
      </c>
      <c r="D420" s="26" t="str">
        <f>HYPERLINK("https://ideone.com/EJxa2E","Sol")</f>
        <v>Sol</v>
      </c>
      <c r="E420" s="17" t="s">
        <v>575</v>
      </c>
      <c r="F420" s="17" t="s">
        <v>154</v>
      </c>
      <c r="G420" s="18"/>
      <c r="H420" s="18"/>
    </row>
    <row r="421" spans="1:8" ht="13.2">
      <c r="A421" s="15" t="s">
        <v>583</v>
      </c>
      <c r="B421" s="15" t="s">
        <v>584</v>
      </c>
      <c r="C421" s="17">
        <v>6.5</v>
      </c>
      <c r="D421" s="26" t="str">
        <f>HYPERLINK("https://github.com/mostafa-saad/MyCompetitiveProgramming/blob/master/SPOJ/SPOJ_SFLIP.txt","Sol")</f>
        <v>Sol</v>
      </c>
      <c r="E421" s="17" t="s">
        <v>575</v>
      </c>
      <c r="F421" s="17" t="s">
        <v>139</v>
      </c>
      <c r="G421" s="18"/>
      <c r="H421" s="18"/>
    </row>
    <row r="422" spans="1:8" ht="13.2">
      <c r="A422" s="19" t="str">
        <f>HYPERLINK("http://codeforces.com/contest/413/problem/E","CF413-D12-E")</f>
        <v>CF413-D12-E</v>
      </c>
      <c r="B422" s="29" t="s">
        <v>585</v>
      </c>
      <c r="C422" s="17">
        <v>6.25</v>
      </c>
      <c r="D422" s="26" t="str">
        <f>HYPERLINK("https://github.com/sggutier/CompetitiveProgramming/blob/master/Codeforces/CF413-D12-E.cpp","Sol")</f>
        <v>Sol</v>
      </c>
      <c r="E422" s="17" t="s">
        <v>575</v>
      </c>
      <c r="F422" s="17" t="s">
        <v>196</v>
      </c>
      <c r="G422" s="18"/>
      <c r="H422" s="18"/>
    </row>
    <row r="423" spans="1:8" ht="13.2">
      <c r="A423" s="19" t="str">
        <f>HYPERLINK("http://codeforces.com/contest/313/problem/E","CF313-D2-E")</f>
        <v>CF313-D2-E</v>
      </c>
      <c r="B423" s="29" t="s">
        <v>586</v>
      </c>
      <c r="C423" s="17">
        <v>6.25</v>
      </c>
      <c r="D423" s="26" t="str">
        <f>HYPERLINK("https://github.com/3agwa/CompetitiveProgramming/blob/master/CodeForces/CF313-D2-E.cpp","Sol. Try to prove")</f>
        <v>Sol. Try to prove</v>
      </c>
      <c r="E423" s="17" t="s">
        <v>575</v>
      </c>
      <c r="F423" s="17" t="s">
        <v>196</v>
      </c>
      <c r="G423" s="18"/>
      <c r="H423" s="18"/>
    </row>
    <row r="424" spans="1:8" ht="13.2">
      <c r="A424" s="19" t="str">
        <f>HYPERLINK("https://codeforces.com/gym/100488/problem/L","CF100488-GYM-L")</f>
        <v>CF100488-GYM-L</v>
      </c>
      <c r="B424" s="23" t="s">
        <v>587</v>
      </c>
      <c r="C424" s="17">
        <v>6.25</v>
      </c>
      <c r="D424" s="26" t="str">
        <f>HYPERLINK("https://github.com/mostafa-saad/MyCompetitiveProgramming/blob/master/Codeforces/CF100488-GYM-L.txt","Sol")</f>
        <v>Sol</v>
      </c>
      <c r="E424" s="17" t="s">
        <v>575</v>
      </c>
      <c r="F424" s="17" t="s">
        <v>139</v>
      </c>
      <c r="G424" s="18"/>
      <c r="H424" s="18"/>
    </row>
    <row r="425" spans="1:8" ht="13.2">
      <c r="A425" s="19" t="str">
        <f>HYPERLINK("http://codeforces.com/contest/707/problem/E","CF707-D2-E")</f>
        <v>CF707-D2-E</v>
      </c>
      <c r="B425" s="29" t="s">
        <v>588</v>
      </c>
      <c r="C425" s="17">
        <v>6.25</v>
      </c>
      <c r="D425" s="18"/>
      <c r="E425" s="17" t="s">
        <v>575</v>
      </c>
      <c r="F425" s="17" t="s">
        <v>139</v>
      </c>
      <c r="G425" s="18"/>
      <c r="H425" s="18"/>
    </row>
    <row r="426" spans="1:8" ht="13.2">
      <c r="A426" s="19" t="str">
        <f>HYPERLINK("http://codeforces.com/contest/500/problem/E","CF500-D12-E")</f>
        <v>CF500-D12-E</v>
      </c>
      <c r="B426" s="15" t="s">
        <v>589</v>
      </c>
      <c r="C426" s="17">
        <v>6.25</v>
      </c>
      <c r="D426" s="26" t="str">
        <f>HYPERLINK("https://github.com/miguelAlessandro/CompetitiveProgramming/blob/master/codeforces/CF500-D12-E.cpp","Sol. Read the 2 editorials")</f>
        <v>Sol. Read the 2 editorials</v>
      </c>
      <c r="E426" s="17" t="s">
        <v>575</v>
      </c>
      <c r="F426" s="17" t="s">
        <v>139</v>
      </c>
      <c r="G426" s="18"/>
      <c r="H426" s="18"/>
    </row>
    <row r="427" spans="1:8" ht="13.2">
      <c r="A427" s="19" t="str">
        <f>HYPERLINK("https://codeforces.com/contest/875/problem/D", "CF875-D1-D")</f>
        <v>CF875-D1-D</v>
      </c>
      <c r="B427" s="15" t="s">
        <v>590</v>
      </c>
      <c r="C427" s="17">
        <v>6.25</v>
      </c>
      <c r="D427" s="18"/>
      <c r="E427" s="17" t="s">
        <v>575</v>
      </c>
      <c r="F427" s="17" t="s">
        <v>139</v>
      </c>
      <c r="G427" s="18"/>
      <c r="H427" s="18"/>
    </row>
    <row r="428" spans="1:8" ht="13.2">
      <c r="A428" s="15" t="s">
        <v>591</v>
      </c>
      <c r="B428" s="29" t="s">
        <v>592</v>
      </c>
      <c r="C428" s="17">
        <v>6.1</v>
      </c>
      <c r="D428" s="26" t="str">
        <f>HYPERLINK("https://github.com/mostafa-saad/MyCompetitiveProgramming/blob/master/UVA/UVA_11997.txt","Sol")</f>
        <v>Sol</v>
      </c>
      <c r="E428" s="17" t="s">
        <v>575</v>
      </c>
      <c r="F428" s="17" t="s">
        <v>154</v>
      </c>
      <c r="G428" s="18"/>
      <c r="H428" s="18"/>
    </row>
    <row r="429" spans="1:8" ht="13.2">
      <c r="A429" s="19" t="str">
        <f>HYPERLINK("https://csacademy.com/contest/round-79/task/smallest-subsets/","CSA79-E")</f>
        <v>CSA79-E</v>
      </c>
      <c r="B429" s="20" t="s">
        <v>593</v>
      </c>
      <c r="C429" s="17">
        <v>6</v>
      </c>
      <c r="D429" s="26" t="str">
        <f>HYPERLINK("https://github.com/magdy-hasan/competitive-programming/blob/8cbf7891ccb20207e90ca25c5841661c0727afa0/CSA/CSA%20Smallest%20Subsets.cpp","Sol")</f>
        <v>Sol</v>
      </c>
      <c r="E429" s="17" t="s">
        <v>575</v>
      </c>
      <c r="F429" s="17" t="s">
        <v>196</v>
      </c>
      <c r="G429" s="18"/>
      <c r="H429" s="18"/>
    </row>
    <row r="430" spans="1:8" ht="13.2">
      <c r="A430" s="19" t="str">
        <f>HYPERLINK("http://codeforces.com/contest/1121/problem/D","CF1121-D2-D")</f>
        <v>CF1121-D2-D</v>
      </c>
      <c r="B430" s="20" t="s">
        <v>587</v>
      </c>
      <c r="C430" s="17">
        <v>6</v>
      </c>
      <c r="D430" s="18"/>
      <c r="E430" s="17" t="s">
        <v>575</v>
      </c>
      <c r="F430" s="17" t="s">
        <v>139</v>
      </c>
      <c r="G430" s="18"/>
      <c r="H430" s="18"/>
    </row>
    <row r="431" spans="1:8" ht="13.2">
      <c r="A431" s="19" t="str">
        <f>HYPERLINK("http://codeforces.com/contest/706/problem/E","CF706-D2-E")</f>
        <v>CF706-D2-E</v>
      </c>
      <c r="B431" s="15" t="s">
        <v>594</v>
      </c>
      <c r="C431" s="24">
        <v>6</v>
      </c>
      <c r="D431" s="18"/>
      <c r="E431" s="17" t="s">
        <v>575</v>
      </c>
      <c r="F431" s="17" t="s">
        <v>139</v>
      </c>
      <c r="G431" s="18"/>
      <c r="H431" s="18"/>
    </row>
    <row r="432" spans="1:8" ht="13.2">
      <c r="A432" s="19" t="str">
        <f>HYPERLINK("https://codeforces.com/contest/1269/problem/E","CF1269-D2-E")</f>
        <v>CF1269-D2-E</v>
      </c>
      <c r="B432" s="20" t="s">
        <v>595</v>
      </c>
      <c r="C432" s="21">
        <v>6</v>
      </c>
      <c r="D432" s="18"/>
      <c r="E432" s="17" t="s">
        <v>575</v>
      </c>
      <c r="F432" s="17" t="s">
        <v>139</v>
      </c>
      <c r="G432" s="18"/>
      <c r="H432" s="18"/>
    </row>
    <row r="433" spans="1:8" ht="13.2">
      <c r="A433" s="19" t="str">
        <f>HYPERLINK("https://www.codechef.com/problems/KOL15D","CODECHEF SEATS")</f>
        <v>CODECHEF SEATS</v>
      </c>
      <c r="B433" s="15" t="s">
        <v>596</v>
      </c>
      <c r="C433" s="17">
        <v>6</v>
      </c>
      <c r="D433" s="18"/>
      <c r="E433" s="17" t="s">
        <v>575</v>
      </c>
      <c r="F433" s="17" t="s">
        <v>139</v>
      </c>
      <c r="G433" s="18"/>
      <c r="H433" s="18"/>
    </row>
    <row r="434" spans="1:8" ht="13.2">
      <c r="A434" s="19" t="str">
        <f>HYPERLINK("http://codeforces.com/contest/897/problem/E","CF897-D2-E")</f>
        <v>CF897-D2-E</v>
      </c>
      <c r="B434" s="15" t="s">
        <v>597</v>
      </c>
      <c r="C434" s="17">
        <v>6</v>
      </c>
      <c r="D434" s="18"/>
      <c r="E434" s="17" t="s">
        <v>575</v>
      </c>
      <c r="F434" s="17" t="s">
        <v>139</v>
      </c>
      <c r="G434" s="18"/>
      <c r="H434" s="18"/>
    </row>
    <row r="435" spans="1:8" ht="13.2">
      <c r="A435" s="15" t="s">
        <v>598</v>
      </c>
      <c r="B435" s="29" t="s">
        <v>599</v>
      </c>
      <c r="C435" s="17">
        <v>6</v>
      </c>
      <c r="D435" s="26" t="str">
        <f>HYPERLINK("https://github.com/mostafa-saad/MyCompetitiveProgramming/blob/master/SPOJ/SPOJ_FSEQ.cpp","Sol")</f>
        <v>Sol</v>
      </c>
      <c r="E435" s="17" t="s">
        <v>575</v>
      </c>
      <c r="F435" s="17" t="s">
        <v>139</v>
      </c>
      <c r="G435" s="18"/>
      <c r="H435" s="18"/>
    </row>
    <row r="436" spans="1:8" ht="13.2">
      <c r="A436" s="19" t="str">
        <f>HYPERLINK("http://codeforces.com/contest/894/problem/D","CF894-D2-D")</f>
        <v>CF894-D2-D</v>
      </c>
      <c r="B436" s="15" t="s">
        <v>600</v>
      </c>
      <c r="C436" s="17">
        <v>6</v>
      </c>
      <c r="D436" s="18"/>
      <c r="E436" s="17" t="s">
        <v>575</v>
      </c>
      <c r="F436" s="17" t="s">
        <v>201</v>
      </c>
      <c r="G436" s="18"/>
      <c r="H436" s="18"/>
    </row>
    <row r="437" spans="1:8" ht="13.2">
      <c r="A437" s="19" t="str">
        <f>HYPERLINK("https://csacademy.com/contest/round-19/#task/smallest-array-permutation","CSA19-D")</f>
        <v>CSA19-D</v>
      </c>
      <c r="B437" s="29" t="s">
        <v>601</v>
      </c>
      <c r="C437" s="17">
        <v>6</v>
      </c>
      <c r="D437" s="18"/>
      <c r="E437" s="17" t="s">
        <v>575</v>
      </c>
      <c r="F437" s="17" t="s">
        <v>201</v>
      </c>
      <c r="G437" s="18"/>
      <c r="H437" s="18"/>
    </row>
    <row r="438" spans="1:8" ht="13.2">
      <c r="A438" s="19" t="str">
        <f>HYPERLINK("http://codeforces.com/contest/754/problem/D","CF754-D2-D")</f>
        <v>CF754-D2-D</v>
      </c>
      <c r="B438" s="38" t="s">
        <v>602</v>
      </c>
      <c r="C438" s="17">
        <v>6</v>
      </c>
      <c r="D438" s="18"/>
      <c r="E438" s="17" t="s">
        <v>575</v>
      </c>
      <c r="F438" s="17" t="s">
        <v>201</v>
      </c>
      <c r="G438" s="18"/>
      <c r="H438" s="18"/>
    </row>
    <row r="439" spans="1:8" ht="13.2">
      <c r="A439" s="15" t="s">
        <v>603</v>
      </c>
      <c r="B439" s="30" t="s">
        <v>604</v>
      </c>
      <c r="C439" s="17">
        <v>6</v>
      </c>
      <c r="D439" s="18"/>
      <c r="E439" s="17" t="s">
        <v>575</v>
      </c>
      <c r="F439" s="17" t="s">
        <v>201</v>
      </c>
      <c r="G439" s="18"/>
      <c r="H439" s="18"/>
    </row>
    <row r="440" spans="1:8" ht="13.2">
      <c r="A440" s="19" t="str">
        <f>HYPERLINK("https://agc018.contest.atcoder.jp/tasks/agc018_c", "AtCoder018-AGC-C")</f>
        <v>AtCoder018-AGC-C</v>
      </c>
      <c r="B440" s="23" t="s">
        <v>587</v>
      </c>
      <c r="C440" s="17">
        <v>6</v>
      </c>
      <c r="D440" s="18"/>
      <c r="E440" s="17" t="s">
        <v>575</v>
      </c>
      <c r="F440" s="17"/>
      <c r="G440" s="18"/>
      <c r="H440" s="18"/>
    </row>
    <row r="441" spans="1:8" ht="13.2">
      <c r="A441" s="19" t="str">
        <f>HYPERLINK("http://codeforces.com/contest/286/problem/B","CF286-D1-B")</f>
        <v>CF286-D1-B</v>
      </c>
      <c r="B441" s="18" t="s">
        <v>605</v>
      </c>
      <c r="C441" s="17">
        <v>6</v>
      </c>
      <c r="D441" s="18"/>
      <c r="E441" s="17" t="s">
        <v>575</v>
      </c>
      <c r="F441" s="17"/>
      <c r="G441" s="18"/>
      <c r="H441" s="18"/>
    </row>
    <row r="442" spans="1:8" ht="13.2">
      <c r="A442" s="19" t="str">
        <f>HYPERLINK("http://codeforces.com/contest/114/problem/D","CF114-D2-D")</f>
        <v>CF114-D2-D</v>
      </c>
      <c r="B442" s="42" t="s">
        <v>606</v>
      </c>
      <c r="C442" s="17">
        <v>6</v>
      </c>
      <c r="D442" s="18"/>
      <c r="E442" s="17" t="s">
        <v>575</v>
      </c>
      <c r="F442" s="17"/>
      <c r="G442" s="18"/>
      <c r="H442" s="18"/>
    </row>
    <row r="443" spans="1:8" ht="13.2">
      <c r="A443" s="15" t="s">
        <v>607</v>
      </c>
      <c r="B443" s="30" t="s">
        <v>608</v>
      </c>
      <c r="C443" s="24">
        <v>6</v>
      </c>
      <c r="D443" s="18"/>
      <c r="E443" s="17" t="s">
        <v>575</v>
      </c>
      <c r="F443" s="17"/>
      <c r="G443" s="18"/>
      <c r="H443" s="18"/>
    </row>
    <row r="444" spans="1:8" ht="13.2">
      <c r="A444" s="19" t="str">
        <f>HYPERLINK("https://csacademy.com/contest/round-75/task/electric-cars/","CSA75-D")</f>
        <v>CSA75-D</v>
      </c>
      <c r="B444" s="15" t="s">
        <v>609</v>
      </c>
      <c r="C444" s="17">
        <v>6</v>
      </c>
      <c r="D444" s="18"/>
      <c r="E444" s="17" t="s">
        <v>575</v>
      </c>
      <c r="F444" s="17"/>
      <c r="G444" s="18"/>
      <c r="H444" s="18"/>
    </row>
    <row r="445" spans="1:8" ht="13.2">
      <c r="A445" s="19" t="str">
        <f>HYPERLINK("https://uva.onlinejudge.org/index.php?option=com_onlinejudge&amp;Itemid=8&amp;page=show_problem&amp;problem=2175","UVA 11234")</f>
        <v>UVA 11234</v>
      </c>
      <c r="B445" s="29" t="s">
        <v>610</v>
      </c>
      <c r="C445" s="17">
        <v>5.75</v>
      </c>
      <c r="D445" s="26" t="str">
        <f>HYPERLINK("https://github.com/mostafa-saad/MyCompetitiveProgramming/blob/master/UVA/UVA_11234.txt","Sol")</f>
        <v>Sol</v>
      </c>
      <c r="E445" s="17" t="s">
        <v>575</v>
      </c>
      <c r="F445" s="17" t="s">
        <v>139</v>
      </c>
      <c r="G445" s="18"/>
      <c r="H445" s="18"/>
    </row>
    <row r="446" spans="1:8" ht="13.2">
      <c r="A446" s="19" t="str">
        <f>HYPERLINK("http://codeforces.com/contest/219/problem/E","CF219-D2-E")</f>
        <v>CF219-D2-E</v>
      </c>
      <c r="B446" s="29" t="s">
        <v>611</v>
      </c>
      <c r="C446" s="17">
        <v>5.5</v>
      </c>
      <c r="D446" s="26" t="str">
        <f>HYPERLINK("https://github.com/mostafa-saad/MyCompetitiveProgramming/blob/master/Codeforces/CF219-D2-E.txt","Sol")</f>
        <v>Sol</v>
      </c>
      <c r="E446" s="17" t="s">
        <v>575</v>
      </c>
      <c r="F446" s="17" t="s">
        <v>196</v>
      </c>
      <c r="G446" s="18"/>
      <c r="H446" s="18"/>
    </row>
    <row r="447" spans="1:8" ht="13.2">
      <c r="A447" s="19" t="str">
        <f>HYPERLINK("https://codeforces.com/contest/1208/problem/E","CF1208-D12-E")</f>
        <v>CF1208-D12-E</v>
      </c>
      <c r="B447" s="15" t="s">
        <v>587</v>
      </c>
      <c r="C447" s="17">
        <v>5.5</v>
      </c>
      <c r="D447" s="18"/>
      <c r="E447" s="17" t="s">
        <v>575</v>
      </c>
      <c r="F447" s="17" t="s">
        <v>139</v>
      </c>
      <c r="G447" s="18"/>
      <c r="H447" s="18"/>
    </row>
    <row r="448" spans="1:8" ht="13.2">
      <c r="A448" s="19" t="str">
        <f>HYPERLINK("http://codeforces.com/contest/862/problem/E","CF862-D2-E")</f>
        <v>CF862-D2-E</v>
      </c>
      <c r="B448" s="15" t="s">
        <v>612</v>
      </c>
      <c r="C448" s="17">
        <v>5.5</v>
      </c>
      <c r="D448" s="18"/>
      <c r="E448" s="17" t="s">
        <v>575</v>
      </c>
      <c r="F448" s="17" t="s">
        <v>139</v>
      </c>
      <c r="G448" s="18"/>
      <c r="H448" s="18"/>
    </row>
    <row r="449" spans="1:8" ht="13.2">
      <c r="A449" s="19" t="str">
        <f>HYPERLINK("http://codeforces.com/contest/224/problem/C","CF224-D2-C")</f>
        <v>CF224-D2-C</v>
      </c>
      <c r="B449" s="29" t="s">
        <v>587</v>
      </c>
      <c r="C449" s="17">
        <v>5.5</v>
      </c>
      <c r="D449" s="18"/>
      <c r="E449" s="17" t="s">
        <v>575</v>
      </c>
      <c r="F449" s="17" t="s">
        <v>613</v>
      </c>
      <c r="G449" s="18"/>
      <c r="H449" s="18"/>
    </row>
    <row r="450" spans="1:8" ht="13.2">
      <c r="A450" s="19" t="str">
        <f>HYPERLINK("http://codeforces.com/contest/548/problem/D","CF548-D2-D")</f>
        <v>CF548-D2-D</v>
      </c>
      <c r="B450" s="29" t="s">
        <v>614</v>
      </c>
      <c r="C450" s="17">
        <v>5.5</v>
      </c>
      <c r="D450" s="18"/>
      <c r="E450" s="17" t="s">
        <v>575</v>
      </c>
      <c r="F450" s="17" t="s">
        <v>613</v>
      </c>
      <c r="G450" s="18"/>
      <c r="H450" s="18"/>
    </row>
    <row r="451" spans="1:8" ht="13.2">
      <c r="A451" s="19" t="str">
        <f>HYPERLINK("https://codeforces.com/contest/1236/problem/D","CF1236-D2-D")</f>
        <v>CF1236-D2-D</v>
      </c>
      <c r="B451" s="15" t="s">
        <v>615</v>
      </c>
      <c r="C451" s="17">
        <v>5.5</v>
      </c>
      <c r="D451" s="18"/>
      <c r="E451" s="17" t="s">
        <v>575</v>
      </c>
      <c r="F451" s="17" t="s">
        <v>201</v>
      </c>
      <c r="G451" s="18"/>
      <c r="H451" s="18"/>
    </row>
    <row r="452" spans="1:8" ht="13.2">
      <c r="A452" s="19" t="str">
        <f>HYPERLINK("http://codeforces.com/contest/319/problem/B","CF319-D1-B")</f>
        <v>CF319-D1-B</v>
      </c>
      <c r="B452" s="23" t="s">
        <v>616</v>
      </c>
      <c r="C452" s="17">
        <v>5.5</v>
      </c>
      <c r="D452" s="18"/>
      <c r="E452" s="17" t="s">
        <v>575</v>
      </c>
      <c r="F452" s="17" t="s">
        <v>201</v>
      </c>
      <c r="G452" s="18"/>
      <c r="H452" s="18"/>
    </row>
    <row r="453" spans="1:8" ht="13.2">
      <c r="A453" s="19" t="str">
        <f>HYPERLINK("https://uva.onlinejudge.org/index.php?option=com_onlinejudge&amp;Itemid=8&amp;page=show_problem&amp;problem=4395","UVA 12657")</f>
        <v>UVA 12657</v>
      </c>
      <c r="B453" s="29" t="s">
        <v>617</v>
      </c>
      <c r="C453" s="17">
        <v>5.5</v>
      </c>
      <c r="D453" s="26" t="str">
        <f>HYPERLINK("http://qkxue.net/info/113260/UVA-Boxes-Line-12657","Sol")</f>
        <v>Sol</v>
      </c>
      <c r="E453" s="17" t="s">
        <v>575</v>
      </c>
      <c r="F453" s="17" t="s">
        <v>201</v>
      </c>
      <c r="G453" s="18"/>
      <c r="H453" s="18"/>
    </row>
    <row r="454" spans="1:8" ht="13.2">
      <c r="A454" s="19" t="str">
        <f>HYPERLINK("https://codeforces.com/contest/899/problem/E","CF899-D2-E")</f>
        <v>CF899-D2-E</v>
      </c>
      <c r="B454" s="29" t="s">
        <v>618</v>
      </c>
      <c r="C454" s="31">
        <v>5.5</v>
      </c>
      <c r="D454" s="18"/>
      <c r="E454" s="17" t="s">
        <v>575</v>
      </c>
      <c r="F454" s="17" t="s">
        <v>201</v>
      </c>
      <c r="G454" s="18"/>
      <c r="H454" s="18"/>
    </row>
    <row r="455" spans="1:8" ht="13.2">
      <c r="A455" s="19" t="str">
        <f>HYPERLINK("http://codeforces.com/contest/982/problem/D", "CF982-D2-D")</f>
        <v>CF982-D2-D</v>
      </c>
      <c r="B455" s="20" t="s">
        <v>587</v>
      </c>
      <c r="C455" s="17">
        <v>5.5</v>
      </c>
      <c r="D455" s="18"/>
      <c r="E455" s="17" t="s">
        <v>575</v>
      </c>
      <c r="F455" s="17"/>
      <c r="G455" s="18"/>
      <c r="H455" s="18"/>
    </row>
    <row r="456" spans="1:8" ht="13.2">
      <c r="A456" s="15" t="s">
        <v>619</v>
      </c>
      <c r="B456" s="30" t="s">
        <v>620</v>
      </c>
      <c r="C456" s="24">
        <v>5.5</v>
      </c>
      <c r="D456" s="18"/>
      <c r="E456" s="17" t="s">
        <v>575</v>
      </c>
      <c r="F456" s="17"/>
      <c r="G456" s="18"/>
      <c r="H456" s="18"/>
    </row>
    <row r="457" spans="1:8" ht="13.2">
      <c r="A457" s="19" t="str">
        <f>HYPERLINK("https://codeforces.com/contest/475/problem/D","CF475-D12-D")</f>
        <v>CF475-D12-D</v>
      </c>
      <c r="B457" s="15" t="s">
        <v>621</v>
      </c>
      <c r="C457" s="21">
        <v>5.25</v>
      </c>
      <c r="D457" s="18"/>
      <c r="E457" s="17" t="s">
        <v>575</v>
      </c>
      <c r="F457" s="17" t="s">
        <v>154</v>
      </c>
      <c r="G457" s="18"/>
      <c r="H457" s="18"/>
    </row>
    <row r="458" spans="1:8" ht="13.2">
      <c r="A458" s="19" t="str">
        <f>HYPERLINK("http://codeforces.com/contest/911/problem/E","CF911-D12-E")</f>
        <v>CF911-D12-E</v>
      </c>
      <c r="B458" s="15" t="s">
        <v>616</v>
      </c>
      <c r="C458" s="17">
        <v>5.25</v>
      </c>
      <c r="D458" s="18"/>
      <c r="E458" s="17" t="s">
        <v>575</v>
      </c>
      <c r="F458" s="17" t="s">
        <v>139</v>
      </c>
      <c r="G458" s="18"/>
      <c r="H458" s="18"/>
    </row>
    <row r="459" spans="1:8" ht="13.2">
      <c r="A459" s="19" t="str">
        <f>HYPERLINK("http://www.spoj.com/problems/WEIRDFN/","SPOJ WEIRDFN")</f>
        <v>SPOJ WEIRDFN</v>
      </c>
      <c r="B459" s="29" t="s">
        <v>622</v>
      </c>
      <c r="C459" s="17">
        <v>5</v>
      </c>
      <c r="D459" s="26" t="str">
        <f>HYPERLINK("https://github.com/mostafa-saad/MyCompetitiveProgramming/blob/master/SPOJ/SPOJ_WEIRDFN.txt","Sol. Note, restricted time limit.")</f>
        <v>Sol. Note, restricted time limit.</v>
      </c>
      <c r="E459" s="17" t="s">
        <v>575</v>
      </c>
      <c r="F459" s="17" t="s">
        <v>154</v>
      </c>
      <c r="G459" s="18"/>
      <c r="H459" s="18"/>
    </row>
    <row r="460" spans="1:8" ht="13.2">
      <c r="A460" s="15" t="s">
        <v>623</v>
      </c>
      <c r="B460" s="23" t="s">
        <v>587</v>
      </c>
      <c r="C460" s="17">
        <v>5</v>
      </c>
      <c r="D460" s="18"/>
      <c r="E460" s="17" t="s">
        <v>575</v>
      </c>
      <c r="F460" s="17" t="s">
        <v>139</v>
      </c>
      <c r="G460" s="18"/>
      <c r="H460" s="18"/>
    </row>
    <row r="461" spans="1:8" ht="13.2">
      <c r="A461" s="19" t="str">
        <f>HYPERLINK("http://codeforces.com/contest/5/problem/C","CF5-D12-C")</f>
        <v>CF5-D12-C</v>
      </c>
      <c r="B461" s="15" t="s">
        <v>624</v>
      </c>
      <c r="C461" s="17">
        <v>5</v>
      </c>
      <c r="D461" s="18"/>
      <c r="E461" s="17" t="s">
        <v>575</v>
      </c>
      <c r="F461" s="17" t="s">
        <v>139</v>
      </c>
      <c r="G461" s="18"/>
      <c r="H461" s="18"/>
    </row>
    <row r="462" spans="1:8" ht="13.2">
      <c r="A462" s="19" t="str">
        <f>HYPERLINK("https://codeforces.com/contest/817/problem/D", "CF817-D12-D")</f>
        <v>CF817-D12-D</v>
      </c>
      <c r="B462" s="29" t="s">
        <v>625</v>
      </c>
      <c r="C462" s="31">
        <v>5</v>
      </c>
      <c r="D462" s="26" t="str">
        <f>HYPERLINK("https://codeforces.com/contest/817/submission/47359168","Find O(n)")</f>
        <v>Find O(n)</v>
      </c>
      <c r="E462" s="17" t="s">
        <v>575</v>
      </c>
      <c r="F462" s="17" t="s">
        <v>139</v>
      </c>
      <c r="G462" s="18"/>
      <c r="H462" s="18"/>
    </row>
    <row r="463" spans="1:8" ht="13.2">
      <c r="A463" s="15" t="s">
        <v>626</v>
      </c>
      <c r="B463" s="28" t="s">
        <v>627</v>
      </c>
      <c r="C463" s="24">
        <v>5</v>
      </c>
      <c r="D463" s="26" t="str">
        <f>HYPERLINK("https://github.com/Firastic/CompetitiveProgramming/blob/master/SPOJ/SPOJ%20RMID2.cpp","Sol")</f>
        <v>Sol</v>
      </c>
      <c r="E463" s="17" t="s">
        <v>575</v>
      </c>
      <c r="F463" s="17" t="s">
        <v>139</v>
      </c>
      <c r="G463" s="18"/>
      <c r="H463" s="18"/>
    </row>
    <row r="464" spans="1:8" ht="13.2">
      <c r="A464" s="19" t="str">
        <f>HYPERLINK("http://codeforces.com/contest/45/problem/C","CF45-D12-C")</f>
        <v>CF45-D12-C</v>
      </c>
      <c r="B464" s="15" t="s">
        <v>628</v>
      </c>
      <c r="C464" s="17">
        <v>5</v>
      </c>
      <c r="D464" s="18"/>
      <c r="E464" s="17" t="s">
        <v>575</v>
      </c>
      <c r="F464" s="17" t="s">
        <v>139</v>
      </c>
      <c r="G464" s="18"/>
      <c r="H464" s="18"/>
    </row>
    <row r="465" spans="1:8" ht="13.2">
      <c r="A465" s="19" t="str">
        <f>HYPERLINK("https://uva.onlinejudge.org/index.php?option=onlinejudge&amp;page=show_problem&amp;problem=442","UVA 501")</f>
        <v>UVA 501</v>
      </c>
      <c r="B465" s="29" t="s">
        <v>629</v>
      </c>
      <c r="C465" s="17">
        <v>5</v>
      </c>
      <c r="D465" s="26" t="str">
        <f>HYPERLINK("https://github.com/mostafa-saad/MyCompetitiveProgramming/blob/master/UVA/UVA_501.txt","Sol Must Read")</f>
        <v>Sol Must Read</v>
      </c>
      <c r="E465" s="17" t="s">
        <v>575</v>
      </c>
      <c r="F465" s="17" t="s">
        <v>227</v>
      </c>
      <c r="G465" s="18"/>
      <c r="H465" s="18"/>
    </row>
    <row r="466" spans="1:8" ht="13.2">
      <c r="A466" s="19" t="str">
        <f>HYPERLINK("https://icpcarchive.ecs.baylor.edu/index.php?option=com_onlinejudge&amp;Itemid=8&amp;category=19&amp;page=show_problem&amp;problem=1635","LiveArchive 3634")</f>
        <v>LiveArchive 3634</v>
      </c>
      <c r="B466" s="29" t="s">
        <v>630</v>
      </c>
      <c r="C466" s="17">
        <v>5</v>
      </c>
      <c r="D466" s="26" t="str">
        <f>HYPERLINK("https://github.com/SaraElkadi/competitive-programming-/blob/master/LiveArchive/3634.cpp","Sol")</f>
        <v>Sol</v>
      </c>
      <c r="E466" s="17" t="s">
        <v>575</v>
      </c>
      <c r="F466" s="17" t="s">
        <v>201</v>
      </c>
      <c r="G466" s="18"/>
      <c r="H466" s="18"/>
    </row>
    <row r="467" spans="1:8" ht="13.2">
      <c r="A467" s="15" t="s">
        <v>631</v>
      </c>
      <c r="B467" s="30" t="s">
        <v>632</v>
      </c>
      <c r="C467" s="24">
        <v>5</v>
      </c>
      <c r="D467" s="18"/>
      <c r="E467" s="17" t="s">
        <v>575</v>
      </c>
      <c r="F467" s="17" t="s">
        <v>242</v>
      </c>
      <c r="G467" s="18"/>
      <c r="H467" s="18"/>
    </row>
    <row r="468" spans="1:8" ht="13.2">
      <c r="A468" s="19" t="str">
        <f>HYPERLINK("http://codeforces.com/contest/731/problem/D","CF731-D2-D")</f>
        <v>CF731-D2-D</v>
      </c>
      <c r="B468" s="29" t="s">
        <v>587</v>
      </c>
      <c r="C468" s="24">
        <v>5</v>
      </c>
      <c r="D468" s="18"/>
      <c r="E468" s="17" t="s">
        <v>575</v>
      </c>
      <c r="F468" s="17"/>
      <c r="G468" s="18"/>
      <c r="H468" s="18"/>
    </row>
    <row r="469" spans="1:8" ht="13.2">
      <c r="A469" s="19" t="str">
        <f>HYPERLINK("http://codeforces.com/problemset/problem/522/D","CF522-D2-D")</f>
        <v>CF522-D2-D</v>
      </c>
      <c r="B469" s="15" t="s">
        <v>633</v>
      </c>
      <c r="C469" s="17">
        <v>5</v>
      </c>
      <c r="D469" s="18"/>
      <c r="E469" s="17" t="s">
        <v>575</v>
      </c>
      <c r="F469" s="17"/>
      <c r="G469" s="18"/>
      <c r="H469" s="18"/>
    </row>
    <row r="470" spans="1:8" ht="13.2">
      <c r="A470" s="15" t="s">
        <v>634</v>
      </c>
      <c r="B470" s="16" t="s">
        <v>635</v>
      </c>
      <c r="C470" s="17">
        <v>5</v>
      </c>
      <c r="D470" s="26" t="str">
        <f>HYPERLINK("https://github.com/AliOsm/CompetitiveProgramming/blob/master/UVA/12207%20-%20That%20is%20Your%20Queue.cpp","Sol")</f>
        <v>Sol</v>
      </c>
      <c r="E470" s="17" t="s">
        <v>575</v>
      </c>
      <c r="F470" s="17"/>
      <c r="G470" s="18"/>
      <c r="H470" s="18"/>
    </row>
    <row r="471" spans="1:8" ht="13.2">
      <c r="A471" s="19" t="str">
        <f>HYPERLINK("https://csacademy.com/contest/round-84/task/manhattan-center/","CSA84-D")</f>
        <v>CSA84-D</v>
      </c>
      <c r="B471" s="20" t="s">
        <v>636</v>
      </c>
      <c r="C471" s="21">
        <v>5</v>
      </c>
      <c r="D471" s="18"/>
      <c r="E471" s="17" t="s">
        <v>575</v>
      </c>
      <c r="F471" s="17"/>
      <c r="G471" s="18"/>
      <c r="H471" s="18"/>
    </row>
    <row r="472" spans="1:8" ht="13.2">
      <c r="A472" s="19" t="str">
        <f>HYPERLINK("https://agc005.contest.atcoder.jp/tasks/agc005_b","AtCoder005-AGC-B")</f>
        <v>AtCoder005-AGC-B</v>
      </c>
      <c r="B472" s="15" t="s">
        <v>628</v>
      </c>
      <c r="C472" s="17">
        <v>5</v>
      </c>
      <c r="D472" s="18"/>
      <c r="E472" s="17" t="s">
        <v>575</v>
      </c>
      <c r="F472" s="17"/>
      <c r="G472" s="18"/>
      <c r="H472" s="18"/>
    </row>
    <row r="473" spans="1:8" ht="13.2">
      <c r="A473" s="15" t="s">
        <v>637</v>
      </c>
      <c r="B473" s="34" t="s">
        <v>638</v>
      </c>
      <c r="C473" s="24">
        <v>4.5</v>
      </c>
      <c r="D473" s="18"/>
      <c r="E473" s="17" t="s">
        <v>575</v>
      </c>
      <c r="F473" s="17" t="s">
        <v>306</v>
      </c>
      <c r="G473" s="18"/>
      <c r="H473" s="18"/>
    </row>
    <row r="474" spans="1:8" ht="13.2">
      <c r="A474" s="19" t="str">
        <f>HYPERLINK("https://codeforces.com/contest/284/problem/C","CF284-D2-C")</f>
        <v>CF284-D2-C</v>
      </c>
      <c r="B474" s="23" t="s">
        <v>587</v>
      </c>
      <c r="C474" s="17">
        <v>4.5</v>
      </c>
      <c r="D474" s="18"/>
      <c r="E474" s="17" t="s">
        <v>575</v>
      </c>
      <c r="F474" s="17" t="s">
        <v>139</v>
      </c>
      <c r="G474" s="18"/>
      <c r="H474" s="18"/>
    </row>
    <row r="475" spans="1:8" ht="13.2">
      <c r="A475" s="19" t="str">
        <f>HYPERLINK("http://codeforces.com/contest/675/problem/D","CF675-D2-D")</f>
        <v>CF675-D2-D</v>
      </c>
      <c r="B475" s="18" t="s">
        <v>587</v>
      </c>
      <c r="C475" s="17">
        <v>4.5</v>
      </c>
      <c r="D475" s="18"/>
      <c r="E475" s="17" t="s">
        <v>575</v>
      </c>
      <c r="F475" s="17"/>
      <c r="G475" s="18"/>
      <c r="H475" s="18"/>
    </row>
    <row r="476" spans="1:8" ht="13.2">
      <c r="A476" s="19" t="str">
        <f>HYPERLINK("http://codeforces.com/contest/681/problem/C","CF681-D2-C")</f>
        <v>CF681-D2-C</v>
      </c>
      <c r="B476" s="18" t="s">
        <v>616</v>
      </c>
      <c r="C476" s="17">
        <v>4.5</v>
      </c>
      <c r="D476" s="18"/>
      <c r="E476" s="17" t="s">
        <v>575</v>
      </c>
      <c r="F476" s="17"/>
      <c r="G476" s="18"/>
      <c r="H476" s="18"/>
    </row>
    <row r="477" spans="1:8" ht="13.2">
      <c r="A477" s="19" t="str">
        <f>HYPERLINK("http://codeforces.com/contest/697/problem/C","CF697-D2-C")</f>
        <v>CF697-D2-C</v>
      </c>
      <c r="B477" s="29" t="s">
        <v>639</v>
      </c>
      <c r="C477" s="17">
        <v>4.5</v>
      </c>
      <c r="D477" s="18"/>
      <c r="E477" s="17" t="s">
        <v>575</v>
      </c>
      <c r="F477" s="17"/>
      <c r="G477" s="18"/>
      <c r="H477" s="18"/>
    </row>
    <row r="478" spans="1:8" ht="13.2">
      <c r="A478" s="19" t="str">
        <f>HYPERLINK("http://codeforces.com/problemset/problem/845/D","CF845-D2-D")</f>
        <v>CF845-D2-D</v>
      </c>
      <c r="B478" s="15" t="s">
        <v>640</v>
      </c>
      <c r="C478" s="24">
        <v>4.5</v>
      </c>
      <c r="D478" s="18"/>
      <c r="E478" s="17" t="s">
        <v>575</v>
      </c>
      <c r="F478" s="17"/>
      <c r="G478" s="18"/>
      <c r="H478" s="18"/>
    </row>
    <row r="479" spans="1:8" ht="13.2">
      <c r="A479" s="15" t="s">
        <v>641</v>
      </c>
      <c r="B479" s="15" t="s">
        <v>642</v>
      </c>
      <c r="C479" s="17">
        <v>4</v>
      </c>
      <c r="D479" s="26" t="str">
        <f>HYPERLINK("https://github.com/goswami-rahul/competitive-coding/blob/master/CompetitiveProgramming/livearchive/8078.cpp","Sol")</f>
        <v>Sol</v>
      </c>
      <c r="E479" s="17" t="s">
        <v>575</v>
      </c>
      <c r="F479" s="17" t="s">
        <v>154</v>
      </c>
      <c r="G479" s="18"/>
      <c r="H479" s="18"/>
    </row>
    <row r="480" spans="1:8" ht="13.2">
      <c r="A480" s="19" t="str">
        <f>HYPERLINK("https://codeforces.com/contest/1140/problem/C","CF1140-D12-C")</f>
        <v>CF1140-D12-C</v>
      </c>
      <c r="B480" s="20" t="s">
        <v>643</v>
      </c>
      <c r="C480" s="17">
        <v>4</v>
      </c>
      <c r="D480" s="18"/>
      <c r="E480" s="17" t="s">
        <v>575</v>
      </c>
      <c r="F480" s="17" t="s">
        <v>139</v>
      </c>
      <c r="G480" s="18"/>
      <c r="H480" s="18"/>
    </row>
    <row r="481" spans="1:8" ht="13.2">
      <c r="A481" s="19" t="str">
        <f>HYPERLINK("http://codeforces.com/contest/92/problem/D","CF92-D2-D")</f>
        <v>CF92-D2-D</v>
      </c>
      <c r="B481" s="29" t="s">
        <v>644</v>
      </c>
      <c r="C481" s="17">
        <v>4</v>
      </c>
      <c r="D481" s="18"/>
      <c r="E481" s="17" t="s">
        <v>575</v>
      </c>
      <c r="F481" s="17" t="s">
        <v>201</v>
      </c>
      <c r="G481" s="18"/>
      <c r="H481" s="18"/>
    </row>
    <row r="482" spans="1:8" ht="13.2">
      <c r="A482" s="19" t="str">
        <f>HYPERLINK("http://codeforces.com/contest/705/problem/C","CF705-D2-C")</f>
        <v>CF705-D2-C</v>
      </c>
      <c r="B482" s="29" t="s">
        <v>616</v>
      </c>
      <c r="C482" s="17">
        <v>4</v>
      </c>
      <c r="D482" s="18"/>
      <c r="E482" s="17" t="s">
        <v>575</v>
      </c>
      <c r="F482" s="17" t="s">
        <v>201</v>
      </c>
      <c r="G482" s="18"/>
      <c r="H482" s="18"/>
    </row>
    <row r="483" spans="1:8" ht="13.2">
      <c r="A483" s="19" t="str">
        <f>HYPERLINK("https://uva.onlinejudge.org/index.php?option=com_onlinejudge&amp;Itemid=8&amp;page=show_problem&amp;problem=4467","UVA 1592")</f>
        <v>UVA 1592</v>
      </c>
      <c r="B483" s="29" t="s">
        <v>645</v>
      </c>
      <c r="C483" s="17">
        <v>4</v>
      </c>
      <c r="D483" s="18"/>
      <c r="E483" s="17" t="s">
        <v>575</v>
      </c>
      <c r="F483" s="17" t="s">
        <v>201</v>
      </c>
      <c r="G483" s="18"/>
      <c r="H483" s="18"/>
    </row>
    <row r="484" spans="1:8" ht="13.2">
      <c r="A484" s="19" t="str">
        <f>HYPERLINK("http://codeforces.com/contest/714/problem/C","CF714-D2-C")</f>
        <v>CF714-D2-C</v>
      </c>
      <c r="B484" s="18" t="s">
        <v>587</v>
      </c>
      <c r="C484" s="17">
        <v>4</v>
      </c>
      <c r="D484" s="18"/>
      <c r="E484" s="17" t="s">
        <v>575</v>
      </c>
      <c r="F484" s="17"/>
      <c r="G484" s="18"/>
      <c r="H484" s="18"/>
    </row>
    <row r="485" spans="1:8" ht="13.2">
      <c r="A485" s="19" t="str">
        <f>HYPERLINK("https://csacademy.com/contest/round-82/task/city-break/", "CSA82-C")</f>
        <v>CSA82-C</v>
      </c>
      <c r="B485" s="15" t="s">
        <v>587</v>
      </c>
      <c r="C485" s="17">
        <v>4</v>
      </c>
      <c r="D485" s="18"/>
      <c r="E485" s="17" t="s">
        <v>575</v>
      </c>
      <c r="F485" s="17"/>
      <c r="G485" s="18"/>
      <c r="H485" s="18"/>
    </row>
    <row r="486" spans="1:8" ht="13.2">
      <c r="A486" s="19" t="str">
        <f>HYPERLINK("https://www.hackerrank.com/contests/world-codesprint-13/challenges/watsons-love-for-arrays", "HACKR watsons-love-for-arrays")</f>
        <v>HACKR watsons-love-for-arrays</v>
      </c>
      <c r="B486" s="20" t="s">
        <v>587</v>
      </c>
      <c r="C486" s="21">
        <v>4</v>
      </c>
      <c r="D486" s="18"/>
      <c r="E486" s="17" t="s">
        <v>575</v>
      </c>
      <c r="F486" s="17"/>
      <c r="G486" s="18"/>
      <c r="H486" s="18"/>
    </row>
    <row r="487" spans="1:8" ht="13.2">
      <c r="A487" s="19" t="str">
        <f>HYPERLINK("http://codeforces.com/contest/276/problem/C","CF276-D2-C")</f>
        <v>CF276-D2-C</v>
      </c>
      <c r="B487" s="29" t="s">
        <v>646</v>
      </c>
      <c r="C487" s="17">
        <v>4</v>
      </c>
      <c r="D487" s="18"/>
      <c r="E487" s="17" t="s">
        <v>575</v>
      </c>
      <c r="F487" s="17"/>
      <c r="G487" s="18"/>
      <c r="H487" s="18"/>
    </row>
    <row r="488" spans="1:8" ht="13.2">
      <c r="A488" s="15" t="s">
        <v>647</v>
      </c>
      <c r="B488" s="30" t="s">
        <v>628</v>
      </c>
      <c r="C488" s="17">
        <v>4</v>
      </c>
      <c r="D488" s="18"/>
      <c r="E488" s="17" t="s">
        <v>575</v>
      </c>
      <c r="F488" s="17"/>
      <c r="G488" s="18"/>
      <c r="H488" s="18"/>
    </row>
    <row r="489" spans="1:8" ht="13.2">
      <c r="A489" s="15" t="s">
        <v>648</v>
      </c>
      <c r="B489" s="28" t="s">
        <v>649</v>
      </c>
      <c r="C489" s="24">
        <v>3.5</v>
      </c>
      <c r="D489" s="18"/>
      <c r="E489" s="17" t="s">
        <v>575</v>
      </c>
      <c r="F489" s="17"/>
      <c r="G489" s="18"/>
      <c r="H489" s="18"/>
    </row>
    <row r="490" spans="1:8" ht="13.2">
      <c r="A490" s="15" t="s">
        <v>650</v>
      </c>
      <c r="B490" s="15" t="s">
        <v>640</v>
      </c>
      <c r="C490" s="17">
        <v>3</v>
      </c>
      <c r="D490" s="26" t="str">
        <f>HYPERLINK("https://github.com/Ownography/CP/blob/master/SPOJ%20POSTERIN", "Sol")</f>
        <v>Sol</v>
      </c>
      <c r="E490" s="17" t="s">
        <v>575</v>
      </c>
      <c r="F490" s="17" t="s">
        <v>154</v>
      </c>
      <c r="G490" s="18"/>
      <c r="H490" s="18"/>
    </row>
    <row r="491" spans="1:8" ht="13.2">
      <c r="A491" s="19" t="str">
        <f>HYPERLINK("http://codeforces.com/contest/357/problem/C","CF357-D2-C")</f>
        <v>CF357-D2-C</v>
      </c>
      <c r="B491" s="29" t="s">
        <v>628</v>
      </c>
      <c r="C491" s="17">
        <v>3</v>
      </c>
      <c r="D491" s="18"/>
      <c r="E491" s="17" t="s">
        <v>575</v>
      </c>
      <c r="F491" s="17" t="s">
        <v>201</v>
      </c>
      <c r="G491" s="18"/>
      <c r="H491" s="18"/>
    </row>
    <row r="492" spans="1:8" ht="13.2">
      <c r="A492" s="19" t="str">
        <f>HYPERLINK("http://codeforces.com/contest/272/problem/C","CF272-D2-C")</f>
        <v>CF272-D2-C</v>
      </c>
      <c r="B492" s="18" t="s">
        <v>616</v>
      </c>
      <c r="C492" s="17">
        <v>3</v>
      </c>
      <c r="D492" s="18"/>
      <c r="E492" s="17" t="s">
        <v>575</v>
      </c>
      <c r="F492" s="17"/>
      <c r="G492" s="18"/>
      <c r="H492" s="18"/>
    </row>
    <row r="493" spans="1:8" ht="13.2">
      <c r="A493" s="19" t="str">
        <f>HYPERLINK("http://codeforces.com/contest/518/problem/C","CF518-D2-C")</f>
        <v>CF518-D2-C</v>
      </c>
      <c r="B493" s="29" t="s">
        <v>616</v>
      </c>
      <c r="C493" s="17">
        <v>3</v>
      </c>
      <c r="D493" s="18"/>
      <c r="E493" s="17" t="s">
        <v>575</v>
      </c>
      <c r="F493" s="17"/>
      <c r="G493" s="18"/>
      <c r="H493" s="18"/>
    </row>
    <row r="494" spans="1:8" ht="13.2">
      <c r="A494" s="19" t="str">
        <f>HYPERLINK("http://codeforces.com/contest/527/problem/C","CF527-D2-C")</f>
        <v>CF527-D2-C</v>
      </c>
      <c r="B494" s="29" t="s">
        <v>651</v>
      </c>
      <c r="C494" s="17">
        <v>3</v>
      </c>
      <c r="D494" s="18"/>
      <c r="E494" s="17" t="s">
        <v>575</v>
      </c>
      <c r="F494" s="17"/>
      <c r="G494" s="18"/>
      <c r="H494" s="18"/>
    </row>
    <row r="495" spans="1:8" ht="13.2">
      <c r="A495" s="15" t="s">
        <v>652</v>
      </c>
      <c r="B495" s="28" t="s">
        <v>587</v>
      </c>
      <c r="C495" s="24">
        <v>2</v>
      </c>
      <c r="D495" s="18"/>
      <c r="E495" s="17" t="s">
        <v>575</v>
      </c>
      <c r="F495" s="17"/>
      <c r="G495" s="18"/>
      <c r="H495" s="18"/>
    </row>
    <row r="496" spans="1:8" ht="13.2">
      <c r="A496" s="15" t="s">
        <v>653</v>
      </c>
      <c r="B496" s="16" t="s">
        <v>654</v>
      </c>
      <c r="C496" s="31">
        <v>7</v>
      </c>
      <c r="D496" s="26" t="str">
        <f>HYPERLINK("https://github.com/ryuzmukhametov/CompetitiveProgramming/blob/master/Topcoder/SRM449-D2-1000.cpp","Sol not in editorial")</f>
        <v>Sol not in editorial</v>
      </c>
      <c r="E496" s="17" t="s">
        <v>655</v>
      </c>
      <c r="F496" s="17" t="s">
        <v>242</v>
      </c>
      <c r="G496" s="18"/>
      <c r="H496" s="18"/>
    </row>
    <row r="497" spans="1:8" ht="13.2">
      <c r="A497" s="15" t="s">
        <v>656</v>
      </c>
      <c r="B497" s="15" t="s">
        <v>657</v>
      </c>
      <c r="C497" s="17">
        <v>7</v>
      </c>
      <c r="D497" s="18"/>
      <c r="E497" s="17" t="s">
        <v>655</v>
      </c>
      <c r="F497" s="17"/>
      <c r="G497" s="18"/>
      <c r="H497" s="18"/>
    </row>
    <row r="498" spans="1:8" ht="13.2">
      <c r="A498" s="15" t="s">
        <v>658</v>
      </c>
      <c r="B498" s="43" t="s">
        <v>657</v>
      </c>
      <c r="C498" s="24">
        <v>7</v>
      </c>
      <c r="D498" s="18"/>
      <c r="E498" s="17" t="s">
        <v>655</v>
      </c>
      <c r="F498" s="17"/>
      <c r="G498" s="18"/>
      <c r="H498" s="18"/>
    </row>
    <row r="499" spans="1:8" ht="13.2">
      <c r="A499" s="19" t="str">
        <f>HYPERLINK("https://www.facebook.com/hackercup/problem/330920680938986/", "FbHkrCup 19-R0-D")</f>
        <v>FbHkrCup 19-R0-D</v>
      </c>
      <c r="B499" s="15" t="s">
        <v>659</v>
      </c>
      <c r="C499" s="17">
        <v>6.75</v>
      </c>
      <c r="D499" s="18" t="s">
        <v>660</v>
      </c>
      <c r="E499" s="17" t="s">
        <v>655</v>
      </c>
      <c r="F499" s="17" t="s">
        <v>201</v>
      </c>
      <c r="G499" s="18"/>
      <c r="H499" s="18"/>
    </row>
    <row r="500" spans="1:8" ht="13.2">
      <c r="A500" s="15" t="s">
        <v>661</v>
      </c>
      <c r="B500" s="28" t="s">
        <v>657</v>
      </c>
      <c r="C500" s="24">
        <v>6.75</v>
      </c>
      <c r="D500" s="18"/>
      <c r="E500" s="17" t="s">
        <v>655</v>
      </c>
      <c r="F500" s="17"/>
      <c r="G500" s="18"/>
      <c r="H500" s="18"/>
    </row>
    <row r="501" spans="1:8" ht="13.2">
      <c r="A501" s="15" t="s">
        <v>662</v>
      </c>
      <c r="B501" s="28" t="s">
        <v>663</v>
      </c>
      <c r="C501" s="24">
        <v>6.75</v>
      </c>
      <c r="D501" s="18"/>
      <c r="E501" s="24" t="s">
        <v>655</v>
      </c>
      <c r="F501" s="17"/>
      <c r="G501" s="18"/>
      <c r="H501" s="18"/>
    </row>
    <row r="502" spans="1:8" ht="13.2">
      <c r="A502" s="15" t="s">
        <v>664</v>
      </c>
      <c r="B502" s="38" t="s">
        <v>665</v>
      </c>
      <c r="C502" s="24">
        <v>6.75</v>
      </c>
      <c r="D502" s="26" t="str">
        <f>HYPERLINK("https://blog.csdn.net/accelerator_/article/details/22990113","Sol")</f>
        <v>Sol</v>
      </c>
      <c r="E502" s="17" t="s">
        <v>655</v>
      </c>
      <c r="F502" s="17"/>
      <c r="G502" s="18"/>
      <c r="H502" s="18"/>
    </row>
    <row r="503" spans="1:8" ht="13.2">
      <c r="A503" s="15" t="s">
        <v>666</v>
      </c>
      <c r="B503" s="15" t="s">
        <v>657</v>
      </c>
      <c r="C503" s="17">
        <v>6.5</v>
      </c>
      <c r="D503" s="18"/>
      <c r="E503" s="17" t="s">
        <v>655</v>
      </c>
      <c r="F503" s="17"/>
      <c r="G503" s="18"/>
      <c r="H503" s="18"/>
    </row>
    <row r="504" spans="1:8" ht="13.2">
      <c r="A504" s="15" t="s">
        <v>667</v>
      </c>
      <c r="B504" s="43" t="s">
        <v>668</v>
      </c>
      <c r="C504" s="24">
        <v>6.5</v>
      </c>
      <c r="D504" s="26" t="str">
        <f>HYPERLINK("https://morris821028.github.io/2014/07/06/oj/uva/uva-10123/","Sol")</f>
        <v>Sol</v>
      </c>
      <c r="E504" s="17" t="s">
        <v>655</v>
      </c>
      <c r="F504" s="17"/>
      <c r="G504" s="18"/>
      <c r="H504" s="18"/>
    </row>
    <row r="505" spans="1:8" ht="13.2">
      <c r="A505" s="15" t="s">
        <v>669</v>
      </c>
      <c r="B505" s="29" t="s">
        <v>670</v>
      </c>
      <c r="C505" s="17">
        <v>6.4</v>
      </c>
      <c r="D505" s="26" t="str">
        <f>HYPERLINK("https://github.com/shanto86/Training/blob/master/TopCoder/SRM523-D1-1000.cpp","Sol")</f>
        <v>Sol</v>
      </c>
      <c r="E505" s="17" t="s">
        <v>655</v>
      </c>
      <c r="F505" s="17" t="s">
        <v>139</v>
      </c>
      <c r="G505" s="18"/>
      <c r="H505" s="18"/>
    </row>
    <row r="506" spans="1:8" ht="13.2">
      <c r="A506" s="19" t="str">
        <f>HYPERLINK("http://codeforces.com/contest/161/problem/E","CF161-D12-E")</f>
        <v>CF161-D12-E</v>
      </c>
      <c r="B506" s="15" t="s">
        <v>671</v>
      </c>
      <c r="C506" s="24">
        <v>6.3</v>
      </c>
      <c r="D506" s="18"/>
      <c r="E506" s="17" t="s">
        <v>655</v>
      </c>
      <c r="F506" s="17" t="s">
        <v>139</v>
      </c>
      <c r="G506" s="18"/>
      <c r="H506" s="18"/>
    </row>
    <row r="507" spans="1:8" ht="13.2">
      <c r="A507" s="15" t="s">
        <v>672</v>
      </c>
      <c r="B507" s="29" t="s">
        <v>673</v>
      </c>
      <c r="C507" s="31">
        <v>6.25</v>
      </c>
      <c r="D507" s="18"/>
      <c r="E507" s="24" t="s">
        <v>655</v>
      </c>
      <c r="F507" s="17" t="s">
        <v>154</v>
      </c>
      <c r="G507" s="18"/>
      <c r="H507" s="18"/>
    </row>
    <row r="508" spans="1:8" ht="13.2">
      <c r="A508" s="15" t="s">
        <v>674</v>
      </c>
      <c r="B508" s="28" t="s">
        <v>675</v>
      </c>
      <c r="C508" s="24">
        <v>6.25</v>
      </c>
      <c r="D508" s="18"/>
      <c r="E508" s="17" t="s">
        <v>655</v>
      </c>
      <c r="F508" s="17"/>
      <c r="G508" s="18"/>
      <c r="H508" s="18"/>
    </row>
    <row r="509" spans="1:8" ht="13.2">
      <c r="A509" s="15" t="s">
        <v>676</v>
      </c>
      <c r="B509" s="28" t="s">
        <v>677</v>
      </c>
      <c r="C509" s="24">
        <v>6</v>
      </c>
      <c r="D509" s="26" t="str">
        <f>HYPERLINK("https://github.com/MNT95/Competitive-Programming/blob/master/UVa/Backtracking/10160%20-%20Servicing%20Stations.cpp","Sol")</f>
        <v>Sol</v>
      </c>
      <c r="E509" s="17" t="s">
        <v>655</v>
      </c>
      <c r="F509" s="17" t="s">
        <v>139</v>
      </c>
      <c r="G509" s="18"/>
      <c r="H509" s="18"/>
    </row>
    <row r="510" spans="1:8" ht="13.2">
      <c r="A510" s="15" t="s">
        <v>678</v>
      </c>
      <c r="B510" s="29" t="s">
        <v>679</v>
      </c>
      <c r="C510" s="17">
        <v>6</v>
      </c>
      <c r="D510" s="18"/>
      <c r="E510" s="24" t="s">
        <v>655</v>
      </c>
      <c r="F510" s="17"/>
      <c r="G510" s="18"/>
      <c r="H510" s="18"/>
    </row>
    <row r="511" spans="1:8" ht="13.2">
      <c r="A511" s="15" t="s">
        <v>680</v>
      </c>
      <c r="B511" s="16" t="s">
        <v>681</v>
      </c>
      <c r="C511" s="31">
        <v>6</v>
      </c>
      <c r="D511" s="18"/>
      <c r="E511" s="17" t="s">
        <v>655</v>
      </c>
      <c r="F511" s="17"/>
      <c r="G511" s="18"/>
      <c r="H511" s="18"/>
    </row>
    <row r="512" spans="1:8" ht="13.2">
      <c r="A512" s="15" t="s">
        <v>682</v>
      </c>
      <c r="B512" s="28" t="s">
        <v>683</v>
      </c>
      <c r="C512" s="24">
        <v>6</v>
      </c>
      <c r="D512" s="26" t="str">
        <f>HYPERLINK("https://github.com/engyebrahim/CompetitiveProgramming/blob/master/TJU/1533.cpp","Sol")</f>
        <v>Sol</v>
      </c>
      <c r="E512" s="24" t="s">
        <v>655</v>
      </c>
      <c r="F512" s="17"/>
      <c r="G512" s="18"/>
      <c r="H512" s="18"/>
    </row>
    <row r="513" spans="1:8" ht="13.2">
      <c r="A513" s="19" t="str">
        <f>HYPERLINK("https://codingcompetitions.withgoogle.com/codejam/round/0000000000051635/0000000000104e03","CODEJAM 19-R1A-A")</f>
        <v>CODEJAM 19-R1A-A</v>
      </c>
      <c r="B513" s="20" t="s">
        <v>684</v>
      </c>
      <c r="C513" s="17">
        <v>5.5</v>
      </c>
      <c r="D513" s="18"/>
      <c r="E513" s="17" t="s">
        <v>655</v>
      </c>
      <c r="F513" s="17"/>
      <c r="G513" s="18"/>
      <c r="H513" s="18"/>
    </row>
    <row r="514" spans="1:8" ht="13.2">
      <c r="A514" s="15" t="s">
        <v>685</v>
      </c>
      <c r="B514" s="30" t="s">
        <v>686</v>
      </c>
      <c r="C514" s="24">
        <v>5</v>
      </c>
      <c r="D514" s="26" t="str">
        <f>HYPERLINK("https://github.com/AhmedElsisy/CompetitiveProgramming/blob/master/UVA/12639.cpp","Sol")</f>
        <v>Sol</v>
      </c>
      <c r="E514" s="17" t="s">
        <v>655</v>
      </c>
      <c r="F514" s="17" t="s">
        <v>687</v>
      </c>
      <c r="G514" s="18"/>
      <c r="H514" s="18"/>
    </row>
    <row r="515" spans="1:8" ht="13.2">
      <c r="A515" s="15" t="s">
        <v>688</v>
      </c>
      <c r="B515" s="29" t="s">
        <v>679</v>
      </c>
      <c r="C515" s="17">
        <v>5</v>
      </c>
      <c r="D515" s="18"/>
      <c r="E515" s="24" t="s">
        <v>655</v>
      </c>
      <c r="F515" s="17" t="s">
        <v>229</v>
      </c>
      <c r="G515" s="18"/>
      <c r="H515" s="18"/>
    </row>
    <row r="516" spans="1:8" ht="13.2">
      <c r="A516" s="19" t="str">
        <f>HYPERLINK("http://codeforces.com/contest/47/problem/D","CF47-D2-D")</f>
        <v>CF47-D2-D</v>
      </c>
      <c r="B516" s="29" t="s">
        <v>689</v>
      </c>
      <c r="C516" s="17">
        <v>5</v>
      </c>
      <c r="D516" s="18"/>
      <c r="E516" s="17" t="s">
        <v>655</v>
      </c>
      <c r="F516" s="17" t="s">
        <v>139</v>
      </c>
      <c r="G516" s="18"/>
      <c r="H516" s="18"/>
    </row>
    <row r="517" spans="1:8" ht="13.2">
      <c r="A517" s="15" t="s">
        <v>690</v>
      </c>
      <c r="B517" s="28" t="s">
        <v>657</v>
      </c>
      <c r="C517" s="24">
        <v>5</v>
      </c>
      <c r="D517" s="18"/>
      <c r="E517" s="17" t="s">
        <v>655</v>
      </c>
      <c r="F517" s="17"/>
      <c r="G517" s="18"/>
      <c r="H517" s="18"/>
    </row>
    <row r="518" spans="1:8" ht="13.2">
      <c r="A518" s="15" t="s">
        <v>691</v>
      </c>
      <c r="B518" s="29" t="s">
        <v>692</v>
      </c>
      <c r="C518" s="17">
        <v>5</v>
      </c>
      <c r="D518" s="18"/>
      <c r="E518" s="24" t="s">
        <v>655</v>
      </c>
      <c r="F518" s="17"/>
      <c r="G518" s="18"/>
      <c r="H518" s="18"/>
    </row>
    <row r="519" spans="1:8" ht="13.2">
      <c r="A519" s="15" t="s">
        <v>693</v>
      </c>
      <c r="B519" s="15" t="s">
        <v>694</v>
      </c>
      <c r="C519" s="17">
        <v>5</v>
      </c>
      <c r="D519" s="18"/>
      <c r="E519" s="17" t="s">
        <v>655</v>
      </c>
      <c r="F519" s="17"/>
      <c r="G519" s="18"/>
      <c r="H519" s="18"/>
    </row>
    <row r="520" spans="1:8" ht="13.2">
      <c r="A520" s="15" t="s">
        <v>695</v>
      </c>
      <c r="B520" s="30" t="s">
        <v>696</v>
      </c>
      <c r="C520" s="17">
        <v>5</v>
      </c>
      <c r="D520" s="18"/>
      <c r="E520" s="17" t="s">
        <v>655</v>
      </c>
      <c r="F520" s="17"/>
      <c r="G520" s="18"/>
      <c r="H520" s="18"/>
    </row>
    <row r="521" spans="1:8" ht="13.2">
      <c r="A521" s="15" t="s">
        <v>697</v>
      </c>
      <c r="B521" s="15" t="s">
        <v>657</v>
      </c>
      <c r="C521" s="17">
        <v>4.5</v>
      </c>
      <c r="D521" s="26" t="str">
        <f>HYPERLINK("https://github.com/A7medgamal/CompetitiveProgramming/blob/master/LiveArchive/6585.cpp","Sol")</f>
        <v>Sol</v>
      </c>
      <c r="E521" s="17" t="s">
        <v>655</v>
      </c>
      <c r="F521" s="17" t="s">
        <v>139</v>
      </c>
      <c r="G521" s="18"/>
      <c r="H521" s="18"/>
    </row>
    <row r="522" spans="1:8" ht="13.2">
      <c r="A522" s="15" t="s">
        <v>698</v>
      </c>
      <c r="B522" s="15" t="s">
        <v>657</v>
      </c>
      <c r="C522" s="17">
        <v>4.5</v>
      </c>
      <c r="D522" s="26" t="str">
        <f>HYPERLINK("https://github.com/ahmedsamir221/CompetitiveProgramming/blob/master/SPOJ/SPOJ%20MYQ8.cpp","Sol")</f>
        <v>Sol</v>
      </c>
      <c r="E522" s="17" t="s">
        <v>655</v>
      </c>
      <c r="F522" s="17" t="s">
        <v>139</v>
      </c>
      <c r="G522" s="18"/>
      <c r="H522" s="18"/>
    </row>
    <row r="523" spans="1:8" ht="13.2">
      <c r="A523" s="19" t="str">
        <f>HYPERLINK("http://codeforces.com/gym/101191/problem/C","CF101191-gym-C")</f>
        <v>CF101191-gym-C</v>
      </c>
      <c r="B523" s="29" t="s">
        <v>657</v>
      </c>
      <c r="C523" s="17">
        <v>4.5</v>
      </c>
      <c r="D523" s="18"/>
      <c r="E523" s="17" t="s">
        <v>655</v>
      </c>
      <c r="F523" s="17"/>
      <c r="G523" s="18"/>
      <c r="H523" s="18"/>
    </row>
    <row r="524" spans="1:8" ht="13.2">
      <c r="A524" s="15" t="s">
        <v>699</v>
      </c>
      <c r="B524" s="30" t="s">
        <v>700</v>
      </c>
      <c r="C524" s="24">
        <v>4</v>
      </c>
      <c r="D524" s="18"/>
      <c r="E524" s="17" t="s">
        <v>655</v>
      </c>
      <c r="F524" s="17" t="s">
        <v>201</v>
      </c>
      <c r="G524" s="18"/>
      <c r="H524" s="18"/>
    </row>
    <row r="525" spans="1:8" ht="13.2">
      <c r="A525" s="19" t="str">
        <f>HYPERLINK("http://codeforces.com/gym/100952/problem/E","CF100952-GYM-E")</f>
        <v>CF100952-GYM-E</v>
      </c>
      <c r="B525" s="18" t="s">
        <v>657</v>
      </c>
      <c r="C525" s="24">
        <v>4</v>
      </c>
      <c r="D525" s="18"/>
      <c r="E525" s="17" t="s">
        <v>655</v>
      </c>
      <c r="F525" s="17"/>
      <c r="G525" s="18"/>
      <c r="H525" s="18"/>
    </row>
    <row r="526" spans="1:8" ht="13.2">
      <c r="A526" s="15" t="s">
        <v>701</v>
      </c>
      <c r="B526" s="28" t="s">
        <v>657</v>
      </c>
      <c r="C526" s="33">
        <v>4</v>
      </c>
      <c r="D526" s="18"/>
      <c r="E526" s="17" t="s">
        <v>655</v>
      </c>
      <c r="F526" s="17"/>
      <c r="G526" s="18"/>
      <c r="H526" s="18"/>
    </row>
    <row r="527" spans="1:8" ht="13.2">
      <c r="A527" s="19" t="str">
        <f>HYPERLINK("https://community.topcoder.com/stat?c=problem_statement&amp;pm=1599","SRM146-D2-1000")</f>
        <v>SRM146-D2-1000</v>
      </c>
      <c r="B527" s="15" t="s">
        <v>657</v>
      </c>
      <c r="C527" s="17">
        <v>4</v>
      </c>
      <c r="D527" s="18"/>
      <c r="E527" s="17" t="s">
        <v>655</v>
      </c>
      <c r="F527" s="17"/>
      <c r="G527" s="18"/>
      <c r="H527" s="18"/>
    </row>
    <row r="528" spans="1:8" ht="13.2">
      <c r="A528" s="19" t="str">
        <f>HYPERLINK("https://uva.onlinejudge.org/index.php?option=com_onlinejudge&amp;Itemid=8&amp;page=show_problem&amp;problem=691","UVA 750")</f>
        <v>UVA 750</v>
      </c>
      <c r="B528" s="29" t="s">
        <v>657</v>
      </c>
      <c r="C528" s="17">
        <v>4</v>
      </c>
      <c r="D528" s="18"/>
      <c r="E528" s="17" t="s">
        <v>655</v>
      </c>
      <c r="F528" s="17"/>
      <c r="G528" s="18"/>
      <c r="H528" s="18"/>
    </row>
    <row r="529" spans="1:8" ht="13.2">
      <c r="A529" s="15" t="s">
        <v>702</v>
      </c>
      <c r="B529" s="34" t="s">
        <v>694</v>
      </c>
      <c r="C529" s="31">
        <v>4</v>
      </c>
      <c r="D529" s="18"/>
      <c r="E529" s="17" t="s">
        <v>655</v>
      </c>
      <c r="F529" s="17"/>
      <c r="G529" s="18"/>
      <c r="H529" s="18"/>
    </row>
    <row r="530" spans="1:8" ht="13.2">
      <c r="A530" s="19" t="str">
        <f>HYPERLINK("https://uva.onlinejudge.org/index.php?option=com_onlinejudge&amp;Itemid=8&amp;page=show_problem&amp;problem=129","UVA 193")</f>
        <v>UVA 193</v>
      </c>
      <c r="B530" s="29" t="s">
        <v>703</v>
      </c>
      <c r="C530" s="17">
        <v>4</v>
      </c>
      <c r="D530" s="18"/>
      <c r="E530" s="17" t="s">
        <v>655</v>
      </c>
      <c r="F530" s="17"/>
      <c r="G530" s="18"/>
      <c r="H530" s="18"/>
    </row>
    <row r="531" spans="1:8" ht="13.2">
      <c r="A531" s="15" t="s">
        <v>704</v>
      </c>
      <c r="B531" s="29" t="s">
        <v>705</v>
      </c>
      <c r="C531" s="24">
        <v>4</v>
      </c>
      <c r="D531" s="18"/>
      <c r="E531" s="17" t="s">
        <v>655</v>
      </c>
      <c r="F531" s="17"/>
      <c r="G531" s="18"/>
      <c r="H531" s="18"/>
    </row>
    <row r="532" spans="1:8" ht="13.2">
      <c r="A532" s="15" t="s">
        <v>706</v>
      </c>
      <c r="B532" s="28" t="s">
        <v>707</v>
      </c>
      <c r="C532" s="17">
        <v>4</v>
      </c>
      <c r="D532" s="18"/>
      <c r="E532" s="24" t="s">
        <v>655</v>
      </c>
      <c r="F532" s="17"/>
      <c r="G532" s="18"/>
      <c r="H532" s="18"/>
    </row>
    <row r="533" spans="1:8" ht="13.2">
      <c r="A533" s="15" t="s">
        <v>708</v>
      </c>
      <c r="B533" s="28" t="s">
        <v>663</v>
      </c>
      <c r="C533" s="24">
        <v>4</v>
      </c>
      <c r="D533" s="26" t="str">
        <f>HYPERLINK("https://github.com/MohamedNabil97/CompetitiveProgramming/blob/master/UVA/10624.cpp","Sol")</f>
        <v>Sol</v>
      </c>
      <c r="E533" s="24" t="s">
        <v>655</v>
      </c>
      <c r="F533" s="17"/>
      <c r="G533" s="18"/>
      <c r="H533" s="18"/>
    </row>
    <row r="534" spans="1:8" ht="13.2">
      <c r="A534" s="15" t="s">
        <v>709</v>
      </c>
      <c r="B534" s="43" t="s">
        <v>657</v>
      </c>
      <c r="C534" s="24">
        <v>3</v>
      </c>
      <c r="D534" s="18"/>
      <c r="E534" s="17" t="s">
        <v>655</v>
      </c>
      <c r="F534" s="17"/>
      <c r="G534" s="18"/>
      <c r="H534" s="18"/>
    </row>
    <row r="535" spans="1:8" ht="13.2">
      <c r="A535" s="15" t="s">
        <v>710</v>
      </c>
      <c r="B535" s="28" t="s">
        <v>711</v>
      </c>
      <c r="C535" s="24">
        <v>3</v>
      </c>
      <c r="D535" s="18"/>
      <c r="E535" s="17" t="s">
        <v>655</v>
      </c>
      <c r="F535" s="17"/>
      <c r="G535" s="18"/>
      <c r="H535" s="18"/>
    </row>
    <row r="536" spans="1:8" ht="13.2">
      <c r="A536" s="15" t="s">
        <v>712</v>
      </c>
      <c r="B536" s="30" t="s">
        <v>713</v>
      </c>
      <c r="C536" s="24">
        <v>3</v>
      </c>
      <c r="D536" s="18"/>
      <c r="E536" s="17" t="s">
        <v>655</v>
      </c>
      <c r="F536" s="17"/>
      <c r="G536" s="18"/>
      <c r="H536" s="18"/>
    </row>
    <row r="537" spans="1:8" ht="13.2">
      <c r="A537" s="15" t="s">
        <v>714</v>
      </c>
      <c r="B537" s="29" t="s">
        <v>715</v>
      </c>
      <c r="C537" s="24">
        <v>3</v>
      </c>
      <c r="D537" s="18"/>
      <c r="E537" s="17" t="s">
        <v>655</v>
      </c>
      <c r="F537" s="17"/>
      <c r="G537" s="18"/>
      <c r="H537" s="18"/>
    </row>
    <row r="538" spans="1:8" ht="13.2">
      <c r="A538" s="15" t="s">
        <v>716</v>
      </c>
      <c r="B538" s="29" t="s">
        <v>663</v>
      </c>
      <c r="C538" s="40">
        <v>2.5</v>
      </c>
      <c r="D538" s="18"/>
      <c r="E538" s="17" t="s">
        <v>655</v>
      </c>
      <c r="F538" s="17"/>
      <c r="G538" s="18"/>
      <c r="H538" s="18"/>
    </row>
    <row r="539" spans="1:8" ht="13.2">
      <c r="A539" s="19" t="str">
        <f>HYPERLINK("https://uva.onlinejudge.org/index.php?option=com_onlinejudge&amp;Itemid=8&amp;page=show_problem&amp;problem=1285","UVA 10344")</f>
        <v>UVA 10344</v>
      </c>
      <c r="B539" s="29" t="s">
        <v>657</v>
      </c>
      <c r="C539" s="17">
        <v>2</v>
      </c>
      <c r="D539" s="18"/>
      <c r="E539" s="17" t="s">
        <v>655</v>
      </c>
      <c r="F539" s="17"/>
      <c r="G539" s="18"/>
      <c r="H539" s="18"/>
    </row>
    <row r="540" spans="1:8" ht="13.2">
      <c r="A540" s="15" t="s">
        <v>717</v>
      </c>
      <c r="B540" s="28" t="s">
        <v>718</v>
      </c>
      <c r="C540" s="24">
        <v>8</v>
      </c>
      <c r="D540" s="18"/>
      <c r="E540" s="17" t="s">
        <v>719</v>
      </c>
      <c r="F540" s="17"/>
      <c r="G540" s="18"/>
      <c r="H540" s="18"/>
    </row>
    <row r="541" spans="1:8" ht="13.2">
      <c r="A541" s="15" t="s">
        <v>720</v>
      </c>
      <c r="B541" s="28" t="s">
        <v>721</v>
      </c>
      <c r="C541" s="17">
        <v>7</v>
      </c>
      <c r="D541" s="18"/>
      <c r="E541" s="17" t="s">
        <v>719</v>
      </c>
      <c r="F541" s="17"/>
      <c r="G541" s="18"/>
      <c r="H541" s="18"/>
    </row>
    <row r="542" spans="1:8" ht="13.2">
      <c r="A542" s="15" t="s">
        <v>722</v>
      </c>
      <c r="B542" s="15" t="s">
        <v>723</v>
      </c>
      <c r="C542" s="24">
        <v>7</v>
      </c>
      <c r="D542" s="18"/>
      <c r="E542" s="17" t="s">
        <v>719</v>
      </c>
      <c r="F542" s="17"/>
      <c r="G542" s="18"/>
      <c r="H542" s="18"/>
    </row>
    <row r="543" spans="1:8" ht="13.2">
      <c r="A543" s="15" t="s">
        <v>724</v>
      </c>
      <c r="B543" s="38" t="s">
        <v>721</v>
      </c>
      <c r="C543" s="24">
        <v>6.75</v>
      </c>
      <c r="D543" s="18"/>
      <c r="E543" s="17" t="s">
        <v>719</v>
      </c>
      <c r="F543" s="17"/>
      <c r="G543" s="18"/>
      <c r="H543" s="18"/>
    </row>
    <row r="544" spans="1:8" ht="13.2">
      <c r="A544" s="15" t="s">
        <v>725</v>
      </c>
      <c r="B544" s="28" t="s">
        <v>721</v>
      </c>
      <c r="C544" s="24">
        <v>6.5</v>
      </c>
      <c r="D544" s="18"/>
      <c r="E544" s="17" t="s">
        <v>719</v>
      </c>
      <c r="F544" s="17"/>
      <c r="G544" s="18"/>
      <c r="H544" s="18"/>
    </row>
    <row r="545" spans="1:8" ht="13.2">
      <c r="A545" s="15" t="s">
        <v>726</v>
      </c>
      <c r="B545" s="28" t="s">
        <v>727</v>
      </c>
      <c r="C545" s="24">
        <v>6.5</v>
      </c>
      <c r="D545" s="18"/>
      <c r="E545" s="17" t="s">
        <v>719</v>
      </c>
      <c r="F545" s="17"/>
      <c r="G545" s="18"/>
      <c r="H545" s="18"/>
    </row>
    <row r="546" spans="1:8" ht="13.2">
      <c r="A546" s="15" t="s">
        <v>728</v>
      </c>
      <c r="B546" s="28" t="s">
        <v>729</v>
      </c>
      <c r="C546" s="24">
        <v>6</v>
      </c>
      <c r="D546" s="18"/>
      <c r="E546" s="17" t="s">
        <v>719</v>
      </c>
      <c r="F546" s="17"/>
      <c r="G546" s="18"/>
      <c r="H546" s="18"/>
    </row>
    <row r="547" spans="1:8" ht="13.2">
      <c r="A547" s="15" t="s">
        <v>730</v>
      </c>
      <c r="B547" s="29" t="s">
        <v>731</v>
      </c>
      <c r="C547" s="17">
        <v>6</v>
      </c>
      <c r="D547" s="18"/>
      <c r="E547" s="17" t="s">
        <v>719</v>
      </c>
      <c r="F547" s="17"/>
      <c r="G547" s="18"/>
      <c r="H547" s="18"/>
    </row>
    <row r="548" spans="1:8" ht="13.2">
      <c r="A548" s="15" t="s">
        <v>732</v>
      </c>
      <c r="B548" s="28" t="s">
        <v>721</v>
      </c>
      <c r="C548" s="24">
        <v>5.5</v>
      </c>
      <c r="D548" s="18"/>
      <c r="E548" s="17" t="s">
        <v>719</v>
      </c>
      <c r="F548" s="17"/>
      <c r="G548" s="18"/>
      <c r="H548" s="18"/>
    </row>
    <row r="549" spans="1:8" ht="13.2">
      <c r="A549" s="19" t="str">
        <f>HYPERLINK("https://uva.onlinejudge.org/index.php?option=onlinejudge&amp;page=show_problem&amp;problem=563","UVA 622")</f>
        <v>UVA 622</v>
      </c>
      <c r="B549" s="29" t="s">
        <v>733</v>
      </c>
      <c r="C549" s="17">
        <v>5.25</v>
      </c>
      <c r="D549" s="26" t="str">
        <f>HYPERLINK("https://github.com/mostafa-saad/MyCompetitiveProgramming/blob/master/UVA/622.cpp","Sol")</f>
        <v>Sol</v>
      </c>
      <c r="E549" s="17" t="s">
        <v>719</v>
      </c>
      <c r="F549" s="17" t="s">
        <v>154</v>
      </c>
      <c r="G549" s="18"/>
      <c r="H549" s="18"/>
    </row>
    <row r="550" spans="1:8" ht="13.2">
      <c r="A550" s="15" t="s">
        <v>734</v>
      </c>
      <c r="B550" s="28" t="s">
        <v>735</v>
      </c>
      <c r="C550" s="24">
        <v>5</v>
      </c>
      <c r="D550" s="18"/>
      <c r="E550" s="17" t="s">
        <v>719</v>
      </c>
      <c r="F550" s="17"/>
      <c r="G550" s="18"/>
      <c r="H550" s="18"/>
    </row>
    <row r="551" spans="1:8" ht="13.2">
      <c r="A551" s="15" t="s">
        <v>736</v>
      </c>
      <c r="B551" s="18" t="s">
        <v>737</v>
      </c>
      <c r="C551" s="17">
        <v>5</v>
      </c>
      <c r="D551" s="26" t="str">
        <f>HYPERLINK("https://github.com/AliOsm/CompetitiveProgramming/blob/master/ZOJ/1097%20-%20Code%20the%20Tree.cpp","Sol")</f>
        <v>Sol</v>
      </c>
      <c r="E551" s="17" t="s">
        <v>719</v>
      </c>
      <c r="F551" s="17"/>
      <c r="G551" s="18"/>
      <c r="H551" s="18"/>
    </row>
    <row r="552" spans="1:8" ht="13.2">
      <c r="A552" s="19" t="str">
        <f>HYPERLINK("https://uva.onlinejudge.org/index.php?option=com_onlinejudge&amp;Itemid=8&amp;page=show_problem&amp;problem=999","UVA 10058")</f>
        <v>UVA 10058</v>
      </c>
      <c r="B552" s="29" t="s">
        <v>738</v>
      </c>
      <c r="C552" s="17">
        <v>4</v>
      </c>
      <c r="D552" s="26" t="str">
        <f>HYPERLINK("https://github.com/mostafa-saad/MyCompetitiveProgramming/blob/master/UVA/UVA_10058.txt","Sol")</f>
        <v>Sol</v>
      </c>
      <c r="E552" s="17" t="s">
        <v>719</v>
      </c>
      <c r="F552" s="17" t="s">
        <v>139</v>
      </c>
      <c r="G552" s="18"/>
      <c r="H552" s="18"/>
    </row>
    <row r="553" spans="1:8" ht="13.2">
      <c r="A553" s="15" t="s">
        <v>739</v>
      </c>
      <c r="B553" s="16" t="s">
        <v>740</v>
      </c>
      <c r="C553" s="17">
        <v>9</v>
      </c>
      <c r="D553" s="18"/>
      <c r="E553" s="17" t="s">
        <v>741</v>
      </c>
      <c r="F553" s="17"/>
      <c r="G553" s="18"/>
      <c r="H553" s="18"/>
    </row>
    <row r="554" spans="1:8" ht="13.2">
      <c r="A554" s="19" t="str">
        <f>HYPERLINK("https://www.codechef.com/problems/ANKINTER","CODECHEF ANKINTER")</f>
        <v>CODECHEF ANKINTER</v>
      </c>
      <c r="B554" s="29" t="s">
        <v>742</v>
      </c>
      <c r="C554" s="17">
        <v>8.5</v>
      </c>
      <c r="D554" s="18"/>
      <c r="E554" s="17" t="s">
        <v>741</v>
      </c>
      <c r="F554" s="17" t="s">
        <v>201</v>
      </c>
      <c r="G554" s="18"/>
      <c r="H554" s="18"/>
    </row>
    <row r="555" spans="1:8" ht="13.2">
      <c r="A555" s="15" t="s">
        <v>743</v>
      </c>
      <c r="B555" s="18" t="s">
        <v>740</v>
      </c>
      <c r="C555" s="17">
        <v>8</v>
      </c>
      <c r="D555" s="18"/>
      <c r="E555" s="17" t="s">
        <v>741</v>
      </c>
      <c r="F555" s="17"/>
      <c r="G555" s="18"/>
      <c r="H555" s="18"/>
    </row>
    <row r="556" spans="1:8" ht="13.2">
      <c r="A556" s="15" t="s">
        <v>744</v>
      </c>
      <c r="B556" s="18" t="s">
        <v>745</v>
      </c>
      <c r="C556" s="17">
        <v>8</v>
      </c>
      <c r="D556" s="18"/>
      <c r="E556" s="17" t="s">
        <v>741</v>
      </c>
      <c r="F556" s="17"/>
      <c r="G556" s="18"/>
      <c r="H556" s="18"/>
    </row>
    <row r="557" spans="1:8" ht="13.2">
      <c r="A557" s="19" t="str">
        <f>HYPERLINK("http://codeforces.com/contest/415/problem/E","CF415-D2-E")</f>
        <v>CF415-D2-E</v>
      </c>
      <c r="B557" s="29" t="s">
        <v>746</v>
      </c>
      <c r="C557" s="17">
        <v>8</v>
      </c>
      <c r="D557" s="18"/>
      <c r="E557" s="17" t="s">
        <v>741</v>
      </c>
      <c r="F557" s="17"/>
      <c r="G557" s="18"/>
      <c r="H557" s="18"/>
    </row>
    <row r="558" spans="1:8" ht="13.2">
      <c r="A558" s="15" t="s">
        <v>747</v>
      </c>
      <c r="B558" s="16" t="s">
        <v>748</v>
      </c>
      <c r="C558" s="17">
        <v>7.75</v>
      </c>
      <c r="D558" s="18"/>
      <c r="E558" s="17" t="s">
        <v>741</v>
      </c>
      <c r="F558" s="17" t="s">
        <v>139</v>
      </c>
      <c r="G558" s="18"/>
      <c r="H558" s="18"/>
    </row>
    <row r="559" spans="1:8" ht="13.2">
      <c r="A559" s="15" t="s">
        <v>749</v>
      </c>
      <c r="B559" s="34" t="s">
        <v>750</v>
      </c>
      <c r="C559" s="31">
        <v>7.5</v>
      </c>
      <c r="D559" s="18"/>
      <c r="E559" s="17" t="s">
        <v>741</v>
      </c>
      <c r="F559" s="17"/>
      <c r="G559" s="18"/>
      <c r="H559" s="18"/>
    </row>
    <row r="560" spans="1:8" ht="13.2">
      <c r="A560" s="15" t="s">
        <v>751</v>
      </c>
      <c r="B560" s="16" t="s">
        <v>752</v>
      </c>
      <c r="C560" s="17">
        <v>7.5</v>
      </c>
      <c r="D560" s="18"/>
      <c r="E560" s="17" t="s">
        <v>741</v>
      </c>
      <c r="F560" s="17"/>
      <c r="G560" s="18"/>
      <c r="H560" s="18"/>
    </row>
    <row r="561" spans="1:8" ht="13.2">
      <c r="A561" s="15" t="s">
        <v>753</v>
      </c>
      <c r="B561" s="30" t="s">
        <v>754</v>
      </c>
      <c r="C561" s="24">
        <v>7.5</v>
      </c>
      <c r="D561" s="18"/>
      <c r="E561" s="17" t="s">
        <v>741</v>
      </c>
      <c r="F561" s="17"/>
      <c r="G561" s="18"/>
      <c r="H561" s="18"/>
    </row>
    <row r="562" spans="1:8" ht="13.2">
      <c r="A562" s="15" t="s">
        <v>755</v>
      </c>
      <c r="B562" s="34" t="s">
        <v>756</v>
      </c>
      <c r="C562" s="31">
        <v>7.5</v>
      </c>
      <c r="D562" s="18"/>
      <c r="E562" s="17" t="s">
        <v>741</v>
      </c>
      <c r="F562" s="17"/>
      <c r="G562" s="18"/>
      <c r="H562" s="18"/>
    </row>
    <row r="563" spans="1:8" ht="13.2">
      <c r="A563" s="15" t="s">
        <v>757</v>
      </c>
      <c r="B563" s="34" t="s">
        <v>758</v>
      </c>
      <c r="C563" s="31">
        <v>7.5</v>
      </c>
      <c r="D563" s="18"/>
      <c r="E563" s="17" t="s">
        <v>741</v>
      </c>
      <c r="F563" s="17"/>
      <c r="G563" s="18"/>
      <c r="H563" s="18"/>
    </row>
    <row r="564" spans="1:8" ht="13.2">
      <c r="A564" s="15" t="s">
        <v>759</v>
      </c>
      <c r="B564" s="29" t="s">
        <v>760</v>
      </c>
      <c r="C564" s="40">
        <v>7.25</v>
      </c>
      <c r="D564" s="18"/>
      <c r="E564" s="24" t="s">
        <v>741</v>
      </c>
      <c r="F564" s="17"/>
      <c r="G564" s="18"/>
      <c r="H564" s="18"/>
    </row>
    <row r="565" spans="1:8" ht="13.2">
      <c r="A565" s="15" t="s">
        <v>761</v>
      </c>
      <c r="B565" s="29" t="s">
        <v>762</v>
      </c>
      <c r="C565" s="40">
        <v>7.25</v>
      </c>
      <c r="D565" s="18"/>
      <c r="E565" s="24" t="s">
        <v>741</v>
      </c>
      <c r="F565" s="17"/>
      <c r="G565" s="18"/>
      <c r="H565" s="18"/>
    </row>
    <row r="566" spans="1:8" ht="13.2">
      <c r="A566" s="15" t="s">
        <v>763</v>
      </c>
      <c r="B566" s="30" t="s">
        <v>740</v>
      </c>
      <c r="C566" s="24">
        <v>7</v>
      </c>
      <c r="D566" s="18"/>
      <c r="E566" s="17" t="s">
        <v>741</v>
      </c>
      <c r="F566" s="17"/>
      <c r="G566" s="18"/>
      <c r="H566" s="18"/>
    </row>
    <row r="567" spans="1:8" ht="13.2">
      <c r="A567" s="15" t="s">
        <v>764</v>
      </c>
      <c r="B567" s="30" t="s">
        <v>765</v>
      </c>
      <c r="C567" s="24">
        <v>7</v>
      </c>
      <c r="D567" s="18"/>
      <c r="E567" s="17" t="s">
        <v>741</v>
      </c>
      <c r="F567" s="17"/>
      <c r="G567" s="18"/>
      <c r="H567" s="18"/>
    </row>
    <row r="568" spans="1:8" ht="13.2">
      <c r="A568" s="15" t="s">
        <v>766</v>
      </c>
      <c r="B568" s="28" t="s">
        <v>767</v>
      </c>
      <c r="C568" s="17">
        <v>6.75</v>
      </c>
      <c r="D568" s="18" t="s">
        <v>118</v>
      </c>
      <c r="E568" s="17" t="s">
        <v>741</v>
      </c>
      <c r="F568" s="17" t="s">
        <v>201</v>
      </c>
      <c r="G568" s="18"/>
      <c r="H568" s="18"/>
    </row>
    <row r="569" spans="1:8" ht="13.2">
      <c r="A569" s="15" t="s">
        <v>768</v>
      </c>
      <c r="B569" s="29" t="s">
        <v>769</v>
      </c>
      <c r="C569" s="24">
        <v>6.25</v>
      </c>
      <c r="D569" s="18"/>
      <c r="E569" s="24" t="s">
        <v>741</v>
      </c>
      <c r="F569" s="17"/>
      <c r="G569" s="18"/>
      <c r="H569" s="18"/>
    </row>
    <row r="570" spans="1:8" ht="13.2">
      <c r="A570" s="15" t="s">
        <v>770</v>
      </c>
      <c r="B570" s="34" t="s">
        <v>740</v>
      </c>
      <c r="C570" s="31">
        <v>6.1</v>
      </c>
      <c r="D570" s="18"/>
      <c r="E570" s="17" t="s">
        <v>741</v>
      </c>
      <c r="F570" s="17"/>
      <c r="G570" s="18"/>
      <c r="H570" s="18"/>
    </row>
    <row r="571" spans="1:8" ht="13.2">
      <c r="A571" s="15" t="s">
        <v>771</v>
      </c>
      <c r="B571" s="28" t="s">
        <v>772</v>
      </c>
      <c r="C571" s="33">
        <v>6</v>
      </c>
      <c r="D571" s="18"/>
      <c r="E571" s="17" t="s">
        <v>741</v>
      </c>
      <c r="F571" s="17" t="s">
        <v>139</v>
      </c>
      <c r="G571" s="18"/>
      <c r="H571" s="18"/>
    </row>
    <row r="572" spans="1:8" ht="13.2">
      <c r="A572" s="15" t="s">
        <v>773</v>
      </c>
      <c r="B572" s="30" t="s">
        <v>740</v>
      </c>
      <c r="C572" s="24">
        <v>6</v>
      </c>
      <c r="D572" s="18"/>
      <c r="E572" s="17" t="s">
        <v>741</v>
      </c>
      <c r="F572" s="17"/>
      <c r="G572" s="18"/>
      <c r="H572" s="18"/>
    </row>
    <row r="573" spans="1:8" ht="13.2">
      <c r="A573" s="15" t="s">
        <v>774</v>
      </c>
      <c r="B573" s="30" t="s">
        <v>740</v>
      </c>
      <c r="C573" s="17">
        <v>6</v>
      </c>
      <c r="D573" s="18"/>
      <c r="E573" s="17" t="s">
        <v>741</v>
      </c>
      <c r="F573" s="17"/>
      <c r="G573" s="18"/>
      <c r="H573" s="18"/>
    </row>
    <row r="574" spans="1:8" ht="13.2">
      <c r="A574" s="19" t="str">
        <f>HYPERLINK("https://codejam.withgoogle.com/2018/challenges/0000000000007706/dashboard/00000000000459f3", "CODEJAM 18-R2-B")</f>
        <v>CODEJAM 18-R2-B</v>
      </c>
      <c r="B574" s="20" t="s">
        <v>775</v>
      </c>
      <c r="C574" s="21">
        <v>6</v>
      </c>
      <c r="D574" s="18"/>
      <c r="E574" s="17" t="s">
        <v>741</v>
      </c>
      <c r="F574" s="17"/>
      <c r="G574" s="18"/>
      <c r="H574" s="18"/>
    </row>
    <row r="575" spans="1:8" ht="13.2">
      <c r="A575" s="15" t="s">
        <v>776</v>
      </c>
      <c r="B575" s="16" t="s">
        <v>765</v>
      </c>
      <c r="C575" s="31">
        <v>6</v>
      </c>
      <c r="D575" s="18"/>
      <c r="E575" s="17" t="s">
        <v>741</v>
      </c>
      <c r="F575" s="17"/>
      <c r="G575" s="18"/>
      <c r="H575" s="18"/>
    </row>
    <row r="576" spans="1:8" ht="13.2">
      <c r="A576" s="15" t="s">
        <v>777</v>
      </c>
      <c r="B576" s="30" t="s">
        <v>778</v>
      </c>
      <c r="C576" s="17">
        <v>6</v>
      </c>
      <c r="D576" s="18"/>
      <c r="E576" s="17" t="s">
        <v>741</v>
      </c>
      <c r="F576" s="17"/>
      <c r="G576" s="18"/>
      <c r="H576" s="18"/>
    </row>
    <row r="577" spans="1:8" ht="13.2">
      <c r="A577" s="19" t="str">
        <f>HYPERLINK("http://codeforces.com/contest/244/problem/C","CF244-D2-C")</f>
        <v>CF244-D2-C</v>
      </c>
      <c r="B577" s="29" t="s">
        <v>779</v>
      </c>
      <c r="C577" s="33">
        <v>5</v>
      </c>
      <c r="D577" s="18"/>
      <c r="E577" s="17" t="s">
        <v>741</v>
      </c>
      <c r="F577" s="17" t="s">
        <v>255</v>
      </c>
      <c r="G577" s="18"/>
      <c r="H577" s="18"/>
    </row>
    <row r="578" spans="1:8" ht="13.2">
      <c r="A578" s="15" t="s">
        <v>780</v>
      </c>
      <c r="B578" s="41" t="s">
        <v>781</v>
      </c>
      <c r="C578" s="17">
        <v>5</v>
      </c>
      <c r="D578" s="18"/>
      <c r="E578" s="17" t="s">
        <v>741</v>
      </c>
      <c r="F578" s="17"/>
      <c r="G578" s="18"/>
      <c r="H578" s="18"/>
    </row>
    <row r="579" spans="1:8" ht="13.2">
      <c r="A579" s="19" t="str">
        <f>HYPERLINK("http://codeforces.com/contest/862/problem/D","CF862-D2-D")</f>
        <v>CF862-D2-D</v>
      </c>
      <c r="B579" s="18" t="s">
        <v>782</v>
      </c>
      <c r="C579" s="33">
        <v>5</v>
      </c>
      <c r="D579" s="18"/>
      <c r="E579" s="17" t="s">
        <v>741</v>
      </c>
      <c r="F579" s="17"/>
      <c r="G579" s="18"/>
      <c r="H579" s="18"/>
    </row>
    <row r="580" spans="1:8" ht="13.2">
      <c r="A580" s="15" t="s">
        <v>783</v>
      </c>
      <c r="B580" s="30" t="s">
        <v>784</v>
      </c>
      <c r="C580" s="24">
        <v>5</v>
      </c>
      <c r="D580" s="18"/>
      <c r="E580" s="17" t="s">
        <v>741</v>
      </c>
      <c r="F580" s="17"/>
      <c r="G580" s="18"/>
      <c r="H580" s="18"/>
    </row>
    <row r="581" spans="1:8" ht="13.2">
      <c r="A581" s="15" t="s">
        <v>785</v>
      </c>
      <c r="B581" s="34" t="s">
        <v>786</v>
      </c>
      <c r="C581" s="31">
        <v>4.5</v>
      </c>
      <c r="D581" s="18"/>
      <c r="E581" s="17" t="s">
        <v>741</v>
      </c>
      <c r="F581" s="17"/>
      <c r="G581" s="18"/>
      <c r="H581" s="18"/>
    </row>
    <row r="582" spans="1:8" ht="13.2">
      <c r="A582" s="19" t="str">
        <f>HYPERLINK("http://codeforces.com/contest/448/problem/C","CF448-D2-C")</f>
        <v>CF448-D2-C</v>
      </c>
      <c r="B582" s="29" t="s">
        <v>787</v>
      </c>
      <c r="C582" s="24">
        <v>4.5</v>
      </c>
      <c r="D582" s="18"/>
      <c r="E582" s="17" t="s">
        <v>741</v>
      </c>
      <c r="F582" s="17"/>
      <c r="G582" s="18"/>
      <c r="H582" s="18"/>
    </row>
    <row r="583" spans="1:8" ht="13.2">
      <c r="A583" s="15" t="s">
        <v>788</v>
      </c>
      <c r="B583" s="29" t="s">
        <v>760</v>
      </c>
      <c r="C583" s="17">
        <v>4</v>
      </c>
      <c r="D583" s="18"/>
      <c r="E583" s="24" t="s">
        <v>741</v>
      </c>
      <c r="F583" s="17" t="s">
        <v>306</v>
      </c>
      <c r="G583" s="18"/>
      <c r="H583" s="18"/>
    </row>
    <row r="584" spans="1:8" ht="13.2">
      <c r="A584" s="15" t="s">
        <v>789</v>
      </c>
      <c r="B584" s="16" t="s">
        <v>740</v>
      </c>
      <c r="C584" s="31">
        <v>4</v>
      </c>
      <c r="D584" s="18"/>
      <c r="E584" s="17" t="s">
        <v>741</v>
      </c>
      <c r="F584" s="17"/>
      <c r="G584" s="18"/>
      <c r="H584" s="18"/>
    </row>
    <row r="585" spans="1:8" ht="13.2">
      <c r="A585" s="15" t="s">
        <v>790</v>
      </c>
      <c r="B585" s="18" t="s">
        <v>791</v>
      </c>
      <c r="C585" s="33">
        <v>4</v>
      </c>
      <c r="D585" s="18"/>
      <c r="E585" s="17" t="s">
        <v>741</v>
      </c>
      <c r="F585" s="17"/>
      <c r="G585" s="18"/>
      <c r="H585" s="18"/>
    </row>
    <row r="586" spans="1:8" ht="13.2">
      <c r="A586" s="15" t="s">
        <v>792</v>
      </c>
      <c r="B586" s="28" t="s">
        <v>740</v>
      </c>
      <c r="C586" s="24">
        <v>3</v>
      </c>
      <c r="D586" s="18"/>
      <c r="E586" s="17" t="s">
        <v>741</v>
      </c>
      <c r="F586" s="17"/>
      <c r="G586" s="18"/>
      <c r="H586" s="18"/>
    </row>
    <row r="587" spans="1:8" ht="13.2">
      <c r="A587" s="15" t="s">
        <v>793</v>
      </c>
      <c r="B587" s="34" t="s">
        <v>794</v>
      </c>
      <c r="C587" s="31">
        <v>3</v>
      </c>
      <c r="D587" s="18"/>
      <c r="E587" s="17" t="s">
        <v>741</v>
      </c>
      <c r="F587" s="17"/>
      <c r="G587" s="18"/>
      <c r="H587" s="18"/>
    </row>
    <row r="588" spans="1:8" ht="13.2">
      <c r="A588" s="15" t="s">
        <v>795</v>
      </c>
      <c r="B588" s="35" t="s">
        <v>756</v>
      </c>
      <c r="C588" s="24">
        <v>2</v>
      </c>
      <c r="D588" s="18"/>
      <c r="E588" s="17" t="s">
        <v>741</v>
      </c>
      <c r="F588" s="17"/>
      <c r="G588" s="18"/>
      <c r="H588" s="18"/>
    </row>
    <row r="589" spans="1:8" ht="13.2">
      <c r="A589" s="15" t="s">
        <v>796</v>
      </c>
      <c r="B589" s="28" t="s">
        <v>797</v>
      </c>
      <c r="C589" s="17">
        <v>7</v>
      </c>
      <c r="D589" s="18"/>
      <c r="E589" s="17" t="s">
        <v>798</v>
      </c>
      <c r="F589" s="17"/>
      <c r="G589" s="18"/>
      <c r="H589" s="18"/>
    </row>
    <row r="590" spans="1:8" ht="13.2">
      <c r="A590" s="15" t="s">
        <v>799</v>
      </c>
      <c r="B590" s="43" t="s">
        <v>800</v>
      </c>
      <c r="C590" s="24">
        <v>7</v>
      </c>
      <c r="D590" s="18"/>
      <c r="E590" s="17" t="s">
        <v>798</v>
      </c>
      <c r="F590" s="17"/>
      <c r="G590" s="18"/>
      <c r="H590" s="18"/>
    </row>
    <row r="591" spans="1:8" ht="13.2">
      <c r="A591" s="15" t="s">
        <v>801</v>
      </c>
      <c r="B591" s="28" t="s">
        <v>797</v>
      </c>
      <c r="C591" s="24">
        <v>6.75</v>
      </c>
      <c r="D591" s="18"/>
      <c r="E591" s="17" t="s">
        <v>798</v>
      </c>
      <c r="F591" s="17"/>
      <c r="G591" s="18"/>
      <c r="H591" s="18"/>
    </row>
    <row r="592" spans="1:8" ht="13.2">
      <c r="A592" s="15" t="s">
        <v>802</v>
      </c>
      <c r="B592" s="28" t="s">
        <v>797</v>
      </c>
      <c r="C592" s="24">
        <v>6</v>
      </c>
      <c r="D592" s="18"/>
      <c r="E592" s="17" t="s">
        <v>798</v>
      </c>
      <c r="F592" s="17"/>
      <c r="G592" s="18"/>
      <c r="H592" s="18"/>
    </row>
    <row r="593" spans="1:8" ht="13.2">
      <c r="A593" s="15" t="s">
        <v>803</v>
      </c>
      <c r="B593" s="16" t="s">
        <v>804</v>
      </c>
      <c r="C593" s="17">
        <v>8.25</v>
      </c>
      <c r="D593" s="18"/>
      <c r="E593" s="17" t="s">
        <v>805</v>
      </c>
      <c r="F593" s="17"/>
      <c r="G593" s="18"/>
      <c r="H593" s="18"/>
    </row>
    <row r="594" spans="1:8" ht="13.2">
      <c r="A594" s="19" t="str">
        <f>HYPERLINK("http://codeforces.com/contest/121/problem/D","CF121-D1-D")</f>
        <v>CF121-D1-D</v>
      </c>
      <c r="B594" s="29" t="s">
        <v>806</v>
      </c>
      <c r="C594" s="17">
        <v>8</v>
      </c>
      <c r="D594" s="18"/>
      <c r="E594" s="17" t="s">
        <v>805</v>
      </c>
      <c r="F594" s="17"/>
      <c r="G594" s="18"/>
      <c r="H594" s="18"/>
    </row>
    <row r="595" spans="1:8" ht="13.2">
      <c r="A595" s="19" t="str">
        <f>HYPERLINK("http://agc020.contest.atcoder.jp/tasks/agc020_d","AtCoder020-AGC-D")</f>
        <v>AtCoder020-AGC-D</v>
      </c>
      <c r="B595" s="15" t="s">
        <v>807</v>
      </c>
      <c r="C595" s="17">
        <v>7.5</v>
      </c>
      <c r="D595" s="18"/>
      <c r="E595" s="17" t="s">
        <v>805</v>
      </c>
      <c r="F595" s="17"/>
      <c r="G595" s="18"/>
      <c r="H595" s="18"/>
    </row>
    <row r="596" spans="1:8" ht="13.2">
      <c r="A596" s="19" t="str">
        <f>HYPERLINK("http://codeforces.com/contest/1008/problem/E", "CF1008-D2-E")</f>
        <v>CF1008-D2-E</v>
      </c>
      <c r="B596" s="20" t="s">
        <v>808</v>
      </c>
      <c r="C596" s="21">
        <v>7.25</v>
      </c>
      <c r="D596" s="18" t="s">
        <v>809</v>
      </c>
      <c r="E596" s="17" t="s">
        <v>805</v>
      </c>
      <c r="F596" s="17" t="s">
        <v>173</v>
      </c>
      <c r="G596" s="18"/>
      <c r="H596" s="18"/>
    </row>
    <row r="597" spans="1:8" ht="13.2">
      <c r="A597" s="19" t="str">
        <f>HYPERLINK("https://www.spoj.com/problems/METEORS/","SPOJ METEORS")</f>
        <v>SPOJ METEORS</v>
      </c>
      <c r="B597" s="15" t="s">
        <v>810</v>
      </c>
      <c r="C597" s="17">
        <v>7</v>
      </c>
      <c r="D597" s="26" t="str">
        <f>HYPERLINK("https://github.com/mostafa-saad/MyCompetitiveProgramming/blob/master/SPOJ/SPOJ_METEORS.txt","Sol - must read")</f>
        <v>Sol - must read</v>
      </c>
      <c r="E597" s="17" t="s">
        <v>805</v>
      </c>
      <c r="F597" s="17" t="s">
        <v>154</v>
      </c>
      <c r="G597" s="18"/>
      <c r="H597" s="18"/>
    </row>
    <row r="598" spans="1:8" ht="13.2">
      <c r="A598" s="19" t="str">
        <f>HYPERLINK("https://agc006.contest.atcoder.jp/tasks/agc006_d","AtCoder006-AGC-D")</f>
        <v>AtCoder006-AGC-D</v>
      </c>
      <c r="B598" s="15" t="s">
        <v>811</v>
      </c>
      <c r="C598" s="17">
        <v>7</v>
      </c>
      <c r="D598" s="18"/>
      <c r="E598" s="17" t="s">
        <v>805</v>
      </c>
      <c r="F598" s="17" t="s">
        <v>139</v>
      </c>
      <c r="G598" s="18"/>
      <c r="H598" s="18"/>
    </row>
    <row r="599" spans="1:8" ht="13.2">
      <c r="A599" s="19" t="str">
        <f>HYPERLINK("https://www.hackerearth.com/problem/algorithm/make-n00b_land-great-again-circuits/description/","HACKER make-n00b_land-great-again-circuits")</f>
        <v>HACKER make-n00b_land-great-again-circuits</v>
      </c>
      <c r="B599" s="15" t="s">
        <v>812</v>
      </c>
      <c r="C599" s="17">
        <v>7</v>
      </c>
      <c r="D599" s="18"/>
      <c r="E599" s="17" t="s">
        <v>805</v>
      </c>
      <c r="F599" s="17" t="s">
        <v>139</v>
      </c>
      <c r="G599" s="18"/>
      <c r="H599" s="18"/>
    </row>
    <row r="600" spans="1:8" ht="13.2">
      <c r="A600" s="19" t="str">
        <f>HYPERLINK("http://codeforces.com/contest/981/problem/F", "CF981-D12-F")</f>
        <v>CF981-D12-F</v>
      </c>
      <c r="B600" s="20" t="s">
        <v>813</v>
      </c>
      <c r="C600" s="21">
        <v>7</v>
      </c>
      <c r="D600" s="26" t="str">
        <f>HYPERLINK("https://github.com/tmwilliamlin168/CompetitiveProgramming/blob/master/CodeForces/CF981-D12-F.cpp", "Sol")</f>
        <v>Sol</v>
      </c>
      <c r="E600" s="17" t="s">
        <v>805</v>
      </c>
      <c r="F600" s="17" t="s">
        <v>139</v>
      </c>
      <c r="G600" s="18"/>
      <c r="H600" s="18"/>
    </row>
    <row r="601" spans="1:8" ht="13.2">
      <c r="A601" s="19" t="str">
        <f>HYPERLINK("http://codeforces.com/contest/163/problem/B","CF163-D12-B")</f>
        <v>CF163-D12-B</v>
      </c>
      <c r="B601" s="29" t="s">
        <v>814</v>
      </c>
      <c r="C601" s="17">
        <v>7</v>
      </c>
      <c r="D601" s="18"/>
      <c r="E601" s="17" t="s">
        <v>805</v>
      </c>
      <c r="F601" s="17"/>
      <c r="G601" s="18"/>
      <c r="H601" s="18"/>
    </row>
    <row r="602" spans="1:8" ht="13.2">
      <c r="A602" s="15" t="s">
        <v>815</v>
      </c>
      <c r="B602" s="29" t="s">
        <v>814</v>
      </c>
      <c r="C602" s="17">
        <v>7</v>
      </c>
      <c r="D602" s="18"/>
      <c r="E602" s="17" t="s">
        <v>805</v>
      </c>
      <c r="F602" s="17"/>
      <c r="G602" s="18"/>
      <c r="H602" s="18"/>
    </row>
    <row r="603" spans="1:8" ht="13.2">
      <c r="A603" s="19" t="str">
        <f>HYPERLINK("http://codeforces.com/contest/314/problem/D","CF314-D1-D")</f>
        <v>CF314-D1-D</v>
      </c>
      <c r="B603" s="29" t="s">
        <v>816</v>
      </c>
      <c r="C603" s="17">
        <v>7</v>
      </c>
      <c r="D603" s="18"/>
      <c r="E603" s="17" t="s">
        <v>805</v>
      </c>
      <c r="F603" s="17"/>
      <c r="G603" s="18"/>
      <c r="H603" s="18"/>
    </row>
    <row r="604" spans="1:8" ht="13.2">
      <c r="A604" s="15" t="s">
        <v>817</v>
      </c>
      <c r="B604" s="30" t="s">
        <v>818</v>
      </c>
      <c r="C604" s="24">
        <v>7</v>
      </c>
      <c r="D604" s="18"/>
      <c r="E604" s="17" t="s">
        <v>805</v>
      </c>
      <c r="F604" s="17"/>
      <c r="G604" s="18"/>
      <c r="H604" s="18"/>
    </row>
    <row r="605" spans="1:8" ht="13.2">
      <c r="A605" s="19" t="str">
        <f>HYPERLINK("http://codeforces.com/contest/875/problem/E","CF875-D12-E")</f>
        <v>CF875-D12-E</v>
      </c>
      <c r="B605" s="37" t="s">
        <v>819</v>
      </c>
      <c r="C605" s="17">
        <v>6.75</v>
      </c>
      <c r="D605" s="18"/>
      <c r="E605" s="17" t="s">
        <v>805</v>
      </c>
      <c r="F605" s="17" t="s">
        <v>154</v>
      </c>
      <c r="G605" s="18"/>
      <c r="H605" s="18"/>
    </row>
    <row r="606" spans="1:8" ht="13.2">
      <c r="A606" s="19" t="str">
        <f>HYPERLINK("https://codeforces.com/contest/1101/problem/F","CF1101-D12-F")</f>
        <v>CF1101-D12-F</v>
      </c>
      <c r="B606" s="23" t="s">
        <v>820</v>
      </c>
      <c r="C606" s="17">
        <v>6.75</v>
      </c>
      <c r="D606" s="26" t="str">
        <f>HYPERLINK("https://github.com/Mohammad-Yasser/CompetitiveProgramming/blob/master/Codeforces/CF1101-D2-F.cpp","Sol")</f>
        <v>Sol</v>
      </c>
      <c r="E606" s="17" t="s">
        <v>805</v>
      </c>
      <c r="F606" s="17" t="s">
        <v>154</v>
      </c>
      <c r="G606" s="18"/>
      <c r="H606" s="18"/>
    </row>
    <row r="607" spans="1:8" ht="13.2">
      <c r="A607" s="19" t="str">
        <f>HYPERLINK("http://codeforces.com/contest/489/problem/E","CF489-D2-E")</f>
        <v>CF489-D2-E</v>
      </c>
      <c r="B607" s="15" t="s">
        <v>821</v>
      </c>
      <c r="C607" s="24">
        <v>6.75</v>
      </c>
      <c r="D607" s="18"/>
      <c r="E607" s="17" t="s">
        <v>805</v>
      </c>
      <c r="F607" s="17" t="s">
        <v>196</v>
      </c>
      <c r="G607" s="18"/>
      <c r="H607" s="18"/>
    </row>
    <row r="608" spans="1:8" ht="13.2">
      <c r="A608" s="19" t="str">
        <f>HYPERLINK("http://codeforces.com/contest/993/problem/D", "CF993-D1-D")</f>
        <v>CF993-D1-D</v>
      </c>
      <c r="B608" s="20" t="s">
        <v>822</v>
      </c>
      <c r="C608" s="21">
        <v>6.75</v>
      </c>
      <c r="D608" s="26" t="str">
        <f>HYPERLINK("https://github.com/tmwilliamlin168/CompetitiveProgramming/blob/master/CodeForces/CF0993-D1-D.cpp", "Sol")</f>
        <v>Sol</v>
      </c>
      <c r="E608" s="17" t="s">
        <v>805</v>
      </c>
      <c r="F608" s="17"/>
      <c r="G608" s="18"/>
      <c r="H608" s="18"/>
    </row>
    <row r="609" spans="1:8" ht="13.2">
      <c r="A609" s="19" t="str">
        <f>HYPERLINK("http://codeforces.com/contest/627/problem/D","CF627-D12-D")</f>
        <v>CF627-D12-D</v>
      </c>
      <c r="B609" s="15" t="s">
        <v>823</v>
      </c>
      <c r="C609" s="24">
        <v>6.6</v>
      </c>
      <c r="D609" s="18"/>
      <c r="E609" s="17" t="s">
        <v>805</v>
      </c>
      <c r="F609" s="17" t="s">
        <v>139</v>
      </c>
      <c r="G609" s="18"/>
      <c r="H609" s="18"/>
    </row>
    <row r="610" spans="1:8" ht="13.2">
      <c r="A610" s="19" t="str">
        <f>HYPERLINK("https://codeforces.com/contest/989/problem/D","CF989-D2-D")</f>
        <v>CF989-D2-D</v>
      </c>
      <c r="B610" s="23" t="s">
        <v>818</v>
      </c>
      <c r="C610" s="17">
        <v>6.6</v>
      </c>
      <c r="D610" s="18"/>
      <c r="E610" s="17" t="s">
        <v>805</v>
      </c>
      <c r="F610" s="17" t="s">
        <v>139</v>
      </c>
      <c r="G610" s="18"/>
      <c r="H610" s="18"/>
    </row>
    <row r="611" spans="1:8" ht="13.2">
      <c r="A611" s="19" t="str">
        <f>HYPERLINK("http://agc002.contest.atcoder.jp/tasks/agc002_d#","AtCoder002-AGC-D")</f>
        <v>AtCoder002-AGC-D</v>
      </c>
      <c r="B611" s="18" t="s">
        <v>824</v>
      </c>
      <c r="C611" s="17">
        <v>6.5</v>
      </c>
      <c r="D611" s="26" t="str">
        <f>HYPERLINK("https://github.com/mostafa-saad/MyCompetitiveProgramming/blob/master/AtCoder/AtCoder002-AGC-D.txt","Sol-must read")</f>
        <v>Sol-must read</v>
      </c>
      <c r="E611" s="17" t="s">
        <v>805</v>
      </c>
      <c r="F611" s="17" t="s">
        <v>154</v>
      </c>
      <c r="G611" s="18"/>
      <c r="H611" s="18"/>
    </row>
    <row r="612" spans="1:8" ht="13.2">
      <c r="A612" s="19" t="str">
        <f>HYPERLINK("https://hanoi18.kattis.com/problems/hanoi18.dividedoughnut","kattis hanoi18.dividedoughnut")</f>
        <v>kattis hanoi18.dividedoughnut</v>
      </c>
      <c r="B612" s="20" t="s">
        <v>825</v>
      </c>
      <c r="C612" s="21">
        <v>6.5</v>
      </c>
      <c r="D612" s="26" t="str">
        <f>HYPERLINK("https://github.com/nya-nya-meow/CompetitiveProgramming/blob/d9223c8ed33dda8127462c847fcfa517172fa997/Kattis/hanoi18.dividedoughnut.cpp","Sol")</f>
        <v>Sol</v>
      </c>
      <c r="E612" s="17" t="s">
        <v>805</v>
      </c>
      <c r="F612" s="17" t="s">
        <v>196</v>
      </c>
      <c r="G612" s="18"/>
      <c r="H612" s="18"/>
    </row>
    <row r="613" spans="1:8" ht="13.2">
      <c r="A613" s="19" t="str">
        <f>HYPERLINK("http://codeforces.com/contest/555/problem/D","CF555-D1-D")</f>
        <v>CF555-D1-D</v>
      </c>
      <c r="B613" s="15" t="s">
        <v>826</v>
      </c>
      <c r="C613" s="24">
        <v>6.5</v>
      </c>
      <c r="D613" s="18"/>
      <c r="E613" s="17" t="s">
        <v>805</v>
      </c>
      <c r="F613" s="17" t="s">
        <v>139</v>
      </c>
      <c r="G613" s="18"/>
      <c r="H613" s="18"/>
    </row>
    <row r="614" spans="1:8" ht="13.2">
      <c r="A614" s="19" t="str">
        <f>HYPERLINK("http://codeforces.com/problemset/problem/1033/E", "CF1033-D12-E")</f>
        <v>CF1033-D12-E</v>
      </c>
      <c r="B614" s="20" t="s">
        <v>827</v>
      </c>
      <c r="C614" s="17">
        <v>6.5</v>
      </c>
      <c r="D614" s="18"/>
      <c r="E614" s="17" t="s">
        <v>805</v>
      </c>
      <c r="F614" s="17" t="s">
        <v>139</v>
      </c>
      <c r="G614" s="18"/>
      <c r="H614" s="18"/>
    </row>
    <row r="615" spans="1:8" ht="13.2">
      <c r="A615" s="19" t="str">
        <f>HYPERLINK("http://codeforces.com/contest/920/problem/G","CF920-D12-G")</f>
        <v>CF920-D12-G</v>
      </c>
      <c r="B615" s="15" t="s">
        <v>828</v>
      </c>
      <c r="C615" s="17">
        <v>6.3</v>
      </c>
      <c r="D615" s="18"/>
      <c r="E615" s="17" t="s">
        <v>805</v>
      </c>
      <c r="F615" s="17" t="s">
        <v>139</v>
      </c>
      <c r="G615" s="18"/>
      <c r="H615" s="18"/>
    </row>
    <row r="616" spans="1:8" ht="13.2">
      <c r="A616" s="15" t="s">
        <v>829</v>
      </c>
      <c r="B616" s="29" t="s">
        <v>830</v>
      </c>
      <c r="C616" s="24">
        <v>6.25</v>
      </c>
      <c r="D616" s="26" t="str">
        <f>HYPERLINK("https://github.com/mostafa-saad/MyCompetitiveProgramming/blob/master/SPOJ/SPOJ_PATULJCI.txt","Sol")</f>
        <v>Sol</v>
      </c>
      <c r="E616" s="17" t="s">
        <v>805</v>
      </c>
      <c r="F616" s="17" t="s">
        <v>154</v>
      </c>
      <c r="G616" s="18"/>
      <c r="H616" s="18"/>
    </row>
    <row r="617" spans="1:8" ht="13.2">
      <c r="A617" s="19" t="str">
        <f>HYPERLINK("http://codeforces.com/contest/350/problem/D","CF350-D2-D")</f>
        <v>CF350-D2-D</v>
      </c>
      <c r="B617" s="15" t="s">
        <v>831</v>
      </c>
      <c r="C617" s="24">
        <v>6.25</v>
      </c>
      <c r="D617" s="18"/>
      <c r="E617" s="17" t="s">
        <v>805</v>
      </c>
      <c r="F617" s="17"/>
      <c r="G617" s="18"/>
      <c r="H617" s="18"/>
    </row>
    <row r="618" spans="1:8" ht="13.2">
      <c r="A618" s="15" t="s">
        <v>832</v>
      </c>
      <c r="B618" s="34" t="s">
        <v>818</v>
      </c>
      <c r="C618" s="31">
        <v>6.25</v>
      </c>
      <c r="D618" s="18"/>
      <c r="E618" s="17" t="s">
        <v>805</v>
      </c>
      <c r="F618" s="17"/>
      <c r="G618" s="18"/>
      <c r="H618" s="18"/>
    </row>
    <row r="619" spans="1:8" ht="13.2">
      <c r="A619" s="19" t="str">
        <f>HYPERLINK("http://www.spoj.com/problems/MSE07E/","SPOJ MSE07E")</f>
        <v>SPOJ MSE07E</v>
      </c>
      <c r="B619" s="29" t="s">
        <v>833</v>
      </c>
      <c r="C619" s="17">
        <v>6</v>
      </c>
      <c r="D619" s="26" t="str">
        <f>HYPERLINK("https://github.com/mostafa-saad/MyCompetitiveProgramming/blob/master/SPOJ/SPOJ_MSE07E.txt","Read FIRST SPOJ users' comments about IO. See here sol")</f>
        <v>Read FIRST SPOJ users' comments about IO. See here sol</v>
      </c>
      <c r="E619" s="17" t="s">
        <v>805</v>
      </c>
      <c r="F619" s="17" t="s">
        <v>196</v>
      </c>
      <c r="G619" s="18"/>
      <c r="H619" s="18"/>
    </row>
    <row r="620" spans="1:8" ht="13.2">
      <c r="A620" s="19" t="str">
        <f>HYPERLINK("http://codeforces.com/contest/847/problem/E","CF847-D12-E")</f>
        <v>CF847-D12-E</v>
      </c>
      <c r="B620" s="37" t="s">
        <v>804</v>
      </c>
      <c r="C620" s="17">
        <v>6</v>
      </c>
      <c r="D620" s="18"/>
      <c r="E620" s="17" t="s">
        <v>805</v>
      </c>
      <c r="F620" s="17" t="s">
        <v>139</v>
      </c>
      <c r="G620" s="18"/>
      <c r="H620" s="18"/>
    </row>
    <row r="621" spans="1:8" ht="13.2">
      <c r="A621" s="19" t="str">
        <f>HYPERLINK("https://codeforces.com/contest/1277/problem/F","CF1277-D2-F")</f>
        <v>CF1277-D2-F</v>
      </c>
      <c r="B621" s="15" t="s">
        <v>834</v>
      </c>
      <c r="C621" s="17">
        <v>6</v>
      </c>
      <c r="D621" s="18"/>
      <c r="E621" s="17" t="s">
        <v>805</v>
      </c>
      <c r="F621" s="17" t="s">
        <v>139</v>
      </c>
      <c r="G621" s="18"/>
      <c r="H621" s="18"/>
    </row>
    <row r="622" spans="1:8" ht="13.2">
      <c r="A622" s="19" t="str">
        <f>HYPERLINK("http://codeforces.com/contest/727/problem/F","CF727-D2-F")</f>
        <v>CF727-D2-F</v>
      </c>
      <c r="B622" s="15" t="s">
        <v>822</v>
      </c>
      <c r="C622" s="24">
        <v>6</v>
      </c>
      <c r="D622" s="18"/>
      <c r="E622" s="17" t="s">
        <v>805</v>
      </c>
      <c r="F622" s="17" t="s">
        <v>139</v>
      </c>
      <c r="G622" s="18"/>
      <c r="H622" s="18"/>
    </row>
    <row r="623" spans="1:8" ht="13.2">
      <c r="A623" s="19" t="str">
        <f>HYPERLINK("https://codeforces.com/contest/1132/problem/D","CF1132-D12-D")</f>
        <v>CF1132-D12-D</v>
      </c>
      <c r="B623" s="15" t="s">
        <v>835</v>
      </c>
      <c r="C623" s="17">
        <v>6</v>
      </c>
      <c r="D623" s="18"/>
      <c r="E623" s="17" t="s">
        <v>805</v>
      </c>
      <c r="F623" s="17" t="s">
        <v>139</v>
      </c>
      <c r="G623" s="18"/>
      <c r="H623" s="18"/>
    </row>
    <row r="624" spans="1:8" ht="13.2">
      <c r="A624" s="19" t="str">
        <f>HYPERLINK("https://codeforces.com/contest/1114/problem/E","CF1114-D2-E")</f>
        <v>CF1114-D2-E</v>
      </c>
      <c r="B624" s="15" t="s">
        <v>836</v>
      </c>
      <c r="C624" s="17">
        <v>6</v>
      </c>
      <c r="D624" s="18"/>
      <c r="E624" s="17" t="s">
        <v>805</v>
      </c>
      <c r="F624" s="17" t="s">
        <v>139</v>
      </c>
      <c r="G624" s="18"/>
      <c r="H624" s="18"/>
    </row>
    <row r="625" spans="1:8" ht="13.2">
      <c r="A625" s="19" t="str">
        <f>HYPERLINK("https://codeforces.com/contest/1153/problem/E","CF1153-D2-E")</f>
        <v>CF1153-D2-E</v>
      </c>
      <c r="B625" s="20" t="s">
        <v>814</v>
      </c>
      <c r="C625" s="17">
        <v>6</v>
      </c>
      <c r="D625" s="18"/>
      <c r="E625" s="17" t="s">
        <v>805</v>
      </c>
      <c r="F625" s="17" t="s">
        <v>201</v>
      </c>
      <c r="G625" s="18"/>
      <c r="H625" s="18"/>
    </row>
    <row r="626" spans="1:8" ht="13.2">
      <c r="A626" s="19" t="str">
        <f>HYPERLINK("http://codeforces.com/contest/713/problem/B","CF713-D1-B")</f>
        <v>CF713-D1-B</v>
      </c>
      <c r="B626" s="29" t="s">
        <v>837</v>
      </c>
      <c r="C626" s="17">
        <v>6</v>
      </c>
      <c r="D626" s="18"/>
      <c r="E626" s="17" t="s">
        <v>805</v>
      </c>
      <c r="F626" s="17" t="s">
        <v>201</v>
      </c>
      <c r="G626" s="18"/>
      <c r="H626" s="18"/>
    </row>
    <row r="627" spans="1:8" ht="13.2">
      <c r="A627" s="15" t="s">
        <v>838</v>
      </c>
      <c r="B627" s="30" t="s">
        <v>839</v>
      </c>
      <c r="C627" s="24">
        <v>6</v>
      </c>
      <c r="D627" s="18"/>
      <c r="E627" s="17" t="s">
        <v>805</v>
      </c>
      <c r="F627" s="17" t="s">
        <v>201</v>
      </c>
      <c r="G627" s="18"/>
      <c r="H627" s="18"/>
    </row>
    <row r="628" spans="1:8" ht="13.2">
      <c r="A628" s="19" t="str">
        <f>HYPERLINK("http://codeforces.com/contest/429/problem/D","CF429-D1-D")</f>
        <v>CF429-D1-D</v>
      </c>
      <c r="B628" s="15" t="s">
        <v>840</v>
      </c>
      <c r="C628" s="17">
        <v>6</v>
      </c>
      <c r="D628" s="18"/>
      <c r="E628" s="17" t="s">
        <v>805</v>
      </c>
      <c r="F628" s="17" t="s">
        <v>201</v>
      </c>
      <c r="G628" s="18"/>
      <c r="H628" s="18"/>
    </row>
    <row r="629" spans="1:8" ht="13.2">
      <c r="A629" s="19" t="str">
        <f>HYPERLINK("https://www.facebook.com/hackercup/problem/1892930427431211/","FbHkrCup 18-R1-C")</f>
        <v>FbHkrCup 18-R1-C</v>
      </c>
      <c r="B629" s="20" t="s">
        <v>841</v>
      </c>
      <c r="C629" s="21">
        <v>6</v>
      </c>
      <c r="D629" s="18"/>
      <c r="E629" s="17" t="s">
        <v>805</v>
      </c>
      <c r="F629" s="17" t="s">
        <v>201</v>
      </c>
      <c r="G629" s="18"/>
      <c r="H629" s="18"/>
    </row>
    <row r="630" spans="1:8" ht="13.2">
      <c r="A630" s="15" t="s">
        <v>842</v>
      </c>
      <c r="B630" s="28" t="s">
        <v>843</v>
      </c>
      <c r="C630" s="24">
        <v>6</v>
      </c>
      <c r="D630" s="26" t="str">
        <f>HYPERLINK("https://github.com/ryuzmukhametov/CompetitiveProgramming/blob/master/uva/UVA%2012609.cpp", "Sol")</f>
        <v>Sol</v>
      </c>
      <c r="E630" s="17" t="s">
        <v>805</v>
      </c>
      <c r="F630" s="17" t="s">
        <v>358</v>
      </c>
      <c r="G630" s="18"/>
      <c r="H630" s="18"/>
    </row>
    <row r="631" spans="1:8" ht="13.2">
      <c r="A631" s="15" t="s">
        <v>844</v>
      </c>
      <c r="B631" s="34" t="s">
        <v>845</v>
      </c>
      <c r="C631" s="31">
        <v>6</v>
      </c>
      <c r="D631" s="18"/>
      <c r="E631" s="17" t="s">
        <v>805</v>
      </c>
      <c r="F631" s="17"/>
      <c r="G631" s="18"/>
      <c r="H631" s="18"/>
    </row>
    <row r="632" spans="1:8" ht="13.2">
      <c r="A632" s="15" t="s">
        <v>846</v>
      </c>
      <c r="B632" s="28" t="s">
        <v>847</v>
      </c>
      <c r="C632" s="24">
        <v>6</v>
      </c>
      <c r="D632" s="18"/>
      <c r="E632" s="17" t="s">
        <v>805</v>
      </c>
      <c r="F632" s="17"/>
      <c r="G632" s="18"/>
      <c r="H632" s="18"/>
    </row>
    <row r="633" spans="1:8" ht="13.2">
      <c r="A633" s="19" t="str">
        <f>HYPERLINK("https://www.codechef.com/problems/SCHEDULE","CODECHEF SCHEDULE")</f>
        <v>CODECHEF SCHEDULE</v>
      </c>
      <c r="B633" s="18" t="s">
        <v>848</v>
      </c>
      <c r="C633" s="17">
        <v>6</v>
      </c>
      <c r="D633" s="18"/>
      <c r="E633" s="17" t="s">
        <v>805</v>
      </c>
      <c r="F633" s="17"/>
      <c r="G633" s="18"/>
      <c r="H633" s="18"/>
    </row>
    <row r="634" spans="1:8" ht="13.2">
      <c r="A634" s="19" t="str">
        <f>HYPERLINK("http://codeforces.com/contest/378/problem/D","CF378-D2-D")</f>
        <v>CF378-D2-D</v>
      </c>
      <c r="B634" s="29" t="s">
        <v>849</v>
      </c>
      <c r="C634" s="17">
        <v>6</v>
      </c>
      <c r="D634" s="18"/>
      <c r="E634" s="17" t="s">
        <v>805</v>
      </c>
      <c r="F634" s="17"/>
      <c r="G634" s="18"/>
      <c r="H634" s="18"/>
    </row>
    <row r="635" spans="1:8" ht="13.2">
      <c r="A635" s="19" t="str">
        <f>HYPERLINK("http://codeforces.com/contest/810/problem/D","CF810-D2-D")</f>
        <v>CF810-D2-D</v>
      </c>
      <c r="B635" s="15" t="s">
        <v>808</v>
      </c>
      <c r="C635" s="17">
        <v>6</v>
      </c>
      <c r="D635" s="18"/>
      <c r="E635" s="17" t="s">
        <v>805</v>
      </c>
      <c r="F635" s="17"/>
      <c r="G635" s="18"/>
      <c r="H635" s="18"/>
    </row>
    <row r="636" spans="1:8" ht="13.2">
      <c r="A636" s="19" t="str">
        <f>HYPERLINK("https://atcoder.jp/contests/abc056/tasks/arc070_b", "AtCoder070-ARC-B")</f>
        <v>AtCoder070-ARC-B</v>
      </c>
      <c r="B636" s="15" t="s">
        <v>850</v>
      </c>
      <c r="C636" s="17">
        <v>5.75</v>
      </c>
      <c r="D636" s="18"/>
      <c r="E636" s="17" t="s">
        <v>805</v>
      </c>
      <c r="F636" s="17" t="s">
        <v>139</v>
      </c>
      <c r="G636" s="18"/>
      <c r="H636" s="18"/>
    </row>
    <row r="637" spans="1:8" ht="13.2">
      <c r="A637" s="19" t="str">
        <f>HYPERLINK("http://codeforces.com/contest/750/problem/C","CF750-D12-C")</f>
        <v>CF750-D12-C</v>
      </c>
      <c r="B637" s="18" t="s">
        <v>814</v>
      </c>
      <c r="C637" s="24">
        <v>5.75</v>
      </c>
      <c r="D637" s="18"/>
      <c r="E637" s="17" t="s">
        <v>805</v>
      </c>
      <c r="F637" s="17" t="s">
        <v>201</v>
      </c>
      <c r="G637" s="18"/>
      <c r="H637" s="18"/>
    </row>
    <row r="638" spans="1:8" ht="13.2">
      <c r="A638" s="15" t="s">
        <v>851</v>
      </c>
      <c r="B638" s="28" t="s">
        <v>852</v>
      </c>
      <c r="C638" s="24">
        <v>5.75</v>
      </c>
      <c r="D638" s="18"/>
      <c r="E638" s="17" t="s">
        <v>805</v>
      </c>
      <c r="F638" s="17" t="s">
        <v>201</v>
      </c>
      <c r="G638" s="18"/>
      <c r="H638" s="18"/>
    </row>
    <row r="639" spans="1:8" ht="13.2">
      <c r="A639" s="15" t="s">
        <v>853</v>
      </c>
      <c r="B639" s="29" t="s">
        <v>854</v>
      </c>
      <c r="C639" s="17">
        <v>5.5</v>
      </c>
      <c r="D639" s="26" t="str">
        <f>HYPERLINK("https://github.com/mostafa-saad/MyCompetitiveProgramming/blob/master/SPOJ/SPOJ_ABA12E.txt","Sol")</f>
        <v>Sol</v>
      </c>
      <c r="E639" s="17" t="s">
        <v>805</v>
      </c>
      <c r="F639" s="17" t="s">
        <v>139</v>
      </c>
      <c r="G639" s="18"/>
      <c r="H639" s="18"/>
    </row>
    <row r="640" spans="1:8" ht="13.2">
      <c r="A640" s="19" t="str">
        <f>HYPERLINK("https://codeforces.com/contest/1277/problem/F","CF1277-D2-F")</f>
        <v>CF1277-D2-F</v>
      </c>
      <c r="B640" s="20" t="s">
        <v>834</v>
      </c>
      <c r="C640" s="21">
        <v>5.5</v>
      </c>
      <c r="D640" s="18"/>
      <c r="E640" s="17" t="s">
        <v>805</v>
      </c>
      <c r="F640" s="17" t="s">
        <v>139</v>
      </c>
      <c r="G640" s="18"/>
      <c r="H640" s="18"/>
    </row>
    <row r="641" spans="1:8" ht="13.2">
      <c r="A641" s="19" t="str">
        <f>HYPERLINK("http://codeforces.com/contest/739/problem/B","CF739-D1-B")</f>
        <v>CF739-D1-B</v>
      </c>
      <c r="B641" s="29" t="s">
        <v>855</v>
      </c>
      <c r="C641" s="17">
        <v>5.5</v>
      </c>
      <c r="D641" s="18"/>
      <c r="E641" s="17" t="s">
        <v>805</v>
      </c>
      <c r="F641" s="17" t="s">
        <v>139</v>
      </c>
      <c r="G641" s="18"/>
      <c r="H641" s="18"/>
    </row>
    <row r="642" spans="1:8" ht="13.2">
      <c r="A642" s="15" t="s">
        <v>856</v>
      </c>
      <c r="B642" s="38" t="s">
        <v>857</v>
      </c>
      <c r="C642" s="17">
        <v>5.5</v>
      </c>
      <c r="D642" s="18"/>
      <c r="E642" s="17" t="s">
        <v>805</v>
      </c>
      <c r="F642" s="17"/>
      <c r="G642" s="18"/>
      <c r="H642" s="18"/>
    </row>
    <row r="643" spans="1:8" ht="13.2">
      <c r="A643" s="15" t="s">
        <v>858</v>
      </c>
      <c r="B643" s="30" t="s">
        <v>831</v>
      </c>
      <c r="C643" s="17">
        <v>5.5</v>
      </c>
      <c r="D643" s="18"/>
      <c r="E643" s="17" t="s">
        <v>805</v>
      </c>
      <c r="F643" s="17"/>
      <c r="G643" s="18"/>
      <c r="H643" s="18"/>
    </row>
    <row r="644" spans="1:8" ht="13.2">
      <c r="A644" s="19" t="str">
        <f>HYPERLINK("http://codeforces.com/contest/1041/problem/D","CF1041-D2-D")</f>
        <v>CF1041-D2-D</v>
      </c>
      <c r="B644" s="20" t="s">
        <v>859</v>
      </c>
      <c r="C644" s="21">
        <v>5.5</v>
      </c>
      <c r="D644" s="18"/>
      <c r="E644" s="17" t="s">
        <v>805</v>
      </c>
      <c r="F644" s="17"/>
      <c r="G644" s="18"/>
      <c r="H644" s="18"/>
    </row>
    <row r="645" spans="1:8" ht="13.2">
      <c r="A645" s="19" t="str">
        <f>HYPERLINK("http://codeforces.com/contest/817/problem/C","CF817-D12-C")</f>
        <v>CF817-D12-C</v>
      </c>
      <c r="B645" s="29" t="s">
        <v>818</v>
      </c>
      <c r="C645" s="17">
        <v>5</v>
      </c>
      <c r="D645" s="18"/>
      <c r="E645" s="17" t="s">
        <v>805</v>
      </c>
      <c r="F645" s="17" t="s">
        <v>255</v>
      </c>
      <c r="G645" s="18"/>
      <c r="H645" s="18"/>
    </row>
    <row r="646" spans="1:8" ht="13.2">
      <c r="A646" s="19" t="str">
        <f>HYPERLINK("https://uva.onlinejudge.org/index.php?option=onlinejudge&amp;page=show_problem&amp;problem=4330","UVA 1555")</f>
        <v>UVA 1555</v>
      </c>
      <c r="B646" s="29" t="s">
        <v>860</v>
      </c>
      <c r="C646" s="17">
        <v>5</v>
      </c>
      <c r="D646" s="26" t="str">
        <f>HYPERLINK("https://github.com/mostafa-saad/MyCompetitiveProgramming/blob/master/UVA/UVA_1555.txt","Sol")</f>
        <v>Sol</v>
      </c>
      <c r="E646" s="17" t="s">
        <v>805</v>
      </c>
      <c r="F646" s="17" t="s">
        <v>196</v>
      </c>
      <c r="G646" s="18"/>
      <c r="H646" s="18"/>
    </row>
    <row r="647" spans="1:8" ht="13.2">
      <c r="A647" s="19" t="str">
        <f>HYPERLINK("http://codeforces.com/contest/448/problem/D","CF448-D2-D")</f>
        <v>CF448-D2-D</v>
      </c>
      <c r="B647" s="29" t="s">
        <v>814</v>
      </c>
      <c r="C647" s="17">
        <v>5</v>
      </c>
      <c r="D647" s="18"/>
      <c r="E647" s="17" t="s">
        <v>805</v>
      </c>
      <c r="F647" s="17" t="s">
        <v>139</v>
      </c>
      <c r="G647" s="18"/>
      <c r="H647" s="18"/>
    </row>
    <row r="648" spans="1:8" ht="13.2">
      <c r="A648" s="19" t="str">
        <f>HYPERLINK("https://www.codechef.com/IOITC181/problems/CIRCINTE","CODECHEF CIRCINTE")</f>
        <v>CODECHEF CIRCINTE</v>
      </c>
      <c r="B648" s="20" t="s">
        <v>848</v>
      </c>
      <c r="C648" s="21">
        <v>5</v>
      </c>
      <c r="D648" s="18"/>
      <c r="E648" s="17" t="s">
        <v>805</v>
      </c>
      <c r="F648" s="17" t="s">
        <v>139</v>
      </c>
      <c r="G648" s="18"/>
      <c r="H648" s="18"/>
    </row>
    <row r="649" spans="1:8" ht="13.2">
      <c r="A649" s="19" t="str">
        <f>HYPERLINK("https://codeforces.com/problemset/problem/1063/C","CF1063-D1-C")</f>
        <v>CF1063-D1-C</v>
      </c>
      <c r="B649" s="20" t="s">
        <v>808</v>
      </c>
      <c r="C649" s="21">
        <v>5</v>
      </c>
      <c r="D649" s="18"/>
      <c r="E649" s="17" t="s">
        <v>805</v>
      </c>
      <c r="F649" s="17" t="s">
        <v>139</v>
      </c>
      <c r="G649" s="18"/>
      <c r="H649" s="18"/>
    </row>
    <row r="650" spans="1:8" ht="13.2">
      <c r="A650" s="19" t="str">
        <f>HYPERLINK("https://atcoder.jp/contests/abc149/tasks/abc149_e","AtCoder149-ABC-E")</f>
        <v>AtCoder149-ABC-E</v>
      </c>
      <c r="B650" s="23" t="s">
        <v>818</v>
      </c>
      <c r="C650" s="17">
        <v>5</v>
      </c>
      <c r="D650" s="18"/>
      <c r="E650" s="17" t="s">
        <v>805</v>
      </c>
      <c r="F650" s="17" t="s">
        <v>139</v>
      </c>
      <c r="G650" s="18"/>
      <c r="H650" s="18"/>
    </row>
    <row r="651" spans="1:8" ht="13.2">
      <c r="A651" s="15" t="s">
        <v>861</v>
      </c>
      <c r="B651" s="37" t="s">
        <v>862</v>
      </c>
      <c r="C651" s="17">
        <v>5</v>
      </c>
      <c r="D651" s="18"/>
      <c r="E651" s="17" t="s">
        <v>805</v>
      </c>
      <c r="F651" s="17" t="s">
        <v>139</v>
      </c>
      <c r="G651" s="18"/>
      <c r="H651" s="18"/>
    </row>
    <row r="652" spans="1:8" ht="13.2">
      <c r="A652" s="19" t="str">
        <f>HYPERLINK("https://codeforces.com/contest/1060/problem/C","CF1060-D12-C")</f>
        <v>CF1060-D12-C</v>
      </c>
      <c r="B652" s="20" t="s">
        <v>863</v>
      </c>
      <c r="C652" s="21">
        <v>5</v>
      </c>
      <c r="D652" s="26" t="str">
        <f>HYPERLINK("https://github.com/AhmedElsisy/CompetitiveProgramming/blob/master/Codeforces/CF1060-D12-C.cpp","Sol")</f>
        <v>Sol</v>
      </c>
      <c r="E652" s="17" t="s">
        <v>805</v>
      </c>
      <c r="F652" s="17" t="s">
        <v>139</v>
      </c>
      <c r="G652" s="18"/>
      <c r="H652" s="18"/>
    </row>
    <row r="653" spans="1:8" ht="13.2">
      <c r="A653" s="19" t="str">
        <f>HYPERLINK("http://codeforces.com/contest/255/problem/D","CF255-D2-D")</f>
        <v>CF255-D2-D</v>
      </c>
      <c r="B653" s="29" t="s">
        <v>818</v>
      </c>
      <c r="C653" s="17">
        <v>5</v>
      </c>
      <c r="D653" s="18"/>
      <c r="E653" s="17" t="s">
        <v>805</v>
      </c>
      <c r="F653" s="17" t="s">
        <v>227</v>
      </c>
      <c r="G653" s="18"/>
      <c r="H653" s="18"/>
    </row>
    <row r="654" spans="1:8" ht="13.2">
      <c r="A654" s="19" t="str">
        <f>HYPERLINK("https://csacademy.com/contest/archive/task/water-bottles/statement/","CSA28-D")</f>
        <v>CSA28-D</v>
      </c>
      <c r="B654" s="15" t="s">
        <v>814</v>
      </c>
      <c r="C654" s="17">
        <v>5</v>
      </c>
      <c r="D654" s="18"/>
      <c r="E654" s="17" t="s">
        <v>805</v>
      </c>
      <c r="F654" s="17" t="s">
        <v>201</v>
      </c>
      <c r="G654" s="18"/>
      <c r="H654" s="18"/>
    </row>
    <row r="655" spans="1:8" ht="13.2">
      <c r="A655" s="19" t="str">
        <f>HYPERLINK("https://atcoder.jp/contests/abc155/tasks/abc155_d","AtCoder155-ABC-D")</f>
        <v>AtCoder155-ABC-D</v>
      </c>
      <c r="B655" s="20" t="s">
        <v>864</v>
      </c>
      <c r="C655" s="21">
        <v>5</v>
      </c>
      <c r="D655" s="18"/>
      <c r="E655" s="17" t="s">
        <v>805</v>
      </c>
      <c r="F655" s="17" t="s">
        <v>201</v>
      </c>
      <c r="G655" s="18"/>
      <c r="H655" s="18"/>
    </row>
    <row r="656" spans="1:8" ht="13.2">
      <c r="A656" s="19" t="str">
        <f>HYPERLINK("http://codeforces.com/contest/985/problem/D","CF985-D12-D")</f>
        <v>CF985-D12-D</v>
      </c>
      <c r="B656" s="20" t="s">
        <v>818</v>
      </c>
      <c r="C656" s="21">
        <v>5</v>
      </c>
      <c r="D656" s="18"/>
      <c r="E656" s="17" t="s">
        <v>805</v>
      </c>
      <c r="F656" s="17" t="s">
        <v>201</v>
      </c>
      <c r="G656" s="18"/>
      <c r="H656" s="18"/>
    </row>
    <row r="657" spans="1:8" ht="13.2">
      <c r="A657" s="19" t="str">
        <f>HYPERLINK("https://codeforces.com/contest/1260/problem/D","CF1260-D12-D")</f>
        <v>CF1260-D12-D</v>
      </c>
      <c r="B657" s="20" t="s">
        <v>865</v>
      </c>
      <c r="C657" s="21">
        <v>5</v>
      </c>
      <c r="D657" s="18"/>
      <c r="E657" s="17" t="s">
        <v>805</v>
      </c>
      <c r="F657" s="17" t="s">
        <v>201</v>
      </c>
      <c r="G657" s="18"/>
      <c r="H657" s="18"/>
    </row>
    <row r="658" spans="1:8" ht="13.2">
      <c r="A658" s="19" t="str">
        <f>HYPERLINK("http://codeforces.com/contest/1010/problem/B","CF1010-D1-B")</f>
        <v>CF1010-D1-B</v>
      </c>
      <c r="B658" s="20" t="s">
        <v>808</v>
      </c>
      <c r="C658" s="21">
        <v>5</v>
      </c>
      <c r="D658" s="18"/>
      <c r="E658" s="17" t="s">
        <v>805</v>
      </c>
      <c r="F658" s="17" t="s">
        <v>242</v>
      </c>
      <c r="G658" s="18"/>
      <c r="H658" s="18"/>
    </row>
    <row r="659" spans="1:8" ht="13.2">
      <c r="A659" s="19" t="str">
        <f>HYPERLINK("http://codeforces.com/contest/83/problem/B","CF83-D1-B")</f>
        <v>CF83-D1-B</v>
      </c>
      <c r="B659" s="15" t="s">
        <v>866</v>
      </c>
      <c r="C659" s="31">
        <v>5</v>
      </c>
      <c r="D659" s="18"/>
      <c r="E659" s="17" t="s">
        <v>805</v>
      </c>
      <c r="F659" s="17" t="s">
        <v>242</v>
      </c>
      <c r="G659" s="18"/>
      <c r="H659" s="18"/>
    </row>
    <row r="660" spans="1:8" ht="13.2">
      <c r="A660" s="19" t="str">
        <f>HYPERLINK("http://codeforces.com/contest/344/problem/E","CF344-D2-E")</f>
        <v>CF344-D2-E</v>
      </c>
      <c r="B660" s="29" t="s">
        <v>814</v>
      </c>
      <c r="C660" s="17">
        <v>5</v>
      </c>
      <c r="D660" s="18"/>
      <c r="E660" s="17" t="s">
        <v>805</v>
      </c>
      <c r="F660" s="17"/>
      <c r="G660" s="18"/>
      <c r="H660" s="18"/>
    </row>
    <row r="661" spans="1:8" ht="13.2">
      <c r="A661" s="19" t="str">
        <f>HYPERLINK("http://codeforces.com/contest/616/problem/D","CF616-D2-D")</f>
        <v>CF616-D2-D</v>
      </c>
      <c r="B661" s="15" t="s">
        <v>814</v>
      </c>
      <c r="C661" s="17">
        <v>5</v>
      </c>
      <c r="D661" s="18"/>
      <c r="E661" s="17" t="s">
        <v>805</v>
      </c>
      <c r="F661" s="17"/>
      <c r="G661" s="18"/>
      <c r="H661" s="18"/>
    </row>
    <row r="662" spans="1:8" ht="13.2">
      <c r="A662" s="15" t="s">
        <v>867</v>
      </c>
      <c r="B662" s="30" t="s">
        <v>814</v>
      </c>
      <c r="C662" s="24">
        <v>5</v>
      </c>
      <c r="D662" s="18"/>
      <c r="E662" s="17" t="s">
        <v>805</v>
      </c>
      <c r="F662" s="17"/>
      <c r="G662" s="18"/>
      <c r="H662" s="18"/>
    </row>
    <row r="663" spans="1:8" ht="13.2">
      <c r="A663" s="15" t="s">
        <v>868</v>
      </c>
      <c r="B663" s="29" t="s">
        <v>814</v>
      </c>
      <c r="C663" s="17">
        <v>5</v>
      </c>
      <c r="D663" s="26" t="str">
        <f>HYPERLINK("https://github.com/Ownography/CP/blob/master/UVA%2013177","Sol")</f>
        <v>Sol</v>
      </c>
      <c r="E663" s="17" t="s">
        <v>805</v>
      </c>
      <c r="F663" s="17"/>
      <c r="G663" s="18"/>
      <c r="H663" s="18"/>
    </row>
    <row r="664" spans="1:8" ht="13.2">
      <c r="A664" s="15" t="s">
        <v>869</v>
      </c>
      <c r="B664" s="18" t="s">
        <v>870</v>
      </c>
      <c r="C664" s="17">
        <v>5</v>
      </c>
      <c r="D664" s="18"/>
      <c r="E664" s="17" t="s">
        <v>805</v>
      </c>
      <c r="F664" s="17"/>
      <c r="G664" s="18"/>
      <c r="H664" s="18"/>
    </row>
    <row r="665" spans="1:8" ht="13.2">
      <c r="A665" s="19" t="str">
        <f>HYPERLINK("http://codeforces.com/contest/725/problem/D","CF725-D12-D")</f>
        <v>CF725-D12-D</v>
      </c>
      <c r="B665" s="18" t="s">
        <v>871</v>
      </c>
      <c r="C665" s="40">
        <v>5</v>
      </c>
      <c r="D665" s="18"/>
      <c r="E665" s="17" t="s">
        <v>805</v>
      </c>
      <c r="F665" s="17"/>
      <c r="G665" s="18"/>
      <c r="H665" s="18"/>
    </row>
    <row r="666" spans="1:8" ht="13.2">
      <c r="A666" s="19" t="str">
        <f>HYPERLINK("https://www.codechef.com/COOK96A/problems/CHGCDG","CODECHEF CHGCDG")</f>
        <v>CODECHEF CHGCDG</v>
      </c>
      <c r="B666" s="23" t="s">
        <v>872</v>
      </c>
      <c r="C666" s="17">
        <v>5</v>
      </c>
      <c r="D666" s="18"/>
      <c r="E666" s="17" t="s">
        <v>805</v>
      </c>
      <c r="F666" s="17"/>
      <c r="G666" s="18"/>
      <c r="H666" s="18"/>
    </row>
    <row r="667" spans="1:8" ht="13.2">
      <c r="A667" s="19" t="str">
        <f>HYPERLINK("https://www.codechef.com/problems/BANDMATR","CODECHEF BANDMATR")</f>
        <v>CODECHEF BANDMATR</v>
      </c>
      <c r="B667" s="18" t="s">
        <v>848</v>
      </c>
      <c r="C667" s="17">
        <v>5</v>
      </c>
      <c r="D667" s="18"/>
      <c r="E667" s="17" t="s">
        <v>805</v>
      </c>
      <c r="F667" s="17"/>
      <c r="G667" s="18"/>
      <c r="H667" s="18"/>
    </row>
    <row r="668" spans="1:8" ht="13.2">
      <c r="A668" s="15" t="s">
        <v>873</v>
      </c>
      <c r="B668" s="16" t="s">
        <v>848</v>
      </c>
      <c r="C668" s="17">
        <v>5</v>
      </c>
      <c r="D668" s="18"/>
      <c r="E668" s="17" t="s">
        <v>805</v>
      </c>
      <c r="F668" s="17"/>
      <c r="G668" s="18"/>
      <c r="H668" s="18"/>
    </row>
    <row r="669" spans="1:8" ht="13.2">
      <c r="A669" s="15" t="s">
        <v>874</v>
      </c>
      <c r="B669" s="41" t="s">
        <v>848</v>
      </c>
      <c r="C669" s="17">
        <v>5</v>
      </c>
      <c r="D669" s="18"/>
      <c r="E669" s="17" t="s">
        <v>805</v>
      </c>
      <c r="F669" s="17"/>
      <c r="G669" s="18"/>
      <c r="H669" s="18"/>
    </row>
    <row r="670" spans="1:8" ht="13.2">
      <c r="A670" s="15" t="s">
        <v>875</v>
      </c>
      <c r="B670" s="20" t="s">
        <v>876</v>
      </c>
      <c r="C670" s="17">
        <v>5</v>
      </c>
      <c r="D670" s="18"/>
      <c r="E670" s="17" t="s">
        <v>805</v>
      </c>
      <c r="F670" s="17"/>
      <c r="G670" s="18"/>
      <c r="H670" s="18"/>
    </row>
    <row r="671" spans="1:8" ht="13.2">
      <c r="A671" s="15" t="s">
        <v>877</v>
      </c>
      <c r="B671" s="34" t="s">
        <v>818</v>
      </c>
      <c r="C671" s="31">
        <v>5</v>
      </c>
      <c r="D671" s="18"/>
      <c r="E671" s="17" t="s">
        <v>805</v>
      </c>
      <c r="F671" s="17"/>
      <c r="G671" s="18"/>
      <c r="H671" s="18"/>
    </row>
    <row r="672" spans="1:8" ht="13.2">
      <c r="A672" s="15" t="s">
        <v>878</v>
      </c>
      <c r="B672" s="16" t="s">
        <v>818</v>
      </c>
      <c r="C672" s="17">
        <v>5</v>
      </c>
      <c r="D672" s="18"/>
      <c r="E672" s="17" t="s">
        <v>805</v>
      </c>
      <c r="F672" s="17"/>
      <c r="G672" s="18"/>
      <c r="H672" s="18"/>
    </row>
    <row r="673" spans="1:8" ht="13.2">
      <c r="A673" s="15" t="s">
        <v>879</v>
      </c>
      <c r="B673" s="29" t="s">
        <v>880</v>
      </c>
      <c r="C673" s="31">
        <v>5</v>
      </c>
      <c r="D673" s="18"/>
      <c r="E673" s="17" t="s">
        <v>805</v>
      </c>
      <c r="F673" s="17"/>
      <c r="G673" s="18"/>
      <c r="H673" s="18"/>
    </row>
    <row r="674" spans="1:8" ht="13.2">
      <c r="A674" s="19" t="str">
        <f>HYPERLINK("http://codeforces.com/contest/913/problem/D","CF913-D12-D")</f>
        <v>CF913-D12-D</v>
      </c>
      <c r="B674" s="20" t="s">
        <v>881</v>
      </c>
      <c r="C674" s="17">
        <v>5</v>
      </c>
      <c r="D674" s="18"/>
      <c r="E674" s="17" t="s">
        <v>805</v>
      </c>
      <c r="F674" s="17"/>
      <c r="G674" s="18"/>
      <c r="H674" s="18"/>
    </row>
    <row r="675" spans="1:8" ht="13.2">
      <c r="A675" s="19" t="str">
        <f>HYPERLINK("https://codeforces.com/contest/1138/problem/C","CF1138-D2-C")</f>
        <v>CF1138-D2-C</v>
      </c>
      <c r="B675" s="20" t="s">
        <v>865</v>
      </c>
      <c r="C675" s="17">
        <v>4.5</v>
      </c>
      <c r="D675" s="18"/>
      <c r="E675" s="17" t="s">
        <v>805</v>
      </c>
      <c r="F675" s="17" t="s">
        <v>154</v>
      </c>
      <c r="G675" s="18"/>
      <c r="H675" s="18"/>
    </row>
    <row r="676" spans="1:8" ht="13.2">
      <c r="A676" s="19" t="str">
        <f>HYPERLINK("http://codeforces.com/contest/381/problem/C","CF381-D2-C")</f>
        <v>CF381-D2-C</v>
      </c>
      <c r="B676" s="29" t="s">
        <v>849</v>
      </c>
      <c r="C676" s="17">
        <v>4.5</v>
      </c>
      <c r="D676" s="18"/>
      <c r="E676" s="17" t="s">
        <v>805</v>
      </c>
      <c r="F676" s="17" t="s">
        <v>201</v>
      </c>
      <c r="G676" s="18"/>
      <c r="H676" s="18"/>
    </row>
    <row r="677" spans="1:8" ht="13.2">
      <c r="A677" s="19" t="str">
        <f>HYPERLINK("http://www.spoj.com/problems/DICTSUB/","SPOJ DICTSUB")</f>
        <v>SPOJ DICTSUB</v>
      </c>
      <c r="B677" s="29" t="s">
        <v>882</v>
      </c>
      <c r="C677" s="17">
        <v>4.5</v>
      </c>
      <c r="D677" s="26" t="str">
        <f>HYPERLINK("https://github.com/VAMPIER000001/CompetitiveProgramming/blob/master/Spoj/SPOJ%20DICTSUB.Cpp","Sol")</f>
        <v>Sol</v>
      </c>
      <c r="E677" s="17" t="s">
        <v>805</v>
      </c>
      <c r="F677" s="17" t="s">
        <v>201</v>
      </c>
      <c r="G677" s="18"/>
      <c r="H677" s="18"/>
    </row>
    <row r="678" spans="1:8" ht="13.2">
      <c r="A678" s="19" t="str">
        <f>HYPERLINK("http://codeforces.com/contest/732/problem/D","CF732-D2-D")</f>
        <v>CF732-D2-D</v>
      </c>
      <c r="B678" s="29" t="s">
        <v>814</v>
      </c>
      <c r="C678" s="17">
        <v>4.5</v>
      </c>
      <c r="D678" s="18"/>
      <c r="E678" s="17" t="s">
        <v>805</v>
      </c>
      <c r="F678" s="17" t="s">
        <v>242</v>
      </c>
      <c r="G678" s="18"/>
      <c r="H678" s="18"/>
    </row>
    <row r="679" spans="1:8" ht="13.2">
      <c r="A679" s="19" t="str">
        <f>HYPERLINK("http://codeforces.com/contest/237/problem/C","CF237-D2-C")</f>
        <v>CF237-D2-C</v>
      </c>
      <c r="B679" s="18" t="s">
        <v>883</v>
      </c>
      <c r="C679" s="17">
        <v>4.5</v>
      </c>
      <c r="D679" s="18"/>
      <c r="E679" s="17" t="s">
        <v>805</v>
      </c>
      <c r="F679" s="17" t="s">
        <v>242</v>
      </c>
      <c r="G679" s="18"/>
      <c r="H679" s="18"/>
    </row>
    <row r="680" spans="1:8" ht="13.2">
      <c r="A680" s="15" t="s">
        <v>884</v>
      </c>
      <c r="B680" s="29" t="s">
        <v>885</v>
      </c>
      <c r="C680" s="24">
        <v>4.5</v>
      </c>
      <c r="D680" s="18"/>
      <c r="E680" s="17" t="s">
        <v>805</v>
      </c>
      <c r="F680" s="17" t="s">
        <v>242</v>
      </c>
      <c r="G680" s="18"/>
      <c r="H680" s="18"/>
    </row>
    <row r="681" spans="1:8" ht="13.2">
      <c r="A681" s="19" t="str">
        <f>HYPERLINK("http://codeforces.com/contest/492/problem/D","CF492-D2-D")</f>
        <v>CF492-D2-D</v>
      </c>
      <c r="B681" s="18" t="s">
        <v>814</v>
      </c>
      <c r="C681" s="17">
        <v>4.5</v>
      </c>
      <c r="D681" s="18"/>
      <c r="E681" s="17" t="s">
        <v>805</v>
      </c>
      <c r="F681" s="17"/>
      <c r="G681" s="18"/>
      <c r="H681" s="18"/>
    </row>
    <row r="682" spans="1:8" ht="13.2">
      <c r="A682" s="19" t="str">
        <f>HYPERLINK("http://codeforces.com/contest/84/problem/D","CF84-D2-D")</f>
        <v>CF84-D2-D</v>
      </c>
      <c r="B682" s="18" t="s">
        <v>814</v>
      </c>
      <c r="C682" s="17">
        <v>4.5</v>
      </c>
      <c r="D682" s="18"/>
      <c r="E682" s="17" t="s">
        <v>805</v>
      </c>
      <c r="F682" s="17"/>
      <c r="G682" s="18"/>
      <c r="H682" s="18"/>
    </row>
    <row r="683" spans="1:8" ht="13.2">
      <c r="A683" s="19" t="str">
        <f>HYPERLINK("http://www.spoj.com/problems/BOOKS1/","SPOJ BOOKS1")</f>
        <v>SPOJ BOOKS1</v>
      </c>
      <c r="B683" s="38" t="s">
        <v>814</v>
      </c>
      <c r="C683" s="17">
        <v>4.5</v>
      </c>
      <c r="D683" s="18"/>
      <c r="E683" s="17" t="s">
        <v>805</v>
      </c>
      <c r="F683" s="17"/>
      <c r="G683" s="18"/>
      <c r="H683" s="18"/>
    </row>
    <row r="684" spans="1:8" ht="13.2">
      <c r="A684" s="15" t="s">
        <v>886</v>
      </c>
      <c r="B684" s="29" t="s">
        <v>814</v>
      </c>
      <c r="C684" s="17">
        <v>4.5</v>
      </c>
      <c r="D684" s="18"/>
      <c r="E684" s="17" t="s">
        <v>805</v>
      </c>
      <c r="F684" s="17"/>
      <c r="G684" s="18"/>
      <c r="H684" s="18"/>
    </row>
    <row r="685" spans="1:8" ht="13.2">
      <c r="A685" s="19" t="str">
        <f>HYPERLINK("http://codeforces.com/contest/471/problem/C","CF471-D2-C")</f>
        <v>CF471-D2-C</v>
      </c>
      <c r="B685" s="29" t="s">
        <v>857</v>
      </c>
      <c r="C685" s="17">
        <v>4.5</v>
      </c>
      <c r="D685" s="18"/>
      <c r="E685" s="17" t="s">
        <v>805</v>
      </c>
      <c r="F685" s="17"/>
      <c r="G685" s="18"/>
      <c r="H685" s="18"/>
    </row>
    <row r="686" spans="1:8" ht="13.2">
      <c r="A686" s="19" t="str">
        <f>HYPERLINK("http://codeforces.com/contest/567/problem/D","CF567-D2-D")</f>
        <v>CF567-D2-D</v>
      </c>
      <c r="B686" s="29" t="s">
        <v>887</v>
      </c>
      <c r="C686" s="17">
        <v>4.5</v>
      </c>
      <c r="D686" s="18"/>
      <c r="E686" s="17" t="s">
        <v>805</v>
      </c>
      <c r="F686" s="17"/>
      <c r="G686" s="18"/>
      <c r="H686" s="18"/>
    </row>
    <row r="687" spans="1:8" ht="13.2">
      <c r="A687" s="15" t="s">
        <v>888</v>
      </c>
      <c r="B687" s="28" t="s">
        <v>889</v>
      </c>
      <c r="C687" s="17">
        <v>4</v>
      </c>
      <c r="D687" s="18"/>
      <c r="E687" s="17" t="s">
        <v>805</v>
      </c>
      <c r="F687" s="17" t="s">
        <v>229</v>
      </c>
      <c r="G687" s="18"/>
      <c r="H687" s="18"/>
    </row>
    <row r="688" spans="1:8" ht="13.2">
      <c r="A688" s="19" t="str">
        <f>HYPERLINK("https://codeforces.com/contest/1117/problem/C","CF1117-D12-C")</f>
        <v>CF1117-D12-C</v>
      </c>
      <c r="B688" s="15" t="s">
        <v>814</v>
      </c>
      <c r="C688" s="17">
        <v>4</v>
      </c>
      <c r="D688" s="18"/>
      <c r="E688" s="17" t="s">
        <v>805</v>
      </c>
      <c r="F688" s="17" t="s">
        <v>139</v>
      </c>
      <c r="G688" s="18"/>
      <c r="H688" s="18"/>
    </row>
    <row r="689" spans="1:8" ht="13.2">
      <c r="A689" s="19" t="str">
        <f>HYPERLINK("http://codeforces.com/contest/812/problem/C","CF812-D2-C")</f>
        <v>CF812-D2-C</v>
      </c>
      <c r="B689" s="29" t="s">
        <v>814</v>
      </c>
      <c r="C689" s="17">
        <v>4</v>
      </c>
      <c r="D689" s="18"/>
      <c r="E689" s="17" t="s">
        <v>805</v>
      </c>
      <c r="F689" s="17" t="s">
        <v>139</v>
      </c>
      <c r="G689" s="18"/>
      <c r="H689" s="18"/>
    </row>
    <row r="690" spans="1:8" ht="13.2">
      <c r="A690" s="19" t="str">
        <f>HYPERLINK("https://codeforces.com/contest/1118/problem/D2","CF1118-D3-D2")</f>
        <v>CF1118-D3-D2</v>
      </c>
      <c r="B690" s="23" t="s">
        <v>848</v>
      </c>
      <c r="C690" s="17">
        <v>4</v>
      </c>
      <c r="D690" s="18"/>
      <c r="E690" s="17" t="s">
        <v>805</v>
      </c>
      <c r="F690" s="17" t="s">
        <v>139</v>
      </c>
      <c r="G690" s="18"/>
      <c r="H690" s="18"/>
    </row>
    <row r="691" spans="1:8" ht="13.2">
      <c r="A691" s="19" t="str">
        <f>HYPERLINK("http://codeforces.com/contest/270/problem/C","CF270-D2-C")</f>
        <v>CF270-D2-C</v>
      </c>
      <c r="B691" s="29" t="s">
        <v>890</v>
      </c>
      <c r="C691" s="17">
        <v>4</v>
      </c>
      <c r="D691" s="18"/>
      <c r="E691" s="17" t="s">
        <v>805</v>
      </c>
      <c r="F691" s="17" t="s">
        <v>139</v>
      </c>
      <c r="G691" s="18"/>
      <c r="H691" s="18"/>
    </row>
    <row r="692" spans="1:8" ht="13.2">
      <c r="A692" s="19" t="str">
        <f>HYPERLINK("http://codeforces.com/contest/651/problem/D","CF651-D2-D")</f>
        <v>CF651-D2-D</v>
      </c>
      <c r="B692" s="29" t="s">
        <v>891</v>
      </c>
      <c r="C692" s="17">
        <v>4</v>
      </c>
      <c r="D692" s="18"/>
      <c r="E692" s="17" t="s">
        <v>805</v>
      </c>
      <c r="F692" s="17" t="s">
        <v>201</v>
      </c>
      <c r="G692" s="18"/>
      <c r="H692" s="18"/>
    </row>
    <row r="693" spans="1:8" ht="13.2">
      <c r="A693" s="19" t="str">
        <f>HYPERLINK("http://codeforces.com/contest/75/problem/C","CF75-D2-C")</f>
        <v>CF75-D2-C</v>
      </c>
      <c r="B693" s="29" t="s">
        <v>818</v>
      </c>
      <c r="C693" s="17">
        <v>4</v>
      </c>
      <c r="D693" s="18"/>
      <c r="E693" s="17" t="s">
        <v>805</v>
      </c>
      <c r="F693" s="17" t="s">
        <v>201</v>
      </c>
      <c r="G693" s="18"/>
      <c r="H693" s="18"/>
    </row>
    <row r="694" spans="1:8" ht="13.2">
      <c r="A694" s="15" t="s">
        <v>892</v>
      </c>
      <c r="B694" s="28" t="s">
        <v>893</v>
      </c>
      <c r="C694" s="24">
        <v>4</v>
      </c>
      <c r="D694" s="18"/>
      <c r="E694" s="17" t="s">
        <v>805</v>
      </c>
      <c r="F694" s="17" t="s">
        <v>242</v>
      </c>
      <c r="G694" s="18"/>
      <c r="H694" s="18"/>
    </row>
    <row r="695" spans="1:8" ht="13.2">
      <c r="A695" s="19" t="str">
        <f>HYPERLINK("http://codeforces.com/contest/779/problem/D","CF779-D2-D")</f>
        <v>CF779-D2-D</v>
      </c>
      <c r="B695" s="16" t="s">
        <v>814</v>
      </c>
      <c r="C695" s="17">
        <v>4</v>
      </c>
      <c r="D695" s="18"/>
      <c r="E695" s="17" t="s">
        <v>805</v>
      </c>
      <c r="F695" s="17"/>
      <c r="G695" s="18"/>
      <c r="H695" s="18"/>
    </row>
    <row r="696" spans="1:8" ht="13.2">
      <c r="A696" s="19" t="str">
        <f>HYPERLINK("http://www.spoj.com/problems/ICPCS/","SPOJ ICPCS")</f>
        <v>SPOJ ICPCS</v>
      </c>
      <c r="B696" s="29" t="s">
        <v>814</v>
      </c>
      <c r="C696" s="17">
        <v>4</v>
      </c>
      <c r="D696" s="26" t="str">
        <f>HYPERLINK("https://github.com/VAMPIER000001/CompetitiveProgramming/blob/226e94ab8fa69f40d7ac989589a98dbc148a4468/Spoj/SPOJ%20ICPCS.Cpp","Sol")</f>
        <v>Sol</v>
      </c>
      <c r="E696" s="17" t="s">
        <v>805</v>
      </c>
      <c r="F696" s="17"/>
      <c r="G696" s="18"/>
      <c r="H696" s="18"/>
    </row>
    <row r="697" spans="1:8" ht="13.2">
      <c r="A697" s="19" t="str">
        <f>HYPERLINK("https://uva.onlinejudge.org/index.php?option=com_onlinejudge&amp;Itemid=8&amp;page=show_problem&amp;problem=1552","UVA 10611")</f>
        <v>UVA 10611</v>
      </c>
      <c r="B697" s="29" t="s">
        <v>814</v>
      </c>
      <c r="C697" s="17">
        <v>4</v>
      </c>
      <c r="D697" s="18"/>
      <c r="E697" s="17" t="s">
        <v>805</v>
      </c>
      <c r="F697" s="17"/>
      <c r="G697" s="18"/>
      <c r="H697" s="18"/>
    </row>
    <row r="698" spans="1:8" ht="13.2">
      <c r="A698" s="15" t="s">
        <v>894</v>
      </c>
      <c r="B698" s="30" t="s">
        <v>814</v>
      </c>
      <c r="C698" s="24">
        <v>4</v>
      </c>
      <c r="D698" s="18"/>
      <c r="E698" s="17" t="s">
        <v>805</v>
      </c>
      <c r="F698" s="17"/>
      <c r="G698" s="18"/>
      <c r="H698" s="18"/>
    </row>
    <row r="699" spans="1:8" ht="13.2">
      <c r="A699" s="15" t="s">
        <v>895</v>
      </c>
      <c r="B699" s="30" t="s">
        <v>896</v>
      </c>
      <c r="C699" s="24">
        <v>4</v>
      </c>
      <c r="D699" s="18"/>
      <c r="E699" s="17" t="s">
        <v>805</v>
      </c>
      <c r="F699" s="17"/>
      <c r="G699" s="18"/>
      <c r="H699" s="18"/>
    </row>
    <row r="700" spans="1:8" ht="13.2">
      <c r="A700" s="15" t="s">
        <v>897</v>
      </c>
      <c r="B700" s="16" t="s">
        <v>898</v>
      </c>
      <c r="C700" s="17">
        <v>4</v>
      </c>
      <c r="D700" s="18"/>
      <c r="E700" s="17" t="s">
        <v>805</v>
      </c>
      <c r="F700" s="17"/>
      <c r="G700" s="18"/>
      <c r="H700" s="18"/>
    </row>
    <row r="701" spans="1:8" ht="13.2">
      <c r="A701" s="15" t="s">
        <v>899</v>
      </c>
      <c r="B701" s="15" t="s">
        <v>900</v>
      </c>
      <c r="C701" s="33">
        <v>4</v>
      </c>
      <c r="D701" s="18"/>
      <c r="E701" s="17" t="s">
        <v>805</v>
      </c>
      <c r="F701" s="17"/>
      <c r="G701" s="18"/>
      <c r="H701" s="18"/>
    </row>
    <row r="702" spans="1:8" ht="13.2">
      <c r="A702" s="19" t="str">
        <f>HYPERLINK("https://codeforces.com/contest/1146/problem/C","CF1146-D12-C")</f>
        <v>CF1146-D12-C</v>
      </c>
      <c r="B702" s="15" t="s">
        <v>808</v>
      </c>
      <c r="C702" s="17">
        <v>3.5</v>
      </c>
      <c r="D702" s="18"/>
      <c r="E702" s="17" t="s">
        <v>805</v>
      </c>
      <c r="F702" s="17" t="s">
        <v>201</v>
      </c>
      <c r="G702" s="18"/>
      <c r="H702" s="18"/>
    </row>
    <row r="703" spans="1:8" ht="13.2">
      <c r="A703" s="15" t="s">
        <v>901</v>
      </c>
      <c r="B703" s="29" t="s">
        <v>814</v>
      </c>
      <c r="C703" s="17">
        <v>3.5</v>
      </c>
      <c r="D703" s="18"/>
      <c r="E703" s="24" t="s">
        <v>805</v>
      </c>
      <c r="F703" s="17"/>
      <c r="G703" s="18"/>
      <c r="H703" s="18"/>
    </row>
    <row r="704" spans="1:8" ht="13.2">
      <c r="A704" s="19" t="str">
        <f>HYPERLINK("https://uva.onlinejudge.org/index.php?option=onlinejudge&amp;page=show_problem&amp;problem=1217","UVA 10276")</f>
        <v>UVA 10276</v>
      </c>
      <c r="B704" s="29" t="s">
        <v>902</v>
      </c>
      <c r="C704" s="17">
        <v>3.5</v>
      </c>
      <c r="D704" s="18"/>
      <c r="E704" s="17" t="s">
        <v>805</v>
      </c>
      <c r="F704" s="17"/>
      <c r="G704" s="18"/>
      <c r="H704" s="18"/>
    </row>
    <row r="705" spans="1:8" ht="13.2">
      <c r="A705" s="19" t="str">
        <f>HYPERLINK("https://uva.onlinejudge.org/index.php?option=com_onlinejudge&amp;Itemid=8&amp;page=show_problem&amp;problem=1018","UVA 10077")</f>
        <v>UVA 10077</v>
      </c>
      <c r="B705" s="29" t="s">
        <v>872</v>
      </c>
      <c r="C705" s="17">
        <v>3.5</v>
      </c>
      <c r="D705" s="18"/>
      <c r="E705" s="17" t="s">
        <v>805</v>
      </c>
      <c r="F705" s="17"/>
      <c r="G705" s="18"/>
      <c r="H705" s="18"/>
    </row>
    <row r="706" spans="1:8" ht="13.2">
      <c r="A706" s="15" t="s">
        <v>903</v>
      </c>
      <c r="B706" s="41" t="s">
        <v>904</v>
      </c>
      <c r="C706" s="24">
        <v>3</v>
      </c>
      <c r="D706" s="26" t="str">
        <f>HYPERLINK("https://github.com/MichaelMounir12/CompetitiveProgramming/blob/master/Contests/SuperVision-Contest-33139/UVA_12791.cpp","Sol")</f>
        <v>Sol</v>
      </c>
      <c r="E706" s="17" t="s">
        <v>805</v>
      </c>
      <c r="F706" s="17" t="s">
        <v>242</v>
      </c>
      <c r="G706" s="18"/>
      <c r="H706" s="18"/>
    </row>
    <row r="707" spans="1:8" ht="13.2">
      <c r="A707" s="19" t="str">
        <f>HYPERLINK("http://codeforces.com/contest/975/problem/C","CF975-D2-C")</f>
        <v>CF975-D2-C</v>
      </c>
      <c r="B707" s="29" t="s">
        <v>905</v>
      </c>
      <c r="C707" s="17">
        <v>3</v>
      </c>
      <c r="D707" s="18"/>
      <c r="E707" s="17" t="s">
        <v>805</v>
      </c>
      <c r="F707" s="17" t="s">
        <v>242</v>
      </c>
      <c r="G707" s="18"/>
      <c r="H707" s="18"/>
    </row>
    <row r="708" spans="1:8" ht="13.2">
      <c r="A708" s="19" t="str">
        <f>HYPERLINK("https://atcoder.jp/contests/abc134/tasks/abc134_e","AtCoder134-ABC-E")</f>
        <v>AtCoder134-ABC-E</v>
      </c>
      <c r="B708" s="23" t="s">
        <v>814</v>
      </c>
      <c r="C708" s="17">
        <v>3</v>
      </c>
      <c r="D708" s="18"/>
      <c r="E708" s="17" t="s">
        <v>805</v>
      </c>
      <c r="F708" s="17"/>
      <c r="G708" s="18"/>
      <c r="H708" s="18"/>
    </row>
    <row r="709" spans="1:8" ht="13.2">
      <c r="A709" s="15" t="s">
        <v>906</v>
      </c>
      <c r="B709" s="18" t="s">
        <v>814</v>
      </c>
      <c r="C709" s="17">
        <v>3</v>
      </c>
      <c r="D709" s="18"/>
      <c r="E709" s="17" t="s">
        <v>805</v>
      </c>
      <c r="F709" s="17"/>
      <c r="G709" s="18"/>
      <c r="H709" s="18"/>
    </row>
    <row r="710" spans="1:8" ht="13.2">
      <c r="A710" s="19" t="str">
        <f>HYPERLINK("http://www.spoj.com/problems/AGGRCOW/","SPOJ AGGRCOW")</f>
        <v>SPOJ AGGRCOW</v>
      </c>
      <c r="B710" s="29" t="s">
        <v>814</v>
      </c>
      <c r="C710" s="17">
        <v>3</v>
      </c>
      <c r="D710" s="18"/>
      <c r="E710" s="17" t="s">
        <v>805</v>
      </c>
      <c r="F710" s="17"/>
      <c r="G710" s="18"/>
      <c r="H710" s="18"/>
    </row>
    <row r="711" spans="1:8" ht="13.2">
      <c r="A711" s="19" t="str">
        <f>HYPERLINK("https://www.codechef.com/problems/SNAKEEAT","CODECHEF SNAKEEAT")</f>
        <v>CODECHEF SNAKEEAT</v>
      </c>
      <c r="B711" s="15" t="s">
        <v>905</v>
      </c>
      <c r="C711" s="24">
        <v>3</v>
      </c>
      <c r="D711" s="18"/>
      <c r="E711" s="17" t="s">
        <v>805</v>
      </c>
      <c r="F711" s="17"/>
      <c r="G711" s="18"/>
      <c r="H711" s="18"/>
    </row>
    <row r="712" spans="1:8" ht="13.2">
      <c r="A712" s="15" t="s">
        <v>907</v>
      </c>
      <c r="B712" s="35" t="s">
        <v>908</v>
      </c>
      <c r="C712" s="24">
        <v>2</v>
      </c>
      <c r="D712" s="18"/>
      <c r="E712" s="17" t="s">
        <v>805</v>
      </c>
      <c r="F712" s="17"/>
      <c r="G712" s="18"/>
      <c r="H712" s="18"/>
    </row>
    <row r="713" spans="1:8" ht="13.2">
      <c r="A713" s="19" t="str">
        <f>HYPERLINK("https://community.topcoder.com/stat?c=problem_statement&amp;pm=7848","TC(Rafting)")</f>
        <v>TC(Rafting)</v>
      </c>
      <c r="B713" s="30" t="s">
        <v>909</v>
      </c>
      <c r="C713" s="24">
        <v>7.25</v>
      </c>
      <c r="D713" s="26" t="str">
        <f>HYPERLINK("https://www.topcoder.com/tc?module=Static&amp;d1=tournaments&amp;d2=tco07&amp;d3=algorithm&amp;d4=algoFinals","Editorial")</f>
        <v>Editorial</v>
      </c>
      <c r="E713" s="17" t="s">
        <v>910</v>
      </c>
      <c r="F713" s="17"/>
      <c r="G713" s="18"/>
      <c r="H713" s="18"/>
    </row>
    <row r="714" spans="1:8" ht="13.2">
      <c r="A714" s="15" t="s">
        <v>911</v>
      </c>
      <c r="B714" s="30" t="s">
        <v>912</v>
      </c>
      <c r="C714" s="17">
        <v>7</v>
      </c>
      <c r="D714" s="18"/>
      <c r="E714" s="17" t="s">
        <v>910</v>
      </c>
      <c r="F714" s="17"/>
      <c r="G714" s="18"/>
      <c r="H714" s="18"/>
    </row>
    <row r="715" spans="1:8" ht="13.2">
      <c r="A715" s="15" t="s">
        <v>913</v>
      </c>
      <c r="B715" s="29" t="s">
        <v>914</v>
      </c>
      <c r="C715" s="24">
        <v>6.75</v>
      </c>
      <c r="D715" s="26" t="str">
        <f>HYPERLINK("https://github.com/mostafa-saad/MyCompetitiveProgramming/blob/master/UVA/UVA_11243.txt","Sol")</f>
        <v>Sol</v>
      </c>
      <c r="E715" s="17" t="s">
        <v>910</v>
      </c>
      <c r="F715" s="17" t="s">
        <v>139</v>
      </c>
      <c r="G715" s="18"/>
      <c r="H715" s="18"/>
    </row>
    <row r="716" spans="1:8" ht="13.2">
      <c r="A716" s="19" t="str">
        <f>HYPERLINK("https://community.topcoder.com/stat?c=problem_statement&amp;pm=3501","TC(DRIVING)")</f>
        <v>TC(DRIVING)</v>
      </c>
      <c r="B716" s="29" t="s">
        <v>915</v>
      </c>
      <c r="C716" s="24">
        <v>6.6</v>
      </c>
      <c r="D716" s="26" t="str">
        <f>HYPERLINK("https://www.topcoder.com/tc?module=Static&amp;d1=match_editorials&amp;d2=tccc05_online_rd_2","Editorial")</f>
        <v>Editorial</v>
      </c>
      <c r="E716" s="17" t="s">
        <v>910</v>
      </c>
      <c r="F716" s="17" t="s">
        <v>154</v>
      </c>
      <c r="G716" s="18"/>
      <c r="H716" s="18"/>
    </row>
    <row r="717" spans="1:8" ht="13.2">
      <c r="A717" s="19" t="str">
        <f>HYPERLINK("https://icpcarchive.ecs.baylor.edu/index.php?option=onlinejudge&amp;page=show_problem&amp;problem=4352","LIVEARCHIVE 6341")</f>
        <v>LIVEARCHIVE 6341</v>
      </c>
      <c r="B717" s="30" t="s">
        <v>916</v>
      </c>
      <c r="C717" s="17">
        <v>6.5</v>
      </c>
      <c r="D717" s="26" t="str">
        <f>HYPERLINK("https://github.com/arvindr9/CompetitiveProgramming/blob/master/LiveArchive/LIVEARCHIVE%206341.cpp","Sol")</f>
        <v>Sol</v>
      </c>
      <c r="E717" s="24" t="s">
        <v>910</v>
      </c>
      <c r="F717" s="17"/>
      <c r="G717" s="18"/>
      <c r="H717" s="18"/>
    </row>
    <row r="718" spans="1:8" ht="13.2">
      <c r="A718" s="19" t="str">
        <f>HYPERLINK("https://csacademy.com/contest/round-84/task/growing-trees/", "CSA84-E")</f>
        <v>CSA84-E</v>
      </c>
      <c r="B718" s="20" t="s">
        <v>917</v>
      </c>
      <c r="C718" s="21">
        <v>6.4</v>
      </c>
      <c r="D718" s="26" t="str">
        <f>HYPERLINK("https://github.com/tmwilliamlin168/CompetitiveProgramming/blob/master/CSAcademy/84-E.cpp", "Sol")</f>
        <v>Sol</v>
      </c>
      <c r="E718" s="17" t="s">
        <v>910</v>
      </c>
      <c r="F718" s="17" t="s">
        <v>154</v>
      </c>
      <c r="G718" s="18"/>
      <c r="H718" s="18"/>
    </row>
    <row r="719" spans="1:8" ht="13.2">
      <c r="A719" s="19" t="str">
        <f>HYPERLINK("https://onlinejudge.org/index.php?option=onlinejudge&amp;Itemid=8&amp;page=show_problem&amp;problem=2749","UVA 11702")</f>
        <v>UVA 11702</v>
      </c>
      <c r="B719" s="30" t="s">
        <v>918</v>
      </c>
      <c r="C719" s="24">
        <v>6.3</v>
      </c>
      <c r="D719" s="26" t="str">
        <f>HYPERLINK("https://github.com/marinvhs/coding/blob/master/uva/Volume%20CXVII/11702.cpp","Sol (no editorial)")</f>
        <v>Sol (no editorial)</v>
      </c>
      <c r="E719" s="17" t="s">
        <v>910</v>
      </c>
      <c r="F719" s="17" t="s">
        <v>154</v>
      </c>
      <c r="G719" s="18"/>
      <c r="H719" s="18"/>
    </row>
    <row r="720" spans="1:8" ht="13.2">
      <c r="A720" s="15" t="s">
        <v>919</v>
      </c>
      <c r="B720" s="29" t="s">
        <v>920</v>
      </c>
      <c r="C720" s="24">
        <v>6.3</v>
      </c>
      <c r="D720" s="18"/>
      <c r="E720" s="17" t="s">
        <v>910</v>
      </c>
      <c r="F720" s="17"/>
      <c r="G720" s="18"/>
      <c r="H720" s="18"/>
    </row>
    <row r="721" spans="1:8" ht="13.2">
      <c r="A721" s="15" t="s">
        <v>921</v>
      </c>
      <c r="B721" s="30" t="s">
        <v>922</v>
      </c>
      <c r="C721" s="24">
        <v>6.3</v>
      </c>
      <c r="D721" s="18"/>
      <c r="E721" s="17" t="s">
        <v>910</v>
      </c>
      <c r="F721" s="17"/>
      <c r="G721" s="18"/>
      <c r="H721" s="18"/>
    </row>
    <row r="722" spans="1:8" ht="13.2">
      <c r="A722" s="15" t="s">
        <v>923</v>
      </c>
      <c r="B722" s="34" t="s">
        <v>924</v>
      </c>
      <c r="C722" s="31">
        <v>6</v>
      </c>
      <c r="D722" s="18"/>
      <c r="E722" s="17" t="s">
        <v>910</v>
      </c>
      <c r="F722" s="17" t="s">
        <v>229</v>
      </c>
      <c r="G722" s="18"/>
      <c r="H722" s="18"/>
    </row>
    <row r="723" spans="1:8" ht="13.2">
      <c r="A723" s="15" t="s">
        <v>925</v>
      </c>
      <c r="B723" s="29" t="s">
        <v>926</v>
      </c>
      <c r="C723" s="17">
        <v>6</v>
      </c>
      <c r="D723" s="26" t="str">
        <f>HYPERLINK("https://ideone.com/YtttCj","Sol")</f>
        <v>Sol</v>
      </c>
      <c r="E723" s="17" t="s">
        <v>910</v>
      </c>
      <c r="F723" s="17" t="s">
        <v>139</v>
      </c>
      <c r="G723" s="18"/>
      <c r="H723" s="18"/>
    </row>
    <row r="724" spans="1:8" ht="13.2">
      <c r="A724" s="19" t="str">
        <f>HYPERLINK("http://codeforces.com/gym/101102/problem/I","CF101102-GYM-I")</f>
        <v>CF101102-GYM-I</v>
      </c>
      <c r="B724" s="29" t="s">
        <v>927</v>
      </c>
      <c r="C724" s="17">
        <v>6</v>
      </c>
      <c r="D724" s="26" t="str">
        <f>HYPERLINK("https://github.com/arvindr9/CompetitiveProgramming/blob/master/CodeForces/CF101102-GYM-I.cpp","Sol")</f>
        <v>Sol</v>
      </c>
      <c r="E724" s="17" t="s">
        <v>910</v>
      </c>
      <c r="F724" s="17"/>
      <c r="G724" s="18"/>
      <c r="H724" s="18"/>
    </row>
    <row r="725" spans="1:8" ht="13.2">
      <c r="A725" s="19" t="str">
        <f>HYPERLINK("http://codeforces.com/contest/626/problem/E","CF626-D2-E")</f>
        <v>CF626-D2-E</v>
      </c>
      <c r="B725" s="15" t="s">
        <v>927</v>
      </c>
      <c r="C725" s="17">
        <v>5.75</v>
      </c>
      <c r="D725" s="18"/>
      <c r="E725" s="17" t="s">
        <v>910</v>
      </c>
      <c r="F725" s="17" t="s">
        <v>139</v>
      </c>
      <c r="G725" s="18"/>
      <c r="H725" s="18"/>
    </row>
    <row r="726" spans="1:8" ht="13.2">
      <c r="A726" s="19" t="str">
        <f>HYPERLINK("http://codeforces.com/contest/106/problem/E","CF106-D2-E")</f>
        <v>CF106-D2-E</v>
      </c>
      <c r="B726" s="29" t="s">
        <v>928</v>
      </c>
      <c r="C726" s="17">
        <v>5.5</v>
      </c>
      <c r="D726" s="18"/>
      <c r="E726" s="17" t="s">
        <v>910</v>
      </c>
      <c r="F726" s="17" t="s">
        <v>201</v>
      </c>
      <c r="G726" s="18"/>
      <c r="H726" s="18"/>
    </row>
    <row r="727" spans="1:8" ht="13.2">
      <c r="A727" s="19" t="str">
        <f>HYPERLINK("http://codeforces.com/contest/939/problem/E","CF939-D2-E")</f>
        <v>CF939-D2-E</v>
      </c>
      <c r="B727" s="20" t="s">
        <v>929</v>
      </c>
      <c r="C727" s="17">
        <v>5.5</v>
      </c>
      <c r="D727" s="18"/>
      <c r="E727" s="17" t="s">
        <v>910</v>
      </c>
      <c r="F727" s="17" t="s">
        <v>242</v>
      </c>
      <c r="G727" s="18"/>
      <c r="H727" s="18"/>
    </row>
    <row r="728" spans="1:8" ht="13.2">
      <c r="A728" s="19" t="str">
        <f>HYPERLINK("https://code.google.com/codejam/contest/189252/dashboard#s=p1&amp;a=1","CODEJAM 09-R1C-B")</f>
        <v>CODEJAM 09-R1C-B</v>
      </c>
      <c r="B728" s="29" t="s">
        <v>924</v>
      </c>
      <c r="C728" s="24">
        <v>5.5</v>
      </c>
      <c r="D728" s="18"/>
      <c r="E728" s="17" t="s">
        <v>910</v>
      </c>
      <c r="F728" s="17"/>
      <c r="G728" s="18"/>
      <c r="H728" s="18"/>
    </row>
    <row r="729" spans="1:8" ht="13.2">
      <c r="A729" s="19" t="str">
        <f>HYPERLINK("http://codeforces.com/contest/250/problem/D","CF250-D2-D")</f>
        <v>CF250-D2-D</v>
      </c>
      <c r="B729" s="29" t="s">
        <v>930</v>
      </c>
      <c r="C729" s="17">
        <v>5.25</v>
      </c>
      <c r="D729" s="18"/>
      <c r="E729" s="17" t="s">
        <v>910</v>
      </c>
      <c r="F729" s="17" t="s">
        <v>154</v>
      </c>
      <c r="G729" s="18"/>
      <c r="H729" s="18"/>
    </row>
    <row r="730" spans="1:8" ht="13.2">
      <c r="A730" s="15" t="s">
        <v>931</v>
      </c>
      <c r="B730" s="29" t="s">
        <v>932</v>
      </c>
      <c r="C730" s="24">
        <v>5</v>
      </c>
      <c r="D730" s="18"/>
      <c r="E730" s="17" t="s">
        <v>910</v>
      </c>
      <c r="F730" s="17" t="s">
        <v>255</v>
      </c>
      <c r="G730" s="18"/>
      <c r="H730" s="18"/>
    </row>
    <row r="731" spans="1:8" ht="13.2">
      <c r="A731" s="15" t="s">
        <v>933</v>
      </c>
      <c r="B731" s="29" t="s">
        <v>934</v>
      </c>
      <c r="C731" s="17">
        <v>5</v>
      </c>
      <c r="D731" s="18"/>
      <c r="E731" s="17" t="s">
        <v>910</v>
      </c>
      <c r="F731" s="17" t="s">
        <v>154</v>
      </c>
      <c r="G731" s="18"/>
      <c r="H731" s="18"/>
    </row>
    <row r="732" spans="1:8" ht="13.2">
      <c r="A732" s="19" t="str">
        <f>HYPERLINK("https://codeforces.com/contest/1244/problem/E","CF1244-D2-E")</f>
        <v>CF1244-D2-E</v>
      </c>
      <c r="B732" s="20" t="s">
        <v>935</v>
      </c>
      <c r="C732" s="17">
        <v>5</v>
      </c>
      <c r="D732" s="18"/>
      <c r="E732" s="17" t="s">
        <v>910</v>
      </c>
      <c r="F732" s="17" t="s">
        <v>139</v>
      </c>
      <c r="G732" s="18"/>
      <c r="H732" s="18"/>
    </row>
    <row r="733" spans="1:8" ht="13.2">
      <c r="A733" s="19" t="str">
        <f>HYPERLINK("http://codeforces.com/contest/818/problem/F","CF818-D12-F")</f>
        <v>CF818-D12-F</v>
      </c>
      <c r="B733" s="15" t="s">
        <v>936</v>
      </c>
      <c r="C733" s="17">
        <v>5</v>
      </c>
      <c r="D733" s="18"/>
      <c r="E733" s="17" t="s">
        <v>910</v>
      </c>
      <c r="F733" s="17" t="s">
        <v>139</v>
      </c>
      <c r="G733" s="18"/>
      <c r="H733" s="18"/>
    </row>
    <row r="734" spans="1:8" ht="13.2">
      <c r="A734" s="19" t="str">
        <f>HYPERLINK("https://codeforces.com/contest/702/problem/D","CF702-D12-D")</f>
        <v>CF702-D12-D</v>
      </c>
      <c r="B734" s="15" t="s">
        <v>927</v>
      </c>
      <c r="C734" s="17">
        <v>5</v>
      </c>
      <c r="D734" s="18"/>
      <c r="E734" s="17" t="s">
        <v>910</v>
      </c>
      <c r="F734" s="17"/>
      <c r="G734" s="18"/>
      <c r="H734" s="18"/>
    </row>
    <row r="735" spans="1:8" ht="13.2">
      <c r="A735" s="19" t="str">
        <f>HYPERLINK("https://community.topcoder.com/stat?c=problem_statement&amp;pm=8020&amp;rd=10790","TC(MONKEYTREEDISTANCE)")</f>
        <v>TC(MONKEYTREEDISTANCE)</v>
      </c>
      <c r="B735" s="30" t="s">
        <v>937</v>
      </c>
      <c r="C735" s="24">
        <v>5</v>
      </c>
      <c r="D735" s="18"/>
      <c r="E735" s="17" t="s">
        <v>910</v>
      </c>
      <c r="F735" s="17"/>
      <c r="G735" s="18"/>
      <c r="H735" s="18"/>
    </row>
    <row r="736" spans="1:8" ht="13.2">
      <c r="A736" s="19" t="str">
        <f>HYPERLINK("http://codeforces.com/contest/304/problem/D","CF304-D2-D")</f>
        <v>CF304-D2-D</v>
      </c>
      <c r="B736" s="29" t="s">
        <v>938</v>
      </c>
      <c r="C736" s="17">
        <v>5</v>
      </c>
      <c r="D736" s="18"/>
      <c r="E736" s="17" t="s">
        <v>910</v>
      </c>
      <c r="F736" s="17"/>
      <c r="G736" s="18"/>
      <c r="H736" s="18"/>
    </row>
    <row r="737" spans="1:8" ht="13.2">
      <c r="A737" s="15" t="s">
        <v>939</v>
      </c>
      <c r="B737" s="30" t="s">
        <v>940</v>
      </c>
      <c r="C737" s="24">
        <v>5</v>
      </c>
      <c r="D737" s="18"/>
      <c r="E737" s="17" t="s">
        <v>910</v>
      </c>
      <c r="F737" s="17"/>
      <c r="G737" s="18"/>
      <c r="H737" s="18"/>
    </row>
    <row r="738" spans="1:8" ht="13.2">
      <c r="A738" s="15" t="s">
        <v>941</v>
      </c>
      <c r="B738" s="29" t="s">
        <v>942</v>
      </c>
      <c r="C738" s="17">
        <v>4</v>
      </c>
      <c r="D738" s="18"/>
      <c r="E738" s="17" t="s">
        <v>910</v>
      </c>
      <c r="F738" s="17"/>
      <c r="G738" s="18"/>
      <c r="H738" s="18"/>
    </row>
    <row r="739" spans="1:8" ht="13.2">
      <c r="A739" s="19" t="str">
        <f>HYPERLINK("http://codeforces.com/contest/439/problem/D","CF439-D2-D")</f>
        <v>CF439-D2-D</v>
      </c>
      <c r="B739" s="29" t="s">
        <v>927</v>
      </c>
      <c r="C739" s="17">
        <v>3.5</v>
      </c>
      <c r="D739" s="18" t="s">
        <v>943</v>
      </c>
      <c r="E739" s="17" t="s">
        <v>910</v>
      </c>
      <c r="F739" s="17"/>
      <c r="G739" s="18"/>
      <c r="H739" s="18"/>
    </row>
    <row r="740" spans="1:8" ht="13.2">
      <c r="A740" s="15" t="s">
        <v>944</v>
      </c>
      <c r="B740" s="29" t="s">
        <v>945</v>
      </c>
      <c r="C740" s="24">
        <v>3</v>
      </c>
      <c r="D740" s="18"/>
      <c r="E740" s="17" t="s">
        <v>910</v>
      </c>
      <c r="F740" s="17" t="s">
        <v>306</v>
      </c>
      <c r="G740" s="18"/>
      <c r="H740" s="18"/>
    </row>
    <row r="741" spans="1:8" ht="13.2">
      <c r="A741" s="15" t="s">
        <v>946</v>
      </c>
      <c r="B741" s="29" t="s">
        <v>927</v>
      </c>
      <c r="C741" s="17">
        <v>3</v>
      </c>
      <c r="D741" s="18"/>
      <c r="E741" s="17" t="s">
        <v>910</v>
      </c>
      <c r="F741" s="17"/>
      <c r="G741" s="18"/>
      <c r="H741" s="18"/>
    </row>
    <row r="742" spans="1:8" ht="13.2">
      <c r="A742" s="15" t="s">
        <v>947</v>
      </c>
      <c r="B742" s="29" t="s">
        <v>927</v>
      </c>
      <c r="C742" s="17">
        <v>3</v>
      </c>
      <c r="D742" s="18"/>
      <c r="E742" s="17" t="s">
        <v>910</v>
      </c>
      <c r="F742" s="17"/>
      <c r="G742" s="18"/>
      <c r="H742" s="18"/>
    </row>
    <row r="743" spans="1:8" ht="13.2">
      <c r="A743" s="15" t="s">
        <v>948</v>
      </c>
      <c r="B743" s="29" t="s">
        <v>927</v>
      </c>
      <c r="C743" s="17">
        <v>2</v>
      </c>
      <c r="D743" s="18"/>
      <c r="E743" s="17" t="s">
        <v>910</v>
      </c>
      <c r="F743" s="17" t="s">
        <v>201</v>
      </c>
      <c r="G743" s="18"/>
      <c r="H743" s="18"/>
    </row>
    <row r="744" spans="1:8" ht="13.2">
      <c r="A744" s="15" t="s">
        <v>949</v>
      </c>
      <c r="B744" s="30" t="s">
        <v>950</v>
      </c>
      <c r="C744" s="24">
        <v>7.5</v>
      </c>
      <c r="D744" s="18"/>
      <c r="E744" s="17" t="s">
        <v>951</v>
      </c>
      <c r="F744" s="17"/>
      <c r="G744" s="18"/>
      <c r="H744" s="18"/>
    </row>
    <row r="745" spans="1:8" ht="13.2">
      <c r="A745" s="19" t="str">
        <f>HYPERLINK("https://www.codechef.com/problems/LEBOXES","CODECHEF LEBOXES")</f>
        <v>CODECHEF LEBOXES</v>
      </c>
      <c r="B745" s="18" t="s">
        <v>952</v>
      </c>
      <c r="C745" s="17">
        <v>7.25</v>
      </c>
      <c r="D745" s="18"/>
      <c r="E745" s="17" t="s">
        <v>951</v>
      </c>
      <c r="F745" s="17"/>
      <c r="G745" s="18"/>
      <c r="H745" s="18"/>
    </row>
    <row r="746" spans="1:8" ht="13.2">
      <c r="A746" s="15" t="s">
        <v>953</v>
      </c>
      <c r="B746" s="29" t="s">
        <v>954</v>
      </c>
      <c r="C746" s="24">
        <v>7.1</v>
      </c>
      <c r="D746" s="26" t="str">
        <f>HYPERLINK("https://github.com/DrSchwad/CompetitiveProgramming/blob/master/TopCoder/SRM388-D1-1000.cpp","Sol")</f>
        <v>Sol</v>
      </c>
      <c r="E746" s="17" t="s">
        <v>951</v>
      </c>
      <c r="F746" s="17" t="s">
        <v>154</v>
      </c>
      <c r="G746" s="18"/>
      <c r="H746" s="18"/>
    </row>
    <row r="747" spans="1:8" ht="13.2">
      <c r="A747" s="19" t="str">
        <f>HYPERLINK("https://www.codechef.com/problems/XORSORT2/", "CODECHEF XORSORT2")</f>
        <v>CODECHEF XORSORT2</v>
      </c>
      <c r="B747" s="20" t="s">
        <v>955</v>
      </c>
      <c r="C747" s="21">
        <v>7.1</v>
      </c>
      <c r="D747" s="26" t="str">
        <f>HYPERLINK("https://github.com/tmwilliamlin168/CompetitiveProgramming/blob/master/CodeChef/XORSORT2.cpp", "Sol")</f>
        <v>Sol</v>
      </c>
      <c r="E747" s="17" t="s">
        <v>951</v>
      </c>
      <c r="F747" s="17"/>
      <c r="G747" s="18"/>
      <c r="H747" s="18"/>
    </row>
    <row r="748" spans="1:8" ht="13.2">
      <c r="A748" s="19" t="str">
        <f>HYPERLINK("https://codeforces.com/contest/1257/problem/F", "CF1257-D12-F")</f>
        <v>CF1257-D12-F</v>
      </c>
      <c r="B748" s="20" t="s">
        <v>956</v>
      </c>
      <c r="C748" s="17">
        <v>7</v>
      </c>
      <c r="D748" s="18"/>
      <c r="E748" s="17" t="s">
        <v>951</v>
      </c>
      <c r="F748" s="17"/>
      <c r="G748" s="18"/>
      <c r="H748" s="18"/>
    </row>
    <row r="749" spans="1:8" ht="13.2">
      <c r="A749" s="15" t="s">
        <v>957</v>
      </c>
      <c r="B749" s="15" t="s">
        <v>958</v>
      </c>
      <c r="C749" s="17">
        <v>6.5</v>
      </c>
      <c r="D749" s="26" t="str">
        <f>HYPERLINK("https://github.com/mostafa-saad/MyCompetitiveProgramming/blob/master/SPOJ/SPOJ_SUBSET.txt","Sol")</f>
        <v>Sol</v>
      </c>
      <c r="E749" s="17" t="s">
        <v>951</v>
      </c>
      <c r="F749" s="17" t="s">
        <v>154</v>
      </c>
      <c r="G749" s="18"/>
      <c r="H749" s="18"/>
    </row>
    <row r="750" spans="1:8" ht="13.2">
      <c r="A750" s="19" t="str">
        <f>HYPERLINK("http://codeforces.com/contest/839/problem/E","CF839-D2-E")</f>
        <v>CF839-D2-E</v>
      </c>
      <c r="B750" s="30" t="s">
        <v>959</v>
      </c>
      <c r="C750" s="17">
        <v>6.5</v>
      </c>
      <c r="D750" s="26" t="str">
        <f>HYPERLINK("https://github.com/mostafa-saad/MyCompetitiveProgramming/blob/master/Codeforces/CF839-D2-E.txt","Sol - must read")</f>
        <v>Sol - must read</v>
      </c>
      <c r="E750" s="17" t="s">
        <v>951</v>
      </c>
      <c r="F750" s="17" t="s">
        <v>154</v>
      </c>
      <c r="G750" s="18"/>
      <c r="H750" s="18"/>
    </row>
    <row r="751" spans="1:8" ht="13.2">
      <c r="A751" s="15" t="s">
        <v>960</v>
      </c>
      <c r="B751" s="29" t="s">
        <v>961</v>
      </c>
      <c r="C751" s="24">
        <v>6.5</v>
      </c>
      <c r="D751" s="26" t="str">
        <f>HYPERLINK("https://github.com/DrSchwad/CompetitiveProgramming/blob/master/TopCoder/SRM307-D1-1000.cpp","Sol")</f>
        <v>Sol</v>
      </c>
      <c r="E751" s="17" t="s">
        <v>951</v>
      </c>
      <c r="F751" s="17" t="s">
        <v>139</v>
      </c>
      <c r="G751" s="18"/>
      <c r="H751" s="18"/>
    </row>
    <row r="752" spans="1:8" ht="13.2">
      <c r="A752" s="19" t="str">
        <f>HYPERLINK("http://codeforces.com/problemset/problem/912/E","CF912-D2-E")</f>
        <v>CF912-D2-E</v>
      </c>
      <c r="B752" s="15" t="s">
        <v>962</v>
      </c>
      <c r="C752" s="17">
        <v>6.4</v>
      </c>
      <c r="D752" s="18"/>
      <c r="E752" s="17" t="s">
        <v>951</v>
      </c>
      <c r="F752" s="17" t="s">
        <v>154</v>
      </c>
      <c r="G752" s="18"/>
      <c r="H752" s="18"/>
    </row>
    <row r="753" spans="1:8" ht="13.2">
      <c r="A753" s="19" t="str">
        <f>HYPERLINK("https://csacademy.com/contest/round-67/task/hamming-distances/","CSA67-E")</f>
        <v>CSA67-E</v>
      </c>
      <c r="B753" s="18" t="s">
        <v>963</v>
      </c>
      <c r="C753" s="17">
        <v>6.3</v>
      </c>
      <c r="D753" s="18"/>
      <c r="E753" s="17" t="s">
        <v>951</v>
      </c>
      <c r="F753" s="17" t="s">
        <v>173</v>
      </c>
      <c r="G753" s="18"/>
      <c r="H753" s="18"/>
    </row>
    <row r="754" spans="1:8" ht="13.2">
      <c r="A754" s="19" t="str">
        <f>HYPERLINK("http://codeforces.com/contest/327/problem/E","CF327-D2-E")</f>
        <v>CF327-D2-E</v>
      </c>
      <c r="B754" s="30" t="s">
        <v>964</v>
      </c>
      <c r="C754" s="24">
        <v>6.3</v>
      </c>
      <c r="D754" s="18"/>
      <c r="E754" s="17" t="s">
        <v>951</v>
      </c>
      <c r="F754" s="17" t="s">
        <v>139</v>
      </c>
      <c r="G754" s="18"/>
      <c r="H754" s="18"/>
    </row>
    <row r="755" spans="1:8" ht="13.2">
      <c r="A755" s="19" t="str">
        <f>HYPERLINK("https://www.codechef.com/MARCH19A/problems/MATPER/","CODECHEF MATPER")</f>
        <v>CODECHEF MATPER</v>
      </c>
      <c r="B755" s="20" t="s">
        <v>965</v>
      </c>
      <c r="C755" s="17">
        <v>6.3</v>
      </c>
      <c r="D755" s="18"/>
      <c r="E755" s="17" t="s">
        <v>951</v>
      </c>
      <c r="F755" s="17" t="s">
        <v>139</v>
      </c>
      <c r="G755" s="18"/>
      <c r="H755" s="18"/>
    </row>
    <row r="756" spans="1:8" ht="13.2">
      <c r="A756" s="19" t="str">
        <f>HYPERLINK("http://codeforces.com/contest/585/problem/D","CF585-D1-D")</f>
        <v>CF585-D1-D</v>
      </c>
      <c r="B756" s="15" t="s">
        <v>966</v>
      </c>
      <c r="C756" s="17">
        <v>6.25</v>
      </c>
      <c r="D756" s="18"/>
      <c r="E756" s="17" t="s">
        <v>951</v>
      </c>
      <c r="F756" s="17" t="s">
        <v>196</v>
      </c>
      <c r="G756" s="18"/>
      <c r="H756" s="18"/>
    </row>
    <row r="757" spans="1:8" ht="13.2">
      <c r="A757" s="15" t="s">
        <v>967</v>
      </c>
      <c r="B757" s="30" t="s">
        <v>968</v>
      </c>
      <c r="C757" s="24">
        <v>6.1</v>
      </c>
      <c r="D757" s="26" t="str">
        <f>HYPERLINK("https://github.com/shashank0107/CompetitiveProgramming/blob/master/SPOJ/SOLIT.cpp","Sol")</f>
        <v>Sol</v>
      </c>
      <c r="E757" s="17" t="s">
        <v>951</v>
      </c>
      <c r="F757" s="17" t="s">
        <v>201</v>
      </c>
      <c r="G757" s="18"/>
      <c r="H757" s="18"/>
    </row>
    <row r="758" spans="1:8" ht="13.2">
      <c r="A758" s="19" t="str">
        <f>HYPERLINK("https://csacademy.com/contest/round-60/task/card-groups/","CSA60-D")</f>
        <v>CSA60-D</v>
      </c>
      <c r="B758" s="18" t="s">
        <v>956</v>
      </c>
      <c r="C758" s="17">
        <v>6</v>
      </c>
      <c r="D758" s="18"/>
      <c r="E758" s="17" t="s">
        <v>951</v>
      </c>
      <c r="F758" s="17" t="s">
        <v>139</v>
      </c>
      <c r="G758" s="18"/>
      <c r="H758" s="18"/>
    </row>
    <row r="759" spans="1:8" ht="13.2">
      <c r="A759" s="15" t="s">
        <v>969</v>
      </c>
      <c r="B759" s="15" t="s">
        <v>956</v>
      </c>
      <c r="C759" s="17">
        <v>5</v>
      </c>
      <c r="D759" s="18" t="s">
        <v>970</v>
      </c>
      <c r="E759" s="17" t="s">
        <v>951</v>
      </c>
      <c r="F759" s="17" t="s">
        <v>154</v>
      </c>
      <c r="G759" s="18"/>
      <c r="H759" s="18"/>
    </row>
    <row r="760" spans="1:8" ht="13.2">
      <c r="A760" s="19" t="str">
        <f>HYPERLINK("http://codeforces.com/contest/490/problem/D","CF490-D2-D")</f>
        <v>CF490-D2-D</v>
      </c>
      <c r="B760" s="41" t="s">
        <v>971</v>
      </c>
      <c r="C760" s="31">
        <v>5</v>
      </c>
      <c r="D760" s="18"/>
      <c r="E760" s="17" t="s">
        <v>951</v>
      </c>
      <c r="F760" s="17" t="s">
        <v>139</v>
      </c>
      <c r="G760" s="18"/>
      <c r="H760" s="18"/>
    </row>
    <row r="761" spans="1:8" ht="13.2">
      <c r="A761" s="15" t="s">
        <v>972</v>
      </c>
      <c r="B761" s="34" t="s">
        <v>973</v>
      </c>
      <c r="C761" s="31">
        <v>5</v>
      </c>
      <c r="D761" s="18"/>
      <c r="E761" s="17" t="s">
        <v>951</v>
      </c>
      <c r="F761" s="17" t="s">
        <v>242</v>
      </c>
      <c r="G761" s="18"/>
      <c r="H761" s="18"/>
    </row>
    <row r="762" spans="1:8" ht="13.2">
      <c r="A762" s="19" t="str">
        <f>HYPERLINK("http://codeforces.com/contest/1006/problem/F","CF1006-D3-F")</f>
        <v>CF1006-D3-F</v>
      </c>
      <c r="B762" s="20" t="s">
        <v>956</v>
      </c>
      <c r="C762" s="17">
        <v>5</v>
      </c>
      <c r="D762" s="18"/>
      <c r="E762" s="17" t="s">
        <v>951</v>
      </c>
      <c r="F762" s="17"/>
      <c r="G762" s="18"/>
      <c r="H762" s="18"/>
    </row>
    <row r="763" spans="1:8" ht="13.2">
      <c r="A763" s="15" t="s">
        <v>974</v>
      </c>
      <c r="B763" s="18" t="s">
        <v>975</v>
      </c>
      <c r="C763" s="17">
        <v>5</v>
      </c>
      <c r="D763" s="18"/>
      <c r="E763" s="17" t="s">
        <v>951</v>
      </c>
      <c r="F763" s="17"/>
      <c r="G763" s="18"/>
      <c r="H763" s="18"/>
    </row>
    <row r="764" spans="1:8" ht="13.2">
      <c r="A764" s="15" t="s">
        <v>976</v>
      </c>
      <c r="B764" s="41" t="s">
        <v>977</v>
      </c>
      <c r="C764" s="17">
        <v>5</v>
      </c>
      <c r="D764" s="26" t="str">
        <f>HYPERLINK("https://github.com/mostafa-saad/MyCompetitiveProgramming/blob/master/UVA/UVA_10125.txt","Sol")</f>
        <v>Sol</v>
      </c>
      <c r="E764" s="17" t="s">
        <v>951</v>
      </c>
      <c r="F764" s="17"/>
      <c r="G764" s="18"/>
      <c r="H764" s="18"/>
    </row>
    <row r="765" spans="1:8" ht="13.2">
      <c r="A765" s="19" t="str">
        <f>HYPERLINK("http://codeforces.com/contest/888/problem/E","CF888-D12-E")</f>
        <v>CF888-D12-E</v>
      </c>
      <c r="B765" s="15" t="s">
        <v>978</v>
      </c>
      <c r="C765" s="17">
        <v>5</v>
      </c>
      <c r="D765" s="18"/>
      <c r="E765" s="17" t="s">
        <v>951</v>
      </c>
      <c r="F765" s="17"/>
      <c r="G765" s="18"/>
      <c r="H765" s="18"/>
    </row>
    <row r="766" spans="1:8" ht="13.2">
      <c r="A766" s="15" t="s">
        <v>979</v>
      </c>
      <c r="B766" s="18" t="s">
        <v>980</v>
      </c>
      <c r="C766" s="17">
        <v>5</v>
      </c>
      <c r="D766" s="18"/>
      <c r="E766" s="17" t="s">
        <v>951</v>
      </c>
      <c r="F766" s="17"/>
      <c r="G766" s="18"/>
      <c r="H766" s="18"/>
    </row>
    <row r="767" spans="1:8" ht="13.2">
      <c r="A767" s="15" t="s">
        <v>981</v>
      </c>
      <c r="B767" s="29" t="s">
        <v>982</v>
      </c>
      <c r="C767" s="17">
        <v>5</v>
      </c>
      <c r="D767" s="18"/>
      <c r="E767" s="17" t="s">
        <v>951</v>
      </c>
      <c r="F767" s="17"/>
      <c r="G767" s="18"/>
      <c r="H767" s="18"/>
    </row>
    <row r="768" spans="1:8" ht="13.2">
      <c r="A768" s="19" t="str">
        <f>HYPERLINK("https://community.topcoder.com/stat?c=problem_statement&amp;pm=6742","TC(KNAPSACKPROBLEM)")</f>
        <v>TC(KNAPSACKPROBLEM)</v>
      </c>
      <c r="B768" s="29" t="s">
        <v>983</v>
      </c>
      <c r="C768" s="31">
        <v>5</v>
      </c>
      <c r="D768" s="26" t="str">
        <f>HYPERLINK("https://github.com/MohamedNabil97/CompetitiveProgramming/blob/master/TopCoder/TC(KNAPSACKPROBLEM).cpp","Sol")</f>
        <v>Sol</v>
      </c>
      <c r="E768" s="17" t="s">
        <v>951</v>
      </c>
      <c r="F768" s="17"/>
      <c r="G768" s="18"/>
      <c r="H768" s="18"/>
    </row>
    <row r="769" spans="1:8" ht="13.2">
      <c r="A769" s="15" t="s">
        <v>984</v>
      </c>
      <c r="B769" s="30" t="s">
        <v>985</v>
      </c>
      <c r="C769" s="17">
        <v>5</v>
      </c>
      <c r="D769" s="18"/>
      <c r="E769" s="17" t="s">
        <v>951</v>
      </c>
      <c r="F769" s="17"/>
      <c r="G769" s="18"/>
      <c r="H769" s="18"/>
    </row>
    <row r="770" spans="1:8" ht="13.2">
      <c r="A770" s="15" t="s">
        <v>986</v>
      </c>
      <c r="B770" s="29" t="s">
        <v>987</v>
      </c>
      <c r="C770" s="24">
        <v>5</v>
      </c>
      <c r="D770" s="18"/>
      <c r="E770" s="17" t="s">
        <v>951</v>
      </c>
      <c r="F770" s="17"/>
      <c r="G770" s="18"/>
      <c r="H770" s="18"/>
    </row>
    <row r="771" spans="1:8" ht="13.2">
      <c r="A771" s="19" t="str">
        <f>HYPERLINK("http://codeforces.com/contest/525/problem/E","CF525-D2-E")</f>
        <v>CF525-D2-E</v>
      </c>
      <c r="B771" s="18" t="s">
        <v>988</v>
      </c>
      <c r="C771" s="17">
        <v>4.5</v>
      </c>
      <c r="D771" s="18"/>
      <c r="E771" s="17" t="s">
        <v>951</v>
      </c>
      <c r="F771" s="17" t="s">
        <v>139</v>
      </c>
      <c r="G771" s="18"/>
      <c r="H771" s="18"/>
    </row>
    <row r="772" spans="1:8" ht="13.2">
      <c r="A772" s="19" t="str">
        <f>HYPERLINK("https://agc026.contest.atcoder.jp/tasks/agc026_c","AtCoder026-AGC-C")</f>
        <v>AtCoder026-AGC-C</v>
      </c>
      <c r="B772" s="20" t="s">
        <v>989</v>
      </c>
      <c r="C772" s="21">
        <v>4.25</v>
      </c>
      <c r="D772" s="26" t="str">
        <f>HYPERLINK("https://github.com/mostafa-saad/MyCompetitiveProgramming/blob/master/AtCoder/AtCoder026-AGC-C.txt","Sol")</f>
        <v>Sol</v>
      </c>
      <c r="E772" s="17" t="s">
        <v>951</v>
      </c>
      <c r="F772" s="17" t="s">
        <v>139</v>
      </c>
      <c r="G772" s="18"/>
      <c r="H772" s="18"/>
    </row>
    <row r="773" spans="1:8" ht="13.2">
      <c r="A773" s="15" t="s">
        <v>990</v>
      </c>
      <c r="B773" s="18" t="s">
        <v>991</v>
      </c>
      <c r="C773" s="17">
        <v>4</v>
      </c>
      <c r="D773" s="18"/>
      <c r="E773" s="17" t="s">
        <v>951</v>
      </c>
      <c r="F773" s="17" t="s">
        <v>229</v>
      </c>
      <c r="G773" s="18"/>
      <c r="H773" s="18"/>
    </row>
    <row r="774" spans="1:8" ht="13.2">
      <c r="A774" s="15" t="s">
        <v>992</v>
      </c>
      <c r="B774" s="29" t="s">
        <v>956</v>
      </c>
      <c r="C774" s="17">
        <v>4</v>
      </c>
      <c r="D774" s="18"/>
      <c r="E774" s="17" t="s">
        <v>951</v>
      </c>
      <c r="F774" s="17" t="s">
        <v>196</v>
      </c>
      <c r="G774" s="18"/>
      <c r="H774" s="18"/>
    </row>
    <row r="775" spans="1:8" ht="13.2">
      <c r="A775" s="15" t="s">
        <v>993</v>
      </c>
      <c r="B775" s="29" t="s">
        <v>956</v>
      </c>
      <c r="C775" s="17">
        <v>4</v>
      </c>
      <c r="D775" s="18"/>
      <c r="E775" s="17" t="s">
        <v>951</v>
      </c>
      <c r="F775" s="17"/>
      <c r="G775" s="18"/>
      <c r="H775" s="18"/>
    </row>
    <row r="776" spans="1:8" ht="13.2">
      <c r="A776" s="19" t="str">
        <f>HYPERLINK("http://codeforces.com/problemset/gymProblem/101064/H","CF101064-GYM-H")</f>
        <v>CF101064-GYM-H</v>
      </c>
      <c r="B776" s="29" t="s">
        <v>994</v>
      </c>
      <c r="C776" s="17">
        <v>3.6</v>
      </c>
      <c r="D776" s="18"/>
      <c r="E776" s="17" t="s">
        <v>951</v>
      </c>
      <c r="F776" s="17"/>
      <c r="G776" s="18"/>
      <c r="H776" s="18"/>
    </row>
    <row r="777" spans="1:8" ht="13.2">
      <c r="A777" s="19" t="str">
        <f>HYPERLINK("https://www.codechef.com/LOCJUL17/problems/AMITNITI","CODECHEF AMITNITI")</f>
        <v>CODECHEF AMITNITI</v>
      </c>
      <c r="B777" s="29" t="s">
        <v>995</v>
      </c>
      <c r="C777" s="17">
        <v>3.5</v>
      </c>
      <c r="D777" s="26" t="str">
        <f>HYPERLINK("https://github.com/shashank0107/CompetitiveProgramming/blob/master/CODECHEF/AMITNITI.cpp","Sol")</f>
        <v>Sol</v>
      </c>
      <c r="E777" s="17" t="s">
        <v>951</v>
      </c>
      <c r="F777" s="17" t="s">
        <v>201</v>
      </c>
      <c r="G777" s="18"/>
      <c r="H777" s="18"/>
    </row>
    <row r="778" spans="1:8" ht="13.2">
      <c r="A778" s="19" t="str">
        <f>HYPERLINK("http://codeforces.com/contest/713/problem/D","CF713-D1-D")</f>
        <v>CF713-D1-D</v>
      </c>
      <c r="B778" s="15" t="s">
        <v>996</v>
      </c>
      <c r="C778" s="24">
        <v>7</v>
      </c>
      <c r="D778" s="18"/>
      <c r="E778" s="17" t="s">
        <v>997</v>
      </c>
      <c r="F778" s="17" t="s">
        <v>139</v>
      </c>
      <c r="G778" s="18"/>
      <c r="H778" s="18"/>
    </row>
    <row r="779" spans="1:8" ht="13.2">
      <c r="A779" s="19" t="str">
        <f>HYPERLINK("https://codeforces.com/contest/1143/problem/E","CF1143-D2-E")</f>
        <v>CF1143-D2-E</v>
      </c>
      <c r="B779" s="23" t="s">
        <v>998</v>
      </c>
      <c r="C779" s="17">
        <v>6.5</v>
      </c>
      <c r="D779" s="18"/>
      <c r="E779" s="17" t="s">
        <v>997</v>
      </c>
      <c r="F779" s="17" t="s">
        <v>139</v>
      </c>
      <c r="G779" s="18"/>
      <c r="H779" s="18"/>
    </row>
    <row r="780" spans="1:8" ht="13.2">
      <c r="A780" s="19" t="str">
        <f>HYPERLINK("http://codeforces.com/contest/515/problem/E","CF515-D2-E")</f>
        <v>CF515-D2-E</v>
      </c>
      <c r="B780" s="15" t="s">
        <v>999</v>
      </c>
      <c r="C780" s="17">
        <v>6.5</v>
      </c>
      <c r="D780" s="18"/>
      <c r="E780" s="17" t="s">
        <v>997</v>
      </c>
      <c r="F780" s="17" t="s">
        <v>139</v>
      </c>
      <c r="G780" s="18"/>
      <c r="H780" s="18"/>
    </row>
    <row r="781" spans="1:8" ht="13.2">
      <c r="A781" s="19" t="str">
        <f>HYPERLINK("http://codeforces.com/contest/1062/problem/E", "CF1062-D2-E")</f>
        <v>CF1062-D2-E</v>
      </c>
      <c r="B781" s="20" t="s">
        <v>1000</v>
      </c>
      <c r="C781" s="21">
        <v>6.25</v>
      </c>
      <c r="D781" s="26" t="str">
        <f>HYPERLINK("https://github.com/Huvok/CompetitiveProgramming/blob/master/Codeforces/CF1062-D2-E.cpp","Sol")</f>
        <v>Sol</v>
      </c>
      <c r="E781" s="17" t="s">
        <v>997</v>
      </c>
      <c r="F781" s="17" t="s">
        <v>139</v>
      </c>
      <c r="G781" s="18"/>
      <c r="H781" s="18"/>
    </row>
    <row r="782" spans="1:8" ht="13.2">
      <c r="A782" s="19" t="str">
        <f>HYPERLINK("http://codeforces.com/contest/869/problem/E","CF869-D2-E")</f>
        <v>CF869-D2-E</v>
      </c>
      <c r="B782" s="15" t="s">
        <v>1001</v>
      </c>
      <c r="C782" s="17">
        <v>6</v>
      </c>
      <c r="D782" s="26" t="str">
        <f>HYPERLINK("https://github.com/AbdallahNaguib/CompetitiveProgramming/blob/master/CF869-D2-E","Sol")</f>
        <v>Sol</v>
      </c>
      <c r="E782" s="17" t="s">
        <v>997</v>
      </c>
      <c r="F782" s="17" t="s">
        <v>139</v>
      </c>
      <c r="G782" s="18"/>
      <c r="H782" s="18"/>
    </row>
    <row r="783" spans="1:8" ht="13.2">
      <c r="A783" s="19" t="str">
        <f>HYPERLINK("https://www.codechef.com/problems/UPDOTR", "CODECHEF UPDOTR")</f>
        <v>CODECHEF UPDOTR</v>
      </c>
      <c r="B783" s="15" t="s">
        <v>1002</v>
      </c>
      <c r="C783" s="17">
        <v>6</v>
      </c>
      <c r="D783" s="18"/>
      <c r="E783" s="17" t="s">
        <v>997</v>
      </c>
      <c r="F783" s="17"/>
      <c r="G783" s="18"/>
      <c r="H783" s="18"/>
    </row>
    <row r="784" spans="1:8" ht="13.2">
      <c r="A784" s="19" t="str">
        <f>HYPERLINK("http://poj.org/problem?id=3145","PKU 3145")</f>
        <v>PKU 3145</v>
      </c>
      <c r="B784" s="28" t="s">
        <v>1003</v>
      </c>
      <c r="C784" s="24">
        <v>6</v>
      </c>
      <c r="D784" s="18"/>
      <c r="E784" s="17" t="s">
        <v>997</v>
      </c>
      <c r="F784" s="17"/>
      <c r="G784" s="18"/>
      <c r="H784" s="18"/>
    </row>
    <row r="785" spans="1:8" ht="13.2">
      <c r="A785" s="19" t="str">
        <f>HYPERLINK("http://codeforces.com/contest/689/problem/D","CF689-D2-D")</f>
        <v>CF689-D2-D</v>
      </c>
      <c r="B785" s="29" t="s">
        <v>1004</v>
      </c>
      <c r="C785" s="24">
        <v>5.75</v>
      </c>
      <c r="D785" s="18"/>
      <c r="E785" s="17" t="s">
        <v>997</v>
      </c>
      <c r="F785" s="17" t="s">
        <v>139</v>
      </c>
      <c r="G785" s="18"/>
      <c r="H785" s="18"/>
    </row>
    <row r="786" spans="1:8" ht="13.2">
      <c r="A786" s="19" t="str">
        <f>HYPERLINK("http://codeforces.com/contest/359/problem/D","CF359-D2-D")</f>
        <v>CF359-D2-D</v>
      </c>
      <c r="B786" s="29" t="s">
        <v>1005</v>
      </c>
      <c r="C786" s="17">
        <v>5.5</v>
      </c>
      <c r="D786" s="26" t="str">
        <f>HYPERLINK("https://github.com/osamahatem/CompetitiveProgramming/blob/master/Codeforces/359D.%20Pair%20of%20Numbers.cpp","Sol")</f>
        <v>Sol</v>
      </c>
      <c r="E786" s="17" t="s">
        <v>997</v>
      </c>
      <c r="F786" s="17" t="s">
        <v>139</v>
      </c>
      <c r="G786" s="18"/>
      <c r="H786" s="18"/>
    </row>
    <row r="787" spans="1:8" ht="13.2">
      <c r="A787" s="19" t="str">
        <f>HYPERLINK("https://codeforces.com/contest/1237/problem/D","CF1237-D12-D")</f>
        <v>CF1237-D12-D</v>
      </c>
      <c r="B787" s="15" t="s">
        <v>1006</v>
      </c>
      <c r="C787" s="17">
        <v>5.5</v>
      </c>
      <c r="D787" s="18"/>
      <c r="E787" s="17" t="s">
        <v>997</v>
      </c>
      <c r="F787" s="17" t="s">
        <v>201</v>
      </c>
      <c r="G787" s="18"/>
      <c r="H787" s="18"/>
    </row>
    <row r="788" spans="1:8" ht="13.2">
      <c r="A788" s="19" t="str">
        <f>HYPERLINK("http://codeforces.com/problemset/problem/514/D","CF514-D2-D")</f>
        <v>CF514-D2-D</v>
      </c>
      <c r="B788" s="29" t="s">
        <v>1007</v>
      </c>
      <c r="C788" s="17">
        <v>5</v>
      </c>
      <c r="D788" s="18" t="s">
        <v>1008</v>
      </c>
      <c r="E788" s="17" t="s">
        <v>997</v>
      </c>
      <c r="F788" s="17" t="s">
        <v>139</v>
      </c>
      <c r="G788" s="18"/>
      <c r="H788" s="18"/>
    </row>
    <row r="789" spans="1:8" ht="13.2">
      <c r="A789" s="15" t="s">
        <v>1009</v>
      </c>
      <c r="B789" s="28" t="s">
        <v>1010</v>
      </c>
      <c r="C789" s="24">
        <v>5</v>
      </c>
      <c r="D789" s="18"/>
      <c r="E789" s="17" t="s">
        <v>997</v>
      </c>
      <c r="F789" s="17"/>
      <c r="G789" s="18"/>
      <c r="H789" s="18"/>
    </row>
    <row r="790" spans="1:8" ht="13.2">
      <c r="A790" s="19" t="str">
        <f>HYPERLINK("http://codeforces.com/problemset/problem/702/E","CF702-D2-E")</f>
        <v>CF702-D2-E</v>
      </c>
      <c r="B790" s="15" t="s">
        <v>1011</v>
      </c>
      <c r="C790" s="17">
        <v>5</v>
      </c>
      <c r="D790" s="18"/>
      <c r="E790" s="17" t="s">
        <v>997</v>
      </c>
      <c r="F790" s="17"/>
      <c r="G790" s="18"/>
      <c r="H790" s="18"/>
    </row>
    <row r="791" spans="1:8" ht="13.2">
      <c r="A791" s="19" t="str">
        <f>HYPERLINK("http://www.spoj.com/problems/HISTOGRA/","SPOJ HISTOGRA")</f>
        <v>SPOJ HISTOGRA</v>
      </c>
      <c r="B791" s="29" t="s">
        <v>1012</v>
      </c>
      <c r="C791" s="17">
        <v>4.5</v>
      </c>
      <c r="D791" s="26" t="str">
        <f>HYPERLINK("https://github.com/mostafa-saad/MyCompetitiveProgramming/blob/master/SPOJ/SPOJ_HISTOGRA.txt","Sol. Don't implement as ad-hoc/greedy/Pure STL. Use a data structure.")</f>
        <v>Sol. Don't implement as ad-hoc/greedy/Pure STL. Use a data structure.</v>
      </c>
      <c r="E791" s="17" t="s">
        <v>997</v>
      </c>
      <c r="F791" s="17" t="s">
        <v>154</v>
      </c>
      <c r="G791" s="18"/>
      <c r="H791" s="18"/>
    </row>
    <row r="792" spans="1:8" ht="13.2">
      <c r="A792" s="19" t="str">
        <f>HYPERLINK("http://codeforces.com/gym/100093/problem/E","CF100093-GYM-E")</f>
        <v>CF100093-GYM-E</v>
      </c>
      <c r="B792" s="20" t="s">
        <v>1013</v>
      </c>
      <c r="C792" s="21">
        <v>4.5</v>
      </c>
      <c r="D792" s="26" t="str">
        <f>HYPERLINK("https://github.com/SpeedOfMagic/CompetitiveProgramming/blob/master/CodeforcesGym/CF100093-GYM-E.cpp","Sol")</f>
        <v>Sol</v>
      </c>
      <c r="E792" s="17" t="s">
        <v>997</v>
      </c>
      <c r="F792" s="17"/>
      <c r="G792" s="18"/>
      <c r="H792" s="18"/>
    </row>
    <row r="793" spans="1:8" ht="13.2">
      <c r="A793" s="15" t="s">
        <v>1014</v>
      </c>
      <c r="B793" s="28" t="s">
        <v>1015</v>
      </c>
      <c r="C793" s="24">
        <v>3</v>
      </c>
      <c r="D793" s="18"/>
      <c r="E793" s="17" t="s">
        <v>997</v>
      </c>
      <c r="F793" s="17"/>
      <c r="G793" s="18"/>
      <c r="H793" s="18"/>
    </row>
    <row r="794" spans="1:8" ht="13.2">
      <c r="A794" s="15" t="s">
        <v>1016</v>
      </c>
      <c r="B794" s="28" t="s">
        <v>1006</v>
      </c>
      <c r="C794" s="24">
        <v>2</v>
      </c>
      <c r="D794" s="18"/>
      <c r="E794" s="17" t="s">
        <v>997</v>
      </c>
      <c r="F794" s="17"/>
      <c r="G794" s="18"/>
      <c r="H794" s="18"/>
    </row>
    <row r="795" spans="1:8" ht="13.2">
      <c r="A795" s="19" t="str">
        <f>HYPERLINK("https://www.codechef.com/problems/IDOLS","CODECHEF IDOLS")</f>
        <v>CODECHEF IDOLS</v>
      </c>
      <c r="B795" s="30" t="s">
        <v>1017</v>
      </c>
      <c r="C795" s="24">
        <v>9</v>
      </c>
      <c r="D795" s="18"/>
      <c r="E795" s="17" t="s">
        <v>1018</v>
      </c>
      <c r="F795" s="17"/>
      <c r="G795" s="18"/>
      <c r="H795" s="18"/>
    </row>
    <row r="796" spans="1:8" ht="13.2">
      <c r="A796" s="19" t="str">
        <f>HYPERLINK("https://www.codechef.com/problems/MUPDO","CODECHEF MUPDO")</f>
        <v>CODECHEF MUPDO</v>
      </c>
      <c r="B796" s="15" t="s">
        <v>1019</v>
      </c>
      <c r="C796" s="24">
        <v>9</v>
      </c>
      <c r="D796" s="18"/>
      <c r="E796" s="17" t="s">
        <v>1018</v>
      </c>
      <c r="F796" s="17"/>
      <c r="G796" s="18"/>
      <c r="H796" s="18"/>
    </row>
    <row r="797" spans="1:8" ht="13.2">
      <c r="A797" s="19" t="str">
        <f>HYPERLINK("http://codeforces.com/contest/1037/problem/H","CF1037-D12-H")</f>
        <v>CF1037-D12-H</v>
      </c>
      <c r="B797" s="20" t="s">
        <v>1020</v>
      </c>
      <c r="C797" s="21">
        <v>9</v>
      </c>
      <c r="D797" s="18"/>
      <c r="E797" s="17" t="s">
        <v>1018</v>
      </c>
      <c r="F797" s="17"/>
      <c r="G797" s="18"/>
      <c r="H797" s="18"/>
    </row>
    <row r="798" spans="1:8" ht="13.2">
      <c r="A798" s="19" t="str">
        <f>HYPERLINK("https://csacademy.com/contest/round-70/task/squared-ends/","CSA70-E")</f>
        <v>CSA70-E</v>
      </c>
      <c r="B798" s="37" t="s">
        <v>1021</v>
      </c>
      <c r="C798" s="17">
        <v>8.5</v>
      </c>
      <c r="D798" s="18"/>
      <c r="E798" s="17" t="s">
        <v>1018</v>
      </c>
      <c r="F798" s="17" t="s">
        <v>173</v>
      </c>
      <c r="G798" s="18"/>
      <c r="H798" s="18"/>
    </row>
    <row r="799" spans="1:8" ht="13.2">
      <c r="A799" s="19" t="str">
        <f>HYPERLINK("http://codeforces.com/contest/447/problem/E","CF447-D2-E")</f>
        <v>CF447-D2-E</v>
      </c>
      <c r="B799" s="32" t="s">
        <v>1017</v>
      </c>
      <c r="C799" s="17">
        <v>8.5</v>
      </c>
      <c r="D799" s="18"/>
      <c r="E799" s="17" t="s">
        <v>1018</v>
      </c>
      <c r="F799" s="17"/>
      <c r="G799" s="18"/>
      <c r="H799" s="18"/>
    </row>
    <row r="800" spans="1:8" ht="13.2">
      <c r="A800" s="19" t="str">
        <f>HYPERLINK("https://codeforces.com/problemset/problem/1060/G", "CF1060-D12-G")</f>
        <v>CF1060-D12-G</v>
      </c>
      <c r="B800" s="23" t="s">
        <v>1017</v>
      </c>
      <c r="C800" s="17">
        <v>8</v>
      </c>
      <c r="D800" s="18"/>
      <c r="E800" s="17" t="s">
        <v>1018</v>
      </c>
      <c r="F800" s="17" t="s">
        <v>139</v>
      </c>
      <c r="G800" s="18"/>
      <c r="H800" s="18"/>
    </row>
    <row r="801" spans="1:8" ht="13.2">
      <c r="A801" s="19" t="str">
        <f>HYPERLINK("https://codeforces.com/problemset/problem/1083/D", "CF1083-D1-D")</f>
        <v>CF1083-D1-D</v>
      </c>
      <c r="B801" s="15" t="s">
        <v>1017</v>
      </c>
      <c r="C801" s="17">
        <v>8</v>
      </c>
      <c r="D801" s="18"/>
      <c r="E801" s="17" t="s">
        <v>1018</v>
      </c>
      <c r="F801" s="17" t="s">
        <v>139</v>
      </c>
      <c r="G801" s="18"/>
      <c r="H801" s="18"/>
    </row>
    <row r="802" spans="1:8" ht="13.2">
      <c r="A802" s="19" t="str">
        <f>HYPERLINK("https://www.hackerrank.com/contests/hourrank-31/challenges/basketball-tournament-1/", "HACKR basketball-tournament-1")</f>
        <v>HACKR basketball-tournament-1</v>
      </c>
      <c r="B802" s="15" t="s">
        <v>1022</v>
      </c>
      <c r="C802" s="17">
        <v>8</v>
      </c>
      <c r="D802" s="18"/>
      <c r="E802" s="17" t="s">
        <v>1018</v>
      </c>
      <c r="F802" s="17" t="s">
        <v>139</v>
      </c>
      <c r="G802" s="18"/>
      <c r="H802" s="18"/>
    </row>
    <row r="803" spans="1:8" ht="13.2">
      <c r="A803" s="19" t="str">
        <f>HYPERLINK("http://codeforces.com/contest/280/problem/D","CF280-D1-D")</f>
        <v>CF280-D1-D</v>
      </c>
      <c r="B803" s="15" t="s">
        <v>1023</v>
      </c>
      <c r="C803" s="24">
        <v>8</v>
      </c>
      <c r="D803" s="18"/>
      <c r="E803" s="17" t="s">
        <v>1018</v>
      </c>
      <c r="F803" s="17" t="s">
        <v>139</v>
      </c>
      <c r="G803" s="18"/>
      <c r="H803" s="18"/>
    </row>
    <row r="804" spans="1:8" ht="13.2">
      <c r="A804" s="19" t="str">
        <f>HYPERLINK("http://codeforces.com/contest/464/problem/E","CF464-D1-E")</f>
        <v>CF464-D1-E</v>
      </c>
      <c r="B804" s="15" t="s">
        <v>1024</v>
      </c>
      <c r="C804" s="24">
        <v>8</v>
      </c>
      <c r="D804" s="18"/>
      <c r="E804" s="17" t="s">
        <v>1018</v>
      </c>
      <c r="F804" s="17" t="s">
        <v>201</v>
      </c>
      <c r="G804" s="18"/>
      <c r="H804" s="18"/>
    </row>
    <row r="805" spans="1:8" ht="13.2">
      <c r="A805" s="15" t="s">
        <v>1025</v>
      </c>
      <c r="B805" s="15" t="s">
        <v>1026</v>
      </c>
      <c r="C805" s="17">
        <v>8</v>
      </c>
      <c r="D805" s="18"/>
      <c r="E805" s="17" t="s">
        <v>1018</v>
      </c>
      <c r="F805" s="17" t="s">
        <v>201</v>
      </c>
      <c r="G805" s="18"/>
      <c r="H805" s="18"/>
    </row>
    <row r="806" spans="1:8" ht="13.2">
      <c r="A806" s="19" t="str">
        <f>HYPERLINK("http://codeforces.com/problemset/gymProblem/101055/B","CF101055-GYM-B")</f>
        <v>CF101055-GYM-B</v>
      </c>
      <c r="B806" s="38" t="s">
        <v>1017</v>
      </c>
      <c r="C806" s="17">
        <v>8</v>
      </c>
      <c r="D806" s="18"/>
      <c r="E806" s="17" t="s">
        <v>1018</v>
      </c>
      <c r="F806" s="17"/>
      <c r="G806" s="18"/>
      <c r="H806" s="18"/>
    </row>
    <row r="807" spans="1:8" ht="13.2">
      <c r="A807" s="19" t="str">
        <f>HYPERLINK("http://codeforces.com/contest/220/problem/E","CF220-D1-E")</f>
        <v>CF220-D1-E</v>
      </c>
      <c r="B807" s="29" t="s">
        <v>1027</v>
      </c>
      <c r="C807" s="17">
        <v>8</v>
      </c>
      <c r="D807" s="18"/>
      <c r="E807" s="17" t="s">
        <v>1018</v>
      </c>
      <c r="F807" s="17"/>
      <c r="G807" s="18"/>
      <c r="H807" s="18"/>
    </row>
    <row r="808" spans="1:8" ht="13.2">
      <c r="A808" s="15" t="s">
        <v>1028</v>
      </c>
      <c r="B808" s="28" t="s">
        <v>1029</v>
      </c>
      <c r="C808" s="17">
        <v>8</v>
      </c>
      <c r="D808" s="18"/>
      <c r="E808" s="17" t="s">
        <v>1018</v>
      </c>
      <c r="F808" s="17"/>
      <c r="G808" s="18"/>
      <c r="H808" s="18"/>
    </row>
    <row r="809" spans="1:8" ht="13.2">
      <c r="A809" s="19" t="str">
        <f>HYPERLINK("http://codeforces.com/contest/260/problem/E","CF260-D2-E")</f>
        <v>CF260-D2-E</v>
      </c>
      <c r="B809" s="15" t="s">
        <v>1030</v>
      </c>
      <c r="C809" s="24">
        <v>8</v>
      </c>
      <c r="D809" s="18"/>
      <c r="E809" s="17" t="s">
        <v>1018</v>
      </c>
      <c r="F809" s="17"/>
      <c r="G809" s="18"/>
      <c r="H809" s="18"/>
    </row>
    <row r="810" spans="1:8" ht="13.2">
      <c r="A810" s="19" t="str">
        <f>HYPERLINK("https://www.codechef.com/problems/DISTNUM2","CODECHEF DISTNUM2")</f>
        <v>CODECHEF DISTNUM2</v>
      </c>
      <c r="B810" s="37" t="s">
        <v>1031</v>
      </c>
      <c r="C810" s="24">
        <v>8</v>
      </c>
      <c r="D810" s="18"/>
      <c r="E810" s="17" t="s">
        <v>1018</v>
      </c>
      <c r="F810" s="17"/>
      <c r="G810" s="18"/>
      <c r="H810" s="18"/>
    </row>
    <row r="811" spans="1:8" ht="13.2">
      <c r="A811" s="19" t="str">
        <f>HYPERLINK("http://codeforces.com/contest/283/problem/E","CF283-D1-E")</f>
        <v>CF283-D1-E</v>
      </c>
      <c r="B811" s="15" t="s">
        <v>1032</v>
      </c>
      <c r="C811" s="24">
        <v>7.75</v>
      </c>
      <c r="D811" s="18"/>
      <c r="E811" s="17" t="s">
        <v>1018</v>
      </c>
      <c r="F811" s="17" t="s">
        <v>139</v>
      </c>
      <c r="G811" s="18"/>
      <c r="H811" s="18"/>
    </row>
    <row r="812" spans="1:8" ht="13.2">
      <c r="A812" s="19" t="str">
        <f>HYPERLINK("https://codeforces.com/contest/1172/problem/F", "CF1172-D1-F")</f>
        <v>CF1172-D1-F</v>
      </c>
      <c r="B812" s="15" t="s">
        <v>1033</v>
      </c>
      <c r="C812" s="17">
        <v>7.75</v>
      </c>
      <c r="D812" s="18"/>
      <c r="E812" s="17" t="s">
        <v>1018</v>
      </c>
      <c r="F812" s="17" t="s">
        <v>139</v>
      </c>
      <c r="G812" s="18"/>
      <c r="H812" s="18"/>
    </row>
    <row r="813" spans="1:8" ht="13.2">
      <c r="A813" s="19" t="str">
        <f>HYPERLINK("http://codeforces.com/contest/529/problem/C","CF529-D1-C")</f>
        <v>CF529-D1-C</v>
      </c>
      <c r="B813" s="29" t="s">
        <v>1017</v>
      </c>
      <c r="C813" s="17">
        <v>7.75</v>
      </c>
      <c r="D813" s="18"/>
      <c r="E813" s="17" t="s">
        <v>1018</v>
      </c>
      <c r="F813" s="17"/>
      <c r="G813" s="18"/>
      <c r="H813" s="18"/>
    </row>
    <row r="814" spans="1:8" ht="13.2">
      <c r="A814" s="19" t="str">
        <f>HYPERLINK("http://codeforces.com/problemset/problem/1044/F", "CF1044-D12-F")</f>
        <v>CF1044-D12-F</v>
      </c>
      <c r="B814" s="15" t="s">
        <v>1017</v>
      </c>
      <c r="C814" s="17">
        <v>7.5</v>
      </c>
      <c r="D814" s="18"/>
      <c r="E814" s="17" t="s">
        <v>1018</v>
      </c>
      <c r="F814" s="17" t="s">
        <v>154</v>
      </c>
      <c r="G814" s="18"/>
      <c r="H814" s="18"/>
    </row>
    <row r="815" spans="1:8" ht="13.2">
      <c r="A815" s="19" t="str">
        <f>HYPERLINK("http://codeforces.com/contest/763/problem/E","CF763-D1-E")</f>
        <v>CF763-D1-E</v>
      </c>
      <c r="B815" s="15" t="s">
        <v>1017</v>
      </c>
      <c r="C815" s="17">
        <v>7.5</v>
      </c>
      <c r="D815" s="18"/>
      <c r="E815" s="17" t="s">
        <v>1018</v>
      </c>
      <c r="F815" s="17" t="s">
        <v>154</v>
      </c>
      <c r="G815" s="18"/>
      <c r="H815" s="18"/>
    </row>
    <row r="816" spans="1:8" ht="13.2">
      <c r="A816" s="19" t="str">
        <f>HYPERLINK("https://codeforces.com/problemset/problem/1084/F","CF1084-D2-F")</f>
        <v>CF1084-D2-F</v>
      </c>
      <c r="B816" s="15" t="s">
        <v>1034</v>
      </c>
      <c r="C816" s="17">
        <v>7.5</v>
      </c>
      <c r="D816" s="18"/>
      <c r="E816" s="17" t="s">
        <v>1018</v>
      </c>
      <c r="F816" s="17" t="s">
        <v>139</v>
      </c>
      <c r="G816" s="18"/>
      <c r="H816" s="18"/>
    </row>
    <row r="817" spans="1:8" ht="13.2">
      <c r="A817" s="19" t="str">
        <f>HYPERLINK("http://codeforces.com/contest/679/problem/E","CF679-D1-E")</f>
        <v>CF679-D1-E</v>
      </c>
      <c r="B817" s="23" t="s">
        <v>1035</v>
      </c>
      <c r="C817" s="24">
        <v>7.5</v>
      </c>
      <c r="D817" s="18"/>
      <c r="E817" s="17" t="s">
        <v>1018</v>
      </c>
      <c r="F817" s="17" t="s">
        <v>201</v>
      </c>
      <c r="G817" s="18"/>
      <c r="H817" s="18"/>
    </row>
    <row r="818" spans="1:8" ht="13.2">
      <c r="A818" s="19" t="str">
        <f>HYPERLINK("https://codeforces.com/contest/1109/problem/E","CF1109-D1-E")</f>
        <v>CF1109-D1-E</v>
      </c>
      <c r="B818" s="20" t="s">
        <v>1036</v>
      </c>
      <c r="C818" s="21">
        <v>7.5</v>
      </c>
      <c r="D818" s="18"/>
      <c r="E818" s="17" t="s">
        <v>1018</v>
      </c>
      <c r="F818" s="17" t="s">
        <v>201</v>
      </c>
      <c r="G818" s="18"/>
      <c r="H818" s="18"/>
    </row>
    <row r="819" spans="1:8" ht="13.2">
      <c r="A819" s="19" t="str">
        <f>HYPERLINK("http://codeforces.com/contest/445/problem/E","CF445-D2-E")</f>
        <v>CF445-D2-E</v>
      </c>
      <c r="B819" s="32" t="s">
        <v>1017</v>
      </c>
      <c r="C819" s="17">
        <v>7.5</v>
      </c>
      <c r="D819" s="18"/>
      <c r="E819" s="17" t="s">
        <v>1018</v>
      </c>
      <c r="F819" s="17"/>
      <c r="G819" s="18"/>
      <c r="H819" s="18"/>
    </row>
    <row r="820" spans="1:8" ht="13.2">
      <c r="A820" s="15" t="s">
        <v>1037</v>
      </c>
      <c r="B820" s="39" t="s">
        <v>1038</v>
      </c>
      <c r="C820" s="24">
        <v>7.5</v>
      </c>
      <c r="D820" s="18"/>
      <c r="E820" s="17" t="s">
        <v>1018</v>
      </c>
      <c r="F820" s="17"/>
      <c r="G820" s="18"/>
      <c r="H820" s="18"/>
    </row>
    <row r="821" spans="1:8" ht="13.2">
      <c r="A821" s="19" t="str">
        <f>HYPERLINK("https://www.codechef.com/problems/COT5","CODECHEF COT5")</f>
        <v>CODECHEF COT5</v>
      </c>
      <c r="B821" s="18" t="s">
        <v>1039</v>
      </c>
      <c r="C821" s="17">
        <v>7.5</v>
      </c>
      <c r="D821" s="18"/>
      <c r="E821" s="17" t="s">
        <v>1018</v>
      </c>
      <c r="F821" s="17"/>
      <c r="G821" s="18"/>
      <c r="H821" s="18"/>
    </row>
    <row r="822" spans="1:8" ht="13.2">
      <c r="A822" s="19" t="str">
        <f>HYPERLINK("https://www.hackerrank.com/contests/world-codesprint-12/challenges/animal-transport","HACKR animal-transport")</f>
        <v>HACKR animal-transport</v>
      </c>
      <c r="B822" s="15" t="s">
        <v>1040</v>
      </c>
      <c r="C822" s="17">
        <v>7.5</v>
      </c>
      <c r="D822" s="18"/>
      <c r="E822" s="17" t="s">
        <v>1018</v>
      </c>
      <c r="F822" s="17"/>
      <c r="G822" s="18"/>
      <c r="H822" s="18"/>
    </row>
    <row r="823" spans="1:8" ht="13.2">
      <c r="A823" s="19" t="str">
        <f>HYPERLINK("http://codeforces.com/contest/587/problem/E","CF587-D1-E")</f>
        <v>CF587-D1-E</v>
      </c>
      <c r="B823" s="15" t="s">
        <v>1041</v>
      </c>
      <c r="C823" s="24">
        <v>7.5</v>
      </c>
      <c r="D823" s="18"/>
      <c r="E823" s="17" t="s">
        <v>1018</v>
      </c>
      <c r="F823" s="17"/>
      <c r="G823" s="18"/>
      <c r="H823" s="18"/>
    </row>
    <row r="824" spans="1:8" ht="13.2">
      <c r="A824" s="15" t="s">
        <v>1042</v>
      </c>
      <c r="B824" s="43" t="s">
        <v>1043</v>
      </c>
      <c r="C824" s="24">
        <v>7.5</v>
      </c>
      <c r="D824" s="18"/>
      <c r="E824" s="17" t="s">
        <v>1018</v>
      </c>
      <c r="F824" s="17"/>
      <c r="G824" s="18"/>
      <c r="H824" s="18"/>
    </row>
    <row r="825" spans="1:8" ht="13.2">
      <c r="A825" s="19" t="str">
        <f>HYPERLINK("https://www.codechef.com/problems/FNCS","CODECHEF FNCS")</f>
        <v>CODECHEF FNCS</v>
      </c>
      <c r="B825" s="18" t="s">
        <v>1044</v>
      </c>
      <c r="C825" s="17">
        <v>7.5</v>
      </c>
      <c r="D825" s="18"/>
      <c r="E825" s="17" t="s">
        <v>1018</v>
      </c>
      <c r="F825" s="17"/>
      <c r="G825" s="18"/>
      <c r="H825" s="18"/>
    </row>
    <row r="826" spans="1:8" ht="13.2">
      <c r="A826" s="19" t="str">
        <f>HYPERLINK("http://codeforces.com/contest/765/problem/F","CF765-D12-F")</f>
        <v>CF765-D12-F</v>
      </c>
      <c r="B826" s="15" t="s">
        <v>1045</v>
      </c>
      <c r="C826" s="17">
        <v>7.25</v>
      </c>
      <c r="D826" s="18"/>
      <c r="E826" s="17" t="s">
        <v>1018</v>
      </c>
      <c r="F826" s="17" t="s">
        <v>1046</v>
      </c>
      <c r="G826" s="18"/>
      <c r="H826" s="18"/>
    </row>
    <row r="827" spans="1:8" ht="13.2">
      <c r="A827" s="19" t="str">
        <f>HYPERLINK("http://codeforces.com/contest/722/problem/F","CF722-D12-F")</f>
        <v>CF722-D12-F</v>
      </c>
      <c r="B827" s="15" t="s">
        <v>1047</v>
      </c>
      <c r="C827" s="24">
        <v>7.25</v>
      </c>
      <c r="D827" s="18"/>
      <c r="E827" s="17" t="s">
        <v>1018</v>
      </c>
      <c r="F827" s="17" t="s">
        <v>173</v>
      </c>
      <c r="G827" s="18"/>
      <c r="H827" s="18"/>
    </row>
    <row r="828" spans="1:8" ht="13.2">
      <c r="A828" s="19" t="str">
        <f>HYPERLINK("http://codeforces.com/contest/453/problem/E","CF453-D1-E")</f>
        <v>CF453-D1-E</v>
      </c>
      <c r="B828" s="15" t="s">
        <v>1048</v>
      </c>
      <c r="C828" s="24">
        <v>7.25</v>
      </c>
      <c r="D828" s="26" t="str">
        <f>HYPERLINK("https://github.com/mostafa-saad/MyCompetitiveProgramming/blob/master/Codeforces/CF453-D1-E.txt","Sol")</f>
        <v>Sol</v>
      </c>
      <c r="E828" s="17" t="s">
        <v>1018</v>
      </c>
      <c r="F828" s="17" t="s">
        <v>139</v>
      </c>
      <c r="G828" s="18"/>
      <c r="H828" s="18"/>
    </row>
    <row r="829" spans="1:8" ht="13.2">
      <c r="A829" s="19" t="str">
        <f>HYPERLINK("http://codeforces.com/contest/484/problem/E","CF484-D1-E")</f>
        <v>CF484-D1-E</v>
      </c>
      <c r="B829" s="15" t="s">
        <v>1049</v>
      </c>
      <c r="C829" s="17">
        <v>7.25</v>
      </c>
      <c r="D829" s="18"/>
      <c r="E829" s="17" t="s">
        <v>1018</v>
      </c>
      <c r="F829" s="17" t="s">
        <v>139</v>
      </c>
      <c r="G829" s="18"/>
      <c r="H829" s="18"/>
    </row>
    <row r="830" spans="1:8" ht="13.2">
      <c r="A830" s="19" t="str">
        <f>HYPERLINK("https://www.codechef.com/DEC18A/problems/CBFEAST","CODECHEF CBFEAST")</f>
        <v>CODECHEF CBFEAST</v>
      </c>
      <c r="B830" s="15" t="s">
        <v>1050</v>
      </c>
      <c r="C830" s="17">
        <v>7.25</v>
      </c>
      <c r="D830" s="18"/>
      <c r="E830" s="17" t="s">
        <v>1018</v>
      </c>
      <c r="F830" s="17"/>
      <c r="G830" s="18"/>
      <c r="H830" s="18"/>
    </row>
    <row r="831" spans="1:8" ht="13.2">
      <c r="A831" s="19" t="str">
        <f>HYPERLINK("http://codeforces.com/contest/903/problem/G","CF903-D12-G")</f>
        <v>CF903-D12-G</v>
      </c>
      <c r="B831" s="37" t="s">
        <v>1051</v>
      </c>
      <c r="C831" s="17">
        <v>7.1</v>
      </c>
      <c r="D831" s="18"/>
      <c r="E831" s="17" t="s">
        <v>1018</v>
      </c>
      <c r="F831" s="17" t="s">
        <v>154</v>
      </c>
      <c r="G831" s="18"/>
      <c r="H831" s="18"/>
    </row>
    <row r="832" spans="1:8" ht="13.2">
      <c r="A832" s="19" t="str">
        <f>HYPERLINK("http://codeforces.com/contest/811/problem/E","CF811-D2-E")</f>
        <v>CF811-D2-E</v>
      </c>
      <c r="B832" s="37" t="s">
        <v>1052</v>
      </c>
      <c r="C832" s="24">
        <v>7</v>
      </c>
      <c r="D832" s="26" t="str">
        <f>HYPERLINK("https://github.com/MetalBall887/Competitive-Programming/blob/master/CodeForces/CF811-D2-E.cpp","Sol")</f>
        <v>Sol</v>
      </c>
      <c r="E832" s="17" t="s">
        <v>1018</v>
      </c>
      <c r="F832" s="17" t="s">
        <v>1053</v>
      </c>
      <c r="G832" s="18"/>
      <c r="H832" s="18"/>
    </row>
    <row r="833" spans="1:8" ht="13.2">
      <c r="A833" s="19" t="str">
        <f>HYPERLINK("http://codeforces.com/contest/377/problem/D","CF377-D1-D")</f>
        <v>CF377-D1-D</v>
      </c>
      <c r="B833" s="18" t="s">
        <v>1017</v>
      </c>
      <c r="C833" s="17">
        <v>7</v>
      </c>
      <c r="D833" s="18"/>
      <c r="E833" s="17" t="s">
        <v>1018</v>
      </c>
      <c r="F833" s="17" t="s">
        <v>139</v>
      </c>
      <c r="G833" s="18"/>
      <c r="H833" s="18"/>
    </row>
    <row r="834" spans="1:8" ht="13.2">
      <c r="A834" s="19" t="str">
        <f>HYPERLINK("http://acm.hdu.edu.cn/showproblem.php?pid=5306", "HDU 5306")</f>
        <v>HDU 5306</v>
      </c>
      <c r="B834" s="15" t="s">
        <v>1054</v>
      </c>
      <c r="C834" s="17">
        <v>7</v>
      </c>
      <c r="D834" s="26" t="str">
        <f>HYPERLINK("https://cmxrynp.github.io/2018/10/21/HDU-5306-Gorgeous-Sequence/","Sol")</f>
        <v>Sol</v>
      </c>
      <c r="E834" s="17" t="s">
        <v>1018</v>
      </c>
      <c r="F834" s="17" t="s">
        <v>139</v>
      </c>
      <c r="G834" s="18"/>
      <c r="H834" s="18"/>
    </row>
    <row r="835" spans="1:8" ht="13.2">
      <c r="A835" s="19" t="str">
        <f>HYPERLINK("http://codeforces.com/contest/849/problem/E","CF849-D2-E")</f>
        <v>CF849-D2-E</v>
      </c>
      <c r="B835" s="15" t="s">
        <v>1055</v>
      </c>
      <c r="C835" s="17">
        <v>7</v>
      </c>
      <c r="D835" s="18"/>
      <c r="E835" s="17" t="s">
        <v>1018</v>
      </c>
      <c r="F835" s="17" t="s">
        <v>139</v>
      </c>
      <c r="G835" s="18"/>
      <c r="H835" s="18"/>
    </row>
    <row r="836" spans="1:8" ht="13.2">
      <c r="A836" s="19" t="str">
        <f>HYPERLINK("https://www.codechef.com/JAN19A/problems/MXDIST","CODECHEF MXDIST")</f>
        <v>CODECHEF MXDIST</v>
      </c>
      <c r="B836" s="37" t="s">
        <v>1056</v>
      </c>
      <c r="C836" s="17">
        <v>7</v>
      </c>
      <c r="D836" s="18"/>
      <c r="E836" s="17" t="s">
        <v>1018</v>
      </c>
      <c r="F836" s="17" t="s">
        <v>139</v>
      </c>
      <c r="G836" s="18"/>
      <c r="H836" s="18"/>
    </row>
    <row r="837" spans="1:8" ht="13.2">
      <c r="A837" s="19" t="str">
        <f>HYPERLINK("http://codeforces.com/contest/817/problem/F","CF817-D12-F")</f>
        <v>CF817-D12-F</v>
      </c>
      <c r="B837" s="15" t="s">
        <v>1017</v>
      </c>
      <c r="C837" s="17">
        <v>7</v>
      </c>
      <c r="D837" s="18"/>
      <c r="E837" s="17" t="s">
        <v>1018</v>
      </c>
      <c r="F837" s="17" t="s">
        <v>201</v>
      </c>
      <c r="G837" s="18"/>
      <c r="H837" s="18"/>
    </row>
    <row r="838" spans="1:8" ht="13.2">
      <c r="A838" s="19" t="str">
        <f>HYPERLINK("https://www.hackerrank.com/contests/worldcup/challenges/two-arrays-1","HACKR two-arrays-1")</f>
        <v>HACKR two-arrays-1</v>
      </c>
      <c r="B838" s="15" t="s">
        <v>1017</v>
      </c>
      <c r="C838" s="17">
        <v>7</v>
      </c>
      <c r="D838" s="18"/>
      <c r="E838" s="17" t="s">
        <v>1018</v>
      </c>
      <c r="F838" s="17" t="s">
        <v>201</v>
      </c>
      <c r="G838" s="18"/>
      <c r="H838" s="18"/>
    </row>
    <row r="839" spans="1:8" ht="13.2">
      <c r="A839" s="19" t="str">
        <f>HYPERLINK("http://codeforces.com/gym/100956/attachments","CF100956-GYM-J")</f>
        <v>CF100956-GYM-J</v>
      </c>
      <c r="B839" s="38" t="s">
        <v>1057</v>
      </c>
      <c r="C839" s="17">
        <v>7</v>
      </c>
      <c r="D839" s="18"/>
      <c r="E839" s="17" t="s">
        <v>1018</v>
      </c>
      <c r="F839" s="17" t="s">
        <v>201</v>
      </c>
      <c r="G839" s="18"/>
      <c r="H839" s="18"/>
    </row>
    <row r="840" spans="1:8" ht="13.2">
      <c r="A840" s="19" t="str">
        <f>HYPERLINK("http://codeforces.com/contest/498/problem/D","CF498-D1-D")</f>
        <v>CF498-D1-D</v>
      </c>
      <c r="B840" s="15" t="s">
        <v>1058</v>
      </c>
      <c r="C840" s="17">
        <v>7</v>
      </c>
      <c r="D840" s="18"/>
      <c r="E840" s="17" t="s">
        <v>1018</v>
      </c>
      <c r="F840" s="17" t="s">
        <v>201</v>
      </c>
      <c r="G840" s="18"/>
      <c r="H840" s="18"/>
    </row>
    <row r="841" spans="1:8" ht="13.2">
      <c r="A841" s="15" t="s">
        <v>1059</v>
      </c>
      <c r="B841" s="30" t="s">
        <v>1060</v>
      </c>
      <c r="C841" s="24">
        <v>7</v>
      </c>
      <c r="D841" s="18"/>
      <c r="E841" s="17" t="s">
        <v>1018</v>
      </c>
      <c r="F841" s="17"/>
      <c r="G841" s="18"/>
      <c r="H841" s="18"/>
    </row>
    <row r="842" spans="1:8" ht="13.2">
      <c r="A842" s="15" t="s">
        <v>1061</v>
      </c>
      <c r="B842" s="28" t="s">
        <v>1062</v>
      </c>
      <c r="C842" s="17">
        <v>7</v>
      </c>
      <c r="D842" s="18"/>
      <c r="E842" s="17" t="s">
        <v>1018</v>
      </c>
      <c r="F842" s="17"/>
      <c r="G842" s="18"/>
      <c r="H842" s="18"/>
    </row>
    <row r="843" spans="1:8" ht="13.2">
      <c r="A843" s="19" t="str">
        <f>HYPERLINK("http://uoj.ac/problem/164","UOJ 164")</f>
        <v>UOJ 164</v>
      </c>
      <c r="B843" s="15" t="s">
        <v>1063</v>
      </c>
      <c r="C843" s="17">
        <v>7</v>
      </c>
      <c r="D843" s="26" t="str">
        <f>HYPERLINK("https://cmxrynp.github.io/2018/10/25/UOJ-164-%E6%B8%85%E5%8D%8E%E9%9B%86%E8%AE%AD2015-V/","Sol")</f>
        <v>Sol</v>
      </c>
      <c r="E843" s="17" t="s">
        <v>1018</v>
      </c>
      <c r="F843" s="17"/>
      <c r="G843" s="18"/>
      <c r="H843" s="18"/>
    </row>
    <row r="844" spans="1:8" ht="13.2">
      <c r="A844" s="19" t="str">
        <f>HYPERLINK("https://www.lydsy.com/JudgeOnline/problem.php?id=3064","BZOJ 3064")</f>
        <v>BZOJ 3064</v>
      </c>
      <c r="B844" s="15" t="s">
        <v>1064</v>
      </c>
      <c r="C844" s="17">
        <v>7</v>
      </c>
      <c r="D844" s="26" t="str">
        <f>HYPERLINK("https://cmxrynp.github.io/2018/10/24/BZOJ-3064-Tyvj-1518-CPU%E7%9B%91%E6%8E%A7/","Sol")</f>
        <v>Sol</v>
      </c>
      <c r="E844" s="17" t="s">
        <v>1018</v>
      </c>
      <c r="F844" s="17"/>
      <c r="G844" s="18"/>
      <c r="H844" s="18"/>
    </row>
    <row r="845" spans="1:8" ht="13.2">
      <c r="A845" s="19" t="str">
        <f>HYPERLINK("http://codeforces.com/contest/173/problem/E","CF173-D12-E")</f>
        <v>CF173-D12-E</v>
      </c>
      <c r="B845" s="15" t="s">
        <v>1030</v>
      </c>
      <c r="C845" s="24">
        <v>7</v>
      </c>
      <c r="D845" s="18"/>
      <c r="E845" s="17" t="s">
        <v>1018</v>
      </c>
      <c r="F845" s="17"/>
      <c r="G845" s="18"/>
      <c r="H845" s="18"/>
    </row>
    <row r="846" spans="1:8" ht="13.2">
      <c r="A846" s="19" t="str">
        <f>HYPERLINK("http://codeforces.com/contest/633/problem/G","CF633-D12-G")</f>
        <v>CF633-D12-G</v>
      </c>
      <c r="B846" s="15" t="s">
        <v>1065</v>
      </c>
      <c r="C846" s="24">
        <v>7</v>
      </c>
      <c r="D846" s="18"/>
      <c r="E846" s="17" t="s">
        <v>1018</v>
      </c>
      <c r="F846" s="17"/>
      <c r="G846" s="18"/>
      <c r="H846" s="18"/>
    </row>
    <row r="847" spans="1:8" ht="13.2">
      <c r="A847" s="19" t="str">
        <f>HYPERLINK("http://codeforces.com/contest/526/problem/F","CF526-D12-F")</f>
        <v>CF526-D12-F</v>
      </c>
      <c r="B847" s="15" t="s">
        <v>1066</v>
      </c>
      <c r="C847" s="24">
        <v>7</v>
      </c>
      <c r="D847" s="18"/>
      <c r="E847" s="17" t="s">
        <v>1018</v>
      </c>
      <c r="F847" s="17"/>
      <c r="G847" s="18"/>
      <c r="H847" s="18"/>
    </row>
    <row r="848" spans="1:8" ht="13.2">
      <c r="A848" s="19" t="str">
        <f>HYPERLINK("http://codeforces.com/contest/256/problem/E","CF256-D1-E")</f>
        <v>CF256-D1-E</v>
      </c>
      <c r="B848" s="29" t="s">
        <v>1040</v>
      </c>
      <c r="C848" s="17">
        <v>7</v>
      </c>
      <c r="D848" s="18"/>
      <c r="E848" s="17" t="s">
        <v>1018</v>
      </c>
      <c r="F848" s="17"/>
      <c r="G848" s="18"/>
      <c r="H848" s="18"/>
    </row>
    <row r="849" spans="1:8" ht="13.2">
      <c r="A849" s="19" t="str">
        <f>HYPERLINK("https://csacademy.com/contest/archive/task/baby-seokhwan/", "CSA84-G")</f>
        <v>CSA84-G</v>
      </c>
      <c r="B849" s="20" t="s">
        <v>1067</v>
      </c>
      <c r="C849" s="21">
        <v>7</v>
      </c>
      <c r="D849" s="18"/>
      <c r="E849" s="17" t="s">
        <v>1018</v>
      </c>
      <c r="F849" s="17"/>
      <c r="G849" s="18"/>
      <c r="H849" s="18"/>
    </row>
    <row r="850" spans="1:8" ht="13.2">
      <c r="A850" s="19" t="str">
        <f>HYPERLINK("https://www.codechef.com/problems/FRBSUM","CODECHEF FRBSUM")</f>
        <v>CODECHEF FRBSUM</v>
      </c>
      <c r="B850" s="28" t="s">
        <v>1068</v>
      </c>
      <c r="C850" s="24">
        <v>7</v>
      </c>
      <c r="D850" s="18"/>
      <c r="E850" s="17" t="s">
        <v>1018</v>
      </c>
      <c r="F850" s="17"/>
      <c r="G850" s="18"/>
      <c r="H850" s="18"/>
    </row>
    <row r="851" spans="1:8" ht="13.2">
      <c r="A851" s="19" t="str">
        <f>HYPERLINK("http://codeforces.com/contest/266/problem/E","CF163-D2-E")</f>
        <v>CF163-D2-E</v>
      </c>
      <c r="B851" s="15" t="s">
        <v>1069</v>
      </c>
      <c r="C851" s="17">
        <v>6.8</v>
      </c>
      <c r="D851" s="18"/>
      <c r="E851" s="17" t="s">
        <v>1018</v>
      </c>
      <c r="F851" s="17" t="s">
        <v>1046</v>
      </c>
      <c r="G851" s="18"/>
      <c r="H851" s="18"/>
    </row>
    <row r="852" spans="1:8" ht="13.2">
      <c r="A852" s="19" t="str">
        <f>HYPERLINK("http://codeforces.com/contest/516/problem/C","CF516-D1-C")</f>
        <v>CF516-D1-C</v>
      </c>
      <c r="B852" s="29" t="s">
        <v>1070</v>
      </c>
      <c r="C852" s="17">
        <v>6.8</v>
      </c>
      <c r="D852" s="18"/>
      <c r="E852" s="17" t="s">
        <v>1018</v>
      </c>
      <c r="F852" s="17" t="s">
        <v>139</v>
      </c>
      <c r="G852" s="18"/>
      <c r="H852" s="18"/>
    </row>
    <row r="853" spans="1:8" ht="13.2">
      <c r="A853" s="15" t="s">
        <v>1071</v>
      </c>
      <c r="B853" s="18" t="s">
        <v>1072</v>
      </c>
      <c r="C853" s="17">
        <v>6.75</v>
      </c>
      <c r="D853" s="26" t="str">
        <f>HYPERLINK("https://github.com/minaamir26/Competitive-Programming/blob/master/SPOJ/GSS2.java","Sol")</f>
        <v>Sol</v>
      </c>
      <c r="E853" s="17" t="s">
        <v>1018</v>
      </c>
      <c r="F853" s="17" t="s">
        <v>173</v>
      </c>
      <c r="G853" s="18"/>
      <c r="H853" s="18"/>
    </row>
    <row r="854" spans="1:8" ht="13.2">
      <c r="A854" s="19" t="str">
        <f>HYPERLINK("https://arc067.contest.atcoder.jp/tasks/arc067_d","AtCoder067-ARC-F")</f>
        <v>AtCoder067-ARC-F</v>
      </c>
      <c r="B854" s="37" t="s">
        <v>1073</v>
      </c>
      <c r="C854" s="17">
        <v>6.75</v>
      </c>
      <c r="D854" s="26" t="str">
        <f>HYPERLINK("https://github.com/mostafa-saad/MyCompetitiveProgramming/blob/master/AtCoder/AtCoder067-ARC-F.txt","Sol")</f>
        <v>Sol</v>
      </c>
      <c r="E854" s="17" t="s">
        <v>1018</v>
      </c>
      <c r="F854" s="17" t="s">
        <v>154</v>
      </c>
      <c r="G854" s="18"/>
      <c r="H854" s="18"/>
    </row>
    <row r="855" spans="1:8" ht="13.2">
      <c r="A855" s="19" t="str">
        <f>HYPERLINK("http://codeforces.com/contest/258/problem/E","CF258-D1-E")</f>
        <v>CF258-D1-E</v>
      </c>
      <c r="B855" s="20" t="s">
        <v>1074</v>
      </c>
      <c r="C855" s="21">
        <v>6.75</v>
      </c>
      <c r="D855" s="18"/>
      <c r="E855" s="17" t="s">
        <v>1018</v>
      </c>
      <c r="F855" s="17" t="s">
        <v>154</v>
      </c>
      <c r="G855" s="18"/>
      <c r="H855" s="18"/>
    </row>
    <row r="856" spans="1:8" ht="13.2">
      <c r="A856" s="19" t="str">
        <f>HYPERLINK("http://codeforces.com/contest/438/problem/D","CF438-D1-D")</f>
        <v>CF438-D1-D</v>
      </c>
      <c r="B856" s="29" t="s">
        <v>1075</v>
      </c>
      <c r="C856" s="17">
        <v>6.75</v>
      </c>
      <c r="D856" s="18"/>
      <c r="E856" s="17" t="s">
        <v>1018</v>
      </c>
      <c r="F856" s="17" t="s">
        <v>154</v>
      </c>
      <c r="G856" s="18"/>
      <c r="H856" s="18"/>
    </row>
    <row r="857" spans="1:8" ht="13.2">
      <c r="A857" s="19" t="str">
        <f>HYPERLINK("http://codeforces.com/contest/610/problem/E","CF610-D2-E")</f>
        <v>CF610-D2-E</v>
      </c>
      <c r="B857" s="32" t="s">
        <v>1076</v>
      </c>
      <c r="C857" s="17">
        <v>6.75</v>
      </c>
      <c r="D857" s="26" t="str">
        <f>HYPERLINK("https://github.com/Huvok/CompetitiveProgramming/blob/master/Codeforces/CF610-D2-E.cpp", "Sol")</f>
        <v>Sol</v>
      </c>
      <c r="E857" s="17" t="s">
        <v>1018</v>
      </c>
      <c r="F857" s="17" t="s">
        <v>154</v>
      </c>
      <c r="G857" s="18"/>
      <c r="H857" s="18"/>
    </row>
    <row r="858" spans="1:8" ht="13.2">
      <c r="A858" s="19" t="str">
        <f>HYPERLINK("http://codeforces.com/contest/1042/problem/F", "CF1042-D2-F")</f>
        <v>CF1042-D2-F</v>
      </c>
      <c r="B858" s="20" t="s">
        <v>1077</v>
      </c>
      <c r="C858" s="21">
        <v>6.75</v>
      </c>
      <c r="D858" s="26" t="str">
        <f>HYPERLINK("https://github.com/tmwilliamlin168/CompetitiveProgramming/blob/master/CodeForces/CF1042-D2-F.cpp", "Sol (not the official)")</f>
        <v>Sol (not the official)</v>
      </c>
      <c r="E858" s="17" t="s">
        <v>1018</v>
      </c>
      <c r="F858" s="17" t="s">
        <v>139</v>
      </c>
      <c r="G858" s="18"/>
      <c r="H858" s="18"/>
    </row>
    <row r="859" spans="1:8" ht="13.2">
      <c r="A859" s="19" t="str">
        <f>HYPERLINK("http://codeforces.com/contest/981/problem/G", "CF981-D12-G")</f>
        <v>CF981-D12-G</v>
      </c>
      <c r="B859" s="20" t="s">
        <v>1078</v>
      </c>
      <c r="C859" s="21">
        <v>6.75</v>
      </c>
      <c r="D859" s="26" t="str">
        <f>HYPERLINK("https://github.com/tmwilliamlin168/CompetitiveProgramming/blob/master/CodeForces/CF981-D12-G.java", "Sol")</f>
        <v>Sol</v>
      </c>
      <c r="E859" s="17" t="s">
        <v>1018</v>
      </c>
      <c r="F859" s="17" t="s">
        <v>139</v>
      </c>
      <c r="G859" s="18"/>
      <c r="H859" s="18"/>
    </row>
    <row r="860" spans="1:8" ht="13.2">
      <c r="A860" s="19" t="str">
        <f>HYPERLINK("http://codeforces.com/contest/786/problem/C","CF786-D1-C")</f>
        <v>CF786-D1-C</v>
      </c>
      <c r="B860" s="29" t="s">
        <v>1079</v>
      </c>
      <c r="C860" s="17">
        <v>6.75</v>
      </c>
      <c r="D860" s="26" t="str">
        <f>HYPERLINK("https://github.com/Cerberus97/CompetitiveProgrammingSolutions/blob/master/CodeForces/CF786-D1-C.cpp","Compute Complxity. One sol")</f>
        <v>Compute Complxity. One sol</v>
      </c>
      <c r="E860" s="17" t="s">
        <v>1018</v>
      </c>
      <c r="F860" s="17" t="s">
        <v>139</v>
      </c>
      <c r="G860" s="18"/>
      <c r="H860" s="18"/>
    </row>
    <row r="861" spans="1:8" ht="13.2">
      <c r="A861" s="19" t="str">
        <f>HYPERLINK("https://codeforces.com/contest/1080/problem/F","CF1080-D2-F")</f>
        <v>CF1080-D2-F</v>
      </c>
      <c r="B861" s="15" t="s">
        <v>1080</v>
      </c>
      <c r="C861" s="17">
        <v>6.75</v>
      </c>
      <c r="D861" s="18"/>
      <c r="E861" s="17" t="s">
        <v>1018</v>
      </c>
      <c r="F861" s="17" t="s">
        <v>139</v>
      </c>
      <c r="G861" s="18"/>
      <c r="H861" s="18"/>
    </row>
    <row r="862" spans="1:8" ht="13.2">
      <c r="A862" s="19" t="str">
        <f>HYPERLINK("http://codeforces.com/contest/115/problem/E","CF115-D1-E")</f>
        <v>CF115-D1-E</v>
      </c>
      <c r="B862" s="15" t="s">
        <v>1040</v>
      </c>
      <c r="C862" s="24">
        <v>6.75</v>
      </c>
      <c r="D862" s="18"/>
      <c r="E862" s="17" t="s">
        <v>1018</v>
      </c>
      <c r="F862" s="17" t="s">
        <v>201</v>
      </c>
      <c r="G862" s="18"/>
      <c r="H862" s="18"/>
    </row>
    <row r="863" spans="1:8" ht="13.2">
      <c r="A863" s="19" t="str">
        <f>HYPERLINK("https://codeforces.com/contest/377/problem/D","CF377-D1-D")</f>
        <v>CF377-D1-D</v>
      </c>
      <c r="B863" s="20" t="s">
        <v>1081</v>
      </c>
      <c r="C863" s="21">
        <v>6.75</v>
      </c>
      <c r="D863" s="18"/>
      <c r="E863" s="17" t="s">
        <v>1018</v>
      </c>
      <c r="F863" s="17"/>
      <c r="G863" s="18"/>
      <c r="H863" s="18"/>
    </row>
    <row r="864" spans="1:8" ht="13.2">
      <c r="A864" s="19" t="str">
        <f>HYPERLINK("http://codeforces.com/problemset/gymProblem/100812/E","CF100182-GYM-E")</f>
        <v>CF100182-GYM-E</v>
      </c>
      <c r="B864" s="15" t="s">
        <v>1017</v>
      </c>
      <c r="C864" s="17">
        <v>6.75</v>
      </c>
      <c r="D864" s="18"/>
      <c r="E864" s="17" t="s">
        <v>1018</v>
      </c>
      <c r="F864" s="17"/>
      <c r="G864" s="18"/>
      <c r="H864" s="18"/>
    </row>
    <row r="865" spans="1:8" ht="13.2">
      <c r="A865" s="19" t="str">
        <f>HYPERLINK("http://codeforces.com/contest/555/problem/C","CF555-D1-C")</f>
        <v>CF555-D1-C</v>
      </c>
      <c r="B865" s="29" t="s">
        <v>1017</v>
      </c>
      <c r="C865" s="17">
        <v>6.75</v>
      </c>
      <c r="D865" s="18"/>
      <c r="E865" s="17" t="s">
        <v>1018</v>
      </c>
      <c r="F865" s="17"/>
      <c r="G865" s="18"/>
      <c r="H865" s="18"/>
    </row>
    <row r="866" spans="1:8" ht="13.2">
      <c r="A866" s="19" t="str">
        <f>HYPERLINK("http://codeforces.com/contest/381/problem/E","CF381-D2-E")</f>
        <v>CF381-D2-E</v>
      </c>
      <c r="B866" s="29" t="s">
        <v>1027</v>
      </c>
      <c r="C866" s="17">
        <v>6.75</v>
      </c>
      <c r="D866" s="18"/>
      <c r="E866" s="17" t="s">
        <v>1018</v>
      </c>
      <c r="F866" s="17"/>
      <c r="G866" s="18"/>
      <c r="H866" s="18"/>
    </row>
    <row r="867" spans="1:8" ht="13.2">
      <c r="A867" s="15" t="s">
        <v>1082</v>
      </c>
      <c r="B867" s="28" t="s">
        <v>1083</v>
      </c>
      <c r="C867" s="17">
        <v>6.75</v>
      </c>
      <c r="D867" s="18"/>
      <c r="E867" s="17" t="s">
        <v>1018</v>
      </c>
      <c r="F867" s="17"/>
      <c r="G867" s="18"/>
      <c r="H867" s="18"/>
    </row>
    <row r="868" spans="1:8" ht="13.2">
      <c r="A868" s="19" t="str">
        <f>HYPERLINK("http://codeforces.com/contest/132/problem/D","CF132-D1-D")</f>
        <v>CF132-D1-D</v>
      </c>
      <c r="B868" s="29" t="s">
        <v>1040</v>
      </c>
      <c r="C868" s="17">
        <v>6.75</v>
      </c>
      <c r="D868" s="18"/>
      <c r="E868" s="17" t="s">
        <v>1018</v>
      </c>
      <c r="F868" s="17"/>
      <c r="G868" s="18"/>
      <c r="H868" s="18"/>
    </row>
    <row r="869" spans="1:8" ht="13.2">
      <c r="A869" s="15" t="s">
        <v>1084</v>
      </c>
      <c r="B869" s="30" t="s">
        <v>1085</v>
      </c>
      <c r="C869" s="24">
        <v>6.75</v>
      </c>
      <c r="D869" s="26" t="str">
        <f>HYPERLINK("http://ideone.com/0GO5Qp","Bits Sol")</f>
        <v>Bits Sol</v>
      </c>
      <c r="E869" s="17" t="s">
        <v>1018</v>
      </c>
      <c r="F869" s="17"/>
      <c r="G869" s="18"/>
      <c r="H869" s="18"/>
    </row>
    <row r="870" spans="1:8" ht="13.2">
      <c r="A870" s="19" t="str">
        <f>HYPERLINK("http://codeforces.com/contest/719/problem/E","CF719-D2-E")</f>
        <v>CF719-D2-E</v>
      </c>
      <c r="B870" s="15" t="s">
        <v>1086</v>
      </c>
      <c r="C870" s="24">
        <v>6.6</v>
      </c>
      <c r="D870" s="18"/>
      <c r="E870" s="17" t="s">
        <v>1018</v>
      </c>
      <c r="F870" s="17" t="s">
        <v>154</v>
      </c>
      <c r="G870" s="18"/>
      <c r="H870" s="18"/>
    </row>
    <row r="871" spans="1:8" ht="13.2">
      <c r="A871" s="19" t="str">
        <f>HYPERLINK("http://codeforces.com/gym/101492/problem/C","CF101492-gym-C")</f>
        <v>CF101492-gym-C</v>
      </c>
      <c r="B871" s="15" t="s">
        <v>1087</v>
      </c>
      <c r="C871" s="17">
        <v>6.5</v>
      </c>
      <c r="D871" s="26" t="str">
        <f>HYPERLINK("https://github.com/mostafa-saad/MyCompetitiveProgramming/blob/master/Codeforces/CF101492-GYM-C.txt","Sol")</f>
        <v>Sol</v>
      </c>
      <c r="E871" s="17" t="s">
        <v>1018</v>
      </c>
      <c r="F871" s="17" t="s">
        <v>1053</v>
      </c>
      <c r="G871" s="18"/>
      <c r="H871" s="18"/>
    </row>
    <row r="872" spans="1:8" ht="13.2">
      <c r="A872" s="19" t="str">
        <f>HYPERLINK("http://codeforces.com/contest/787/problem/D","CF787-D2-D")</f>
        <v>CF787-D2-D</v>
      </c>
      <c r="B872" s="38" t="s">
        <v>1088</v>
      </c>
      <c r="C872" s="17">
        <v>6.5</v>
      </c>
      <c r="D872" s="26" t="str">
        <f>HYPERLINK("https://github.com/Huvok/CompetitiveProgramming/blob/master/Codeforces/CF787-D2-D.cpp","Sol")</f>
        <v>Sol</v>
      </c>
      <c r="E872" s="17" t="s">
        <v>1018</v>
      </c>
      <c r="F872" s="17" t="s">
        <v>154</v>
      </c>
      <c r="G872" s="18"/>
      <c r="H872" s="18"/>
    </row>
    <row r="873" spans="1:8" ht="13.2">
      <c r="A873" s="19" t="str">
        <f>HYPERLINK("https://atcoder.jp/contests/dp/tasks/dp_w","Atcoder-DP-Intervals")</f>
        <v>Atcoder-DP-Intervals</v>
      </c>
      <c r="B873" s="15" t="s">
        <v>1040</v>
      </c>
      <c r="C873" s="17">
        <v>6.5</v>
      </c>
      <c r="D873" s="18"/>
      <c r="E873" s="17" t="s">
        <v>1018</v>
      </c>
      <c r="F873" s="17" t="s">
        <v>154</v>
      </c>
      <c r="G873" s="18"/>
      <c r="H873" s="18"/>
    </row>
    <row r="874" spans="1:8" ht="13.2">
      <c r="A874" s="19" t="str">
        <f>HYPERLINK("https://codeforces.com/contest/911/problem/G","CF911-D2-G")</f>
        <v>CF911-D2-G</v>
      </c>
      <c r="B874" s="29" t="s">
        <v>1089</v>
      </c>
      <c r="C874" s="17">
        <v>6.5</v>
      </c>
      <c r="D874" s="26" t="str">
        <f>HYPERLINK("https://github.com/mostafa-saad/MyCompetitiveProgramming/blob/master/Codeforces/CF911-D2-G.txt","Sol")</f>
        <v>Sol</v>
      </c>
      <c r="E874" s="17" t="s">
        <v>1018</v>
      </c>
      <c r="F874" s="17" t="s">
        <v>154</v>
      </c>
      <c r="G874" s="18"/>
      <c r="H874" s="18"/>
    </row>
    <row r="875" spans="1:8" ht="13.2">
      <c r="A875" s="19" t="str">
        <f>HYPERLINK("https://codeforces.com/contest/1239/problem/C","CF1239-D1-C")</f>
        <v>CF1239-D1-C</v>
      </c>
      <c r="B875" s="15" t="s">
        <v>1017</v>
      </c>
      <c r="C875" s="17">
        <v>6.5</v>
      </c>
      <c r="D875" s="18"/>
      <c r="E875" s="17" t="s">
        <v>1018</v>
      </c>
      <c r="F875" s="17" t="s">
        <v>139</v>
      </c>
      <c r="G875" s="18"/>
      <c r="H875" s="18"/>
    </row>
    <row r="876" spans="1:8" ht="13.2">
      <c r="A876" s="19" t="str">
        <f>HYPERLINK("http://codeforces.com/contest/893/problem/F","CF893-D12-F")</f>
        <v>CF893-D12-F</v>
      </c>
      <c r="B876" s="37" t="s">
        <v>1090</v>
      </c>
      <c r="C876" s="17">
        <v>6.5</v>
      </c>
      <c r="D876" s="18"/>
      <c r="E876" s="17" t="s">
        <v>1018</v>
      </c>
      <c r="F876" s="17" t="s">
        <v>139</v>
      </c>
      <c r="G876" s="18"/>
      <c r="H876" s="18"/>
    </row>
    <row r="877" spans="1:8" ht="13.2">
      <c r="A877" s="19" t="str">
        <f>HYPERLINK("https://www.codechef.com/JUNE19A/problems/COOLCHEF","Codechef COOLCHEF")</f>
        <v>Codechef COOLCHEF</v>
      </c>
      <c r="B877" s="20" t="s">
        <v>1091</v>
      </c>
      <c r="C877" s="21">
        <v>6.5</v>
      </c>
      <c r="D877" s="18"/>
      <c r="E877" s="17" t="s">
        <v>1018</v>
      </c>
      <c r="F877" s="17" t="s">
        <v>139</v>
      </c>
      <c r="G877" s="18"/>
      <c r="H877" s="18"/>
    </row>
    <row r="878" spans="1:8" ht="13.2">
      <c r="A878" s="15" t="s">
        <v>1092</v>
      </c>
      <c r="B878" s="28" t="s">
        <v>1093</v>
      </c>
      <c r="C878" s="24">
        <v>6.5</v>
      </c>
      <c r="D878" s="18"/>
      <c r="E878" s="17" t="s">
        <v>1018</v>
      </c>
      <c r="F878" s="17" t="s">
        <v>613</v>
      </c>
      <c r="G878" s="18"/>
      <c r="H878" s="18"/>
    </row>
    <row r="879" spans="1:8" ht="13.2">
      <c r="A879" s="19" t="str">
        <f>HYPERLINK("https://codeforces.com/contest/1114/problem/F","CF1114-D2-F")</f>
        <v>CF1114-D2-F</v>
      </c>
      <c r="B879" s="15" t="s">
        <v>1094</v>
      </c>
      <c r="C879" s="17">
        <v>6.5</v>
      </c>
      <c r="D879" s="18"/>
      <c r="E879" s="17" t="s">
        <v>1018</v>
      </c>
      <c r="F879" s="17" t="s">
        <v>201</v>
      </c>
      <c r="G879" s="18"/>
      <c r="H879" s="18"/>
    </row>
    <row r="880" spans="1:8" ht="13.2">
      <c r="A880" s="19" t="str">
        <f>HYPERLINK("https://uva.onlinejudge.org/index.php?option=com_onlinejudge&amp;Itemid=8&amp;page=show_problem&amp;problem=3143","UVA 11992")</f>
        <v>UVA 11992</v>
      </c>
      <c r="B880" s="15" t="s">
        <v>1095</v>
      </c>
      <c r="C880" s="17">
        <v>6.5</v>
      </c>
      <c r="D880" s="26" t="str">
        <f>HYPERLINK("https://github.com/amraboelkher/CompetitiveProgramming/blob/master/UVA/11992%20-%20Fast%20Matrix%20Operations.cpp","Sol")</f>
        <v>Sol</v>
      </c>
      <c r="E880" s="17" t="s">
        <v>1018</v>
      </c>
      <c r="F880" s="17" t="s">
        <v>242</v>
      </c>
      <c r="G880" s="18"/>
      <c r="H880" s="18"/>
    </row>
    <row r="881" spans="1:8" ht="13.2">
      <c r="A881" s="19" t="str">
        <f>HYPERLINK("http://codeforces.com/contest/420/problem/D","CF420-D1-D")</f>
        <v>CF420-D1-D</v>
      </c>
      <c r="B881" s="29" t="s">
        <v>1096</v>
      </c>
      <c r="C881" s="17">
        <v>6.5</v>
      </c>
      <c r="D881" s="18"/>
      <c r="E881" s="17" t="s">
        <v>1018</v>
      </c>
      <c r="F881" s="17"/>
      <c r="G881" s="18"/>
      <c r="H881" s="18"/>
    </row>
    <row r="882" spans="1:8" ht="13.2">
      <c r="A882" s="19" t="str">
        <f>HYPERLINK("https://www.codechef.com/problems/BOMBING","CODECHEF BOMBING")</f>
        <v>CODECHEF BOMBING</v>
      </c>
      <c r="B882" s="18" t="s">
        <v>1097</v>
      </c>
      <c r="C882" s="17">
        <v>6.5</v>
      </c>
      <c r="D882" s="18"/>
      <c r="E882" s="17" t="s">
        <v>1018</v>
      </c>
      <c r="F882" s="17"/>
      <c r="G882" s="18"/>
      <c r="H882" s="18"/>
    </row>
    <row r="883" spans="1:8" ht="13.2">
      <c r="A883" s="19" t="str">
        <f>HYPERLINK("https://www.codechef.com/problems/SLIS","CODECHEF SLIS")</f>
        <v>CODECHEF SLIS</v>
      </c>
      <c r="B883" s="18" t="s">
        <v>1098</v>
      </c>
      <c r="C883" s="17">
        <v>6.5</v>
      </c>
      <c r="D883" s="18"/>
      <c r="E883" s="17" t="s">
        <v>1018</v>
      </c>
      <c r="F883" s="17"/>
      <c r="G883" s="18"/>
      <c r="H883" s="18"/>
    </row>
    <row r="884" spans="1:8" ht="13.2">
      <c r="A884" s="15" t="s">
        <v>1099</v>
      </c>
      <c r="B884" s="28" t="s">
        <v>1100</v>
      </c>
      <c r="C884" s="24">
        <v>6.5</v>
      </c>
      <c r="D884" s="26" t="str">
        <f>HYPERLINK("https://github.com/stefdasca/CompetitiveProgramming/blob/master/SPOJ/XXXXXXXX.cpp","Sol")</f>
        <v>Sol</v>
      </c>
      <c r="E884" s="17" t="s">
        <v>1018</v>
      </c>
      <c r="F884" s="17"/>
      <c r="G884" s="18"/>
      <c r="H884" s="18"/>
    </row>
    <row r="885" spans="1:8" ht="13.2">
      <c r="A885" s="19" t="str">
        <f>HYPERLINK("http://codeforces.com/contest/833/problem/B","CF833-D1-B")</f>
        <v>CF833-D1-B</v>
      </c>
      <c r="B885" s="25" t="s">
        <v>1040</v>
      </c>
      <c r="C885" s="17">
        <v>6.5</v>
      </c>
      <c r="D885" s="18"/>
      <c r="E885" s="17" t="s">
        <v>1018</v>
      </c>
      <c r="F885" s="17"/>
      <c r="G885" s="18"/>
      <c r="H885" s="18"/>
    </row>
    <row r="886" spans="1:8" ht="13.2">
      <c r="A886" s="19" t="str">
        <f>HYPERLINK("https://codeforces.com/contest/150/problem/C","CF150-D1-C")</f>
        <v>CF150-D1-C</v>
      </c>
      <c r="B886" s="20" t="s">
        <v>1101</v>
      </c>
      <c r="C886" s="21">
        <v>6.5</v>
      </c>
      <c r="D886" s="26" t="str">
        <f>HYPERLINK("https://github.com/tmwilliamlin168/CompetitiveProgramming/blob/master/CodeForces/CF150-D1-C.java", "Sol")</f>
        <v>Sol</v>
      </c>
      <c r="E886" s="17" t="s">
        <v>1018</v>
      </c>
      <c r="F886" s="17"/>
      <c r="G886" s="18"/>
      <c r="H886" s="18"/>
    </row>
    <row r="887" spans="1:8" ht="13.2">
      <c r="A887" s="19" t="str">
        <f>HYPERLINK("http://codeforces.com/contest/580/problem/E","CF580-D2-E")</f>
        <v>CF580-D2-E</v>
      </c>
      <c r="B887" s="18" t="s">
        <v>1102</v>
      </c>
      <c r="C887" s="24">
        <v>6.5</v>
      </c>
      <c r="D887" s="18"/>
      <c r="E887" s="17" t="s">
        <v>1018</v>
      </c>
      <c r="F887" s="17"/>
      <c r="G887" s="18"/>
      <c r="H887" s="18"/>
    </row>
    <row r="888" spans="1:8" ht="13.2">
      <c r="A888" s="19" t="str">
        <f>HYPERLINK("http://codeforces.com/contest/83/problem/G","CF803-D12-G")</f>
        <v>CF803-D12-G</v>
      </c>
      <c r="B888" s="15" t="s">
        <v>1103</v>
      </c>
      <c r="C888" s="17">
        <v>6.5</v>
      </c>
      <c r="D888" s="18"/>
      <c r="E888" s="17" t="s">
        <v>1018</v>
      </c>
      <c r="F888" s="17"/>
      <c r="G888" s="18"/>
      <c r="H888" s="18"/>
    </row>
    <row r="889" spans="1:8" ht="13.2">
      <c r="A889" s="19" t="str">
        <f>HYPERLINK("https://www.codechef.com/MARCH18B/problems/PSHTRG","CODECHE PSHTRG")</f>
        <v>CODECHE PSHTRG</v>
      </c>
      <c r="B889" s="18" t="s">
        <v>1104</v>
      </c>
      <c r="C889" s="17">
        <v>6.5</v>
      </c>
      <c r="D889" s="18"/>
      <c r="E889" s="17" t="s">
        <v>1018</v>
      </c>
      <c r="F889" s="17"/>
      <c r="G889" s="18"/>
      <c r="H889" s="18"/>
    </row>
    <row r="890" spans="1:8" ht="13.2">
      <c r="A890" s="19" t="str">
        <f>HYPERLINK("https://csacademy.com/contest/round-78/task/strange-matrix/","CSA78-D")</f>
        <v>CSA78-D</v>
      </c>
      <c r="B890" s="15" t="s">
        <v>1040</v>
      </c>
      <c r="C890" s="17">
        <v>6.4</v>
      </c>
      <c r="D890" s="18"/>
      <c r="E890" s="17" t="s">
        <v>1018</v>
      </c>
      <c r="F890" s="17" t="s">
        <v>139</v>
      </c>
      <c r="G890" s="18"/>
      <c r="H890" s="18"/>
    </row>
    <row r="891" spans="1:8" ht="13.2">
      <c r="A891" s="19" t="str">
        <f>HYPERLINK("https://codeforces.com/contest/1107/problem/G","CF1107-D12-G")</f>
        <v>CF1107-D12-G</v>
      </c>
      <c r="B891" s="15" t="s">
        <v>1105</v>
      </c>
      <c r="C891" s="17">
        <v>6.4</v>
      </c>
      <c r="D891" s="18"/>
      <c r="E891" s="17" t="s">
        <v>1018</v>
      </c>
      <c r="F891" s="17" t="s">
        <v>201</v>
      </c>
      <c r="G891" s="18"/>
      <c r="H891" s="18"/>
    </row>
    <row r="892" spans="1:8" ht="13.2">
      <c r="A892" s="15" t="s">
        <v>1106</v>
      </c>
      <c r="B892" s="28" t="s">
        <v>1107</v>
      </c>
      <c r="C892" s="24">
        <v>6.25</v>
      </c>
      <c r="D892" s="26" t="str">
        <f>HYPERLINK("https://github.com/mostafa-saad/MyCompetitiveProgramming/blob/master/SPOJ/SPOJ_FREQUENT.txt","Sol")</f>
        <v>Sol</v>
      </c>
      <c r="E892" s="17" t="s">
        <v>1018</v>
      </c>
      <c r="F892" s="17" t="s">
        <v>173</v>
      </c>
      <c r="G892" s="18"/>
      <c r="H892" s="18"/>
    </row>
    <row r="893" spans="1:8" ht="13.2">
      <c r="A893" s="19" t="str">
        <f>HYPERLINK("https://csacademy.com/contest/round-41/task/candles/","CSA41-E")</f>
        <v>CSA41-E</v>
      </c>
      <c r="B893" s="15" t="s">
        <v>1108</v>
      </c>
      <c r="C893" s="17">
        <v>6.25</v>
      </c>
      <c r="D893" s="26" t="str">
        <f>HYPERLINK("https://github.com/FranciscoThiesen/CompetitiveProgramming/blob/master/CSAcademy/CSA41-E.cpp","Sol (not in editorial)")</f>
        <v>Sol (not in editorial)</v>
      </c>
      <c r="E893" s="17" t="s">
        <v>1018</v>
      </c>
      <c r="F893" s="17" t="s">
        <v>154</v>
      </c>
      <c r="G893" s="18"/>
      <c r="H893" s="18"/>
    </row>
    <row r="894" spans="1:8" ht="13.2">
      <c r="A894" s="19" t="str">
        <f>HYPERLINK("http://poj.org/problem?id=2991","PKU 2991")</f>
        <v>PKU 2991</v>
      </c>
      <c r="B894" s="29" t="s">
        <v>1109</v>
      </c>
      <c r="C894" s="17">
        <v>6.25</v>
      </c>
      <c r="D894" s="26" t="str">
        <f>HYPERLINK("https://github.com/goswami-rahul/competitive-coding/blob/master/CompetitiveProgramming/poj/PKU-2991.cpp","Sol")</f>
        <v>Sol</v>
      </c>
      <c r="E894" s="17" t="s">
        <v>1018</v>
      </c>
      <c r="F894" s="17" t="s">
        <v>154</v>
      </c>
      <c r="G894" s="18"/>
      <c r="H894" s="18"/>
    </row>
    <row r="895" spans="1:8" ht="13.2">
      <c r="A895" s="19" t="str">
        <f>HYPERLINK("https://codeforces.com/contest/1110/problem/F","CF1110-D12-F")</f>
        <v>CF1110-D12-F</v>
      </c>
      <c r="B895" s="15" t="s">
        <v>1110</v>
      </c>
      <c r="C895" s="17">
        <v>6.25</v>
      </c>
      <c r="D895" s="18"/>
      <c r="E895" s="17" t="s">
        <v>1018</v>
      </c>
      <c r="F895" s="17" t="s">
        <v>154</v>
      </c>
      <c r="G895" s="18"/>
      <c r="H895" s="18"/>
    </row>
    <row r="896" spans="1:8" ht="13.2">
      <c r="A896" s="19" t="str">
        <f>HYPERLINK("http://codeforces.com/problemset/problem/813/E","CF813-D12-E")</f>
        <v>CF813-D12-E</v>
      </c>
      <c r="B896" s="15" t="s">
        <v>1111</v>
      </c>
      <c r="C896" s="17">
        <v>6.25</v>
      </c>
      <c r="D896" s="26" t="str">
        <f>HYPERLINK("https://github.com/mostafa-saad/MyCompetitiveProgramming/blob/master/Codeforces/CF813-D12-E.txt","Sol")</f>
        <v>Sol</v>
      </c>
      <c r="E896" s="17" t="s">
        <v>1018</v>
      </c>
      <c r="F896" s="17" t="s">
        <v>1112</v>
      </c>
      <c r="G896" s="18"/>
      <c r="H896" s="18"/>
    </row>
    <row r="897" spans="1:8" ht="13.2">
      <c r="A897" s="19" t="str">
        <f>HYPERLINK("http://codeforces.com/contest/462/problem/E","CF462-D2-E")</f>
        <v>CF462-D2-E</v>
      </c>
      <c r="B897" s="15" t="s">
        <v>1017</v>
      </c>
      <c r="C897" s="24">
        <v>6.25</v>
      </c>
      <c r="D897" s="18"/>
      <c r="E897" s="17" t="s">
        <v>1018</v>
      </c>
      <c r="F897" s="17" t="s">
        <v>139</v>
      </c>
      <c r="G897" s="18"/>
      <c r="H897" s="18"/>
    </row>
    <row r="898" spans="1:8" ht="13.2">
      <c r="A898" s="19" t="str">
        <f>HYPERLINK("http://codeforces.com/contest/121/problem/E","CF121-D1-E")</f>
        <v>CF121-D1-E</v>
      </c>
      <c r="B898" s="29" t="s">
        <v>1113</v>
      </c>
      <c r="C898" s="17">
        <v>6.25</v>
      </c>
      <c r="D898" s="18"/>
      <c r="E898" s="17" t="s">
        <v>1018</v>
      </c>
      <c r="F898" s="17" t="s">
        <v>139</v>
      </c>
      <c r="G898" s="18"/>
      <c r="H898" s="18"/>
    </row>
    <row r="899" spans="1:8" ht="13.2">
      <c r="A899" s="19" t="str">
        <f>HYPERLINK("https://codeforces.com/contest/1093/problem/G","CF1023-D12-G")</f>
        <v>CF1023-D12-G</v>
      </c>
      <c r="B899" s="15" t="s">
        <v>1114</v>
      </c>
      <c r="C899" s="17">
        <v>6.25</v>
      </c>
      <c r="D899" s="18" t="s">
        <v>1115</v>
      </c>
      <c r="E899" s="17" t="s">
        <v>1018</v>
      </c>
      <c r="F899" s="17" t="s">
        <v>139</v>
      </c>
      <c r="G899" s="18"/>
      <c r="H899" s="18"/>
    </row>
    <row r="900" spans="1:8" ht="13.2">
      <c r="A900" s="19" t="str">
        <f>HYPERLINK("https://codeforces.com/contest/1093/problem/G","CF1093-D12-G")</f>
        <v>CF1093-D12-G</v>
      </c>
      <c r="B900" s="15" t="s">
        <v>1116</v>
      </c>
      <c r="C900" s="17">
        <v>6.25</v>
      </c>
      <c r="D900" s="26" t="str">
        <f>HYPERLINK("https://codeforces.com/contest/1093/submission/47602077","Sol")</f>
        <v>Sol</v>
      </c>
      <c r="E900" s="17" t="s">
        <v>1018</v>
      </c>
      <c r="F900" s="17" t="s">
        <v>139</v>
      </c>
      <c r="G900" s="18"/>
      <c r="H900" s="18"/>
    </row>
    <row r="901" spans="1:8" ht="13.2">
      <c r="A901" s="15" t="s">
        <v>1117</v>
      </c>
      <c r="B901" s="28" t="s">
        <v>1118</v>
      </c>
      <c r="C901" s="24">
        <v>6.25</v>
      </c>
      <c r="D901" s="26" t="str">
        <f>HYPERLINK("https://github.com/mostafa-saad/MyCompetitiveProgramming/blob/master/SPOJ/SPOJ_MKTHNUM.txt","Learn Persistent segment tree")</f>
        <v>Learn Persistent segment tree</v>
      </c>
      <c r="E901" s="17" t="s">
        <v>1018</v>
      </c>
      <c r="F901" s="17" t="s">
        <v>139</v>
      </c>
      <c r="G901" s="18"/>
      <c r="H901" s="18"/>
    </row>
    <row r="902" spans="1:8" ht="13.2">
      <c r="A902" s="19" t="str">
        <f>HYPERLINK("http://codeforces.com/contest/739/problem/C","CF739-D1-C")</f>
        <v>CF739-D1-C</v>
      </c>
      <c r="B902" s="18" t="s">
        <v>1119</v>
      </c>
      <c r="C902" s="24">
        <v>6.25</v>
      </c>
      <c r="D902" s="18"/>
      <c r="E902" s="17" t="s">
        <v>1018</v>
      </c>
      <c r="F902" s="17" t="s">
        <v>139</v>
      </c>
      <c r="G902" s="18"/>
      <c r="H902" s="18"/>
    </row>
    <row r="903" spans="1:8" ht="13.2">
      <c r="A903" s="15" t="s">
        <v>1120</v>
      </c>
      <c r="B903" s="30" t="s">
        <v>1017</v>
      </c>
      <c r="C903" s="24">
        <v>6.25</v>
      </c>
      <c r="D903" s="26" t="str">
        <f>HYPERLINK("https://github.com/3agwa/CompetitiveProgramming/blob/master/SPOJ/SPOJ%20SAMTWARR.%20cpp","Sol")</f>
        <v>Sol</v>
      </c>
      <c r="E903" s="17" t="s">
        <v>1018</v>
      </c>
      <c r="F903" s="17"/>
      <c r="G903" s="18"/>
      <c r="H903" s="18"/>
    </row>
    <row r="904" spans="1:8" ht="13.2">
      <c r="A904" s="19" t="str">
        <f>HYPERLINK("http://codeforces.com/gym/101194/attachments","CF101194-GYM-C")</f>
        <v>CF101194-GYM-C</v>
      </c>
      <c r="B904" s="18" t="s">
        <v>1121</v>
      </c>
      <c r="C904" s="17">
        <v>6.25</v>
      </c>
      <c r="D904" s="26" t="str">
        <f>HYPERLINK("https://github.com/hosamk92/CompetitiveProgramming/blob/master/Codeforces/CF101194-GYM-C.cpp","Sol")</f>
        <v>Sol</v>
      </c>
      <c r="E904" s="17" t="s">
        <v>1018</v>
      </c>
      <c r="F904" s="17"/>
      <c r="G904" s="18"/>
      <c r="H904" s="18"/>
    </row>
    <row r="905" spans="1:8" ht="13.2">
      <c r="A905" s="19" t="str">
        <f>HYPERLINK("https://codeforces.com/contest/1136/problem/E", "CF1136-D2-E")</f>
        <v>CF1136-D2-E</v>
      </c>
      <c r="B905" s="15" t="s">
        <v>1122</v>
      </c>
      <c r="C905" s="17">
        <v>6.1</v>
      </c>
      <c r="D905" s="18"/>
      <c r="E905" s="17" t="s">
        <v>1018</v>
      </c>
      <c r="F905" s="17" t="s">
        <v>139</v>
      </c>
      <c r="G905" s="18"/>
      <c r="H905" s="18"/>
    </row>
    <row r="906" spans="1:8" ht="13.2">
      <c r="A906" s="19" t="str">
        <f>HYPERLINK("https://vjudge.net/contest/309391?fbclid=IwAR03s2ptSalIu-W-SphQRe9TKA9c5iD8CEHbuacq6BwfAygDc_nn2_SdtiE#problem/D","IFHLC19-C2-D")</f>
        <v>IFHLC19-C2-D</v>
      </c>
      <c r="B906" s="15" t="s">
        <v>1123</v>
      </c>
      <c r="C906" s="17">
        <v>6.1</v>
      </c>
      <c r="D906" s="26" t="str">
        <f>HYPERLINK("https://ideone.com/KCCz60","Sol")</f>
        <v>Sol</v>
      </c>
      <c r="E906" s="17" t="s">
        <v>1018</v>
      </c>
      <c r="F906" s="17" t="s">
        <v>139</v>
      </c>
      <c r="G906" s="18"/>
      <c r="H906" s="18"/>
    </row>
    <row r="907" spans="1:8" ht="13.2">
      <c r="A907" s="19" t="str">
        <f>HYPERLINK("http://codeforces.com/contest/145/problem/E","CF145-D1-E")</f>
        <v>CF145-D1-E</v>
      </c>
      <c r="B907" s="29" t="s">
        <v>1017</v>
      </c>
      <c r="C907" s="17">
        <v>6.1</v>
      </c>
      <c r="D907" s="18"/>
      <c r="E907" s="17" t="s">
        <v>1018</v>
      </c>
      <c r="F907" s="17" t="s">
        <v>201</v>
      </c>
      <c r="G907" s="18"/>
      <c r="H907" s="18"/>
    </row>
    <row r="908" spans="1:8" ht="13.2">
      <c r="A908" s="19" t="str">
        <f>HYPERLINK("https://codeforces.com/contest/1146/problem/E","CF1146-D12-E")</f>
        <v>CF1146-D12-E</v>
      </c>
      <c r="B908" s="20" t="s">
        <v>1124</v>
      </c>
      <c r="C908" s="21">
        <v>6.1</v>
      </c>
      <c r="D908" s="18"/>
      <c r="E908" s="17" t="s">
        <v>1018</v>
      </c>
      <c r="F908" s="17" t="s">
        <v>201</v>
      </c>
      <c r="G908" s="18"/>
      <c r="H908" s="18"/>
    </row>
    <row r="909" spans="1:8" ht="13.2">
      <c r="A909" s="19" t="str">
        <f>HYPERLINK("https://codeforces.com/contest/397/problem/E","CF397-D2-E")</f>
        <v>CF397-D2-E</v>
      </c>
      <c r="B909" s="20" t="s">
        <v>1017</v>
      </c>
      <c r="C909" s="21">
        <v>6</v>
      </c>
      <c r="D909" s="18"/>
      <c r="E909" s="17" t="s">
        <v>1018</v>
      </c>
      <c r="F909" s="17" t="s">
        <v>154</v>
      </c>
      <c r="G909" s="18"/>
      <c r="H909" s="18"/>
    </row>
    <row r="910" spans="1:8" ht="13.2">
      <c r="A910" s="19" t="str">
        <f>HYPERLINK("https://www.codechef.com/problems/MBOARD","CODECHEF MBOARD")</f>
        <v>CODECHEF MBOARD</v>
      </c>
      <c r="B910" s="15" t="s">
        <v>1125</v>
      </c>
      <c r="C910" s="21">
        <v>6</v>
      </c>
      <c r="D910" s="26" t="str">
        <f>HYPERLINK("https://github.com/tanmoy13/CompetitveProgramming/blob/master/Online-Judge-Solutions/CodeChef/CODECHEF%20MBOARD.cpp","Sol")</f>
        <v>Sol</v>
      </c>
      <c r="E910" s="17" t="s">
        <v>1018</v>
      </c>
      <c r="F910" s="17" t="s">
        <v>139</v>
      </c>
      <c r="G910" s="18"/>
      <c r="H910" s="18"/>
    </row>
    <row r="911" spans="1:8" ht="13.2">
      <c r="A911" s="19" t="str">
        <f>HYPERLINK("https://codeforces.com/contest/1108/problem/E2","CF1108-D3-E2")</f>
        <v>CF1108-D3-E2</v>
      </c>
      <c r="B911" s="23" t="s">
        <v>1126</v>
      </c>
      <c r="C911" s="17">
        <v>6</v>
      </c>
      <c r="D911" s="26" t="str">
        <f>HYPERLINK("https://github.com/goswami-rahul/competitive-coding/blob/master/CompetitiveProgramming/codeforces/CF1108-D3-E2.cpp","Sol")</f>
        <v>Sol</v>
      </c>
      <c r="E911" s="17" t="s">
        <v>1018</v>
      </c>
      <c r="F911" s="17" t="s">
        <v>139</v>
      </c>
      <c r="G911" s="18"/>
      <c r="H911" s="18"/>
    </row>
    <row r="912" spans="1:8" ht="13.2">
      <c r="A912" s="19" t="str">
        <f>HYPERLINK("https://codeforces.com/contest/762/problem/E","CF762-D12-E")</f>
        <v>CF762-D12-E</v>
      </c>
      <c r="B912" s="23" t="s">
        <v>1121</v>
      </c>
      <c r="C912" s="17">
        <v>6</v>
      </c>
      <c r="D912" s="18"/>
      <c r="E912" s="17" t="s">
        <v>1018</v>
      </c>
      <c r="F912" s="17" t="s">
        <v>139</v>
      </c>
      <c r="G912" s="18"/>
      <c r="H912" s="18"/>
    </row>
    <row r="913" spans="1:8" ht="13.2">
      <c r="A913" s="19" t="str">
        <f>HYPERLINK("https://codeforces.com/contest/1099/problem/F","CF1099-D2-F")</f>
        <v>CF1099-D2-F</v>
      </c>
      <c r="B913" s="15" t="s">
        <v>1127</v>
      </c>
      <c r="C913" s="17">
        <v>6</v>
      </c>
      <c r="D913" s="18"/>
      <c r="E913" s="17" t="s">
        <v>1018</v>
      </c>
      <c r="F913" s="17" t="s">
        <v>139</v>
      </c>
      <c r="G913" s="18"/>
      <c r="H913" s="18"/>
    </row>
    <row r="914" spans="1:8" ht="13.2">
      <c r="A914" s="19" t="str">
        <f>HYPERLINK("https://codeforces.com/contest/1197/problem/E","CF1197-D12-E")</f>
        <v>CF1197-D12-E</v>
      </c>
      <c r="B914" s="20" t="s">
        <v>1128</v>
      </c>
      <c r="C914" s="17">
        <v>6</v>
      </c>
      <c r="D914" s="18"/>
      <c r="E914" s="17" t="s">
        <v>1018</v>
      </c>
      <c r="F914" s="17" t="s">
        <v>139</v>
      </c>
      <c r="G914" s="18"/>
      <c r="H914" s="18"/>
    </row>
    <row r="915" spans="1:8" ht="13.2">
      <c r="A915" s="19" t="str">
        <f>HYPERLINK("https://www.codechef.com/problems/XRQRS","CODECHEF XRQRS")</f>
        <v>CODECHEF XRQRS</v>
      </c>
      <c r="B915" s="18" t="s">
        <v>1129</v>
      </c>
      <c r="C915" s="17">
        <v>6</v>
      </c>
      <c r="D915" s="18"/>
      <c r="E915" s="17" t="s">
        <v>1018</v>
      </c>
      <c r="F915" s="17" t="s">
        <v>139</v>
      </c>
      <c r="G915" s="18"/>
      <c r="H915" s="18"/>
    </row>
    <row r="916" spans="1:8" ht="13.2">
      <c r="A916" s="19" t="str">
        <f>HYPERLINK("https://www.codechef.com/FEB18/problems/CHANOQ","CODECHEF CHANOQ")</f>
        <v>CODECHEF CHANOQ</v>
      </c>
      <c r="B916" s="23" t="s">
        <v>1130</v>
      </c>
      <c r="C916" s="17">
        <v>6</v>
      </c>
      <c r="D916" s="18"/>
      <c r="E916" s="17" t="s">
        <v>1018</v>
      </c>
      <c r="F916" s="17" t="s">
        <v>139</v>
      </c>
      <c r="G916" s="18"/>
      <c r="H916" s="18"/>
    </row>
    <row r="917" spans="1:8" ht="13.2">
      <c r="A917" s="15" t="s">
        <v>1131</v>
      </c>
      <c r="B917" s="28" t="s">
        <v>1132</v>
      </c>
      <c r="C917" s="24">
        <v>6</v>
      </c>
      <c r="D917" s="26" t="str">
        <f>HYPERLINK("https://github.com/magdy-hasan/competitive-programming/blob/99949526fddbb0857a233c02342293b21e5f242d/SPOJ/SPOJ%20CCOST%20-%20Calculate%20The%20Cost.cpp","Sol")</f>
        <v>Sol</v>
      </c>
      <c r="E917" s="17" t="s">
        <v>1018</v>
      </c>
      <c r="F917" s="17" t="s">
        <v>139</v>
      </c>
      <c r="G917" s="18"/>
      <c r="H917" s="18"/>
    </row>
    <row r="918" spans="1:8" ht="13.2">
      <c r="A918" s="19" t="str">
        <f>HYPERLINK("http://codeforces.com/contest/160/problem/E","CF160-D2-E")</f>
        <v>CF160-D2-E</v>
      </c>
      <c r="B918" s="15" t="s">
        <v>1081</v>
      </c>
      <c r="C918" s="24">
        <v>6</v>
      </c>
      <c r="D918" s="18"/>
      <c r="E918" s="17" t="s">
        <v>1018</v>
      </c>
      <c r="F918" s="17" t="s">
        <v>139</v>
      </c>
      <c r="G918" s="18"/>
      <c r="H918" s="18"/>
    </row>
    <row r="919" spans="1:8" ht="13.2">
      <c r="A919" s="15" t="s">
        <v>1133</v>
      </c>
      <c r="B919" s="28" t="s">
        <v>1134</v>
      </c>
      <c r="C919" s="24">
        <v>6</v>
      </c>
      <c r="D919" s="26" t="str">
        <f>HYPERLINK("https://github.com/tanmoy13/CompetitveProgramming/blob/master/Online-Judge-Solutions/SPOJ/LGLOVE%20-%20LCM%20GCD%20Love.cpp","Sol")</f>
        <v>Sol</v>
      </c>
      <c r="E919" s="17" t="s">
        <v>1018</v>
      </c>
      <c r="F919" s="17" t="s">
        <v>613</v>
      </c>
      <c r="G919" s="18"/>
      <c r="H919" s="18"/>
    </row>
    <row r="920" spans="1:8" ht="13.2">
      <c r="A920" s="19" t="str">
        <f>HYPERLINK("https://open.kattis.com/problems/whiteboard","kattis whiteboard")</f>
        <v>kattis whiteboard</v>
      </c>
      <c r="B920" s="15" t="s">
        <v>1135</v>
      </c>
      <c r="C920" s="17">
        <v>6</v>
      </c>
      <c r="D920" s="26" t="str">
        <f>HYPERLINK("https://github.com/mostafa-saad/MyCompetitiveProgramming/blob/master/Kattis/kattis-whiteboard.txt","Sol-must read")</f>
        <v>Sol-must read</v>
      </c>
      <c r="E920" s="17" t="s">
        <v>1018</v>
      </c>
      <c r="F920" s="17" t="s">
        <v>201</v>
      </c>
      <c r="G920" s="18"/>
      <c r="H920" s="18"/>
    </row>
    <row r="921" spans="1:8" ht="13.2">
      <c r="A921" s="19" t="str">
        <f>HYPERLINK("https://codeforces.com/contest/1180/problem/E","CF1180-D2-E")</f>
        <v>CF1180-D2-E</v>
      </c>
      <c r="B921" s="15" t="s">
        <v>1136</v>
      </c>
      <c r="C921" s="17">
        <v>6</v>
      </c>
      <c r="D921" s="18"/>
      <c r="E921" s="17" t="s">
        <v>1018</v>
      </c>
      <c r="F921" s="17" t="s">
        <v>201</v>
      </c>
      <c r="G921" s="18"/>
      <c r="H921" s="18"/>
    </row>
    <row r="922" spans="1:8" ht="13.2">
      <c r="A922" s="15" t="s">
        <v>1137</v>
      </c>
      <c r="B922" s="30" t="s">
        <v>1138</v>
      </c>
      <c r="C922" s="24">
        <v>6</v>
      </c>
      <c r="D922" s="26" t="str">
        <f>HYPERLINK("https://github.com/ryuzmukhametov/CompetitiveProgramming/blob/master/spoj/SPOJ%20AE5B2.cpp","Sol")</f>
        <v>Sol</v>
      </c>
      <c r="E922" s="17" t="s">
        <v>1018</v>
      </c>
      <c r="F922" s="17" t="s">
        <v>242</v>
      </c>
      <c r="G922" s="18"/>
      <c r="H922" s="18"/>
    </row>
    <row r="923" spans="1:8" ht="13.2">
      <c r="A923" s="19" t="str">
        <f>HYPERLINK("http://codeforces.com/contest/19/problem/D","CF19-D12-D")</f>
        <v>CF19-D12-D</v>
      </c>
      <c r="B923" s="29" t="s">
        <v>1017</v>
      </c>
      <c r="C923" s="17">
        <v>6</v>
      </c>
      <c r="D923" s="18"/>
      <c r="E923" s="17" t="s">
        <v>1018</v>
      </c>
      <c r="F923" s="17"/>
      <c r="G923" s="18"/>
      <c r="H923" s="18"/>
    </row>
    <row r="924" spans="1:8" ht="13.2">
      <c r="A924" s="19" t="str">
        <f>HYPERLINK("http://codeforces.com/contest/56/problem/E","CF56-D2-E")</f>
        <v>CF56-D2-E</v>
      </c>
      <c r="B924" s="29" t="s">
        <v>1139</v>
      </c>
      <c r="C924" s="17">
        <v>6</v>
      </c>
      <c r="D924" s="18"/>
      <c r="E924" s="17" t="s">
        <v>1018</v>
      </c>
      <c r="F924" s="17"/>
      <c r="G924" s="18"/>
      <c r="H924" s="18"/>
    </row>
    <row r="925" spans="1:8" ht="13.2">
      <c r="A925" s="19" t="str">
        <f>HYPERLINK("https://www.codechef.com/problems/BESTSUM","CODECHEF BESTSUM")</f>
        <v>CODECHEF BESTSUM</v>
      </c>
      <c r="B925" s="18" t="s">
        <v>1140</v>
      </c>
      <c r="C925" s="17">
        <v>6</v>
      </c>
      <c r="D925" s="18"/>
      <c r="E925" s="17" t="s">
        <v>1018</v>
      </c>
      <c r="F925" s="17"/>
      <c r="G925" s="18"/>
      <c r="H925" s="18"/>
    </row>
    <row r="926" spans="1:8" ht="13.2">
      <c r="A926" s="19" t="str">
        <f>HYPERLINK("http://codeforces.com/contest/818/problem/E","CF818-D12-E")</f>
        <v>CF818-D12-E</v>
      </c>
      <c r="B926" s="29" t="s">
        <v>1141</v>
      </c>
      <c r="C926" s="17">
        <v>6</v>
      </c>
      <c r="D926" s="18"/>
      <c r="E926" s="17" t="s">
        <v>1018</v>
      </c>
      <c r="F926" s="17"/>
      <c r="G926" s="18"/>
      <c r="H926" s="18"/>
    </row>
    <row r="927" spans="1:8" ht="13.2">
      <c r="A927" s="19" t="str">
        <f>HYPERLINK("https://www.urionlinejudge.com.br/repository/UOJ_1511_en.html","URI 1511")</f>
        <v>URI 1511</v>
      </c>
      <c r="B927" s="15" t="s">
        <v>1142</v>
      </c>
      <c r="C927" s="17">
        <v>6</v>
      </c>
      <c r="D927" s="18"/>
      <c r="E927" s="17" t="s">
        <v>1018</v>
      </c>
      <c r="F927" s="17"/>
      <c r="G927" s="18"/>
      <c r="H927" s="18"/>
    </row>
    <row r="928" spans="1:8" ht="13.2">
      <c r="A928" s="19" t="str">
        <f>HYPERLINK("https://www.codechef.com/problems/KCOMPRES", "CODECHEF KCOMPRES")</f>
        <v>CODECHEF KCOMPRES</v>
      </c>
      <c r="B928" s="20" t="s">
        <v>1136</v>
      </c>
      <c r="C928" s="21">
        <v>6</v>
      </c>
      <c r="D928" s="18"/>
      <c r="E928" s="17" t="s">
        <v>1018</v>
      </c>
      <c r="F928" s="17"/>
      <c r="G928" s="18"/>
      <c r="H928" s="18"/>
    </row>
    <row r="929" spans="1:8" ht="13.2">
      <c r="A929" s="19" t="str">
        <f>HYPERLINK("https://www.hackerrank.com/contests/w38/challenges/cyclical-queries", "HACKR cyclical-queries")</f>
        <v>HACKR cyclical-queries</v>
      </c>
      <c r="B929" s="20" t="s">
        <v>1143</v>
      </c>
      <c r="C929" s="21">
        <v>6</v>
      </c>
      <c r="D929" s="18"/>
      <c r="E929" s="17" t="s">
        <v>1018</v>
      </c>
      <c r="F929" s="17"/>
      <c r="G929" s="18"/>
      <c r="H929" s="18"/>
    </row>
    <row r="930" spans="1:8" ht="13.2">
      <c r="A930" s="19" t="str">
        <f>HYPERLINK("https://www.hackerrank.com/contests/world-codesprint-12/challenges/factorial-array","HACKR factorial-array")</f>
        <v>HACKR factorial-array</v>
      </c>
      <c r="B930" s="15" t="s">
        <v>1144</v>
      </c>
      <c r="C930" s="17">
        <v>6</v>
      </c>
      <c r="D930" s="26" t="str">
        <f>HYPERLINK("https://ideone.com/iEbaYO","Sol")</f>
        <v>Sol</v>
      </c>
      <c r="E930" s="17" t="s">
        <v>1018</v>
      </c>
      <c r="F930" s="17"/>
      <c r="G930" s="18"/>
      <c r="H930" s="18"/>
    </row>
    <row r="931" spans="1:8" ht="13.2">
      <c r="A931" s="19" t="str">
        <f>HYPERLINK("http://codeforces.com/contest/777/problem/E","CF777-D12-E")</f>
        <v>CF777-D12-E</v>
      </c>
      <c r="B931" s="29" t="s">
        <v>1145</v>
      </c>
      <c r="C931" s="17">
        <v>6</v>
      </c>
      <c r="D931" s="18"/>
      <c r="E931" s="17" t="s">
        <v>1018</v>
      </c>
      <c r="F931" s="17"/>
      <c r="G931" s="18"/>
      <c r="H931" s="18"/>
    </row>
    <row r="932" spans="1:8" ht="13.2">
      <c r="A932" s="19" t="str">
        <f>HYPERLINK("http://codeforces.com/contest/242/problem/E","CF242-D2-E")</f>
        <v>CF242-D2-E</v>
      </c>
      <c r="B932" s="18" t="s">
        <v>1146</v>
      </c>
      <c r="C932" s="17">
        <v>6</v>
      </c>
      <c r="D932" s="18"/>
      <c r="E932" s="17" t="s">
        <v>1018</v>
      </c>
      <c r="F932" s="17"/>
      <c r="G932" s="18"/>
      <c r="H932" s="18"/>
    </row>
    <row r="933" spans="1:8" ht="13.2">
      <c r="A933" s="19" t="str">
        <f>HYPERLINK("http://codeforces.com/gym/101086/problem/C","CF101086-GYM-C")</f>
        <v>CF101086-GYM-C</v>
      </c>
      <c r="B933" s="18" t="s">
        <v>1147</v>
      </c>
      <c r="C933" s="17">
        <v>6</v>
      </c>
      <c r="D933" s="18"/>
      <c r="E933" s="17" t="s">
        <v>1018</v>
      </c>
      <c r="F933" s="17"/>
      <c r="G933" s="18"/>
      <c r="H933" s="18"/>
    </row>
    <row r="934" spans="1:8" ht="13.2">
      <c r="A934" s="19" t="str">
        <f>HYPERLINK("http://codeforces.com/contest/916/problem/D","CF916-D2-D")</f>
        <v>CF916-D2-D</v>
      </c>
      <c r="B934" s="15" t="s">
        <v>1148</v>
      </c>
      <c r="C934" s="17">
        <v>6</v>
      </c>
      <c r="D934" s="18"/>
      <c r="E934" s="17" t="s">
        <v>1018</v>
      </c>
      <c r="F934" s="17"/>
      <c r="G934" s="18"/>
      <c r="H934" s="18"/>
    </row>
    <row r="935" spans="1:8" ht="13.2">
      <c r="A935" s="19" t="str">
        <f>HYPERLINK("http://codeforces.com/contest/174/problem/C","CF174-D2-C")</f>
        <v>CF174-D2-C</v>
      </c>
      <c r="B935" s="20" t="s">
        <v>1149</v>
      </c>
      <c r="C935" s="21">
        <v>6</v>
      </c>
      <c r="D935" s="18"/>
      <c r="E935" s="17" t="s">
        <v>1018</v>
      </c>
      <c r="F935" s="17"/>
      <c r="G935" s="18"/>
      <c r="H935" s="18"/>
    </row>
    <row r="936" spans="1:8" ht="13.2">
      <c r="A936" s="19" t="str">
        <f>HYPERLINK("https://www.hackerrank.com/contests/hourrank-28/challenges/xorry-queries", "HACKR xorry-queries")</f>
        <v>HACKR xorry-queries</v>
      </c>
      <c r="B936" s="15" t="s">
        <v>1150</v>
      </c>
      <c r="C936" s="17">
        <v>6</v>
      </c>
      <c r="D936" s="18"/>
      <c r="E936" s="17" t="s">
        <v>1018</v>
      </c>
      <c r="F936" s="17"/>
      <c r="G936" s="18"/>
      <c r="H936" s="18"/>
    </row>
    <row r="937" spans="1:8" ht="13.2">
      <c r="A937" s="19" t="str">
        <f>HYPERLINK("http://codeforces.com/contest/486/problem/E","CF486-D2-E")</f>
        <v>CF486-D2-E</v>
      </c>
      <c r="B937" s="15" t="s">
        <v>1151</v>
      </c>
      <c r="C937" s="24">
        <v>5.75</v>
      </c>
      <c r="D937" s="18"/>
      <c r="E937" s="17" t="s">
        <v>1018</v>
      </c>
      <c r="F937" s="17" t="s">
        <v>196</v>
      </c>
      <c r="G937" s="18"/>
      <c r="H937" s="18"/>
    </row>
    <row r="938" spans="1:8" ht="13.2">
      <c r="A938" s="19" t="str">
        <f>HYPERLINK("http://codeforces.com/contest/669/problem/E","CF669-D2-E")</f>
        <v>CF669-D2-E</v>
      </c>
      <c r="B938" s="32" t="s">
        <v>1152</v>
      </c>
      <c r="C938" s="17">
        <v>5.75</v>
      </c>
      <c r="D938" s="26" t="str">
        <f>HYPERLINK("https://github.com/mostafa-saad/MyCompetitiveProgramming/blob/master/Codeforces/CF669-D2-E.txt","Sol - must read")</f>
        <v>Sol - must read</v>
      </c>
      <c r="E938" s="17" t="s">
        <v>1018</v>
      </c>
      <c r="F938" s="17" t="s">
        <v>139</v>
      </c>
      <c r="G938" s="18"/>
      <c r="H938" s="18"/>
    </row>
    <row r="939" spans="1:8" ht="13.2">
      <c r="A939" s="15" t="s">
        <v>1153</v>
      </c>
      <c r="B939" s="28" t="s">
        <v>1154</v>
      </c>
      <c r="C939" s="24">
        <v>5.75</v>
      </c>
      <c r="D939" s="26" t="str">
        <f>HYPERLINK("https://github.com/mostafa-saad/MyCompetitiveProgramming/blob/master/UVA/UVA_10909.txt","Sol")</f>
        <v>Sol</v>
      </c>
      <c r="E939" s="17" t="s">
        <v>1018</v>
      </c>
      <c r="F939" s="17" t="s">
        <v>139</v>
      </c>
      <c r="G939" s="18"/>
      <c r="H939" s="18"/>
    </row>
    <row r="940" spans="1:8" ht="13.2">
      <c r="A940" s="19" t="str">
        <f>HYPERLINK("https://codeforces.com/contest/1156/problem/D", "CF1156-D12-D")</f>
        <v>CF1156-D12-D</v>
      </c>
      <c r="B940" s="15" t="s">
        <v>1155</v>
      </c>
      <c r="C940" s="17">
        <v>5.75</v>
      </c>
      <c r="D940" s="18"/>
      <c r="E940" s="17" t="s">
        <v>1018</v>
      </c>
      <c r="F940" s="17" t="s">
        <v>139</v>
      </c>
      <c r="G940" s="18"/>
      <c r="H940" s="18"/>
    </row>
    <row r="941" spans="1:8" ht="13.2">
      <c r="A941" s="19" t="str">
        <f>HYPERLINK("http://codeforces.com/contest/558/problem/E","CF558-D2-E")</f>
        <v>CF558-D2-E</v>
      </c>
      <c r="B941" s="42" t="s">
        <v>1156</v>
      </c>
      <c r="C941" s="17">
        <v>5.75</v>
      </c>
      <c r="D941" s="18"/>
      <c r="E941" s="17" t="s">
        <v>1018</v>
      </c>
      <c r="F941" s="17" t="s">
        <v>227</v>
      </c>
      <c r="G941" s="18"/>
      <c r="H941" s="18"/>
    </row>
    <row r="942" spans="1:8" ht="13.2">
      <c r="A942" s="19" t="str">
        <f>HYPERLINK("https://www.codechef.com/problems/MATCH2", "CODECHEF MATCH2")</f>
        <v>CODECHEF MATCH2</v>
      </c>
      <c r="B942" s="20" t="s">
        <v>1157</v>
      </c>
      <c r="C942" s="21">
        <v>5.75</v>
      </c>
      <c r="D942" s="18" t="s">
        <v>1158</v>
      </c>
      <c r="E942" s="17" t="s">
        <v>1018</v>
      </c>
      <c r="F942" s="17" t="s">
        <v>201</v>
      </c>
      <c r="G942" s="18"/>
      <c r="H942" s="18"/>
    </row>
    <row r="943" spans="1:8" ht="13.2">
      <c r="A943" s="19" t="str">
        <f>HYPERLINK("http://www.spoj.com/problems/GSS3/","SPOJ GSS3")</f>
        <v>SPOJ GSS3</v>
      </c>
      <c r="B943" s="29" t="s">
        <v>1159</v>
      </c>
      <c r="C943" s="17">
        <v>5.5</v>
      </c>
      <c r="D943" s="18"/>
      <c r="E943" s="17" t="s">
        <v>1018</v>
      </c>
      <c r="F943" s="17" t="s">
        <v>173</v>
      </c>
      <c r="G943" s="18"/>
      <c r="H943" s="18"/>
    </row>
    <row r="944" spans="1:8" ht="13.2">
      <c r="A944" s="15" t="s">
        <v>1160</v>
      </c>
      <c r="B944" s="43" t="s">
        <v>1161</v>
      </c>
      <c r="C944" s="24">
        <v>5.5</v>
      </c>
      <c r="D944" s="26" t="str">
        <f>HYPERLINK("https://github.com/mostafa-saad/MyCompetitiveProgramming/blob/master/SPOJ/SPOJ_IOPC1207.txt","Sol")</f>
        <v>Sol</v>
      </c>
      <c r="E944" s="17" t="s">
        <v>1018</v>
      </c>
      <c r="F944" s="17" t="s">
        <v>154</v>
      </c>
      <c r="G944" s="18"/>
      <c r="H944" s="18"/>
    </row>
    <row r="945" spans="1:8" ht="13.2">
      <c r="A945" s="19" t="str">
        <f>HYPERLINK("http://www.spoj.com/problems/SEGSQRSS","SPOJ SEGSQRSS")</f>
        <v>SPOJ SEGSQRSS</v>
      </c>
      <c r="B945" s="29" t="s">
        <v>1162</v>
      </c>
      <c r="C945" s="17">
        <v>5.5</v>
      </c>
      <c r="D945" s="26" t="str">
        <f>HYPERLINK("https://github.com/MichaelMounir12/CompetitiveProgramming/blob/9c6e99fc3a2583209a313ddd617a07ac294024e9/SPOJ/SPOJ_SEGSQRSS.cpp","Sol")</f>
        <v>Sol</v>
      </c>
      <c r="E945" s="17" t="s">
        <v>1018</v>
      </c>
      <c r="F945" s="17" t="s">
        <v>154</v>
      </c>
      <c r="G945" s="18"/>
      <c r="H945" s="18"/>
    </row>
    <row r="946" spans="1:8" ht="13.2">
      <c r="A946" s="19" t="str">
        <f>HYPERLINK("http://codeforces.com/contest/380/problem/C","CF380-D1-C")</f>
        <v>CF380-D1-C</v>
      </c>
      <c r="B946" s="29" t="s">
        <v>1163</v>
      </c>
      <c r="C946" s="17">
        <v>5.5</v>
      </c>
      <c r="D946" s="18"/>
      <c r="E946" s="17" t="s">
        <v>1018</v>
      </c>
      <c r="F946" s="17" t="s">
        <v>1164</v>
      </c>
      <c r="G946" s="18"/>
      <c r="H946" s="18"/>
    </row>
    <row r="947" spans="1:8" ht="13.2">
      <c r="A947" s="19" t="str">
        <f>HYPERLINK("https://codeforces.com/gym/101807/problem/J","CF101807-GYM-J")</f>
        <v>CF101807-GYM-J</v>
      </c>
      <c r="B947" s="20" t="s">
        <v>1165</v>
      </c>
      <c r="C947" s="17">
        <v>5.5</v>
      </c>
      <c r="D947" s="18" t="s">
        <v>1166</v>
      </c>
      <c r="E947" s="17" t="s">
        <v>1018</v>
      </c>
      <c r="F947" s="17" t="s">
        <v>139</v>
      </c>
      <c r="G947" s="18"/>
      <c r="H947" s="18"/>
    </row>
    <row r="948" spans="1:8" ht="13.2">
      <c r="A948" s="19" t="str">
        <f>HYPERLINK("https://atcoder.jp/contests/abc127/tasks/abc127_f","AtCoder127-ABC-F")</f>
        <v>AtCoder127-ABC-F</v>
      </c>
      <c r="B948" s="15" t="s">
        <v>1017</v>
      </c>
      <c r="C948" s="17">
        <v>5.5</v>
      </c>
      <c r="D948" s="18"/>
      <c r="E948" s="17" t="s">
        <v>1018</v>
      </c>
      <c r="F948" s="17" t="s">
        <v>139</v>
      </c>
      <c r="G948" s="18"/>
      <c r="H948" s="18"/>
    </row>
    <row r="949" spans="1:8" ht="13.2">
      <c r="A949" s="15" t="s">
        <v>1167</v>
      </c>
      <c r="B949" s="15" t="s">
        <v>1017</v>
      </c>
      <c r="C949" s="17">
        <v>5.5</v>
      </c>
      <c r="D949" s="18"/>
      <c r="E949" s="17" t="s">
        <v>1018</v>
      </c>
      <c r="F949" s="17" t="s">
        <v>139</v>
      </c>
      <c r="G949" s="18"/>
      <c r="H949" s="18"/>
    </row>
    <row r="950" spans="1:8" ht="13.2">
      <c r="A950" s="19" t="str">
        <f>HYPERLINK("http://www.spoj.com/problems/GSS4","SPOJ GSS4")</f>
        <v>SPOJ GSS4</v>
      </c>
      <c r="B950" s="29" t="s">
        <v>1168</v>
      </c>
      <c r="C950" s="17">
        <v>5.5</v>
      </c>
      <c r="D950" s="26" t="str">
        <f>HYPERLINK("https://github.com/abdullaAshraf/Problem-Solving/blob/master/SPOJ/GSS4.cpp","Sol")</f>
        <v>Sol</v>
      </c>
      <c r="E950" s="17" t="s">
        <v>1018</v>
      </c>
      <c r="F950" s="17" t="s">
        <v>139</v>
      </c>
      <c r="G950" s="18"/>
      <c r="H950" s="18"/>
    </row>
    <row r="951" spans="1:8" ht="13.2">
      <c r="A951" s="19" t="str">
        <f>HYPERLINK("https://codeforces.com/contest/1191/problem/E","CF1191-D2-E")</f>
        <v>CF1191-D2-E</v>
      </c>
      <c r="B951" s="20" t="s">
        <v>1169</v>
      </c>
      <c r="C951" s="17">
        <v>5.5</v>
      </c>
      <c r="D951" s="18"/>
      <c r="E951" s="17" t="s">
        <v>1018</v>
      </c>
      <c r="F951" s="17" t="s">
        <v>139</v>
      </c>
      <c r="G951" s="18"/>
      <c r="H951" s="18"/>
    </row>
    <row r="952" spans="1:8" ht="13.2">
      <c r="A952" s="19" t="str">
        <f>HYPERLINK("https://codeforces.com/gym/101807/problem/J","CF101807-GYM-J")</f>
        <v>CF101807-GYM-J</v>
      </c>
      <c r="B952" s="15" t="s">
        <v>1170</v>
      </c>
      <c r="C952" s="17">
        <v>5.5</v>
      </c>
      <c r="D952" s="26" t="str">
        <f>HYPERLINK("https://github.com/YazanZebak/CompetitiveProgramming/blob/master/Codeforces/CF101807-GYM-J.cpp", "Sol")</f>
        <v>Sol</v>
      </c>
      <c r="E952" s="17" t="s">
        <v>1018</v>
      </c>
      <c r="F952" s="17" t="s">
        <v>139</v>
      </c>
      <c r="G952" s="18"/>
      <c r="H952" s="18"/>
    </row>
    <row r="953" spans="1:8" ht="13.2">
      <c r="A953" s="19" t="str">
        <f>HYPERLINK("https://codeforces.com/gym/102154/problem/B","CF102154-GYM-B")</f>
        <v>CF102154-GYM-B</v>
      </c>
      <c r="B953" s="15" t="s">
        <v>1040</v>
      </c>
      <c r="C953" s="17">
        <v>5.5</v>
      </c>
      <c r="D953" s="26" t="str">
        <f>HYPERLINK("https://github.com/guskal01/CompetitiveProgramming/blob/master/CodeForces/CF102154-GYM-B.cpp","Sol")</f>
        <v>Sol</v>
      </c>
      <c r="E953" s="17" t="s">
        <v>1018</v>
      </c>
      <c r="F953" s="17" t="s">
        <v>139</v>
      </c>
      <c r="G953" s="18"/>
      <c r="H953" s="18"/>
    </row>
    <row r="954" spans="1:8" ht="13.2">
      <c r="A954" s="19" t="str">
        <f>HYPERLINK("http://www.spoj.com/problems/ORDERS/","SPOJ ORDERS")</f>
        <v>SPOJ ORDERS</v>
      </c>
      <c r="B954" s="29" t="s">
        <v>1171</v>
      </c>
      <c r="C954" s="17">
        <v>5.5</v>
      </c>
      <c r="D954" s="26" t="str">
        <f>HYPERLINK("https://github.com/mostafa-saad/MyCompetitiveProgramming/blob/master/SPOJ/SPOJ_ORDERS.txt","Sol")</f>
        <v>Sol</v>
      </c>
      <c r="E954" s="17" t="s">
        <v>1018</v>
      </c>
      <c r="F954" s="17" t="s">
        <v>139</v>
      </c>
      <c r="G954" s="18"/>
      <c r="H954" s="18"/>
    </row>
    <row r="955" spans="1:8" ht="13.2">
      <c r="A955" s="19" t="str">
        <f>HYPERLINK("http://codeforces.com/contest/620/problem/E","CF620-D12-E")</f>
        <v>CF620-D12-E</v>
      </c>
      <c r="B955" s="38" t="s">
        <v>1172</v>
      </c>
      <c r="C955" s="17">
        <v>5.5</v>
      </c>
      <c r="D955" s="18"/>
      <c r="E955" s="17" t="s">
        <v>1018</v>
      </c>
      <c r="F955" s="17" t="s">
        <v>139</v>
      </c>
      <c r="G955" s="18"/>
      <c r="H955" s="18"/>
    </row>
    <row r="956" spans="1:8" ht="13.2">
      <c r="A956" s="15" t="s">
        <v>1173</v>
      </c>
      <c r="B956" s="28" t="s">
        <v>1174</v>
      </c>
      <c r="C956" s="24">
        <v>5.5</v>
      </c>
      <c r="D956" s="26" t="str">
        <f>HYPERLINK("https://github.com/mostafa-saad/MyCompetitiveProgramming/blob/master/SPOJ/SPOJ_BRCKTS2.txt","Sol")</f>
        <v>Sol</v>
      </c>
      <c r="E956" s="17" t="s">
        <v>1018</v>
      </c>
      <c r="F956" s="17" t="s">
        <v>139</v>
      </c>
      <c r="G956" s="18"/>
      <c r="H956" s="18"/>
    </row>
    <row r="957" spans="1:8" ht="13.2">
      <c r="A957" s="19" t="str">
        <f>HYPERLINK("http://codeforces.com/contest/920/problem/F","CF920-D2-F")</f>
        <v>CF920-D2-F</v>
      </c>
      <c r="B957" s="15" t="s">
        <v>1175</v>
      </c>
      <c r="C957" s="17">
        <v>5.5</v>
      </c>
      <c r="D957" s="18"/>
      <c r="E957" s="17" t="s">
        <v>1018</v>
      </c>
      <c r="F957" s="17" t="s">
        <v>201</v>
      </c>
      <c r="G957" s="18"/>
      <c r="H957" s="18"/>
    </row>
    <row r="958" spans="1:8" ht="13.2">
      <c r="A958" s="19" t="str">
        <f>HYPERLINK("https://uva.onlinejudge.org/index.php?option=com_onlinejudge&amp;Itemid=8&amp;page=show_problem&amp;problem=3673","UVA 1232")</f>
        <v>UVA 1232</v>
      </c>
      <c r="B958" s="29" t="s">
        <v>1176</v>
      </c>
      <c r="C958" s="17">
        <v>5.5</v>
      </c>
      <c r="D958" s="26" t="str">
        <f>HYPERLINK("https://github.com/mostafa-saad/MyCompetitiveProgramming/blob/master/UVA/UVA_1232.txt","Sol")</f>
        <v>Sol</v>
      </c>
      <c r="E958" s="17" t="s">
        <v>1018</v>
      </c>
      <c r="F958" s="17" t="s">
        <v>201</v>
      </c>
      <c r="G958" s="18"/>
      <c r="H958" s="18"/>
    </row>
    <row r="959" spans="1:8" ht="13.2">
      <c r="A959" s="15" t="s">
        <v>1177</v>
      </c>
      <c r="B959" s="28" t="s">
        <v>1178</v>
      </c>
      <c r="C959" s="24">
        <v>5.5</v>
      </c>
      <c r="D959" s="18"/>
      <c r="E959" s="17" t="s">
        <v>1018</v>
      </c>
      <c r="F959" s="17" t="s">
        <v>201</v>
      </c>
      <c r="G959" s="18"/>
      <c r="H959" s="18"/>
    </row>
    <row r="960" spans="1:8" ht="13.2">
      <c r="A960" s="19" t="str">
        <f>HYPERLINK("http://codeforces.com/contest/482/problem/B","CF482-D1-B")</f>
        <v>CF482-D1-B</v>
      </c>
      <c r="B960" s="29" t="s">
        <v>1017</v>
      </c>
      <c r="C960" s="17">
        <v>5.5</v>
      </c>
      <c r="D960" s="18"/>
      <c r="E960" s="17" t="s">
        <v>1018</v>
      </c>
      <c r="F960" s="17"/>
      <c r="G960" s="18"/>
      <c r="H960" s="18"/>
    </row>
    <row r="961" spans="1:8" ht="13.2">
      <c r="A961" s="19" t="str">
        <f>HYPERLINK("http://codeforces.com/contest/483/problem/D","CF483-D2-D")</f>
        <v>CF483-D2-D</v>
      </c>
      <c r="B961" s="18" t="s">
        <v>1017</v>
      </c>
      <c r="C961" s="17">
        <v>5.5</v>
      </c>
      <c r="D961" s="18"/>
      <c r="E961" s="17" t="s">
        <v>1018</v>
      </c>
      <c r="F961" s="17"/>
      <c r="G961" s="18"/>
      <c r="H961" s="18"/>
    </row>
    <row r="962" spans="1:8" ht="13.2">
      <c r="A962" s="19" t="str">
        <f>HYPERLINK("http://codeforces.com/contest/400/problem/E","CF400-D2-E")</f>
        <v>CF400-D2-E</v>
      </c>
      <c r="B962" s="20" t="s">
        <v>1179</v>
      </c>
      <c r="C962" s="17">
        <v>5.5</v>
      </c>
      <c r="D962" s="18"/>
      <c r="E962" s="17" t="s">
        <v>1018</v>
      </c>
      <c r="F962" s="17"/>
      <c r="G962" s="18"/>
      <c r="H962" s="18"/>
    </row>
    <row r="963" spans="1:8" ht="13.2">
      <c r="A963" s="19" t="str">
        <f>HYPERLINK("http://codeforces.com/contest/474/problem/E","CF474-D2-E")</f>
        <v>CF474-D2-E</v>
      </c>
      <c r="B963" s="29" t="s">
        <v>1180</v>
      </c>
      <c r="C963" s="17">
        <v>5.5</v>
      </c>
      <c r="D963" s="18"/>
      <c r="E963" s="17" t="s">
        <v>1018</v>
      </c>
      <c r="F963" s="17"/>
      <c r="G963" s="18"/>
      <c r="H963" s="18"/>
    </row>
    <row r="964" spans="1:8" ht="13.2">
      <c r="A964" s="19" t="str">
        <f>HYPERLINK("https://codeforces.com/contest/1263/problem/E","CF1263-D2-E")</f>
        <v>CF1263-D2-E</v>
      </c>
      <c r="B964" s="20" t="s">
        <v>1122</v>
      </c>
      <c r="C964" s="21">
        <v>5.5</v>
      </c>
      <c r="D964" s="18"/>
      <c r="E964" s="17" t="s">
        <v>1018</v>
      </c>
      <c r="F964" s="17"/>
      <c r="G964" s="18"/>
      <c r="H964" s="18"/>
    </row>
    <row r="965" spans="1:8" ht="13.2">
      <c r="A965" s="19" t="str">
        <f>HYPERLINK("http://codeforces.com/contest/67/problem/D","CF67-D12-D")</f>
        <v>CF67-D12-D</v>
      </c>
      <c r="B965" s="15" t="s">
        <v>1181</v>
      </c>
      <c r="C965" s="17">
        <v>5.5</v>
      </c>
      <c r="D965" s="18"/>
      <c r="E965" s="17" t="s">
        <v>1018</v>
      </c>
      <c r="F965" s="17"/>
      <c r="G965" s="18"/>
      <c r="H965" s="18"/>
    </row>
    <row r="966" spans="1:8" ht="13.2">
      <c r="A966" s="19" t="str">
        <f>HYPERLINK("http://codeforces.com/contest/847/problem/D","CF847-D12-D")</f>
        <v>CF847-D12-D</v>
      </c>
      <c r="B966" s="15" t="s">
        <v>1182</v>
      </c>
      <c r="C966" s="17">
        <v>5.25</v>
      </c>
      <c r="D966" s="26" t="str">
        <f>HYPERLINK("https://github.com/ahmedsamir221/CompetitiveProgramming/blob/master/CodeForces/CF847-D12-D.cpp","Sol")</f>
        <v>Sol</v>
      </c>
      <c r="E966" s="17" t="s">
        <v>1018</v>
      </c>
      <c r="F966" s="17" t="s">
        <v>139</v>
      </c>
      <c r="G966" s="18"/>
      <c r="H966" s="18"/>
    </row>
    <row r="967" spans="1:8" ht="13.2">
      <c r="A967" s="15" t="s">
        <v>1183</v>
      </c>
      <c r="B967" s="15" t="s">
        <v>1043</v>
      </c>
      <c r="C967" s="17">
        <v>5.25</v>
      </c>
      <c r="D967" s="26" t="str">
        <f>HYPERLINK("https://github.com/goswami-rahul/competitive-coding/blob/master/CompetitiveProgramming/spoj/DCEPC11I.cpp","Sol")</f>
        <v>Sol</v>
      </c>
      <c r="E967" s="17" t="s">
        <v>1018</v>
      </c>
      <c r="F967" s="17" t="s">
        <v>139</v>
      </c>
      <c r="G967" s="18"/>
      <c r="H967" s="18"/>
    </row>
    <row r="968" spans="1:8" ht="13.2">
      <c r="A968" s="19" t="str">
        <f>HYPERLINK("http://codeforces.com/contest/877/problem/E","CF877-D2-E")</f>
        <v>CF877-D2-E</v>
      </c>
      <c r="B968" s="20" t="s">
        <v>1184</v>
      </c>
      <c r="C968" s="21">
        <v>5</v>
      </c>
      <c r="D968" s="26" t="str">
        <f>HYPERLINK("https://www.youtube.com/watch?v=rkbdB_vhgJw","Sol - Video")</f>
        <v>Sol - Video</v>
      </c>
      <c r="E968" s="17" t="s">
        <v>1018</v>
      </c>
      <c r="F968" s="17" t="s">
        <v>154</v>
      </c>
      <c r="G968" s="18"/>
      <c r="H968" s="18"/>
    </row>
    <row r="969" spans="1:8" ht="13.2">
      <c r="A969" s="19" t="str">
        <f>HYPERLINK("http://www.spoj.com/problems/BRCKTS","SPOJ BRCKTS")</f>
        <v>SPOJ BRCKTS</v>
      </c>
      <c r="B969" s="29" t="s">
        <v>1185</v>
      </c>
      <c r="C969" s="17">
        <v>5</v>
      </c>
      <c r="D969" s="26" t="str">
        <f>HYPERLINK("https://github.com/AliOsm/CompetitiveProgramming/blob/master/SPOJ/BRCKTS%20-%20Brackets.cpp","Sol")</f>
        <v>Sol</v>
      </c>
      <c r="E969" s="17" t="s">
        <v>1018</v>
      </c>
      <c r="F969" s="17" t="s">
        <v>139</v>
      </c>
      <c r="G969" s="18"/>
      <c r="H969" s="18"/>
    </row>
    <row r="970" spans="1:8" ht="13.2">
      <c r="A970" s="19" t="str">
        <f>HYPERLINK("http://www.spoj.com/problems/GSS1/","SPOJ GSS1")</f>
        <v>SPOJ GSS1</v>
      </c>
      <c r="B970" s="29" t="s">
        <v>1186</v>
      </c>
      <c r="C970" s="17">
        <v>5</v>
      </c>
      <c r="D970" s="26" t="str">
        <f>HYPERLINK("https://github.com/AliOsm/CompetitiveProgramming/blob/master/SPOJ/GSS1%20-%20Can%20you%20answer%20these%20queries%20I.cpp","Sol")</f>
        <v>Sol</v>
      </c>
      <c r="E970" s="17" t="s">
        <v>1018</v>
      </c>
      <c r="F970" s="17" t="s">
        <v>139</v>
      </c>
      <c r="G970" s="18"/>
      <c r="H970" s="18"/>
    </row>
    <row r="971" spans="1:8" ht="13.2">
      <c r="A971" s="15" t="s">
        <v>1187</v>
      </c>
      <c r="B971" s="15" t="s">
        <v>1188</v>
      </c>
      <c r="C971" s="17">
        <v>5</v>
      </c>
      <c r="D971" s="26" t="str">
        <f>HYPERLINK("https://github.com/abdullaAshraf/Problem-Solving/blob/master/SPOJ/QUE2.cpp","Sol")</f>
        <v>Sol</v>
      </c>
      <c r="E971" s="17" t="s">
        <v>1018</v>
      </c>
      <c r="F971" s="17" t="s">
        <v>139</v>
      </c>
      <c r="G971" s="18"/>
      <c r="H971" s="18"/>
    </row>
    <row r="972" spans="1:8" ht="13.2">
      <c r="A972" s="19" t="str">
        <f>HYPERLINK("https://uva.onlinejudge.org/index.php?option=com_onlinejudge&amp;Itemid=8&amp;page=show_problem&amp;problem=3720","UVA 12299")</f>
        <v>UVA 12299</v>
      </c>
      <c r="B972" s="29" t="s">
        <v>1189</v>
      </c>
      <c r="C972" s="17">
        <v>5</v>
      </c>
      <c r="D972" s="26" t="str">
        <f>HYPERLINK("https://github.com/Emsawy/CompetitiveProgramming/blob/master/UVA/12299.cpp","See sscanf and sprintf usage")</f>
        <v>See sscanf and sprintf usage</v>
      </c>
      <c r="E972" s="17" t="s">
        <v>1018</v>
      </c>
      <c r="F972" s="17" t="s">
        <v>139</v>
      </c>
      <c r="G972" s="18"/>
      <c r="H972" s="18"/>
    </row>
    <row r="973" spans="1:8" ht="13.2">
      <c r="A973" s="19" t="str">
        <f>HYPERLINK("http://poj.org/problem?id=2374","PKU 2374")</f>
        <v>PKU 2374</v>
      </c>
      <c r="B973" s="29" t="s">
        <v>1190</v>
      </c>
      <c r="C973" s="17">
        <v>5</v>
      </c>
      <c r="D973" s="26" t="str">
        <f>HYPERLINK("https://github.com/mostafa-saad/MyCompetitiveProgramming/blob/master/PKU/PKU_2374.txt","Sol")</f>
        <v>Sol</v>
      </c>
      <c r="E973" s="17" t="s">
        <v>1018</v>
      </c>
      <c r="F973" s="17" t="s">
        <v>227</v>
      </c>
      <c r="G973" s="18"/>
      <c r="H973" s="18"/>
    </row>
    <row r="974" spans="1:8" ht="13.2">
      <c r="A974" s="19" t="str">
        <f>HYPERLINK("http://codeforces.com/contest/474/problem/F","CF474-D2-F")</f>
        <v>CF474-D2-F</v>
      </c>
      <c r="B974" s="38" t="s">
        <v>1191</v>
      </c>
      <c r="C974" s="31">
        <v>5</v>
      </c>
      <c r="D974" s="18"/>
      <c r="E974" s="17" t="s">
        <v>1018</v>
      </c>
      <c r="F974" s="17" t="s">
        <v>613</v>
      </c>
      <c r="G974" s="18"/>
      <c r="H974" s="18"/>
    </row>
    <row r="975" spans="1:8" ht="13.2">
      <c r="A975" s="19" t="str">
        <f>HYPERLINK("http://www.spoj.com/problems/ANDROUND","SPOJ ANDROUND")</f>
        <v>SPOJ ANDROUND</v>
      </c>
      <c r="B975" s="29" t="s">
        <v>1017</v>
      </c>
      <c r="C975" s="17">
        <v>5</v>
      </c>
      <c r="D975" s="26" t="str">
        <f>HYPERLINK("https://github.com/AliOsm/CompetitiveProgramming/blob/master/SPOJ/ANDROUND%20-%20AND%20Rounds.cpp","Sol")</f>
        <v>Sol</v>
      </c>
      <c r="E975" s="17" t="s">
        <v>1018</v>
      </c>
      <c r="F975" s="17" t="s">
        <v>201</v>
      </c>
      <c r="G975" s="18"/>
      <c r="H975" s="18"/>
    </row>
    <row r="976" spans="1:8" ht="13.2">
      <c r="A976" s="19" t="str">
        <f>HYPERLINK("https://codeforces.com/contest/1187/problem/D","CF1187-D12-D")</f>
        <v>CF1187-D12-D</v>
      </c>
      <c r="B976" s="15" t="s">
        <v>1192</v>
      </c>
      <c r="C976" s="17">
        <v>5</v>
      </c>
      <c r="D976" s="18"/>
      <c r="E976" s="17" t="s">
        <v>1018</v>
      </c>
      <c r="F976" s="17" t="s">
        <v>201</v>
      </c>
      <c r="G976" s="18"/>
      <c r="H976" s="18"/>
    </row>
    <row r="977" spans="1:8" ht="13.2">
      <c r="A977" s="15" t="s">
        <v>1193</v>
      </c>
      <c r="B977" s="15" t="s">
        <v>1122</v>
      </c>
      <c r="C977" s="17">
        <v>5</v>
      </c>
      <c r="D977" s="26" t="str">
        <f>HYPERLINK("https://github.com/ajfabian/Competitive-Programming/blob/master/SPOJ/GOODE/a.cpp","Sol")</f>
        <v>Sol</v>
      </c>
      <c r="E977" s="17" t="s">
        <v>1018</v>
      </c>
      <c r="F977" s="17" t="s">
        <v>201</v>
      </c>
      <c r="G977" s="18"/>
      <c r="H977" s="18"/>
    </row>
    <row r="978" spans="1:8" ht="13.2">
      <c r="A978" s="19" t="str">
        <f>HYPERLINK("http://codeforces.com/contest/460/problem/C","CF460-D2-C")</f>
        <v>CF460-D2-C</v>
      </c>
      <c r="B978" s="29" t="s">
        <v>1194</v>
      </c>
      <c r="C978" s="17">
        <v>5</v>
      </c>
      <c r="D978" s="18"/>
      <c r="E978" s="17" t="s">
        <v>1018</v>
      </c>
      <c r="F978" s="17" t="s">
        <v>201</v>
      </c>
      <c r="G978" s="18"/>
      <c r="H978" s="18"/>
    </row>
    <row r="979" spans="1:8" ht="13.2">
      <c r="A979" s="19" t="str">
        <f>HYPERLINK("https://codeforces.com/problemset/problem/61/E","CF61-D2-E")</f>
        <v>CF61-D2-E</v>
      </c>
      <c r="B979" s="15" t="s">
        <v>1195</v>
      </c>
      <c r="C979" s="17">
        <v>5</v>
      </c>
      <c r="D979" s="26" t="str">
        <f>HYPERLINK("https://github.com/SpeedOfMagic/CompetitiveProgramming/blob/master/Codeforces/CF61-D2-E.cpp","Sol")</f>
        <v>Sol</v>
      </c>
      <c r="E979" s="17" t="s">
        <v>1018</v>
      </c>
      <c r="F979" s="17" t="s">
        <v>242</v>
      </c>
      <c r="G979" s="18"/>
      <c r="H979" s="18"/>
    </row>
    <row r="980" spans="1:8" ht="13.2">
      <c r="A980" s="19" t="str">
        <f>HYPERLINK("https://github.com/TheRealImaginary/CompetitiveProgramming/blob/master/PKU/PKU_2019_Cornfields.java","PKU 2019")</f>
        <v>PKU 2019</v>
      </c>
      <c r="B980" s="28" t="s">
        <v>1196</v>
      </c>
      <c r="C980" s="24">
        <v>5</v>
      </c>
      <c r="D980" s="26" t="str">
        <f>HYPERLINK("https://github.com/MedoN11/CompetitiveProgramming/blob/master/POJ/2019.cpp","Sol")</f>
        <v>Sol</v>
      </c>
      <c r="E980" s="17" t="s">
        <v>1018</v>
      </c>
      <c r="F980" s="17" t="s">
        <v>242</v>
      </c>
      <c r="G980" s="18"/>
      <c r="H980" s="18"/>
    </row>
    <row r="981" spans="1:8" ht="13.2">
      <c r="A981" s="19" t="str">
        <f>HYPERLINK("https://www.hackerrank.com/contests/101hack52/challenges/car-show","HACKR car-show")</f>
        <v>HACKR car-show</v>
      </c>
      <c r="B981" s="18" t="s">
        <v>1122</v>
      </c>
      <c r="C981" s="17">
        <v>5</v>
      </c>
      <c r="D981" s="18"/>
      <c r="E981" s="17" t="s">
        <v>1018</v>
      </c>
      <c r="F981" s="17" t="s">
        <v>242</v>
      </c>
      <c r="G981" s="18"/>
      <c r="H981" s="18"/>
    </row>
    <row r="982" spans="1:8" ht="13.2">
      <c r="A982" s="19" t="str">
        <f>HYPERLINK("https://uva.onlinejudge.org/index.php?option=com_onlinejudge&amp;Itemid=8&amp;page=show_problem&amp;problem=2397","UVA 11402")</f>
        <v>UVA 11402</v>
      </c>
      <c r="B982" s="29" t="s">
        <v>1197</v>
      </c>
      <c r="C982" s="17">
        <v>5</v>
      </c>
      <c r="D982" s="26" t="str">
        <f>HYPERLINK("https://github.com/hosamk92/CompetitiveProgramming/blob/master/UVA/UVA%2011402.cpp","Sol")</f>
        <v>Sol</v>
      </c>
      <c r="E982" s="17" t="s">
        <v>1018</v>
      </c>
      <c r="F982" s="17" t="s">
        <v>242</v>
      </c>
      <c r="G982" s="18"/>
      <c r="H982" s="18"/>
    </row>
    <row r="983" spans="1:8" ht="13.2">
      <c r="A983" s="19" t="str">
        <f>HYPERLINK("https://www.hackerearth.com/practice/data-structures/queues/basics-of-queues/practice-problems/algorithm/weird-planet-2000a170/","HACKER weird-planet-2000a170")</f>
        <v>HACKER weird-planet-2000a170</v>
      </c>
      <c r="B983" s="18" t="s">
        <v>1198</v>
      </c>
      <c r="C983" s="17">
        <v>5</v>
      </c>
      <c r="D983" s="18"/>
      <c r="E983" s="17" t="s">
        <v>1018</v>
      </c>
      <c r="F983" s="17" t="s">
        <v>242</v>
      </c>
      <c r="G983" s="18"/>
      <c r="H983" s="18"/>
    </row>
    <row r="984" spans="1:8" ht="13.2">
      <c r="A984" s="19" t="str">
        <f>HYPERLINK("http://codeforces.com/gym/100739/problem/A","CF100739-gym-A")</f>
        <v>CF100739-gym-A</v>
      </c>
      <c r="B984" s="15" t="s">
        <v>1017</v>
      </c>
      <c r="C984" s="17">
        <v>5</v>
      </c>
      <c r="D984" s="18"/>
      <c r="E984" s="17" t="s">
        <v>1018</v>
      </c>
      <c r="F984" s="17"/>
      <c r="G984" s="18"/>
      <c r="H984" s="18"/>
    </row>
    <row r="985" spans="1:8" ht="13.2">
      <c r="A985" s="19" t="str">
        <f>HYPERLINK("http://codeforces.com/contest/240/problem/F","CF240-D1-F")</f>
        <v>CF240-D1-F</v>
      </c>
      <c r="B985" s="15" t="s">
        <v>1017</v>
      </c>
      <c r="C985" s="17">
        <v>5</v>
      </c>
      <c r="D985" s="18"/>
      <c r="E985" s="17" t="s">
        <v>1018</v>
      </c>
      <c r="F985" s="17"/>
      <c r="G985" s="18"/>
      <c r="H985" s="18"/>
    </row>
    <row r="986" spans="1:8" ht="13.2">
      <c r="A986" s="19" t="str">
        <f>HYPERLINK("http://codeforces.com/contest/830/problem/B","CF830-D1-B")</f>
        <v>CF830-D1-B</v>
      </c>
      <c r="B986" s="29" t="s">
        <v>1017</v>
      </c>
      <c r="C986" s="17">
        <v>5</v>
      </c>
      <c r="D986" s="18"/>
      <c r="E986" s="17" t="s">
        <v>1018</v>
      </c>
      <c r="F986" s="17"/>
      <c r="G986" s="18"/>
      <c r="H986" s="18"/>
    </row>
    <row r="987" spans="1:8" ht="13.2">
      <c r="A987" s="19" t="str">
        <f>HYPERLINK("https://www.hackerearth.com/problem/algorithm/test-problem-13-1db9a7bd/","HACKER test-problem-13-1db9a7bd")</f>
        <v>HACKER test-problem-13-1db9a7bd</v>
      </c>
      <c r="B987" s="18" t="s">
        <v>1017</v>
      </c>
      <c r="C987" s="17">
        <v>5</v>
      </c>
      <c r="D987" s="18"/>
      <c r="E987" s="17" t="s">
        <v>1018</v>
      </c>
      <c r="F987" s="17"/>
      <c r="G987" s="18"/>
      <c r="H987" s="18"/>
    </row>
    <row r="988" spans="1:8" ht="13.2">
      <c r="A988" s="19" t="str">
        <f>HYPERLINK("http://codeforces.com/contest/914/problem/D","CF914-D12-D")</f>
        <v>CF914-D12-D</v>
      </c>
      <c r="B988" s="18" t="s">
        <v>1191</v>
      </c>
      <c r="C988" s="17">
        <v>5</v>
      </c>
      <c r="D988" s="18"/>
      <c r="E988" s="17" t="s">
        <v>1018</v>
      </c>
      <c r="F988" s="17"/>
      <c r="G988" s="18"/>
      <c r="H988" s="18"/>
    </row>
    <row r="989" spans="1:8" ht="13.2">
      <c r="A989" s="15" t="s">
        <v>1199</v>
      </c>
      <c r="B989" s="28" t="s">
        <v>1200</v>
      </c>
      <c r="C989" s="17">
        <v>5</v>
      </c>
      <c r="D989" s="18"/>
      <c r="E989" s="17" t="s">
        <v>1018</v>
      </c>
      <c r="F989" s="17"/>
      <c r="G989" s="18"/>
      <c r="H989" s="18"/>
    </row>
    <row r="990" spans="1:8" ht="13.2">
      <c r="A990" s="19" t="str">
        <f>HYPERLINK("https://codeforces.com/gym/101992/problem/M","CF101992-GYM-M")</f>
        <v>CF101992-GYM-M</v>
      </c>
      <c r="B990" s="15" t="s">
        <v>1201</v>
      </c>
      <c r="C990" s="17">
        <v>5</v>
      </c>
      <c r="D990" s="26" t="str">
        <f>HYPERLINK("https://github.com/3agwa/CompetitiveProgramming/blob/master/CodeForces/CFGYM-101992-M.cpp","Sol")</f>
        <v>Sol</v>
      </c>
      <c r="E990" s="17" t="s">
        <v>1018</v>
      </c>
      <c r="F990" s="17"/>
      <c r="G990" s="18"/>
      <c r="H990" s="18"/>
    </row>
    <row r="991" spans="1:8" ht="13.2">
      <c r="A991" s="19" t="str">
        <f>HYPERLINK("https://www.spoj.com/problems/PSEGTREE/", "SPOJ PSEGTREE")</f>
        <v>SPOJ PSEGTREE</v>
      </c>
      <c r="B991" s="15" t="s">
        <v>1202</v>
      </c>
      <c r="C991" s="17">
        <v>5</v>
      </c>
      <c r="D991" s="18"/>
      <c r="E991" s="17" t="s">
        <v>1018</v>
      </c>
      <c r="F991" s="17"/>
      <c r="G991" s="18"/>
      <c r="H991" s="18"/>
    </row>
    <row r="992" spans="1:8" ht="13.2">
      <c r="A992" s="15" t="s">
        <v>1203</v>
      </c>
      <c r="B992" s="18" t="s">
        <v>1204</v>
      </c>
      <c r="C992" s="17">
        <v>4.5</v>
      </c>
      <c r="D992" s="26" t="str">
        <f>HYPERLINK("https://github.com/aabdelzaher/Competitive-Programming/blob/master/PKU/PKU1823.java","Sol")</f>
        <v>Sol</v>
      </c>
      <c r="E992" s="17" t="s">
        <v>1018</v>
      </c>
      <c r="F992" s="17" t="s">
        <v>229</v>
      </c>
      <c r="G992" s="18"/>
      <c r="H992" s="18"/>
    </row>
    <row r="993" spans="1:8" ht="13.2">
      <c r="A993" s="19" t="str">
        <f>HYPERLINK("http://www.spoj.com/problems/KGSS/","SPOJ KGSS")</f>
        <v>SPOJ KGSS</v>
      </c>
      <c r="B993" s="29" t="s">
        <v>1205</v>
      </c>
      <c r="C993" s="17">
        <v>4.5</v>
      </c>
      <c r="D993" s="18"/>
      <c r="E993" s="17" t="s">
        <v>1018</v>
      </c>
      <c r="F993" s="17" t="s">
        <v>139</v>
      </c>
      <c r="G993" s="18"/>
      <c r="H993" s="18"/>
    </row>
    <row r="994" spans="1:8" ht="13.2">
      <c r="A994" s="19" t="str">
        <f>HYPERLINK("http://www.spoj.com/problems/CITY2/","SPOJ CITY2")</f>
        <v>SPOJ CITY2</v>
      </c>
      <c r="B994" s="29" t="s">
        <v>1206</v>
      </c>
      <c r="C994" s="17">
        <v>4.5</v>
      </c>
      <c r="D994" s="26" t="str">
        <f>HYPERLINK("https://github.com/mostafa-saad/MyCompetitiveProgramming/blob/master/SPOJ/SPOJ_CITY2.txt","Sol")</f>
        <v>Sol</v>
      </c>
      <c r="E994" s="17" t="s">
        <v>1018</v>
      </c>
      <c r="F994" s="17" t="s">
        <v>201</v>
      </c>
      <c r="G994" s="18"/>
      <c r="H994" s="18"/>
    </row>
    <row r="995" spans="1:8" ht="13.2">
      <c r="A995" s="19" t="str">
        <f>HYPERLINK("http://www.spoj.com/problems/HELPR2D2","SPOJ HELPR2D2")</f>
        <v>SPOJ HELPR2D2</v>
      </c>
      <c r="B995" s="29" t="s">
        <v>1207</v>
      </c>
      <c r="C995" s="17">
        <v>4.5</v>
      </c>
      <c r="D995" s="18"/>
      <c r="E995" s="17" t="s">
        <v>1018</v>
      </c>
      <c r="F995" s="17" t="s">
        <v>201</v>
      </c>
      <c r="G995" s="18"/>
      <c r="H995" s="18"/>
    </row>
    <row r="996" spans="1:8" ht="13.2">
      <c r="A996" s="19" t="str">
        <f>HYPERLINK("http://www.spoj.com/problems/LITE/","SPOJ LITE")</f>
        <v>SPOJ LITE</v>
      </c>
      <c r="B996" s="29" t="s">
        <v>1208</v>
      </c>
      <c r="C996" s="17">
        <v>4.5</v>
      </c>
      <c r="D996" s="18"/>
      <c r="E996" s="17" t="s">
        <v>1018</v>
      </c>
      <c r="F996" s="17" t="s">
        <v>242</v>
      </c>
      <c r="G996" s="18"/>
      <c r="H996" s="18"/>
    </row>
    <row r="997" spans="1:8" ht="13.2">
      <c r="A997" s="15" t="s">
        <v>1209</v>
      </c>
      <c r="B997" s="28" t="s">
        <v>1210</v>
      </c>
      <c r="C997" s="24">
        <v>4.5</v>
      </c>
      <c r="D997" s="26" t="str">
        <f>HYPERLINK("https://github.com/mostafa-saad/MyCompetitiveProgramming/blob/master/Timus/TIMUS_1724.txt","Sol. Don't implement as ad-hoc/greedy/Pure STL. Use a data structure.")</f>
        <v>Sol. Don't implement as ad-hoc/greedy/Pure STL. Use a data structure.</v>
      </c>
      <c r="E997" s="17" t="s">
        <v>1018</v>
      </c>
      <c r="F997" s="17"/>
      <c r="G997" s="18"/>
      <c r="H997" s="18"/>
    </row>
    <row r="998" spans="1:8" ht="13.2">
      <c r="A998" s="19" t="str">
        <f>HYPERLINK("http://codeforces.com/contest/52/problem/C","CF52-D12-C")</f>
        <v>CF52-D12-C</v>
      </c>
      <c r="B998" s="29" t="s">
        <v>1211</v>
      </c>
      <c r="C998" s="17">
        <v>4.5</v>
      </c>
      <c r="D998" s="18"/>
      <c r="E998" s="17" t="s">
        <v>1018</v>
      </c>
      <c r="F998" s="17"/>
      <c r="G998" s="18"/>
      <c r="H998" s="18"/>
    </row>
    <row r="999" spans="1:8" ht="13.2">
      <c r="A999" s="19" t="str">
        <f>HYPERLINK("http://codeforces.com/contest/339/problem/D","CF339-D2-D")</f>
        <v>CF339-D2-D</v>
      </c>
      <c r="B999" s="29" t="s">
        <v>1017</v>
      </c>
      <c r="C999" s="24">
        <v>4</v>
      </c>
      <c r="D999" s="18"/>
      <c r="E999" s="17" t="s">
        <v>1018</v>
      </c>
      <c r="F999" s="17" t="s">
        <v>229</v>
      </c>
      <c r="G999" s="18"/>
      <c r="H999" s="18"/>
    </row>
    <row r="1000" spans="1:8" ht="13.2">
      <c r="A1000" s="15" t="s">
        <v>1212</v>
      </c>
      <c r="B1000" s="28" t="s">
        <v>1017</v>
      </c>
      <c r="C1000" s="24">
        <v>4</v>
      </c>
      <c r="D1000" s="18"/>
      <c r="E1000" s="17" t="s">
        <v>1018</v>
      </c>
      <c r="F1000" s="17" t="s">
        <v>229</v>
      </c>
      <c r="G1000" s="18"/>
      <c r="H1000" s="18"/>
    </row>
    <row r="1001" spans="1:8" ht="13.2">
      <c r="A1001" s="19" t="str">
        <f>HYPERLINK("http://codeforces.com/contest/295/problem/A","CF295-D1-A")</f>
        <v>CF295-D1-A</v>
      </c>
      <c r="B1001" s="29" t="s">
        <v>1017</v>
      </c>
      <c r="C1001" s="17">
        <v>4</v>
      </c>
      <c r="D1001" s="18"/>
      <c r="E1001" s="17" t="s">
        <v>1018</v>
      </c>
      <c r="F1001" s="17" t="s">
        <v>306</v>
      </c>
      <c r="G1001" s="18"/>
      <c r="H1001" s="18"/>
    </row>
    <row r="1002" spans="1:8" ht="13.2">
      <c r="A1002" s="19" t="str">
        <f>HYPERLINK("http://www.spoj.com/problems/MULTQ3/","SPOJ MULTQ3")</f>
        <v>SPOJ MULTQ3</v>
      </c>
      <c r="B1002" s="29" t="s">
        <v>1043</v>
      </c>
      <c r="C1002" s="17">
        <v>4</v>
      </c>
      <c r="D1002" s="26" t="str">
        <f>HYPERLINK("https://github.com/BRAINOOOO/CompetitiveProgramming/blob/master/Spoj/SPOJ%20MULTQ3.Cpp","Sol")</f>
        <v>Sol</v>
      </c>
      <c r="E1002" s="17" t="s">
        <v>1018</v>
      </c>
      <c r="F1002" s="17" t="s">
        <v>196</v>
      </c>
      <c r="G1002" s="18"/>
      <c r="H1002" s="18"/>
    </row>
    <row r="1003" spans="1:8" ht="13.2">
      <c r="A1003" s="15" t="s">
        <v>1213</v>
      </c>
      <c r="B1003" s="15" t="s">
        <v>1017</v>
      </c>
      <c r="C1003" s="17">
        <v>4</v>
      </c>
      <c r="D1003" s="18"/>
      <c r="E1003" s="17" t="s">
        <v>1018</v>
      </c>
      <c r="F1003" s="17" t="s">
        <v>201</v>
      </c>
      <c r="G1003" s="18"/>
      <c r="H1003" s="18"/>
    </row>
    <row r="1004" spans="1:8" ht="13.2">
      <c r="A1004" s="19" t="str">
        <f>HYPERLINK("http://www.spoj.com/problems/HORRIBLE","SPOJ HORRIBLE")</f>
        <v>SPOJ HORRIBLE</v>
      </c>
      <c r="B1004" s="29" t="s">
        <v>1214</v>
      </c>
      <c r="C1004" s="17">
        <v>4</v>
      </c>
      <c r="D1004" s="18"/>
      <c r="E1004" s="17" t="s">
        <v>1018</v>
      </c>
      <c r="F1004" s="17" t="s">
        <v>242</v>
      </c>
      <c r="G1004" s="18"/>
      <c r="H1004" s="18"/>
    </row>
    <row r="1005" spans="1:8" ht="13.2">
      <c r="A1005" s="19" t="str">
        <f>HYPERLINK("http://www.spoj.com/problems/CNTPRIME","SPOJ CNTPRIME")</f>
        <v>SPOJ CNTPRIME</v>
      </c>
      <c r="B1005" s="29" t="s">
        <v>1215</v>
      </c>
      <c r="C1005" s="17">
        <v>4</v>
      </c>
      <c r="D1005" s="18"/>
      <c r="E1005" s="17" t="s">
        <v>1018</v>
      </c>
      <c r="F1005" s="17" t="s">
        <v>242</v>
      </c>
      <c r="G1005" s="18"/>
      <c r="H1005" s="18"/>
    </row>
    <row r="1006" spans="1:8" ht="13.2">
      <c r="A1006" s="19" t="str">
        <f>HYPERLINK("http://codeforces.com/problemset/gymProblem/100812/E","CF100812-GYM-E")</f>
        <v>CF100812-GYM-E</v>
      </c>
      <c r="B1006" s="29" t="s">
        <v>1017</v>
      </c>
      <c r="C1006" s="33">
        <v>4</v>
      </c>
      <c r="D1006" s="26" t="str">
        <f>HYPERLINK("https://github.com/3agwa/CompetitiveProgramming/blob/master/CodeForces/CF100812-GYM-E","Sol")</f>
        <v>Sol</v>
      </c>
      <c r="E1006" s="17" t="s">
        <v>1018</v>
      </c>
      <c r="F1006" s="17"/>
      <c r="G1006" s="18"/>
      <c r="H1006" s="18"/>
    </row>
    <row r="1007" spans="1:8" ht="13.2">
      <c r="A1007" s="19" t="str">
        <f>HYPERLINK("http://codeforces.com/contest/85/problem/D","CF85-D12-D")</f>
        <v>CF85-D12-D</v>
      </c>
      <c r="B1007" s="29" t="s">
        <v>1216</v>
      </c>
      <c r="C1007" s="17">
        <v>4</v>
      </c>
      <c r="D1007" s="18" t="s">
        <v>1217</v>
      </c>
      <c r="E1007" s="17" t="s">
        <v>1018</v>
      </c>
      <c r="F1007" s="17"/>
      <c r="G1007" s="18"/>
      <c r="H1007" s="18"/>
    </row>
    <row r="1008" spans="1:8" ht="13.2">
      <c r="A1008" s="19" t="str">
        <f>HYPERLINK("http://www.spoj.com/problems/CDC12_H","SPOJ CDC12_H")</f>
        <v>SPOJ CDC12_H</v>
      </c>
      <c r="B1008" s="29" t="s">
        <v>1017</v>
      </c>
      <c r="C1008" s="17">
        <v>3.5</v>
      </c>
      <c r="D1008" s="18"/>
      <c r="E1008" s="17" t="s">
        <v>1018</v>
      </c>
      <c r="F1008" s="17"/>
      <c r="G1008" s="18"/>
      <c r="H1008" s="18"/>
    </row>
    <row r="1009" spans="1:8" ht="13.2">
      <c r="A1009" s="19" t="str">
        <f>HYPERLINK("https://www.codechef.com/problems/FLIPCOIN","CODECHEF FLIPCOIN")</f>
        <v>CODECHEF FLIPCOIN</v>
      </c>
      <c r="B1009" s="37" t="s">
        <v>1208</v>
      </c>
      <c r="C1009" s="24">
        <v>3</v>
      </c>
      <c r="D1009" s="18"/>
      <c r="E1009" s="17" t="s">
        <v>1018</v>
      </c>
      <c r="F1009" s="17"/>
      <c r="G1009" s="18"/>
      <c r="H1009" s="18"/>
    </row>
    <row r="1010" spans="1:8" ht="13.2">
      <c r="A1010" s="19" t="str">
        <f>HYPERLINK("https://icpcarchive.ecs.baylor.edu/index.php?option=com_onlinejudge&amp;Itemid=8&amp;page=show_problem&amp;problem=192","LIVEARCHIVE 2191")</f>
        <v>LIVEARCHIVE 2191</v>
      </c>
      <c r="B1010" s="29" t="s">
        <v>1218</v>
      </c>
      <c r="C1010" s="17">
        <v>2</v>
      </c>
      <c r="D1010" s="18"/>
      <c r="E1010" s="17" t="s">
        <v>1018</v>
      </c>
      <c r="F1010" s="17" t="s">
        <v>139</v>
      </c>
      <c r="G1010" s="18"/>
      <c r="H1010" s="18"/>
    </row>
    <row r="1011" spans="1:8" ht="13.2">
      <c r="A1011" s="15" t="s">
        <v>1219</v>
      </c>
      <c r="B1011" s="28" t="s">
        <v>1017</v>
      </c>
      <c r="C1011" s="24">
        <v>2</v>
      </c>
      <c r="D1011" s="18"/>
      <c r="E1011" s="17" t="s">
        <v>1018</v>
      </c>
      <c r="F1011" s="17"/>
      <c r="G1011" s="18"/>
      <c r="H1011" s="18"/>
    </row>
    <row r="1012" spans="1:8" ht="13.2">
      <c r="A1012" s="19" t="str">
        <f>HYPERLINK("https://uva.onlinejudge.org/index.php?option=com_onlinejudge&amp;Itemid=8&amp;page=show_problem&amp;problem=3977","UVA 12532")</f>
        <v>UVA 12532</v>
      </c>
      <c r="B1012" s="29" t="s">
        <v>1220</v>
      </c>
      <c r="C1012" s="17">
        <v>2</v>
      </c>
      <c r="D1012" s="18"/>
      <c r="E1012" s="17" t="s">
        <v>1018</v>
      </c>
      <c r="F1012" s="17"/>
      <c r="G1012" s="18"/>
      <c r="H1012" s="18"/>
    </row>
    <row r="1013" spans="1:8" ht="13.2">
      <c r="A1013" s="15" t="s">
        <v>1221</v>
      </c>
      <c r="B1013" s="28" t="s">
        <v>1222</v>
      </c>
      <c r="C1013" s="24">
        <v>8.5</v>
      </c>
      <c r="D1013" s="18"/>
      <c r="E1013" s="24" t="s">
        <v>1223</v>
      </c>
      <c r="F1013" s="17"/>
      <c r="G1013" s="18"/>
      <c r="H1013" s="18"/>
    </row>
    <row r="1014" spans="1:8" ht="13.2">
      <c r="A1014" s="15" t="s">
        <v>1224</v>
      </c>
      <c r="B1014" s="28" t="s">
        <v>1222</v>
      </c>
      <c r="C1014" s="24">
        <v>8.5</v>
      </c>
      <c r="D1014" s="18"/>
      <c r="E1014" s="24" t="s">
        <v>1223</v>
      </c>
      <c r="F1014" s="17"/>
      <c r="G1014" s="18"/>
      <c r="H1014" s="18"/>
    </row>
    <row r="1015" spans="1:8" ht="13.8">
      <c r="A1015" s="15" t="s">
        <v>1225</v>
      </c>
      <c r="B1015" s="44" t="s">
        <v>1222</v>
      </c>
      <c r="C1015" s="17">
        <v>7.5</v>
      </c>
      <c r="D1015" s="18"/>
      <c r="E1015" s="17" t="s">
        <v>1223</v>
      </c>
      <c r="F1015" s="17" t="s">
        <v>154</v>
      </c>
      <c r="G1015" s="18"/>
      <c r="H1015" s="18"/>
    </row>
    <row r="1016" spans="1:8" ht="13.2">
      <c r="A1016" s="15" t="s">
        <v>1226</v>
      </c>
      <c r="B1016" s="28" t="s">
        <v>1222</v>
      </c>
      <c r="C1016" s="24">
        <v>7.5</v>
      </c>
      <c r="D1016" s="18"/>
      <c r="E1016" s="24" t="s">
        <v>1223</v>
      </c>
      <c r="F1016" s="17"/>
      <c r="G1016" s="18"/>
      <c r="H1016" s="18"/>
    </row>
    <row r="1017" spans="1:8" ht="13.2">
      <c r="A1017" s="15" t="s">
        <v>1227</v>
      </c>
      <c r="B1017" s="28" t="s">
        <v>1222</v>
      </c>
      <c r="C1017" s="24">
        <v>7.5</v>
      </c>
      <c r="D1017" s="18"/>
      <c r="E1017" s="24" t="s">
        <v>1223</v>
      </c>
      <c r="F1017" s="17"/>
      <c r="G1017" s="18"/>
      <c r="H1017" s="18"/>
    </row>
    <row r="1018" spans="1:8" ht="13.2">
      <c r="A1018" s="19" t="str">
        <f>HYPERLINK("https://csacademy.com/contest/round-84/task/the-sprawl/statement/", "CSA84-F")</f>
        <v>CSA84-F</v>
      </c>
      <c r="B1018" s="15" t="s">
        <v>1228</v>
      </c>
      <c r="C1018" s="17">
        <v>7.25</v>
      </c>
      <c r="D1018" s="26" t="str">
        <f>HYPERLINK("https://github.com/tmwilliamlin168/CompetitiveProgramming/blob/master/CSAcademy/84-F.cpp", "Sol")</f>
        <v>Sol</v>
      </c>
      <c r="E1018" s="17" t="s">
        <v>1223</v>
      </c>
      <c r="F1018" s="17" t="s">
        <v>154</v>
      </c>
      <c r="G1018" s="18"/>
      <c r="H1018" s="18"/>
    </row>
    <row r="1019" spans="1:8" ht="13.2">
      <c r="A1019" s="19" t="str">
        <f>HYPERLINK("https://vjudge.net/problem/27056","LightOJ 1348")</f>
        <v>LightOJ 1348</v>
      </c>
      <c r="B1019" s="23" t="s">
        <v>1229</v>
      </c>
      <c r="C1019" s="17">
        <v>7.25</v>
      </c>
      <c r="D1019" s="18"/>
      <c r="E1019" s="17" t="s">
        <v>1223</v>
      </c>
      <c r="F1019" s="17" t="s">
        <v>201</v>
      </c>
      <c r="G1019" s="18"/>
      <c r="H1019" s="18"/>
    </row>
    <row r="1020" spans="1:8" ht="13.2">
      <c r="A1020" s="19" t="str">
        <f>HYPERLINK("http://codeforces.com/contest/516/problem/D","CF516-D1-D")</f>
        <v>CF516-D1-D</v>
      </c>
      <c r="B1020" s="37" t="s">
        <v>1230</v>
      </c>
      <c r="C1020" s="24">
        <v>7</v>
      </c>
      <c r="D1020" s="26" t="str">
        <f>HYPERLINK("https://github.com/Triplem5ds/Competitve-Programming/blob/master/Codeforces/CF516-D1-D.cpp","Sol")</f>
        <v>Sol</v>
      </c>
      <c r="E1020" s="17" t="s">
        <v>1223</v>
      </c>
      <c r="F1020" s="17" t="s">
        <v>173</v>
      </c>
      <c r="G1020" s="18"/>
      <c r="H1020" s="18"/>
    </row>
    <row r="1021" spans="1:8" ht="13.2">
      <c r="A1021" s="19" t="str">
        <f>HYPERLINK("https://codeforces.com/contest/1093/problem/E","CF1093-D12-E")</f>
        <v>CF1093-D12-E</v>
      </c>
      <c r="B1021" s="15" t="s">
        <v>1231</v>
      </c>
      <c r="C1021" s="17">
        <v>7</v>
      </c>
      <c r="D1021" s="18" t="s">
        <v>1115</v>
      </c>
      <c r="E1021" s="17" t="s">
        <v>1223</v>
      </c>
      <c r="F1021" s="17" t="s">
        <v>139</v>
      </c>
      <c r="G1021" s="18"/>
      <c r="H1021" s="18"/>
    </row>
    <row r="1022" spans="1:8" ht="13.2">
      <c r="A1022" s="15" t="s">
        <v>1232</v>
      </c>
      <c r="B1022" s="15" t="s">
        <v>1233</v>
      </c>
      <c r="C1022" s="24">
        <v>7</v>
      </c>
      <c r="D1022" s="26" t="str">
        <f>HYPERLINK("https://github.com/sggutier/CompetitiveProgramming/blob/master/SPOJ/SWAPS.cpp","Sol")</f>
        <v>Sol</v>
      </c>
      <c r="E1022" s="17" t="s">
        <v>1223</v>
      </c>
      <c r="F1022" s="17" t="s">
        <v>139</v>
      </c>
      <c r="G1022" s="18"/>
      <c r="H1022" s="18"/>
    </row>
    <row r="1023" spans="1:8" ht="13.2">
      <c r="A1023" s="19" t="str">
        <f>HYPERLINK("http://codeforces.com/contest/504/problem/B","CF504-D1-B")</f>
        <v>CF504-D1-B</v>
      </c>
      <c r="B1023" s="29" t="s">
        <v>1234</v>
      </c>
      <c r="C1023" s="17">
        <v>7</v>
      </c>
      <c r="D1023" s="18"/>
      <c r="E1023" s="17" t="s">
        <v>1223</v>
      </c>
      <c r="F1023" s="17"/>
      <c r="G1023" s="18"/>
      <c r="H1023" s="18"/>
    </row>
    <row r="1024" spans="1:8" ht="13.2">
      <c r="A1024" s="19" t="str">
        <f>HYPERLINK("http://codeforces.com/contest/542/problem/A","CF542-D1-A")</f>
        <v>CF542-D1-A</v>
      </c>
      <c r="B1024" s="29" t="s">
        <v>1235</v>
      </c>
      <c r="C1024" s="17">
        <v>7</v>
      </c>
      <c r="D1024" s="18"/>
      <c r="E1024" s="17" t="s">
        <v>1223</v>
      </c>
      <c r="F1024" s="17"/>
      <c r="G1024" s="18"/>
      <c r="H1024" s="18"/>
    </row>
    <row r="1025" spans="1:8" ht="13.2">
      <c r="A1025" s="19" t="str">
        <f>HYPERLINK("https://www.codechef.com/problems/URBANDEV","CODECHEF URBANDEV")</f>
        <v>CODECHEF URBANDEV</v>
      </c>
      <c r="B1025" s="28" t="s">
        <v>1236</v>
      </c>
      <c r="C1025" s="17">
        <v>7</v>
      </c>
      <c r="D1025" s="18"/>
      <c r="E1025" s="17" t="s">
        <v>1223</v>
      </c>
      <c r="F1025" s="17"/>
      <c r="G1025" s="18"/>
      <c r="H1025" s="18"/>
    </row>
    <row r="1026" spans="1:8" ht="13.2">
      <c r="A1026" s="19" t="str">
        <f>HYPERLINK("https://codeforces.com/contest/1087/problem/F","CF1087-D2-F")</f>
        <v>CF1087-D2-F</v>
      </c>
      <c r="B1026" s="15" t="s">
        <v>1237</v>
      </c>
      <c r="C1026" s="17">
        <v>6.8</v>
      </c>
      <c r="D1026" s="18"/>
      <c r="E1026" s="17" t="s">
        <v>1223</v>
      </c>
      <c r="F1026" s="17" t="s">
        <v>139</v>
      </c>
      <c r="G1026" s="18"/>
      <c r="H1026" s="18"/>
    </row>
    <row r="1027" spans="1:8" ht="13.2">
      <c r="A1027" s="15" t="s">
        <v>1238</v>
      </c>
      <c r="B1027" s="28" t="s">
        <v>1239</v>
      </c>
      <c r="C1027" s="24">
        <v>6.75</v>
      </c>
      <c r="D1027" s="26" t="str">
        <f>HYPERLINK("https://github.com/mostafa-saad/MyCompetitiveProgramming/blob/master/SPOJ/SPOJ_INCDSEQ.txt","Sol")</f>
        <v>Sol</v>
      </c>
      <c r="E1027" s="17" t="s">
        <v>1223</v>
      </c>
      <c r="F1027" s="17" t="s">
        <v>154</v>
      </c>
      <c r="G1027" s="18"/>
      <c r="H1027" s="18"/>
    </row>
    <row r="1028" spans="1:8" ht="13.2">
      <c r="A1028" s="19" t="str">
        <f>HYPERLINK("http://codeforces.com/contest/228/problem/D","CF228-D2-D")</f>
        <v>CF228-D2-D</v>
      </c>
      <c r="B1028" s="29" t="s">
        <v>1234</v>
      </c>
      <c r="C1028" s="17">
        <v>6.75</v>
      </c>
      <c r="D1028" s="18"/>
      <c r="E1028" s="17" t="s">
        <v>1223</v>
      </c>
      <c r="F1028" s="17" t="s">
        <v>201</v>
      </c>
      <c r="G1028" s="18"/>
      <c r="H1028" s="18"/>
    </row>
    <row r="1029" spans="1:8" ht="13.2">
      <c r="A1029" s="19" t="str">
        <f>HYPERLINK("https://onlinejudge.org/index.php?option=onlinejudge&amp;Itemid=8&amp;page=show_problem&amp;problem=2418","UVA 11423")</f>
        <v>UVA 11423</v>
      </c>
      <c r="B1029" s="28" t="s">
        <v>1222</v>
      </c>
      <c r="C1029" s="17">
        <v>6.5</v>
      </c>
      <c r="D1029" s="26" t="str">
        <f>HYPERLINK("https://github.com/shashank0107/CompetitiveProgramming/blob/master/UVA/11423.cpp","Sol")</f>
        <v>Sol</v>
      </c>
      <c r="E1029" s="17" t="s">
        <v>1223</v>
      </c>
      <c r="F1029" s="17" t="s">
        <v>154</v>
      </c>
      <c r="G1029" s="18"/>
      <c r="H1029" s="18"/>
    </row>
    <row r="1030" spans="1:8" ht="13.2">
      <c r="A1030" s="19" t="str">
        <f>HYPERLINK("https://www.codechef.com/problems/TEMPQUE","CODECHEF TEMPQUE")</f>
        <v>CODECHEF TEMPQUE</v>
      </c>
      <c r="B1030" s="29" t="s">
        <v>1234</v>
      </c>
      <c r="C1030" s="24">
        <v>6.5</v>
      </c>
      <c r="D1030" s="18"/>
      <c r="E1030" s="17" t="s">
        <v>1223</v>
      </c>
      <c r="F1030" s="17" t="s">
        <v>154</v>
      </c>
      <c r="G1030" s="18"/>
      <c r="H1030" s="18"/>
    </row>
    <row r="1031" spans="1:8" ht="13.2">
      <c r="A1031" s="19" t="str">
        <f>HYPERLINK("http://codeforces.com/contest/384/problem/E","CF384-D2-E")</f>
        <v>CF384-D2-E</v>
      </c>
      <c r="B1031" s="29" t="s">
        <v>1240</v>
      </c>
      <c r="C1031" s="17">
        <v>6.5</v>
      </c>
      <c r="D1031" s="18"/>
      <c r="E1031" s="17" t="s">
        <v>1223</v>
      </c>
      <c r="F1031" s="17" t="s">
        <v>154</v>
      </c>
      <c r="G1031" s="18"/>
      <c r="H1031" s="18"/>
    </row>
    <row r="1032" spans="1:8" ht="13.2">
      <c r="A1032" s="15" t="s">
        <v>1241</v>
      </c>
      <c r="B1032" s="28" t="s">
        <v>1242</v>
      </c>
      <c r="C1032" s="17">
        <v>6.5</v>
      </c>
      <c r="D1032" s="26" t="str">
        <f>HYPERLINK("https://www.quora.com/How-can-I-solve-a-KPMATRIX-problem-on-SPOJ","Sol")</f>
        <v>Sol</v>
      </c>
      <c r="E1032" s="17" t="s">
        <v>1223</v>
      </c>
      <c r="F1032" s="17" t="s">
        <v>154</v>
      </c>
      <c r="G1032" s="18"/>
      <c r="H1032" s="18"/>
    </row>
    <row r="1033" spans="1:8" ht="13.2">
      <c r="A1033" s="15" t="s">
        <v>1243</v>
      </c>
      <c r="B1033" s="28" t="s">
        <v>1244</v>
      </c>
      <c r="C1033" s="17">
        <v>6.5</v>
      </c>
      <c r="D1033" s="26" t="str">
        <f>HYPERLINK("https://github.com/mostafa-saad/MyCompetitiveProgramming/blob/master/SPOJ/SPOJ_INCDSEQ.txt","Sol")</f>
        <v>Sol</v>
      </c>
      <c r="E1033" s="17" t="s">
        <v>1223</v>
      </c>
      <c r="F1033" s="17" t="s">
        <v>154</v>
      </c>
      <c r="G1033" s="18"/>
      <c r="H1033" s="18"/>
    </row>
    <row r="1034" spans="1:8" ht="13.2">
      <c r="A1034" s="19" t="str">
        <f>HYPERLINK("http://codeforces.com/contest/5/problem/E","CF5-D12-E")</f>
        <v>CF5-D12-E</v>
      </c>
      <c r="B1034" s="29" t="s">
        <v>1245</v>
      </c>
      <c r="C1034" s="17">
        <v>6.5</v>
      </c>
      <c r="D1034" s="26" t="str">
        <f>HYPERLINK("https://github.com/mostafa-saad/MyCompetitiveProgramming/blob/master/Codeforces/CF5-D12-E.txt","Sol")</f>
        <v>Sol</v>
      </c>
      <c r="E1034" s="17" t="s">
        <v>1223</v>
      </c>
      <c r="F1034" s="17" t="s">
        <v>196</v>
      </c>
      <c r="G1034" s="18"/>
      <c r="H1034" s="18"/>
    </row>
    <row r="1035" spans="1:8" ht="13.2">
      <c r="A1035" s="19" t="str">
        <f>HYPERLINK("http://codeforces.com/contest/341/problem/D","CF341-D1-D")</f>
        <v>CF341-D1-D</v>
      </c>
      <c r="B1035" s="29" t="s">
        <v>1246</v>
      </c>
      <c r="C1035" s="17">
        <v>6.5</v>
      </c>
      <c r="D1035" s="18"/>
      <c r="E1035" s="17" t="s">
        <v>1223</v>
      </c>
      <c r="F1035" s="17" t="s">
        <v>1112</v>
      </c>
      <c r="G1035" s="18"/>
      <c r="H1035" s="18"/>
    </row>
    <row r="1036" spans="1:8" ht="13.2">
      <c r="A1036" s="19" t="str">
        <f>HYPERLINK("http://codeforces.com/contest/301/problem/D","CF301-D1-D")</f>
        <v>CF301-D1-D</v>
      </c>
      <c r="B1036" s="15" t="s">
        <v>1247</v>
      </c>
      <c r="C1036" s="17">
        <v>6.5</v>
      </c>
      <c r="D1036" s="18"/>
      <c r="E1036" s="17" t="s">
        <v>1223</v>
      </c>
      <c r="F1036" s="17" t="s">
        <v>139</v>
      </c>
      <c r="G1036" s="18"/>
      <c r="H1036" s="18"/>
    </row>
    <row r="1037" spans="1:8" ht="13.2">
      <c r="A1037" s="19" t="str">
        <f>HYPERLINK("http://codeforces.com/contest/276/problem/E","CF276-D2-E")</f>
        <v>CF276-D2-E</v>
      </c>
      <c r="B1037" s="29" t="s">
        <v>1248</v>
      </c>
      <c r="C1037" s="17">
        <v>6.5</v>
      </c>
      <c r="D1037" s="18"/>
      <c r="E1037" s="17" t="s">
        <v>1223</v>
      </c>
      <c r="F1037" s="17" t="s">
        <v>201</v>
      </c>
      <c r="G1037" s="18"/>
      <c r="H1037" s="18"/>
    </row>
    <row r="1038" spans="1:8" ht="13.2">
      <c r="A1038" s="15" t="s">
        <v>1249</v>
      </c>
      <c r="B1038" s="28" t="s">
        <v>1250</v>
      </c>
      <c r="C1038" s="24">
        <v>6.5</v>
      </c>
      <c r="D1038" s="18"/>
      <c r="E1038" s="17" t="s">
        <v>1223</v>
      </c>
      <c r="F1038" s="17" t="s">
        <v>201</v>
      </c>
      <c r="G1038" s="18"/>
      <c r="H1038" s="18"/>
    </row>
    <row r="1039" spans="1:8" ht="13.2">
      <c r="A1039" s="19" t="str">
        <f>HYPERLINK("http://codeforces.com/problemset/gymProblem/100812/F","CF100182-GYM-F")</f>
        <v>CF100182-GYM-F</v>
      </c>
      <c r="B1039" s="15" t="s">
        <v>1222</v>
      </c>
      <c r="C1039" s="17">
        <v>6.5</v>
      </c>
      <c r="D1039" s="18"/>
      <c r="E1039" s="17" t="s">
        <v>1223</v>
      </c>
      <c r="F1039" s="17"/>
      <c r="G1039" s="18"/>
      <c r="H1039" s="18"/>
    </row>
    <row r="1040" spans="1:8" ht="13.2">
      <c r="A1040" s="19" t="str">
        <f>HYPERLINK("http://codeforces.com/contest/369/problem/E","CF369-D2-E")</f>
        <v>CF369-D2-E</v>
      </c>
      <c r="B1040" s="29" t="s">
        <v>1222</v>
      </c>
      <c r="C1040" s="17">
        <v>6.5</v>
      </c>
      <c r="D1040" s="18"/>
      <c r="E1040" s="17" t="s">
        <v>1223</v>
      </c>
      <c r="F1040" s="17"/>
      <c r="G1040" s="18"/>
      <c r="H1040" s="18"/>
    </row>
    <row r="1041" spans="1:8" ht="13.2">
      <c r="A1041" s="19" t="str">
        <f>HYPERLINK("http://codeforces.com/contest/540/problem/E","CF540-D2-E")</f>
        <v>CF540-D2-E</v>
      </c>
      <c r="B1041" s="45" t="s">
        <v>1251</v>
      </c>
      <c r="C1041" s="46">
        <v>6.5</v>
      </c>
      <c r="D1041" s="18"/>
      <c r="E1041" s="46" t="s">
        <v>1223</v>
      </c>
      <c r="F1041" s="17"/>
      <c r="G1041" s="18"/>
      <c r="H1041" s="18"/>
    </row>
    <row r="1042" spans="1:8" ht="13.2">
      <c r="A1042" s="19" t="str">
        <f>HYPERLINK("http://codeforces.com/contest/749/problem/E","CF749-D2-E")</f>
        <v>CF749-D2-E</v>
      </c>
      <c r="B1042" s="15" t="s">
        <v>1252</v>
      </c>
      <c r="C1042" s="24">
        <v>6.5</v>
      </c>
      <c r="D1042" s="18"/>
      <c r="E1042" s="17" t="s">
        <v>1223</v>
      </c>
      <c r="F1042" s="17"/>
      <c r="G1042" s="18"/>
      <c r="H1042" s="18"/>
    </row>
    <row r="1043" spans="1:8" ht="13.2">
      <c r="A1043" s="19" t="str">
        <f>HYPERLINK("http://codeforces.com/contest/538/problem/F","CF538-D12-F")</f>
        <v>CF538-D12-F</v>
      </c>
      <c r="B1043" s="29" t="s">
        <v>1253</v>
      </c>
      <c r="C1043" s="17">
        <v>6.4</v>
      </c>
      <c r="D1043" s="18"/>
      <c r="E1043" s="17" t="s">
        <v>1223</v>
      </c>
      <c r="F1043" s="17" t="s">
        <v>154</v>
      </c>
      <c r="G1043" s="18"/>
      <c r="H1043" s="18"/>
    </row>
    <row r="1044" spans="1:8" ht="13.2">
      <c r="A1044" s="15" t="s">
        <v>1254</v>
      </c>
      <c r="B1044" s="18" t="s">
        <v>1255</v>
      </c>
      <c r="C1044" s="17">
        <v>6.4</v>
      </c>
      <c r="D1044" s="26" t="str">
        <f>HYPERLINK("https://github.com/tr0j4n034/SPOJ/blob/master/CRAYON.cpp","Sol")</f>
        <v>Sol</v>
      </c>
      <c r="E1044" s="17" t="s">
        <v>1223</v>
      </c>
      <c r="F1044" s="17" t="s">
        <v>154</v>
      </c>
      <c r="G1044" s="18"/>
      <c r="H1044" s="18"/>
    </row>
    <row r="1045" spans="1:8" ht="13.2">
      <c r="A1045" s="19" t="str">
        <f>HYPERLINK("http://codeforces.com/problemset/problem/899/F","CF899-D2-F")</f>
        <v>CF899-D2-F</v>
      </c>
      <c r="B1045" s="18" t="s">
        <v>1256</v>
      </c>
      <c r="C1045" s="17">
        <v>6.25</v>
      </c>
      <c r="D1045" s="18"/>
      <c r="E1045" s="17" t="s">
        <v>1223</v>
      </c>
      <c r="F1045" s="17" t="s">
        <v>196</v>
      </c>
      <c r="G1045" s="18"/>
      <c r="H1045" s="18"/>
    </row>
    <row r="1046" spans="1:8" ht="13.2">
      <c r="A1046" s="19" t="str">
        <f>HYPERLINK("https://codeforces.com/contest/540/problem/E","CF540-D2-E")</f>
        <v>CF540-D2-E</v>
      </c>
      <c r="B1046" s="20" t="s">
        <v>1257</v>
      </c>
      <c r="C1046" s="17">
        <v>6.25</v>
      </c>
      <c r="D1046" s="18"/>
      <c r="E1046" s="17" t="s">
        <v>1223</v>
      </c>
      <c r="F1046" s="17"/>
      <c r="G1046" s="18"/>
      <c r="H1046" s="18"/>
    </row>
    <row r="1047" spans="1:8" ht="13.2">
      <c r="A1047" s="19" t="str">
        <f>HYPERLINK("http://codeforces.com/contest/827/problem/C","CF827-D1-C")</f>
        <v>CF827-D1-C</v>
      </c>
      <c r="B1047" s="29" t="s">
        <v>1258</v>
      </c>
      <c r="C1047" s="17">
        <v>6.1</v>
      </c>
      <c r="D1047" s="18"/>
      <c r="E1047" s="17" t="s">
        <v>1223</v>
      </c>
      <c r="F1047" s="17" t="s">
        <v>196</v>
      </c>
      <c r="G1047" s="18"/>
      <c r="H1047" s="18"/>
    </row>
    <row r="1048" spans="1:8" ht="13.2">
      <c r="A1048" s="19" t="str">
        <f>HYPERLINK("http://codeforces.com/contest/501/problem/D","CF501-D2-D")</f>
        <v>CF501-D2-D</v>
      </c>
      <c r="B1048" s="29" t="s">
        <v>1259</v>
      </c>
      <c r="C1048" s="24">
        <v>6</v>
      </c>
      <c r="D1048" s="18"/>
      <c r="E1048" s="17" t="s">
        <v>1223</v>
      </c>
      <c r="F1048" s="17" t="s">
        <v>1053</v>
      </c>
      <c r="G1048" s="18"/>
      <c r="H1048" s="18"/>
    </row>
    <row r="1049" spans="1:8" ht="13.2">
      <c r="A1049" s="15" t="s">
        <v>1260</v>
      </c>
      <c r="B1049" s="29" t="s">
        <v>1261</v>
      </c>
      <c r="C1049" s="17">
        <v>6</v>
      </c>
      <c r="D1049" s="26" t="str">
        <f>HYPERLINK("https://github.com/mostafa-saad/MyCompetitiveProgramming/blob/master/SPOJ/SPOJ_BRICKS.txt","Use a datastructure. Sol")</f>
        <v>Use a datastructure. Sol</v>
      </c>
      <c r="E1049" s="17" t="s">
        <v>1223</v>
      </c>
      <c r="F1049" s="17" t="s">
        <v>139</v>
      </c>
      <c r="G1049" s="18"/>
      <c r="H1049" s="18"/>
    </row>
    <row r="1050" spans="1:8" ht="13.2">
      <c r="A1050" s="19" t="str">
        <f>HYPERLINK("https://onlinejudge.org/index.php?option=onlinejudge&amp;page=show_problem&amp;problem=1972","UVA 11031")</f>
        <v>UVA 11031</v>
      </c>
      <c r="B1050" s="30" t="s">
        <v>1262</v>
      </c>
      <c r="C1050" s="17">
        <v>6</v>
      </c>
      <c r="D1050" s="26" t="str">
        <f>HYPERLINK("https://morris821028.github.io/2014/06/12/oj/uva/uva-11031/","Sol")</f>
        <v>Sol</v>
      </c>
      <c r="E1050" s="17" t="s">
        <v>1223</v>
      </c>
      <c r="F1050" s="17" t="s">
        <v>139</v>
      </c>
      <c r="G1050" s="18"/>
      <c r="H1050" s="18"/>
    </row>
    <row r="1051" spans="1:8" ht="13.2">
      <c r="A1051" s="15" t="s">
        <v>1263</v>
      </c>
      <c r="B1051" s="28" t="s">
        <v>1264</v>
      </c>
      <c r="C1051" s="24">
        <v>6</v>
      </c>
      <c r="D1051" s="26" t="str">
        <f>HYPERLINK("https://github.com/miguelAlessandro/CompetitiveProgramming/blob/master/live_archive/4976.cpp","Sol")</f>
        <v>Sol</v>
      </c>
      <c r="E1051" s="24" t="s">
        <v>1223</v>
      </c>
      <c r="F1051" s="17" t="s">
        <v>201</v>
      </c>
      <c r="G1051" s="18"/>
      <c r="H1051" s="18"/>
    </row>
    <row r="1052" spans="1:8" ht="13.2">
      <c r="A1052" s="19" t="str">
        <f>HYPERLINK("http://codeforces.com/contest/629/problem/D","CF629-D2-D")</f>
        <v>CF629-D2-D</v>
      </c>
      <c r="B1052" s="18" t="s">
        <v>1265</v>
      </c>
      <c r="C1052" s="17">
        <v>6</v>
      </c>
      <c r="D1052" s="18"/>
      <c r="E1052" s="17" t="s">
        <v>1223</v>
      </c>
      <c r="F1052" s="17" t="s">
        <v>201</v>
      </c>
      <c r="G1052" s="18"/>
      <c r="H1052" s="18"/>
    </row>
    <row r="1053" spans="1:8" ht="13.2">
      <c r="A1053" s="19" t="str">
        <f>HYPERLINK("https://open.kattis.com/problems/keepthemseparated","kattis keepthemseparated")</f>
        <v>kattis keepthemseparated</v>
      </c>
      <c r="B1053" s="15" t="s">
        <v>1266</v>
      </c>
      <c r="C1053" s="17">
        <v>6</v>
      </c>
      <c r="D1053" s="26" t="str">
        <f>HYPERLINK("https://github.com/nya-nya-meow/CompetitiveProgramming/blob/master/Kattis/keepthemseparated.cpp","Sol")</f>
        <v>Sol</v>
      </c>
      <c r="E1053" s="17" t="s">
        <v>1223</v>
      </c>
      <c r="F1053" s="17" t="s">
        <v>242</v>
      </c>
      <c r="G1053" s="18"/>
      <c r="H1053" s="18"/>
    </row>
    <row r="1054" spans="1:8" ht="13.2">
      <c r="A1054" s="19" t="str">
        <f>HYPERLINK("http://codeforces.com/contest/431/problem/E","CF431-D2-E")</f>
        <v>CF431-D2-E</v>
      </c>
      <c r="B1054" s="29" t="s">
        <v>1267</v>
      </c>
      <c r="C1054" s="24">
        <v>6</v>
      </c>
      <c r="D1054" s="18"/>
      <c r="E1054" s="17" t="s">
        <v>1223</v>
      </c>
      <c r="F1054" s="17"/>
      <c r="G1054" s="18"/>
      <c r="H1054" s="18"/>
    </row>
    <row r="1055" spans="1:8" ht="13.2">
      <c r="A1055" s="19" t="str">
        <f>HYPERLINK("http://codeforces.com/contest/374/problem/D", "CF374-D2-D")</f>
        <v>CF374-D2-D</v>
      </c>
      <c r="B1055" s="20" t="s">
        <v>1268</v>
      </c>
      <c r="C1055" s="21">
        <v>6</v>
      </c>
      <c r="D1055" s="26" t="str">
        <f>HYPERLINK("https://github.com/tmwilliamlin168/CompetitiveProgramming/blob/master/CodeForces/CF374-D2-D.cpp", "Sol")</f>
        <v>Sol</v>
      </c>
      <c r="E1055" s="17" t="s">
        <v>1223</v>
      </c>
      <c r="F1055" s="17"/>
      <c r="G1055" s="18"/>
      <c r="H1055" s="18"/>
    </row>
    <row r="1056" spans="1:8" ht="13.2">
      <c r="A1056" s="19" t="str">
        <f>HYPERLINK("http://codeforces.com/contest/610/problem/D","CF610-D2-D")</f>
        <v>CF610-D2-D</v>
      </c>
      <c r="B1056" s="29" t="s">
        <v>1269</v>
      </c>
      <c r="C1056" s="31">
        <v>6</v>
      </c>
      <c r="D1056" s="18"/>
      <c r="E1056" s="17" t="s">
        <v>1223</v>
      </c>
      <c r="F1056" s="17"/>
      <c r="G1056" s="18"/>
      <c r="H1056" s="18"/>
    </row>
    <row r="1057" spans="1:8" ht="13.2">
      <c r="A1057" s="15" t="s">
        <v>1270</v>
      </c>
      <c r="B1057" s="29" t="s">
        <v>1271</v>
      </c>
      <c r="C1057" s="24">
        <v>6</v>
      </c>
      <c r="D1057" s="18" t="s">
        <v>1272</v>
      </c>
      <c r="E1057" s="17" t="s">
        <v>1223</v>
      </c>
      <c r="F1057" s="17"/>
      <c r="G1057" s="18"/>
      <c r="H1057" s="18"/>
    </row>
    <row r="1058" spans="1:8" ht="13.2">
      <c r="A1058" s="19" t="str">
        <f>HYPERLINK("http://codeforces.com/contest/191/problem/E", "CF191-D1-E")</f>
        <v>CF191-D1-E</v>
      </c>
      <c r="B1058" s="20" t="s">
        <v>1273</v>
      </c>
      <c r="C1058" s="21">
        <v>6</v>
      </c>
      <c r="D1058" s="18"/>
      <c r="E1058" s="17" t="s">
        <v>1223</v>
      </c>
      <c r="F1058" s="17"/>
      <c r="G1058" s="18"/>
      <c r="H1058" s="18"/>
    </row>
    <row r="1059" spans="1:8" ht="13.2">
      <c r="A1059" s="15" t="s">
        <v>1274</v>
      </c>
      <c r="B1059" s="28" t="s">
        <v>1275</v>
      </c>
      <c r="C1059" s="17">
        <v>6</v>
      </c>
      <c r="D1059" s="18"/>
      <c r="E1059" s="17" t="s">
        <v>1223</v>
      </c>
      <c r="F1059" s="17"/>
      <c r="G1059" s="18"/>
      <c r="H1059" s="18"/>
    </row>
    <row r="1060" spans="1:8" ht="13.2">
      <c r="A1060" s="15" t="s">
        <v>1276</v>
      </c>
      <c r="B1060" s="18" t="s">
        <v>1277</v>
      </c>
      <c r="C1060" s="17">
        <v>5.5</v>
      </c>
      <c r="D1060" s="26" t="str">
        <f>HYPERLINK("https://github.com/shashank0107/CompetitiveProgramming/blob/master/Topcoder/SRM315-D2-1000.cpp","Use BIT (Attached code). Read editorial for several other approaches")</f>
        <v>Use BIT (Attached code). Read editorial for several other approaches</v>
      </c>
      <c r="E1060" s="17" t="s">
        <v>1223</v>
      </c>
      <c r="F1060" s="17" t="s">
        <v>139</v>
      </c>
      <c r="G1060" s="18"/>
      <c r="H1060" s="18"/>
    </row>
    <row r="1061" spans="1:8" ht="13.2">
      <c r="A1061" s="19" t="str">
        <f>HYPERLINK("https://codeforces.com/problemset/problem/12/D","CF12-D2-D")</f>
        <v>CF12-D2-D</v>
      </c>
      <c r="B1061" s="23" t="s">
        <v>1278</v>
      </c>
      <c r="C1061" s="17">
        <v>5.5</v>
      </c>
      <c r="D1061" s="18"/>
      <c r="E1061" s="17" t="s">
        <v>1223</v>
      </c>
      <c r="F1061" s="17" t="s">
        <v>139</v>
      </c>
      <c r="G1061" s="18"/>
      <c r="H1061" s="18"/>
    </row>
    <row r="1062" spans="1:8" ht="13.2">
      <c r="A1062" s="19" t="str">
        <f>HYPERLINK("https://codeforces.com/contest/1268/problem/C","CF1268-D1-C")</f>
        <v>CF1268-D1-C</v>
      </c>
      <c r="B1062" s="20" t="s">
        <v>1279</v>
      </c>
      <c r="C1062" s="21">
        <v>5.5</v>
      </c>
      <c r="D1062" s="18"/>
      <c r="E1062" s="17" t="s">
        <v>1223</v>
      </c>
      <c r="F1062" s="17" t="s">
        <v>201</v>
      </c>
      <c r="G1062" s="18"/>
      <c r="H1062" s="18"/>
    </row>
    <row r="1063" spans="1:8" ht="13.2">
      <c r="A1063" s="19" t="str">
        <f>HYPERLINK("https://codeforces.com/contest/1285/problem/E","CF1285-D2-E")</f>
        <v>CF1285-D2-E</v>
      </c>
      <c r="B1063" s="20" t="s">
        <v>1280</v>
      </c>
      <c r="C1063" s="21">
        <v>5.5</v>
      </c>
      <c r="D1063" s="18"/>
      <c r="E1063" s="17" t="s">
        <v>1223</v>
      </c>
      <c r="F1063" s="17" t="s">
        <v>201</v>
      </c>
      <c r="G1063" s="18"/>
      <c r="H1063" s="18"/>
    </row>
    <row r="1064" spans="1:8" ht="13.2">
      <c r="A1064" s="15" t="s">
        <v>1281</v>
      </c>
      <c r="B1064" s="30" t="s">
        <v>1222</v>
      </c>
      <c r="C1064" s="24">
        <v>5.5</v>
      </c>
      <c r="D1064" s="18"/>
      <c r="E1064" s="17" t="s">
        <v>1223</v>
      </c>
      <c r="F1064" s="17"/>
      <c r="G1064" s="18"/>
      <c r="H1064" s="18"/>
    </row>
    <row r="1065" spans="1:8" ht="13.2">
      <c r="A1065" s="19" t="str">
        <f>HYPERLINK("http://codeforces.com/contest/985/problem/E","CF985-D12-E")</f>
        <v>CF985-D12-E</v>
      </c>
      <c r="B1065" s="15" t="s">
        <v>1282</v>
      </c>
      <c r="C1065" s="17">
        <v>5.5</v>
      </c>
      <c r="D1065" s="18"/>
      <c r="E1065" s="17" t="s">
        <v>1223</v>
      </c>
      <c r="F1065" s="17"/>
      <c r="G1065" s="18"/>
      <c r="H1065" s="18"/>
    </row>
    <row r="1066" spans="1:8" ht="13.2">
      <c r="A1066" s="15" t="s">
        <v>1283</v>
      </c>
      <c r="B1066" s="30" t="s">
        <v>1284</v>
      </c>
      <c r="C1066" s="17">
        <v>5</v>
      </c>
      <c r="D1066" s="26" t="str">
        <f>HYPERLINK("https://github.com/mostafa-saad/MyCompetitiveProgramming/blob/master/UVA/UVA_12697.txt","Sol-must read")</f>
        <v>Sol-must read</v>
      </c>
      <c r="E1066" s="17" t="s">
        <v>1223</v>
      </c>
      <c r="F1066" s="17" t="s">
        <v>154</v>
      </c>
      <c r="G1066" s="18"/>
      <c r="H1066" s="18"/>
    </row>
    <row r="1067" spans="1:8" ht="13.2">
      <c r="A1067" s="15" t="s">
        <v>1285</v>
      </c>
      <c r="B1067" s="15" t="s">
        <v>1222</v>
      </c>
      <c r="C1067" s="17">
        <v>5</v>
      </c>
      <c r="D1067" s="26" t="str">
        <f>HYPERLINK("https://github.com/shashank0107/CompetitiveProgramming/blob/master/SPOJ/DCEPC705.cpp","Sol")</f>
        <v>Sol</v>
      </c>
      <c r="E1067" s="17" t="s">
        <v>1223</v>
      </c>
      <c r="F1067" s="17" t="s">
        <v>139</v>
      </c>
      <c r="G1067" s="18"/>
      <c r="H1067" s="18"/>
    </row>
    <row r="1068" spans="1:8" ht="13.2">
      <c r="A1068" s="19" t="str">
        <f>HYPERLINK("http://codeforces.com/contest/597/problem/C","CF597-D12-C")</f>
        <v>CF597-D12-C</v>
      </c>
      <c r="B1068" s="15" t="s">
        <v>1234</v>
      </c>
      <c r="C1068" s="17">
        <v>5</v>
      </c>
      <c r="D1068" s="26" t="str">
        <f>HYPERLINK("https://codeforces.com/contest/597/submission/14200939","Sol")</f>
        <v>Sol</v>
      </c>
      <c r="E1068" s="17" t="s">
        <v>1223</v>
      </c>
      <c r="F1068" s="17" t="s">
        <v>139</v>
      </c>
      <c r="G1068" s="18"/>
      <c r="H1068" s="18"/>
    </row>
    <row r="1069" spans="1:8" ht="13.2">
      <c r="A1069" s="15" t="s">
        <v>1286</v>
      </c>
      <c r="B1069" s="18" t="s">
        <v>1287</v>
      </c>
      <c r="C1069" s="33">
        <v>5</v>
      </c>
      <c r="D1069" s="26" t="str">
        <f>HYPERLINK("https://github.com/MeGaCrazy/CompetitiveProgramming/blob/c86a8f9935be057efbf0aa87b464b0740bcb41a4/UVA/UVA_1428.cpp","Don't use segment tree or pure STL. Sol")</f>
        <v>Don't use segment tree or pure STL. Sol</v>
      </c>
      <c r="E1069" s="17" t="s">
        <v>1223</v>
      </c>
      <c r="F1069" s="17" t="s">
        <v>139</v>
      </c>
      <c r="G1069" s="18"/>
      <c r="H1069" s="18"/>
    </row>
    <row r="1070" spans="1:8" ht="13.2">
      <c r="A1070" s="15" t="s">
        <v>1288</v>
      </c>
      <c r="B1070" s="28" t="s">
        <v>1289</v>
      </c>
      <c r="C1070" s="24">
        <v>5</v>
      </c>
      <c r="D1070" s="26" t="str">
        <f>HYPERLINK("https://github.com/magdy-hasan/competitive-programming/blob/master/SPOJ/SPOJ%20NICEDAY%20-%20The%20day%20of%20the%20competitors.cpp","Sol")</f>
        <v>Sol</v>
      </c>
      <c r="E1070" s="17" t="s">
        <v>1223</v>
      </c>
      <c r="F1070" s="17" t="s">
        <v>139</v>
      </c>
      <c r="G1070" s="18"/>
      <c r="H1070" s="18"/>
    </row>
    <row r="1071" spans="1:8" ht="13.2">
      <c r="A1071" s="19" t="str">
        <f>HYPERLINK("https://devskill.com/CodingProblems/ViewProblem/422","DCP 422")</f>
        <v>DCP 422</v>
      </c>
      <c r="B1071" s="15" t="s">
        <v>1290</v>
      </c>
      <c r="C1071" s="17">
        <v>5</v>
      </c>
      <c r="D1071" s="26" t="str">
        <f>HYPERLINK("https://github.com/shashank0107/CompetitiveProgramming/blob/master/DCP/422.cpp","Sol")</f>
        <v>Sol</v>
      </c>
      <c r="E1071" s="17" t="s">
        <v>1223</v>
      </c>
      <c r="F1071" s="17" t="s">
        <v>139</v>
      </c>
      <c r="G1071" s="18"/>
      <c r="H1071" s="18"/>
    </row>
    <row r="1072" spans="1:8" ht="13.2">
      <c r="A1072" s="15" t="s">
        <v>1291</v>
      </c>
      <c r="B1072" s="18" t="s">
        <v>1292</v>
      </c>
      <c r="C1072" s="33">
        <v>5</v>
      </c>
      <c r="D1072" s="26" t="str">
        <f>HYPERLINK("https://github.com/MeGaCrazy/CompetitiveProgramming/blob/1804aa9c2f7169786363d83eeacd7a0a392653cb/SPOJ/SPOJ_ORDERSET.cpp","Don't use segment tree or pure STL. Sol")</f>
        <v>Don't use segment tree or pure STL. Sol</v>
      </c>
      <c r="E1072" s="17" t="s">
        <v>1223</v>
      </c>
      <c r="F1072" s="17" t="s">
        <v>201</v>
      </c>
      <c r="G1072" s="18"/>
      <c r="H1072" s="18"/>
    </row>
    <row r="1073" spans="1:8" ht="13.2">
      <c r="A1073" s="15" t="s">
        <v>1293</v>
      </c>
      <c r="B1073" s="29" t="s">
        <v>1294</v>
      </c>
      <c r="C1073" s="17">
        <v>5</v>
      </c>
      <c r="D1073" s="18" t="s">
        <v>1272</v>
      </c>
      <c r="E1073" s="17" t="s">
        <v>1223</v>
      </c>
      <c r="F1073" s="17" t="s">
        <v>201</v>
      </c>
      <c r="G1073" s="18"/>
      <c r="H1073" s="18"/>
    </row>
    <row r="1074" spans="1:8" ht="13.2">
      <c r="A1074" s="15" t="s">
        <v>1295</v>
      </c>
      <c r="B1074" s="29" t="s">
        <v>1296</v>
      </c>
      <c r="C1074" s="17">
        <v>5</v>
      </c>
      <c r="D1074" s="18" t="s">
        <v>1297</v>
      </c>
      <c r="E1074" s="17" t="s">
        <v>1223</v>
      </c>
      <c r="F1074" s="17" t="s">
        <v>201</v>
      </c>
      <c r="G1074" s="18"/>
      <c r="H1074" s="18"/>
    </row>
    <row r="1075" spans="1:8" ht="13.2">
      <c r="A1075" s="19" t="str">
        <f>HYPERLINK("https://codeforces.com/contest/1278/problem/E","CF1278-D12-E")</f>
        <v>CF1278-D12-E</v>
      </c>
      <c r="B1075" s="20" t="s">
        <v>1298</v>
      </c>
      <c r="C1075" s="21">
        <v>5</v>
      </c>
      <c r="D1075" s="18"/>
      <c r="E1075" s="17" t="s">
        <v>1223</v>
      </c>
      <c r="F1075" s="17" t="s">
        <v>201</v>
      </c>
      <c r="G1075" s="18"/>
      <c r="H1075" s="18"/>
    </row>
    <row r="1076" spans="1:8" ht="13.2">
      <c r="A1076" s="15" t="s">
        <v>1299</v>
      </c>
      <c r="B1076" s="28" t="s">
        <v>1300</v>
      </c>
      <c r="C1076" s="17">
        <v>5</v>
      </c>
      <c r="D1076" s="18"/>
      <c r="E1076" s="17" t="s">
        <v>1223</v>
      </c>
      <c r="F1076" s="17" t="s">
        <v>201</v>
      </c>
      <c r="G1076" s="18"/>
      <c r="H1076" s="18"/>
    </row>
    <row r="1077" spans="1:8" ht="13.2">
      <c r="A1077" s="15" t="s">
        <v>1301</v>
      </c>
      <c r="B1077" s="28" t="s">
        <v>1302</v>
      </c>
      <c r="C1077" s="17">
        <v>5</v>
      </c>
      <c r="D1077" s="18" t="s">
        <v>1272</v>
      </c>
      <c r="E1077" s="17" t="s">
        <v>1223</v>
      </c>
      <c r="F1077" s="17" t="s">
        <v>242</v>
      </c>
      <c r="G1077" s="18"/>
      <c r="H1077" s="18"/>
    </row>
    <row r="1078" spans="1:8" ht="13.2">
      <c r="A1078" s="15" t="s">
        <v>1303</v>
      </c>
      <c r="B1078" s="18" t="s">
        <v>1222</v>
      </c>
      <c r="C1078" s="17">
        <v>5</v>
      </c>
      <c r="D1078" s="18"/>
      <c r="E1078" s="17" t="s">
        <v>1223</v>
      </c>
      <c r="F1078" s="17"/>
      <c r="G1078" s="18"/>
      <c r="H1078" s="18"/>
    </row>
    <row r="1079" spans="1:8" ht="13.2">
      <c r="A1079" s="19" t="str">
        <f>HYPERLINK("http://codeforces.com/contest/102/problem/D","CF102-D2-D")</f>
        <v>CF102-D2-D</v>
      </c>
      <c r="B1079" s="29" t="s">
        <v>1302</v>
      </c>
      <c r="C1079" s="17">
        <v>5</v>
      </c>
      <c r="D1079" s="18"/>
      <c r="E1079" s="17" t="s">
        <v>1223</v>
      </c>
      <c r="F1079" s="17"/>
      <c r="G1079" s="18"/>
      <c r="H1079" s="18"/>
    </row>
    <row r="1080" spans="1:8" ht="13.2">
      <c r="A1080" s="15" t="s">
        <v>1304</v>
      </c>
      <c r="B1080" s="30" t="s">
        <v>1305</v>
      </c>
      <c r="C1080" s="24">
        <v>5</v>
      </c>
      <c r="D1080" s="18"/>
      <c r="E1080" s="17" t="s">
        <v>1223</v>
      </c>
      <c r="F1080" s="17"/>
      <c r="G1080" s="18"/>
      <c r="H1080" s="18"/>
    </row>
    <row r="1081" spans="1:8" ht="13.2">
      <c r="A1081" s="15" t="s">
        <v>1306</v>
      </c>
      <c r="B1081" s="29" t="s">
        <v>1307</v>
      </c>
      <c r="C1081" s="17">
        <v>5</v>
      </c>
      <c r="D1081" s="26" t="str">
        <f>HYPERLINK("https://github.com/magdy-hasan/competitive-programming/blob/99949526fddbb0857a233c02342293b21e5f242d/uva-/uva%201513%20-%20Movie%20collection.cpp","Sol")</f>
        <v>Sol</v>
      </c>
      <c r="E1081" s="17" t="s">
        <v>1223</v>
      </c>
      <c r="F1081" s="17"/>
      <c r="G1081" s="18"/>
      <c r="H1081" s="18"/>
    </row>
    <row r="1082" spans="1:8" ht="13.2">
      <c r="A1082" s="15" t="s">
        <v>1308</v>
      </c>
      <c r="B1082" s="28" t="s">
        <v>1309</v>
      </c>
      <c r="C1082" s="33">
        <v>5</v>
      </c>
      <c r="D1082" s="18"/>
      <c r="E1082" s="17" t="s">
        <v>1223</v>
      </c>
      <c r="F1082" s="17"/>
      <c r="G1082" s="18"/>
      <c r="H1082" s="18"/>
    </row>
    <row r="1083" spans="1:8" ht="13.2">
      <c r="A1083" s="15" t="s">
        <v>1310</v>
      </c>
      <c r="B1083" s="28" t="s">
        <v>1311</v>
      </c>
      <c r="C1083" s="24">
        <v>5</v>
      </c>
      <c r="D1083" s="26" t="str">
        <f>HYPERLINK("https://github.com/shashank0107/CompetitiveProgramming/blob/master/SPOJ/INTERVA2.cpp","Sol")</f>
        <v>Sol</v>
      </c>
      <c r="E1083" s="17" t="s">
        <v>1223</v>
      </c>
      <c r="F1083" s="17"/>
      <c r="G1083" s="18"/>
      <c r="H1083" s="18"/>
    </row>
    <row r="1084" spans="1:8" ht="13.2">
      <c r="A1084" s="19" t="str">
        <f>HYPERLINK("http://codeforces.com/contest/387/problem/E","CF387-D2-E")</f>
        <v>CF387-D2-E</v>
      </c>
      <c r="B1084" s="29" t="s">
        <v>1312</v>
      </c>
      <c r="C1084" s="17">
        <v>5</v>
      </c>
      <c r="D1084" s="18"/>
      <c r="E1084" s="17" t="s">
        <v>1223</v>
      </c>
      <c r="F1084" s="17"/>
      <c r="G1084" s="18"/>
      <c r="H1084" s="18"/>
    </row>
    <row r="1085" spans="1:8" ht="13.2">
      <c r="A1085" s="19" t="str">
        <f>HYPERLINK("https://codingcompetitions.withgoogle.com/kickstart/round/0000000000050edd/00000000001a274e","Kickstart 19-RH-A")</f>
        <v>Kickstart 19-RH-A</v>
      </c>
      <c r="B1085" s="20" t="s">
        <v>1222</v>
      </c>
      <c r="C1085" s="21">
        <v>4.5</v>
      </c>
      <c r="D1085" s="26" t="str">
        <f>HYPERLINK("https://github.com/farmerboy95/CompetitiveProgramming/blob/master/Google%20Kickstart/Kickstart%2019-RH-A.cpp","Sl")</f>
        <v>Sl</v>
      </c>
      <c r="E1085" s="17" t="s">
        <v>1223</v>
      </c>
      <c r="F1085" s="17"/>
      <c r="G1085" s="18"/>
      <c r="H1085" s="18"/>
    </row>
    <row r="1086" spans="1:8" ht="13.2">
      <c r="A1086" s="15" t="s">
        <v>1313</v>
      </c>
      <c r="B1086" s="15" t="s">
        <v>1302</v>
      </c>
      <c r="C1086" s="24">
        <v>4.5</v>
      </c>
      <c r="D1086" s="18"/>
      <c r="E1086" s="17" t="s">
        <v>1223</v>
      </c>
      <c r="F1086" s="17"/>
      <c r="G1086" s="18"/>
      <c r="H1086" s="18"/>
    </row>
    <row r="1087" spans="1:8" ht="13.2">
      <c r="A1087" s="15" t="s">
        <v>1314</v>
      </c>
      <c r="B1087" s="29" t="s">
        <v>1315</v>
      </c>
      <c r="C1087" s="24">
        <v>4.5</v>
      </c>
      <c r="D1087" s="26" t="str">
        <f>HYPERLINK("https://github.com/mostafa-saad/MyCompetitiveProgramming/blob/master/TopCoder/SRM234-D1-1000.txt","Sol")</f>
        <v>Sol</v>
      </c>
      <c r="E1087" s="17" t="s">
        <v>1223</v>
      </c>
      <c r="F1087" s="17"/>
      <c r="G1087" s="18"/>
      <c r="H1087" s="18"/>
    </row>
    <row r="1088" spans="1:8" ht="13.2">
      <c r="A1088" s="15" t="s">
        <v>1316</v>
      </c>
      <c r="B1088" s="15" t="s">
        <v>1317</v>
      </c>
      <c r="C1088" s="17">
        <v>4</v>
      </c>
      <c r="D1088" s="18"/>
      <c r="E1088" s="17" t="s">
        <v>1223</v>
      </c>
      <c r="F1088" s="17" t="s">
        <v>139</v>
      </c>
      <c r="G1088" s="18"/>
      <c r="H1088" s="18"/>
    </row>
    <row r="1089" spans="1:8" ht="13.2">
      <c r="A1089" s="15" t="s">
        <v>1318</v>
      </c>
      <c r="B1089" s="28" t="s">
        <v>1319</v>
      </c>
      <c r="C1089" s="24">
        <v>4</v>
      </c>
      <c r="D1089" s="26" t="str">
        <f>HYPERLINK("https://github.com/MohamedNabil97/CompetitiveProgramming/blob/master/Timus/1470.cpp","Sol")</f>
        <v>Sol</v>
      </c>
      <c r="E1089" s="17" t="s">
        <v>1223</v>
      </c>
      <c r="F1089" s="17" t="s">
        <v>201</v>
      </c>
      <c r="G1089" s="18"/>
      <c r="H1089" s="18"/>
    </row>
    <row r="1090" spans="1:8" ht="13.2">
      <c r="A1090" s="15" t="s">
        <v>1320</v>
      </c>
      <c r="B1090" s="28" t="s">
        <v>1222</v>
      </c>
      <c r="C1090" s="33">
        <v>4</v>
      </c>
      <c r="D1090" s="18"/>
      <c r="E1090" s="24" t="s">
        <v>1223</v>
      </c>
      <c r="F1090" s="17" t="s">
        <v>242</v>
      </c>
      <c r="G1090" s="18"/>
      <c r="H1090" s="18"/>
    </row>
    <row r="1091" spans="1:8" ht="13.2">
      <c r="A1091" s="15" t="s">
        <v>1321</v>
      </c>
      <c r="B1091" s="18" t="s">
        <v>1322</v>
      </c>
      <c r="C1091" s="17">
        <v>4</v>
      </c>
      <c r="D1091" s="26" t="str">
        <f>HYPERLINK("https://github.com/mostafa-saad/MyCompetitiveProgramming/blob/master/SPOJ/SPOJ_MSE06H.txt","Sol")</f>
        <v>Sol</v>
      </c>
      <c r="E1091" s="17" t="s">
        <v>1223</v>
      </c>
      <c r="F1091" s="17" t="s">
        <v>242</v>
      </c>
      <c r="G1091" s="18"/>
      <c r="H1091" s="18"/>
    </row>
    <row r="1092" spans="1:8" ht="13.2">
      <c r="A1092" s="15" t="s">
        <v>1323</v>
      </c>
      <c r="B1092" s="18" t="s">
        <v>1324</v>
      </c>
      <c r="C1092" s="17">
        <v>4</v>
      </c>
      <c r="D1092" s="18"/>
      <c r="E1092" s="17" t="s">
        <v>1223</v>
      </c>
      <c r="F1092" s="17"/>
      <c r="G1092" s="18"/>
      <c r="H1092" s="18"/>
    </row>
    <row r="1093" spans="1:8" ht="13.2">
      <c r="A1093" s="15" t="s">
        <v>1325</v>
      </c>
      <c r="B1093" s="28" t="s">
        <v>1234</v>
      </c>
      <c r="C1093" s="24">
        <v>4</v>
      </c>
      <c r="D1093" s="18"/>
      <c r="E1093" s="17" t="s">
        <v>1223</v>
      </c>
      <c r="F1093" s="17"/>
      <c r="G1093" s="18"/>
      <c r="H1093" s="18"/>
    </row>
    <row r="1094" spans="1:8" ht="13.2">
      <c r="A1094" s="15" t="s">
        <v>1326</v>
      </c>
      <c r="B1094" s="28" t="s">
        <v>1327</v>
      </c>
      <c r="C1094" s="24">
        <v>3.5</v>
      </c>
      <c r="D1094" s="18"/>
      <c r="E1094" s="24" t="s">
        <v>1223</v>
      </c>
      <c r="F1094" s="17"/>
      <c r="G1094" s="18"/>
      <c r="H1094" s="18"/>
    </row>
    <row r="1095" spans="1:8" ht="13.2">
      <c r="A1095" s="15" t="s">
        <v>1328</v>
      </c>
      <c r="B1095" s="18" t="s">
        <v>1329</v>
      </c>
      <c r="C1095" s="17">
        <v>3</v>
      </c>
      <c r="D1095" s="26" t="str">
        <f>HYPERLINK("https://github.com/shashank0107/CompetitiveProgramming/blob/master/SPOJ/MATSUM.cpp","Sol")</f>
        <v>Sol</v>
      </c>
      <c r="E1095" s="17" t="s">
        <v>1223</v>
      </c>
      <c r="F1095" s="17"/>
      <c r="G1095" s="18"/>
      <c r="H1095" s="18"/>
    </row>
    <row r="1096" spans="1:8" ht="13.2">
      <c r="A1096" s="15" t="s">
        <v>1330</v>
      </c>
      <c r="B1096" s="28" t="s">
        <v>1271</v>
      </c>
      <c r="C1096" s="24">
        <v>3</v>
      </c>
      <c r="D1096" s="18" t="s">
        <v>1272</v>
      </c>
      <c r="E1096" s="17" t="s">
        <v>1223</v>
      </c>
      <c r="F1096" s="17"/>
      <c r="G1096" s="18"/>
      <c r="H1096" s="18"/>
    </row>
    <row r="1097" spans="1:8" ht="13.2">
      <c r="A1097" s="15" t="s">
        <v>1331</v>
      </c>
      <c r="B1097" s="15" t="s">
        <v>1332</v>
      </c>
      <c r="C1097" s="17">
        <v>3</v>
      </c>
      <c r="D1097" s="26" t="str">
        <f>HYPERLINK("https://github.com/shashank0107/CompetitiveProgramming/blob/master/SPOJ/SAS001.cpp","Sol")</f>
        <v>Sol</v>
      </c>
      <c r="E1097" s="17" t="s">
        <v>1223</v>
      </c>
      <c r="F1097" s="17"/>
      <c r="G1097" s="18"/>
      <c r="H1097" s="18"/>
    </row>
    <row r="1098" spans="1:8" ht="13.2">
      <c r="A1098" s="15" t="s">
        <v>1333</v>
      </c>
      <c r="B1098" s="28" t="s">
        <v>1234</v>
      </c>
      <c r="C1098" s="24">
        <v>2</v>
      </c>
      <c r="D1098" s="18"/>
      <c r="E1098" s="17" t="s">
        <v>1223</v>
      </c>
      <c r="F1098" s="17"/>
      <c r="G1098" s="18"/>
      <c r="H1098" s="18"/>
    </row>
    <row r="1099" spans="1:8" ht="13.2">
      <c r="A1099" s="15" t="s">
        <v>1334</v>
      </c>
      <c r="B1099" s="28" t="s">
        <v>1335</v>
      </c>
      <c r="C1099" s="24">
        <v>2</v>
      </c>
      <c r="D1099" s="18"/>
      <c r="E1099" s="17" t="s">
        <v>1223</v>
      </c>
      <c r="F1099" s="17"/>
      <c r="G1099" s="18"/>
      <c r="H1099" s="18"/>
    </row>
    <row r="1100" spans="1:8" ht="13.2">
      <c r="A1100" s="19" t="str">
        <f>HYPERLINK("http://codeforces.com/contest/261/problem/E","CF261-D1-E")</f>
        <v>CF261-D1-E</v>
      </c>
      <c r="B1100" s="15" t="s">
        <v>1336</v>
      </c>
      <c r="C1100" s="24">
        <v>8</v>
      </c>
      <c r="D1100" s="18"/>
      <c r="E1100" s="17" t="s">
        <v>1337</v>
      </c>
      <c r="F1100" s="17"/>
      <c r="G1100" s="18"/>
      <c r="H1100" s="18"/>
    </row>
    <row r="1101" spans="1:8" ht="13.2">
      <c r="A1101" s="19" t="str">
        <f>HYPERLINK("http://codeforces.com/contest/797/problem/F","CF797-D12-F")</f>
        <v>CF797-D12-F</v>
      </c>
      <c r="B1101" s="15" t="s">
        <v>1338</v>
      </c>
      <c r="C1101" s="17">
        <v>8</v>
      </c>
      <c r="D1101" s="26" t="str">
        <f>HYPERLINK("https://github.com/mostafa-saad/MyCompetitiveProgramming/blob/master/Codeforces/CF797-D12-F.txt","Sol")</f>
        <v>Sol</v>
      </c>
      <c r="E1101" s="17" t="s">
        <v>1337</v>
      </c>
      <c r="F1101" s="17"/>
      <c r="G1101" s="18"/>
      <c r="H1101" s="18"/>
    </row>
    <row r="1102" spans="1:8" ht="13.2">
      <c r="A1102" s="19" t="str">
        <f>HYPERLINK("https://www.codechef.com/problems/SAFPAR", "CODECHEF SAFPAR")</f>
        <v>CODECHEF SAFPAR</v>
      </c>
      <c r="B1102" s="20" t="s">
        <v>1339</v>
      </c>
      <c r="C1102" s="21">
        <v>7.75</v>
      </c>
      <c r="D1102" s="26" t="str">
        <f>HYPERLINK("https://github.com/tmwilliamlin168/CompetitiveProgramming/blob/master/CodeChef/SAFPAR.cpp","Sol")</f>
        <v>Sol</v>
      </c>
      <c r="E1102" s="17" t="s">
        <v>1337</v>
      </c>
      <c r="F1102" s="17" t="s">
        <v>173</v>
      </c>
      <c r="G1102" s="18"/>
      <c r="H1102" s="18"/>
    </row>
    <row r="1103" spans="1:8" ht="13.2">
      <c r="A1103" s="15" t="s">
        <v>1340</v>
      </c>
      <c r="B1103" s="30" t="s">
        <v>1341</v>
      </c>
      <c r="C1103" s="40">
        <v>7.75</v>
      </c>
      <c r="D1103" s="18"/>
      <c r="E1103" s="17" t="s">
        <v>1337</v>
      </c>
      <c r="F1103" s="17"/>
      <c r="G1103" s="18"/>
      <c r="H1103" s="18"/>
    </row>
    <row r="1104" spans="1:8" ht="13.2">
      <c r="A1104" s="19" t="str">
        <f>HYPERLINK("https://www.hackerrank.com/challenges/demidenko-farmer","HACKR demidenko-farmer")</f>
        <v>HACKR demidenko-farmer</v>
      </c>
      <c r="B1104" s="29" t="s">
        <v>1342</v>
      </c>
      <c r="C1104" s="17">
        <v>7.5</v>
      </c>
      <c r="D1104" s="18"/>
      <c r="E1104" s="17" t="s">
        <v>1337</v>
      </c>
      <c r="F1104" s="17" t="s">
        <v>173</v>
      </c>
      <c r="G1104" s="18"/>
      <c r="H1104" s="18"/>
    </row>
    <row r="1105" spans="1:8" ht="13.2">
      <c r="A1105" s="19" t="str">
        <f>HYPERLINK("https://www.codechef.com/problems/TREEBAL","CODECHEF TREEBAL")</f>
        <v>CODECHEF TREEBAL</v>
      </c>
      <c r="B1105" s="15" t="s">
        <v>1343</v>
      </c>
      <c r="C1105" s="17">
        <v>7.5</v>
      </c>
      <c r="D1105" s="26" t="str">
        <f>HYPERLINK("https://codeforces.com/blog/entry/47821","Editorial")</f>
        <v>Editorial</v>
      </c>
      <c r="E1105" s="17" t="s">
        <v>1337</v>
      </c>
      <c r="F1105" s="17" t="s">
        <v>173</v>
      </c>
      <c r="G1105" s="18"/>
      <c r="H1105" s="18"/>
    </row>
    <row r="1106" spans="1:8" ht="13.2">
      <c r="A1106" s="15" t="s">
        <v>1344</v>
      </c>
      <c r="B1106" s="23" t="s">
        <v>1345</v>
      </c>
      <c r="C1106" s="17">
        <v>7.5</v>
      </c>
      <c r="D1106" s="26" t="str">
        <f>HYPERLINK("http://www.voidcn.com/article/p-ryedcrjb-bko.html","Sol")</f>
        <v>Sol</v>
      </c>
      <c r="E1106" s="17" t="s">
        <v>1337</v>
      </c>
      <c r="F1106" s="17" t="s">
        <v>154</v>
      </c>
      <c r="G1106" s="18"/>
      <c r="H1106" s="18"/>
    </row>
    <row r="1107" spans="1:8" ht="13.2">
      <c r="A1107" s="19" t="str">
        <f>HYPERLINK("http://codeforces.com/contest/388/problem/D","CF388-D1-D")</f>
        <v>CF388-D1-D</v>
      </c>
      <c r="B1107" s="15" t="s">
        <v>1346</v>
      </c>
      <c r="C1107" s="24">
        <v>7.5</v>
      </c>
      <c r="D1107" s="18"/>
      <c r="E1107" s="17" t="s">
        <v>1337</v>
      </c>
      <c r="F1107" s="17" t="s">
        <v>154</v>
      </c>
      <c r="G1107" s="18"/>
      <c r="H1107" s="18"/>
    </row>
    <row r="1108" spans="1:8" ht="13.2">
      <c r="A1108" s="19" t="str">
        <f>HYPERLINK("https://www.hackerrank.com/contests/codeagon/challenges/quadruple-counting/problem","HACKER quadruple-counting")</f>
        <v>HACKER quadruple-counting</v>
      </c>
      <c r="B1108" s="20" t="s">
        <v>1347</v>
      </c>
      <c r="C1108" s="21">
        <v>7.5</v>
      </c>
      <c r="D1108" s="18"/>
      <c r="E1108" s="17" t="s">
        <v>1337</v>
      </c>
      <c r="F1108" s="17" t="s">
        <v>154</v>
      </c>
      <c r="G1108" s="18"/>
      <c r="H1108" s="18"/>
    </row>
    <row r="1109" spans="1:8" ht="13.2">
      <c r="A1109" s="19" t="str">
        <f>HYPERLINK("https://www.hackerrank.com/contests/codeagon/challenges/julia-and-operational-summation","HACKER julia-and-operational-summation")</f>
        <v>HACKER julia-and-operational-summation</v>
      </c>
      <c r="B1109" s="20" t="s">
        <v>1348</v>
      </c>
      <c r="C1109" s="21">
        <v>7.5</v>
      </c>
      <c r="D1109" s="18"/>
      <c r="E1109" s="17" t="s">
        <v>1337</v>
      </c>
      <c r="F1109" s="17" t="s">
        <v>139</v>
      </c>
      <c r="G1109" s="18"/>
      <c r="H1109" s="18"/>
    </row>
    <row r="1110" spans="1:8" ht="13.2">
      <c r="A1110" s="15" t="s">
        <v>1349</v>
      </c>
      <c r="B1110" s="29" t="s">
        <v>1350</v>
      </c>
      <c r="C1110" s="17">
        <v>7.5</v>
      </c>
      <c r="D1110" s="18"/>
      <c r="E1110" s="17" t="s">
        <v>1337</v>
      </c>
      <c r="F1110" s="17" t="s">
        <v>139</v>
      </c>
      <c r="G1110" s="18"/>
      <c r="H1110" s="18"/>
    </row>
    <row r="1111" spans="1:8" ht="13.2">
      <c r="A1111" s="19" t="str">
        <f>HYPERLINK("https://agc007.contest.atcoder.jp/tasks/agc007_e","AtCoder007-AGC-E")</f>
        <v>AtCoder007-AGC-E</v>
      </c>
      <c r="B1111" s="15" t="s">
        <v>1351</v>
      </c>
      <c r="C1111" s="17">
        <v>7.5</v>
      </c>
      <c r="D1111" s="18"/>
      <c r="E1111" s="17" t="s">
        <v>1337</v>
      </c>
      <c r="F1111" s="17" t="s">
        <v>139</v>
      </c>
      <c r="G1111" s="18"/>
      <c r="H1111" s="18"/>
    </row>
    <row r="1112" spans="1:8" ht="13.2">
      <c r="A1112" s="19" t="str">
        <f>HYPERLINK("https://codeforces.com/contest/1103/problem/D", "CF1103-D1-D")</f>
        <v>CF1103-D1-D</v>
      </c>
      <c r="B1112" s="20" t="s">
        <v>1352</v>
      </c>
      <c r="C1112" s="17">
        <v>7.5</v>
      </c>
      <c r="D1112" s="18"/>
      <c r="E1112" s="17" t="s">
        <v>1337</v>
      </c>
      <c r="F1112" s="17" t="s">
        <v>139</v>
      </c>
      <c r="G1112" s="18"/>
      <c r="H1112" s="18"/>
    </row>
    <row r="1113" spans="1:8" ht="13.2">
      <c r="A1113" s="19" t="str">
        <f>HYPERLINK("https://codeforces.com/problemset/problem/354/E","CF354-D1-E")</f>
        <v>CF354-D1-E</v>
      </c>
      <c r="B1113" s="37" t="s">
        <v>1353</v>
      </c>
      <c r="C1113" s="24">
        <v>7.5</v>
      </c>
      <c r="D1113" s="18"/>
      <c r="E1113" s="25" t="s">
        <v>1337</v>
      </c>
      <c r="F1113" s="17" t="s">
        <v>139</v>
      </c>
      <c r="G1113" s="18"/>
      <c r="H1113" s="18"/>
    </row>
    <row r="1114" spans="1:8" ht="13.2">
      <c r="A1114" s="19" t="str">
        <f>HYPERLINK("https://codeforces.com/contest/518/problem/F","CF518-D2-F")</f>
        <v>CF518-D2-F</v>
      </c>
      <c r="B1114" s="20" t="s">
        <v>1354</v>
      </c>
      <c r="C1114" s="21">
        <v>7.5</v>
      </c>
      <c r="D1114" s="18"/>
      <c r="E1114" s="17" t="s">
        <v>1337</v>
      </c>
      <c r="F1114" s="17" t="s">
        <v>139</v>
      </c>
      <c r="G1114" s="18"/>
      <c r="H1114" s="18"/>
    </row>
    <row r="1115" spans="1:8" ht="13.2">
      <c r="A1115" s="19" t="str">
        <f>HYPERLINK("http://codeforces.com/contest/453/problem/D","CF453-D1-D")</f>
        <v>CF453-D1-D</v>
      </c>
      <c r="B1115" s="15" t="s">
        <v>1355</v>
      </c>
      <c r="C1115" s="24">
        <v>7.5</v>
      </c>
      <c r="D1115" s="18"/>
      <c r="E1115" s="17" t="s">
        <v>1337</v>
      </c>
      <c r="F1115" s="17" t="s">
        <v>201</v>
      </c>
      <c r="G1115" s="18"/>
      <c r="H1115" s="18"/>
    </row>
    <row r="1116" spans="1:8" ht="13.2">
      <c r="A1116" s="19" t="str">
        <f>HYPERLINK("http://codeforces.com/contest/228/problem/C","CF228-D2-C")</f>
        <v>CF228-D2-C</v>
      </c>
      <c r="B1116" s="29" t="s">
        <v>1348</v>
      </c>
      <c r="C1116" s="17">
        <v>7.5</v>
      </c>
      <c r="D1116" s="18"/>
      <c r="E1116" s="17" t="s">
        <v>1337</v>
      </c>
      <c r="F1116" s="17"/>
      <c r="G1116" s="18"/>
      <c r="H1116" s="18"/>
    </row>
    <row r="1117" spans="1:8" ht="13.2">
      <c r="A1117" s="19" t="str">
        <f>HYPERLINK("http://codeforces.com/contest/254/problem/E","CF254-D2-E")</f>
        <v>CF254-D2-E</v>
      </c>
      <c r="B1117" s="29" t="s">
        <v>1348</v>
      </c>
      <c r="C1117" s="17">
        <v>7.5</v>
      </c>
      <c r="D1117" s="18"/>
      <c r="E1117" s="17" t="s">
        <v>1337</v>
      </c>
      <c r="F1117" s="17"/>
      <c r="G1117" s="18"/>
      <c r="H1117" s="18"/>
    </row>
    <row r="1118" spans="1:8" ht="13.2">
      <c r="A1118" s="19" t="str">
        <f>HYPERLINK("http://codeforces.com/contest/526/problem/E","CF526-D12-E")</f>
        <v>CF526-D12-E</v>
      </c>
      <c r="B1118" s="29" t="s">
        <v>1348</v>
      </c>
      <c r="C1118" s="17">
        <v>7.5</v>
      </c>
      <c r="D1118" s="18"/>
      <c r="E1118" s="17" t="s">
        <v>1337</v>
      </c>
      <c r="F1118" s="17"/>
      <c r="G1118" s="18"/>
      <c r="H1118" s="18"/>
    </row>
    <row r="1119" spans="1:8" ht="13.2">
      <c r="A1119" s="15" t="s">
        <v>1356</v>
      </c>
      <c r="B1119" s="30" t="s">
        <v>1348</v>
      </c>
      <c r="C1119" s="24">
        <v>7.5</v>
      </c>
      <c r="D1119" s="18"/>
      <c r="E1119" s="17" t="s">
        <v>1337</v>
      </c>
      <c r="F1119" s="17"/>
      <c r="G1119" s="18"/>
      <c r="H1119" s="18"/>
    </row>
    <row r="1120" spans="1:8" ht="13.2">
      <c r="A1120" s="19" t="str">
        <f>HYPERLINK("http://codeforces.com/contest/438/problem/C","CF438-D1-C")</f>
        <v>CF438-D1-C</v>
      </c>
      <c r="B1120" s="29" t="s">
        <v>1357</v>
      </c>
      <c r="C1120" s="17">
        <v>7.5</v>
      </c>
      <c r="D1120" s="18"/>
      <c r="E1120" s="17" t="s">
        <v>1337</v>
      </c>
      <c r="F1120" s="17"/>
      <c r="G1120" s="18"/>
      <c r="H1120" s="18"/>
    </row>
    <row r="1121" spans="1:8" ht="13.2">
      <c r="A1121" s="19" t="str">
        <f>HYPERLINK("http://codeforces.com/contest/353/problem/E","CF353-D2-E")</f>
        <v>CF353-D2-E</v>
      </c>
      <c r="B1121" s="29" t="s">
        <v>1358</v>
      </c>
      <c r="C1121" s="17">
        <v>7.5</v>
      </c>
      <c r="D1121" s="18"/>
      <c r="E1121" s="17" t="s">
        <v>1337</v>
      </c>
      <c r="F1121" s="17"/>
      <c r="G1121" s="18"/>
      <c r="H1121" s="18"/>
    </row>
    <row r="1122" spans="1:8" ht="13.2">
      <c r="A1122" s="19" t="str">
        <f>HYPERLINK("http://codeforces.com/contest/316/problem/D3","CF316-D12-D3")</f>
        <v>CF316-D12-D3</v>
      </c>
      <c r="B1122" s="29" t="s">
        <v>1346</v>
      </c>
      <c r="C1122" s="17">
        <v>7.5</v>
      </c>
      <c r="D1122" s="18"/>
      <c r="E1122" s="17" t="s">
        <v>1337</v>
      </c>
      <c r="F1122" s="17"/>
      <c r="G1122" s="18"/>
      <c r="H1122" s="18"/>
    </row>
    <row r="1123" spans="1:8" ht="13.2">
      <c r="A1123" s="19" t="str">
        <f>HYPERLINK("http://codeforces.com/contest/57/problem/D","CF57-D12-D")</f>
        <v>CF57-D12-D</v>
      </c>
      <c r="B1123" s="29" t="s">
        <v>1346</v>
      </c>
      <c r="C1123" s="17">
        <v>7.5</v>
      </c>
      <c r="D1123" s="18"/>
      <c r="E1123" s="17" t="s">
        <v>1337</v>
      </c>
      <c r="F1123" s="17"/>
      <c r="G1123" s="18"/>
      <c r="H1123" s="18"/>
    </row>
    <row r="1124" spans="1:8" ht="13.2">
      <c r="A1124" s="19" t="str">
        <f>HYPERLINK("https://www.acmicpc.net/problem/5962","USACO 11feb-GenericCowProtests")</f>
        <v>USACO 11feb-GenericCowProtests</v>
      </c>
      <c r="B1124" s="37" t="s">
        <v>1359</v>
      </c>
      <c r="C1124" s="17">
        <v>7.5</v>
      </c>
      <c r="D1124" s="26" t="str">
        <f>HYPERLINK("http://algorithms-live.blogspot.com/2017/02/episode-9-solution-bags.html","Sol - also analysis from USACO site")</f>
        <v>Sol - also analysis from USACO site</v>
      </c>
      <c r="E1124" s="17" t="s">
        <v>1337</v>
      </c>
      <c r="F1124" s="17"/>
      <c r="G1124" s="18"/>
      <c r="H1124" s="18"/>
    </row>
    <row r="1125" spans="1:8" ht="13.2">
      <c r="A1125" s="15" t="s">
        <v>1360</v>
      </c>
      <c r="B1125" s="15" t="s">
        <v>1361</v>
      </c>
      <c r="C1125" s="17">
        <v>7.25</v>
      </c>
      <c r="D1125" s="18"/>
      <c r="E1125" s="17" t="s">
        <v>1337</v>
      </c>
      <c r="F1125" s="17" t="s">
        <v>154</v>
      </c>
      <c r="G1125" s="18"/>
      <c r="H1125" s="18"/>
    </row>
    <row r="1126" spans="1:8" ht="13.2">
      <c r="A1126" s="19" t="str">
        <f>HYPERLINK("http://codeforces.com/contest/722/problem/E","CF722-D12-E")</f>
        <v>CF722-D12-E</v>
      </c>
      <c r="B1126" s="15" t="s">
        <v>1362</v>
      </c>
      <c r="C1126" s="24">
        <v>7.25</v>
      </c>
      <c r="D1126" s="18"/>
      <c r="E1126" s="17" t="s">
        <v>1337</v>
      </c>
      <c r="F1126" s="17" t="s">
        <v>154</v>
      </c>
      <c r="G1126" s="18"/>
      <c r="H1126" s="18"/>
    </row>
    <row r="1127" spans="1:8" ht="13.2">
      <c r="A1127" s="19" t="str">
        <f>HYPERLINK("http://agc033.contest.atcoder.jp/tasks/agc033_d","AtCoder033-AGC-D")</f>
        <v>AtCoder033-AGC-D</v>
      </c>
      <c r="B1127" s="15" t="s">
        <v>1363</v>
      </c>
      <c r="C1127" s="17">
        <v>7.25</v>
      </c>
      <c r="D1127" s="26" t="str">
        <f>HYPERLINK("https://github.com/MetalBall887/Competitive-Programming/blob/master/AtCoder/AtCoder033-AGC-D.cpp","Sol")</f>
        <v>Sol</v>
      </c>
      <c r="E1127" s="17" t="s">
        <v>1337</v>
      </c>
      <c r="F1127" s="17" t="s">
        <v>154</v>
      </c>
      <c r="G1127" s="18"/>
      <c r="H1127" s="18"/>
    </row>
    <row r="1128" spans="1:8" ht="13.2">
      <c r="A1128" s="19" t="str">
        <f>HYPERLINK("http://codeforces.com/contest/178/problem/F2","CF178-D12-F2")</f>
        <v>CF178-D12-F2</v>
      </c>
      <c r="B1128" s="29" t="s">
        <v>1364</v>
      </c>
      <c r="C1128" s="17">
        <v>7.25</v>
      </c>
      <c r="D1128" s="18"/>
      <c r="E1128" s="17" t="s">
        <v>1337</v>
      </c>
      <c r="F1128" s="17" t="s">
        <v>154</v>
      </c>
      <c r="G1128" s="18"/>
      <c r="H1128" s="18"/>
    </row>
    <row r="1129" spans="1:8" ht="13.2">
      <c r="A1129" s="19" t="str">
        <f>HYPERLINK("https://codeforces.com/problemset/problem/1131/G", "CF1131-D2-G")</f>
        <v>CF1131-D2-G</v>
      </c>
      <c r="B1129" s="20" t="s">
        <v>1365</v>
      </c>
      <c r="C1129" s="21">
        <v>7.25</v>
      </c>
      <c r="D1129" s="18"/>
      <c r="E1129" s="17" t="s">
        <v>1337</v>
      </c>
      <c r="F1129" s="17" t="s">
        <v>139</v>
      </c>
      <c r="G1129" s="18"/>
      <c r="H1129" s="18"/>
    </row>
    <row r="1130" spans="1:8" ht="13.2">
      <c r="A1130" s="19" t="str">
        <f>HYPERLINK("http://codeforces.com/gym/101064/problem/L","CF101064-GYM-L")</f>
        <v>CF101064-GYM-L</v>
      </c>
      <c r="B1130" s="15" t="s">
        <v>1366</v>
      </c>
      <c r="C1130" s="17">
        <v>7.25</v>
      </c>
      <c r="D1130" s="18"/>
      <c r="E1130" s="17" t="s">
        <v>1337</v>
      </c>
      <c r="F1130" s="17" t="s">
        <v>242</v>
      </c>
      <c r="G1130" s="18"/>
      <c r="H1130" s="18"/>
    </row>
    <row r="1131" spans="1:8" ht="13.2">
      <c r="A1131" s="19" t="str">
        <f>HYPERLINK("http://agc036.contest.atcoder.jp/tasks/agc036_d","AtCoder036-AGC-D")</f>
        <v>AtCoder036-AGC-D</v>
      </c>
      <c r="B1131" s="15" t="s">
        <v>1348</v>
      </c>
      <c r="C1131" s="17">
        <v>7.25</v>
      </c>
      <c r="D1131" s="18"/>
      <c r="E1131" s="17" t="s">
        <v>1337</v>
      </c>
      <c r="F1131" s="17"/>
      <c r="G1131" s="18"/>
      <c r="H1131" s="18"/>
    </row>
    <row r="1132" spans="1:8" ht="13.2">
      <c r="A1132" s="15" t="s">
        <v>1367</v>
      </c>
      <c r="B1132" s="39" t="s">
        <v>1348</v>
      </c>
      <c r="C1132" s="40">
        <v>7.25</v>
      </c>
      <c r="D1132" s="18"/>
      <c r="E1132" s="17" t="s">
        <v>1337</v>
      </c>
      <c r="F1132" s="17"/>
      <c r="G1132" s="18"/>
      <c r="H1132" s="18"/>
    </row>
    <row r="1133" spans="1:8" ht="13.2">
      <c r="A1133" s="19" t="str">
        <f>HYPERLINK("http://codeforces.com/contest/979/problem/E","CF979-D2-E")</f>
        <v>CF979-D2-E</v>
      </c>
      <c r="B1133" s="23" t="s">
        <v>1368</v>
      </c>
      <c r="C1133" s="17">
        <v>7.25</v>
      </c>
      <c r="D1133" s="18"/>
      <c r="E1133" s="17" t="s">
        <v>1337</v>
      </c>
      <c r="F1133" s="17"/>
      <c r="G1133" s="18"/>
      <c r="H1133" s="18"/>
    </row>
    <row r="1134" spans="1:8" ht="13.2">
      <c r="A1134" s="19" t="str">
        <f>HYPERLINK("http://codeforces.com/contest/477/problem/D","CF477-D1-D")</f>
        <v>CF477-D1-D</v>
      </c>
      <c r="B1134" s="23" t="s">
        <v>1369</v>
      </c>
      <c r="C1134" s="24">
        <v>7.25</v>
      </c>
      <c r="D1134" s="18"/>
      <c r="E1134" s="17" t="s">
        <v>1337</v>
      </c>
      <c r="F1134" s="17"/>
      <c r="G1134" s="18"/>
      <c r="H1134" s="18"/>
    </row>
    <row r="1135" spans="1:8" ht="13.2">
      <c r="A1135" s="19" t="str">
        <f>HYPERLINK("http://codeforces.com/contest/939/problem/F","CF939-D2-F")</f>
        <v>CF939-D2-F</v>
      </c>
      <c r="B1135" s="20" t="s">
        <v>1370</v>
      </c>
      <c r="C1135" s="17">
        <v>7.1</v>
      </c>
      <c r="D1135" s="26" t="str">
        <f>HYPERLINK("https://github.com/mostafa-saad/MyCompetitiveProgramming/blob/master/Codeforces/CF939-D2-F.txt","Sol")</f>
        <v>Sol</v>
      </c>
      <c r="E1135" s="17" t="s">
        <v>1337</v>
      </c>
      <c r="F1135" s="17" t="s">
        <v>139</v>
      </c>
      <c r="G1135" s="18"/>
      <c r="H1135" s="18"/>
    </row>
    <row r="1136" spans="1:8" ht="13.2">
      <c r="A1136" s="15" t="s">
        <v>1371</v>
      </c>
      <c r="B1136" s="34" t="s">
        <v>1372</v>
      </c>
      <c r="C1136" s="17">
        <v>7</v>
      </c>
      <c r="D1136" s="26" t="str">
        <f>HYPERLINK("https://github.com/shanto86/Training/blob/master/TopCoder/SRM452-D1-500.cpp","Sol must read")</f>
        <v>Sol must read</v>
      </c>
      <c r="E1136" s="17" t="s">
        <v>1337</v>
      </c>
      <c r="F1136" s="17" t="s">
        <v>173</v>
      </c>
      <c r="G1136" s="18"/>
      <c r="H1136" s="18"/>
    </row>
    <row r="1137" spans="1:8" ht="13.2">
      <c r="A1137" s="19" t="str">
        <f>HYPERLINK("http://codeforces.com/contest/150/problem/D","CF150-D1-D")</f>
        <v>CF150-D1-D</v>
      </c>
      <c r="B1137" s="15" t="s">
        <v>1348</v>
      </c>
      <c r="C1137" s="24">
        <v>7</v>
      </c>
      <c r="D1137" s="18"/>
      <c r="E1137" s="17" t="s">
        <v>1337</v>
      </c>
      <c r="F1137" s="17" t="s">
        <v>139</v>
      </c>
      <c r="G1137" s="18"/>
      <c r="H1137" s="18"/>
    </row>
    <row r="1138" spans="1:8" ht="13.2">
      <c r="A1138" s="19" t="str">
        <f>HYPERLINK("http://codeforces.com/contest/58/problem/E","CF58-D2-E")</f>
        <v>CF58-D2-E</v>
      </c>
      <c r="B1138" s="15" t="s">
        <v>1348</v>
      </c>
      <c r="C1138" s="17">
        <v>7</v>
      </c>
      <c r="D1138" s="18"/>
      <c r="E1138" s="17" t="s">
        <v>1337</v>
      </c>
      <c r="F1138" s="17" t="s">
        <v>139</v>
      </c>
      <c r="G1138" s="18"/>
      <c r="H1138" s="18"/>
    </row>
    <row r="1139" spans="1:8" ht="13.2">
      <c r="A1139" s="19" t="str">
        <f>HYPERLINK("https://codeforces.com/contest/913/problem/F","CF913-D12-F")</f>
        <v>CF913-D12-F</v>
      </c>
      <c r="B1139" s="15" t="s">
        <v>1348</v>
      </c>
      <c r="C1139" s="21">
        <v>7</v>
      </c>
      <c r="D1139" s="18"/>
      <c r="E1139" s="17" t="s">
        <v>1337</v>
      </c>
      <c r="F1139" s="17" t="s">
        <v>139</v>
      </c>
      <c r="G1139" s="18"/>
      <c r="H1139" s="18"/>
    </row>
    <row r="1140" spans="1:8" ht="13.2">
      <c r="A1140" s="19" t="str">
        <f>HYPERLINK("http://codeforces.com/contest/407/problem/D","CF407-D1-D")</f>
        <v>CF407-D1-D</v>
      </c>
      <c r="B1140" s="15" t="s">
        <v>1373</v>
      </c>
      <c r="C1140" s="24">
        <v>7</v>
      </c>
      <c r="D1140" s="18"/>
      <c r="E1140" s="17" t="s">
        <v>1337</v>
      </c>
      <c r="F1140" s="17" t="s">
        <v>139</v>
      </c>
      <c r="G1140" s="18"/>
      <c r="H1140" s="18"/>
    </row>
    <row r="1141" spans="1:8" ht="13.2">
      <c r="A1141" s="19" t="str">
        <f>HYPERLINK("http://codeforces.com/contest/1055/problem/E","CF1055-D12-E")</f>
        <v>CF1055-D12-E</v>
      </c>
      <c r="B1141" s="23" t="s">
        <v>1374</v>
      </c>
      <c r="C1141" s="17">
        <v>7</v>
      </c>
      <c r="D1141" s="18"/>
      <c r="E1141" s="17" t="s">
        <v>1337</v>
      </c>
      <c r="F1141" s="17" t="s">
        <v>139</v>
      </c>
      <c r="G1141" s="18"/>
      <c r="H1141" s="18"/>
    </row>
    <row r="1142" spans="1:8" ht="13.2">
      <c r="A1142" s="19" t="str">
        <f>HYPERLINK("https://www.codechef.com/problems/BIPFAMIL", "CODECHEF BIPFAMIL")</f>
        <v>CODECHEF BIPFAMIL</v>
      </c>
      <c r="B1142" s="20" t="s">
        <v>1375</v>
      </c>
      <c r="C1142" s="21">
        <v>7</v>
      </c>
      <c r="D1142" s="18"/>
      <c r="E1142" s="17" t="s">
        <v>1337</v>
      </c>
      <c r="F1142" s="17" t="s">
        <v>139</v>
      </c>
      <c r="G1142" s="18"/>
      <c r="H1142" s="18"/>
    </row>
    <row r="1143" spans="1:8" ht="13.2">
      <c r="A1143" s="19" t="str">
        <f>HYPERLINK("https://atcoder.jp/contests/agc035/tasks/agc035_d","AtCoder035-AGC-D")</f>
        <v>AtCoder035-AGC-D</v>
      </c>
      <c r="B1143" s="23" t="s">
        <v>1376</v>
      </c>
      <c r="C1143" s="17">
        <v>7</v>
      </c>
      <c r="D1143" s="18"/>
      <c r="E1143" s="17" t="s">
        <v>1337</v>
      </c>
      <c r="F1143" s="17" t="s">
        <v>139</v>
      </c>
      <c r="G1143" s="18"/>
      <c r="H1143" s="18"/>
    </row>
    <row r="1144" spans="1:8" ht="13.2">
      <c r="A1144" s="19" t="str">
        <f>HYPERLINK("https://codeforces.com/contest/1146/problem/H","CF1146-D12-H")</f>
        <v>CF1146-D12-H</v>
      </c>
      <c r="B1144" s="15" t="s">
        <v>1377</v>
      </c>
      <c r="C1144" s="21">
        <v>7</v>
      </c>
      <c r="D1144" s="18"/>
      <c r="E1144" s="17" t="s">
        <v>1337</v>
      </c>
      <c r="F1144" s="17" t="s">
        <v>139</v>
      </c>
      <c r="G1144" s="18"/>
      <c r="H1144" s="18"/>
    </row>
    <row r="1145" spans="1:8" ht="13.2">
      <c r="A1145" s="19" t="str">
        <f>HYPERLINK("https://codeforces.com/contest/1056/problem/F","CF1056-D12-F")</f>
        <v>CF1056-D12-F</v>
      </c>
      <c r="B1145" s="23" t="s">
        <v>1346</v>
      </c>
      <c r="C1145" s="17">
        <v>7</v>
      </c>
      <c r="D1145" s="18"/>
      <c r="E1145" s="17" t="s">
        <v>1337</v>
      </c>
      <c r="F1145" s="17" t="s">
        <v>139</v>
      </c>
      <c r="G1145" s="18"/>
      <c r="H1145" s="18"/>
    </row>
    <row r="1146" spans="1:8" ht="13.2">
      <c r="A1146" s="19" t="str">
        <f>HYPERLINK("http://codeforces.com/contest/126/problem/D","CF126-D1-D")</f>
        <v>CF126-D1-D</v>
      </c>
      <c r="B1146" s="29" t="s">
        <v>1378</v>
      </c>
      <c r="C1146" s="17">
        <v>7</v>
      </c>
      <c r="D1146" s="18"/>
      <c r="E1146" s="17" t="s">
        <v>1337</v>
      </c>
      <c r="F1146" s="17" t="s">
        <v>139</v>
      </c>
      <c r="G1146" s="18"/>
      <c r="H1146" s="18"/>
    </row>
    <row r="1147" spans="1:8" ht="13.2">
      <c r="A1147" s="15" t="s">
        <v>1379</v>
      </c>
      <c r="B1147" s="48" t="s">
        <v>1380</v>
      </c>
      <c r="C1147" s="31">
        <v>7</v>
      </c>
      <c r="D1147" s="26" t="str">
        <f>HYPERLINK("https://github.com/shanto86/Training/blob/master/TopCoder/SRM315-D1-1000.cpp","Sol")</f>
        <v>Sol</v>
      </c>
      <c r="E1147" s="17" t="s">
        <v>1337</v>
      </c>
      <c r="F1147" s="17" t="s">
        <v>139</v>
      </c>
      <c r="G1147" s="18"/>
      <c r="H1147" s="18"/>
    </row>
    <row r="1148" spans="1:8" ht="13.2">
      <c r="A1148" s="19" t="str">
        <f>HYPERLINK("https://atcoder.jp/contests/arc086/tasks/arc086_c","AtCoder086-ARC-E")</f>
        <v>AtCoder086-ARC-E</v>
      </c>
      <c r="B1148" s="15" t="s">
        <v>1381</v>
      </c>
      <c r="C1148" s="17">
        <v>7</v>
      </c>
      <c r="D1148" s="18"/>
      <c r="E1148" s="17" t="s">
        <v>1337</v>
      </c>
      <c r="F1148" s="17" t="s">
        <v>139</v>
      </c>
      <c r="G1148" s="18"/>
      <c r="H1148" s="18"/>
    </row>
    <row r="1149" spans="1:8" ht="13.2">
      <c r="A1149" s="19" t="str">
        <f>HYPERLINK("https://www.facebook.com/hackercup/problem/359971574540051/", "FbHkrCup 18-R1-D")</f>
        <v>FbHkrCup 18-R1-D</v>
      </c>
      <c r="B1149" s="20" t="s">
        <v>1375</v>
      </c>
      <c r="C1149" s="21">
        <v>7</v>
      </c>
      <c r="D1149" s="18"/>
      <c r="E1149" s="17" t="s">
        <v>1337</v>
      </c>
      <c r="F1149" s="17" t="s">
        <v>201</v>
      </c>
      <c r="G1149" s="18"/>
      <c r="H1149" s="18"/>
    </row>
    <row r="1150" spans="1:8" ht="13.2">
      <c r="A1150" s="15" t="s">
        <v>1382</v>
      </c>
      <c r="B1150" s="15" t="s">
        <v>1383</v>
      </c>
      <c r="C1150" s="17">
        <v>7</v>
      </c>
      <c r="D1150" s="26" t="str">
        <f>HYPERLINK("https://github.com/shanto86/Training/blob/master/TopCoder/SRM728-D1-500.cpp","Sol")</f>
        <v>Sol</v>
      </c>
      <c r="E1150" s="17" t="s">
        <v>1337</v>
      </c>
      <c r="F1150" s="17" t="s">
        <v>201</v>
      </c>
      <c r="G1150" s="18"/>
      <c r="H1150" s="18"/>
    </row>
    <row r="1151" spans="1:8" ht="13.2">
      <c r="A1151" s="19" t="str">
        <f>HYPERLINK("https://atcoder.jp/contests/yahoo-procon2019-qual/tasks/yahoo_procon2019_qual_d","AtCoder-YahooProcon-D")</f>
        <v>AtCoder-YahooProcon-D</v>
      </c>
      <c r="B1151" s="20" t="s">
        <v>1384</v>
      </c>
      <c r="C1151" s="21">
        <v>7</v>
      </c>
      <c r="D1151" s="18"/>
      <c r="E1151" s="17" t="s">
        <v>1337</v>
      </c>
      <c r="F1151" s="17" t="s">
        <v>201</v>
      </c>
      <c r="G1151" s="18"/>
      <c r="H1151" s="18"/>
    </row>
    <row r="1152" spans="1:8" ht="13.2">
      <c r="A1152" s="19" t="str">
        <f>HYPERLINK("https://www.facebook.com/hackercup/problem/469838700128124/", "FbHkrCup 18-R2-D")</f>
        <v>FbHkrCup 18-R2-D</v>
      </c>
      <c r="B1152" s="20" t="s">
        <v>1385</v>
      </c>
      <c r="C1152" s="21">
        <v>7</v>
      </c>
      <c r="D1152" s="18" t="s">
        <v>1386</v>
      </c>
      <c r="E1152" s="17" t="s">
        <v>1337</v>
      </c>
      <c r="F1152" s="17" t="s">
        <v>201</v>
      </c>
      <c r="G1152" s="18"/>
      <c r="H1152" s="18"/>
    </row>
    <row r="1153" spans="1:8" ht="13.2">
      <c r="A1153" s="19" t="str">
        <f>HYPERLINK("http://codeforces.com/contest/356/problem/D","CF356-D1-D")</f>
        <v>CF356-D1-D</v>
      </c>
      <c r="B1153" s="15" t="s">
        <v>1387</v>
      </c>
      <c r="C1153" s="24">
        <v>7</v>
      </c>
      <c r="D1153" s="18"/>
      <c r="E1153" s="17" t="s">
        <v>1337</v>
      </c>
      <c r="F1153" s="17" t="s">
        <v>242</v>
      </c>
      <c r="G1153" s="18"/>
      <c r="H1153" s="18"/>
    </row>
    <row r="1154" spans="1:8" ht="13.2">
      <c r="A1154" s="19" t="str">
        <f>HYPERLINK("http://codeforces.com/contest/365/problem/D","CF365-D2-D")</f>
        <v>CF365-D2-D</v>
      </c>
      <c r="B1154" s="29" t="s">
        <v>1348</v>
      </c>
      <c r="C1154" s="17">
        <v>7</v>
      </c>
      <c r="D1154" s="18"/>
      <c r="E1154" s="17" t="s">
        <v>1337</v>
      </c>
      <c r="F1154" s="17"/>
      <c r="G1154" s="18"/>
      <c r="H1154" s="18"/>
    </row>
    <row r="1155" spans="1:8" ht="13.2">
      <c r="A1155" s="19" t="str">
        <f>HYPERLINK("http://codeforces.com/contest/655/problem/E","CF655-D12-E")</f>
        <v>CF655-D12-E</v>
      </c>
      <c r="B1155" s="29" t="s">
        <v>1348</v>
      </c>
      <c r="C1155" s="17">
        <v>7</v>
      </c>
      <c r="D1155" s="18"/>
      <c r="E1155" s="17" t="s">
        <v>1337</v>
      </c>
      <c r="F1155" s="17"/>
      <c r="G1155" s="18"/>
      <c r="H1155" s="18"/>
    </row>
    <row r="1156" spans="1:8" ht="13.2">
      <c r="A1156" s="15" t="s">
        <v>1388</v>
      </c>
      <c r="B1156" s="41" t="s">
        <v>1348</v>
      </c>
      <c r="C1156" s="17">
        <v>7</v>
      </c>
      <c r="D1156" s="18"/>
      <c r="E1156" s="17" t="s">
        <v>1337</v>
      </c>
      <c r="F1156" s="17"/>
      <c r="G1156" s="18"/>
      <c r="H1156" s="18"/>
    </row>
    <row r="1157" spans="1:8" ht="13.2">
      <c r="A1157" s="15" t="s">
        <v>1389</v>
      </c>
      <c r="B1157" s="18" t="s">
        <v>1348</v>
      </c>
      <c r="C1157" s="17">
        <v>7</v>
      </c>
      <c r="D1157" s="18"/>
      <c r="E1157" s="17" t="s">
        <v>1337</v>
      </c>
      <c r="F1157" s="17"/>
      <c r="G1157" s="18"/>
      <c r="H1157" s="18"/>
    </row>
    <row r="1158" spans="1:8" ht="13.2">
      <c r="A1158" s="15" t="s">
        <v>1390</v>
      </c>
      <c r="B1158" s="28" t="s">
        <v>1348</v>
      </c>
      <c r="C1158" s="24">
        <v>7</v>
      </c>
      <c r="D1158" s="18"/>
      <c r="E1158" s="17" t="s">
        <v>1337</v>
      </c>
      <c r="F1158" s="17"/>
      <c r="G1158" s="18"/>
      <c r="H1158" s="18"/>
    </row>
    <row r="1159" spans="1:8" ht="13.2">
      <c r="A1159" s="15" t="s">
        <v>1391</v>
      </c>
      <c r="B1159" s="34" t="s">
        <v>1348</v>
      </c>
      <c r="C1159" s="31">
        <v>7</v>
      </c>
      <c r="D1159" s="18"/>
      <c r="E1159" s="17" t="s">
        <v>1337</v>
      </c>
      <c r="F1159" s="17"/>
      <c r="G1159" s="18"/>
      <c r="H1159" s="18"/>
    </row>
    <row r="1160" spans="1:8" ht="13.2">
      <c r="A1160" s="15" t="s">
        <v>1392</v>
      </c>
      <c r="B1160" s="15" t="s">
        <v>1348</v>
      </c>
      <c r="C1160" s="17">
        <v>7</v>
      </c>
      <c r="D1160" s="18"/>
      <c r="E1160" s="17" t="s">
        <v>1337</v>
      </c>
      <c r="F1160" s="17"/>
      <c r="G1160" s="18"/>
      <c r="H1160" s="18"/>
    </row>
    <row r="1161" spans="1:8" ht="13.2">
      <c r="A1161" s="15" t="s">
        <v>1393</v>
      </c>
      <c r="B1161" s="30" t="s">
        <v>1348</v>
      </c>
      <c r="C1161" s="24">
        <v>7</v>
      </c>
      <c r="D1161" s="18"/>
      <c r="E1161" s="17" t="s">
        <v>1337</v>
      </c>
      <c r="F1161" s="17"/>
      <c r="G1161" s="18"/>
      <c r="H1161" s="18"/>
    </row>
    <row r="1162" spans="1:8" ht="13.2">
      <c r="A1162" s="15" t="s">
        <v>1394</v>
      </c>
      <c r="B1162" s="18" t="s">
        <v>1395</v>
      </c>
      <c r="C1162" s="17">
        <v>7</v>
      </c>
      <c r="D1162" s="18"/>
      <c r="E1162" s="17" t="s">
        <v>1337</v>
      </c>
      <c r="F1162" s="17"/>
      <c r="G1162" s="18"/>
      <c r="H1162" s="18"/>
    </row>
    <row r="1163" spans="1:8" ht="13.2">
      <c r="A1163" s="19" t="str">
        <f>HYPERLINK("https://www.codechef.com/OCT18A/problems/BBRICKS","CODECHEF BBRICKS")</f>
        <v>CODECHEF BBRICKS</v>
      </c>
      <c r="B1163" s="15" t="s">
        <v>1396</v>
      </c>
      <c r="C1163" s="17">
        <v>7</v>
      </c>
      <c r="D1163" s="26" t="str">
        <f>HYPERLINK("https://discuss.codechef.com/questions/137810/bbricks-editorial","editorial")</f>
        <v>editorial</v>
      </c>
      <c r="E1163" s="17" t="s">
        <v>1337</v>
      </c>
      <c r="F1163" s="17"/>
      <c r="G1163" s="18"/>
      <c r="H1163" s="18"/>
    </row>
    <row r="1164" spans="1:8" ht="13.2">
      <c r="A1164" s="19" t="str">
        <f>HYPERLINK("http://codeforces.com/contest/261/problem/D","CF261-D1-D")</f>
        <v>CF261-D1-D</v>
      </c>
      <c r="B1164" s="15" t="s">
        <v>1397</v>
      </c>
      <c r="C1164" s="24">
        <v>7</v>
      </c>
      <c r="D1164" s="18"/>
      <c r="E1164" s="17" t="s">
        <v>1337</v>
      </c>
      <c r="F1164" s="17"/>
      <c r="G1164" s="18"/>
      <c r="H1164" s="18"/>
    </row>
    <row r="1165" spans="1:8" ht="13.2">
      <c r="A1165" s="15" t="s">
        <v>1398</v>
      </c>
      <c r="B1165" s="18" t="s">
        <v>1399</v>
      </c>
      <c r="C1165" s="17">
        <v>7</v>
      </c>
      <c r="D1165" s="18"/>
      <c r="E1165" s="17" t="s">
        <v>1337</v>
      </c>
      <c r="F1165" s="17"/>
      <c r="G1165" s="18"/>
      <c r="H1165" s="18"/>
    </row>
    <row r="1166" spans="1:8" ht="13.2">
      <c r="A1166" s="19" t="str">
        <f>HYPERLINK("http://codeforces.com/gym/101492/problem/J","CF101492-GYM-J")</f>
        <v>CF101492-GYM-J</v>
      </c>
      <c r="B1166" s="18" t="s">
        <v>1374</v>
      </c>
      <c r="C1166" s="24">
        <v>7</v>
      </c>
      <c r="D1166" s="18"/>
      <c r="E1166" s="17" t="s">
        <v>1337</v>
      </c>
      <c r="F1166" s="17"/>
      <c r="G1166" s="18"/>
      <c r="H1166" s="18"/>
    </row>
    <row r="1167" spans="1:8" ht="13.2">
      <c r="A1167" s="19" t="str">
        <f>HYPERLINK("https://www.codechef.com/problems/RIVER", "CODECHEF RIVER")</f>
        <v>CODECHEF RIVER</v>
      </c>
      <c r="B1167" s="20" t="s">
        <v>1400</v>
      </c>
      <c r="C1167" s="21">
        <v>7</v>
      </c>
      <c r="D1167" s="18"/>
      <c r="E1167" s="17" t="s">
        <v>1337</v>
      </c>
      <c r="F1167" s="17"/>
      <c r="G1167" s="18"/>
      <c r="H1167" s="18"/>
    </row>
    <row r="1168" spans="1:8" ht="13.2">
      <c r="A1168" s="19" t="str">
        <f>HYPERLINK("http://codeforces.com/contest/95/problem/E","CF95-D1-E")</f>
        <v>CF95-D1-E</v>
      </c>
      <c r="B1168" s="15" t="s">
        <v>1401</v>
      </c>
      <c r="C1168" s="24">
        <v>7</v>
      </c>
      <c r="D1168" s="18"/>
      <c r="E1168" s="17" t="s">
        <v>1337</v>
      </c>
      <c r="F1168" s="17"/>
      <c r="G1168" s="18"/>
      <c r="H1168" s="18"/>
    </row>
    <row r="1169" spans="1:8" ht="13.2">
      <c r="A1169" s="15" t="s">
        <v>1402</v>
      </c>
      <c r="B1169" s="30" t="s">
        <v>1403</v>
      </c>
      <c r="C1169" s="17">
        <v>7</v>
      </c>
      <c r="D1169" s="18"/>
      <c r="E1169" s="17" t="s">
        <v>1337</v>
      </c>
      <c r="F1169" s="17"/>
      <c r="G1169" s="18"/>
      <c r="H1169" s="18"/>
    </row>
    <row r="1170" spans="1:8" ht="13.2">
      <c r="A1170" s="19" t="str">
        <f>HYPERLINK("http://codeforces.com/contest/685/problem/E","CF685-D1-E")</f>
        <v>CF685-D1-E</v>
      </c>
      <c r="B1170" s="15" t="s">
        <v>1358</v>
      </c>
      <c r="C1170" s="24">
        <v>7</v>
      </c>
      <c r="D1170" s="18"/>
      <c r="E1170" s="17" t="s">
        <v>1337</v>
      </c>
      <c r="F1170" s="17"/>
      <c r="G1170" s="18"/>
      <c r="H1170" s="18"/>
    </row>
    <row r="1171" spans="1:8" ht="13.2">
      <c r="A1171" s="15" t="s">
        <v>1404</v>
      </c>
      <c r="B1171" s="18" t="s">
        <v>1358</v>
      </c>
      <c r="C1171" s="31">
        <v>7</v>
      </c>
      <c r="D1171" s="18"/>
      <c r="E1171" s="17" t="s">
        <v>1337</v>
      </c>
      <c r="F1171" s="17"/>
      <c r="G1171" s="18"/>
      <c r="H1171" s="18"/>
    </row>
    <row r="1172" spans="1:8" ht="13.2">
      <c r="A1172" s="15" t="s">
        <v>1405</v>
      </c>
      <c r="B1172" s="48" t="s">
        <v>1406</v>
      </c>
      <c r="C1172" s="31">
        <v>7</v>
      </c>
      <c r="D1172" s="18"/>
      <c r="E1172" s="17" t="s">
        <v>1337</v>
      </c>
      <c r="F1172" s="17"/>
      <c r="G1172" s="18"/>
      <c r="H1172" s="18"/>
    </row>
    <row r="1173" spans="1:8" ht="13.2">
      <c r="A1173" s="19" t="str">
        <f>HYPERLINK("http://codeforces.com/contest/352/problem/E","CF352-D2-E")</f>
        <v>CF352-D2-E</v>
      </c>
      <c r="B1173" s="15" t="s">
        <v>1407</v>
      </c>
      <c r="C1173" s="24">
        <v>7</v>
      </c>
      <c r="D1173" s="18"/>
      <c r="E1173" s="17" t="s">
        <v>1337</v>
      </c>
      <c r="F1173" s="17"/>
      <c r="G1173" s="18"/>
      <c r="H1173" s="18"/>
    </row>
    <row r="1174" spans="1:8" ht="13.2">
      <c r="A1174" s="19" t="str">
        <f>HYPERLINK("http://codeforces.com/contest/77/problem/D","CF77-D1-D")</f>
        <v>CF77-D1-D</v>
      </c>
      <c r="B1174" s="29" t="s">
        <v>1354</v>
      </c>
      <c r="C1174" s="17">
        <v>7</v>
      </c>
      <c r="D1174" s="18"/>
      <c r="E1174" s="17" t="s">
        <v>1337</v>
      </c>
      <c r="F1174" s="17"/>
      <c r="G1174" s="18"/>
      <c r="H1174" s="18"/>
    </row>
    <row r="1175" spans="1:8" ht="13.2">
      <c r="A1175" s="19" t="str">
        <f>HYPERLINK("http://codeforces.com/contest/198/problem/D","CF198-D1-D")</f>
        <v>CF198-D1-D</v>
      </c>
      <c r="B1175" s="15" t="s">
        <v>1408</v>
      </c>
      <c r="C1175" s="24">
        <v>7</v>
      </c>
      <c r="D1175" s="18"/>
      <c r="E1175" s="17" t="s">
        <v>1337</v>
      </c>
      <c r="F1175" s="17"/>
      <c r="G1175" s="18"/>
      <c r="H1175" s="18"/>
    </row>
    <row r="1176" spans="1:8" ht="13.2">
      <c r="A1176" s="19" t="str">
        <f>HYPERLINK("http://codeforces.com/contest/283/problem/D","CF283-D1-D")</f>
        <v>CF283-D1-D</v>
      </c>
      <c r="B1176" s="29" t="s">
        <v>1346</v>
      </c>
      <c r="C1176" s="17">
        <v>7</v>
      </c>
      <c r="D1176" s="18"/>
      <c r="E1176" s="17" t="s">
        <v>1337</v>
      </c>
      <c r="F1176" s="17"/>
      <c r="G1176" s="18"/>
      <c r="H1176" s="18"/>
    </row>
    <row r="1177" spans="1:8" ht="13.2">
      <c r="A1177" s="19" t="str">
        <f>HYPERLINK("http://codeforces.com/gym/101490/attachments/download/5853/2016-benelux-algorithm-programming-contest-bapc-16-en.pdf","CF101490-GYM-H")</f>
        <v>CF101490-GYM-H</v>
      </c>
      <c r="B1177" s="15" t="s">
        <v>1409</v>
      </c>
      <c r="C1177" s="17">
        <v>7</v>
      </c>
      <c r="D1177" s="26" t="str">
        <f>HYPERLINK("https://github.com/MedoN11/CompetitiveProgramming/blob/master/CodeForces/CF101490-GYM-H.cpp","Sol")</f>
        <v>Sol</v>
      </c>
      <c r="E1177" s="17" t="s">
        <v>1337</v>
      </c>
      <c r="F1177" s="17"/>
      <c r="G1177" s="18"/>
      <c r="H1177" s="18"/>
    </row>
    <row r="1178" spans="1:8" ht="13.2">
      <c r="A1178" s="19" t="str">
        <f>HYPERLINK("http://codeforces.com/problemset/problem/1065/G", "CF1065-D12-G")</f>
        <v>CF1065-D12-G</v>
      </c>
      <c r="B1178" s="20" t="s">
        <v>1348</v>
      </c>
      <c r="C1178" s="21">
        <v>6.75</v>
      </c>
      <c r="D1178" s="18"/>
      <c r="E1178" s="17" t="s">
        <v>1337</v>
      </c>
      <c r="F1178" s="17" t="s">
        <v>154</v>
      </c>
      <c r="G1178" s="18"/>
      <c r="H1178" s="18"/>
    </row>
    <row r="1179" spans="1:8" ht="13.2">
      <c r="A1179" s="19" t="str">
        <f>HYPERLINK("https://codeforces.com/contest/1178/problem/F2","CF1178-D12-F2")</f>
        <v>CF1178-D12-F2</v>
      </c>
      <c r="B1179" s="15" t="s">
        <v>1348</v>
      </c>
      <c r="C1179" s="17">
        <v>6.75</v>
      </c>
      <c r="D1179" s="18"/>
      <c r="E1179" s="17" t="s">
        <v>1337</v>
      </c>
      <c r="F1179" s="17" t="s">
        <v>154</v>
      </c>
      <c r="G1179" s="18"/>
      <c r="H1179" s="18"/>
    </row>
    <row r="1180" spans="1:8" ht="13.2">
      <c r="A1180" s="19" t="str">
        <f>HYPERLINK("http://codeforces.com/contest/500/problem/F","CF500-D12-F")</f>
        <v>CF500-D12-F</v>
      </c>
      <c r="B1180" s="15" t="s">
        <v>1410</v>
      </c>
      <c r="C1180" s="24">
        <v>6.75</v>
      </c>
      <c r="D1180" s="18"/>
      <c r="E1180" s="17" t="s">
        <v>1337</v>
      </c>
      <c r="F1180" s="17" t="s">
        <v>154</v>
      </c>
      <c r="G1180" s="18"/>
      <c r="H1180" s="18"/>
    </row>
    <row r="1181" spans="1:8" ht="13.2">
      <c r="A1181" s="19" t="str">
        <f>HYPERLINK("http://codeforces.com/contest/801/problem/E","CF801-D12-E")</f>
        <v>CF801-D12-E</v>
      </c>
      <c r="B1181" s="15" t="s">
        <v>1411</v>
      </c>
      <c r="C1181" s="17">
        <v>6.75</v>
      </c>
      <c r="D1181" s="18"/>
      <c r="E1181" s="17" t="s">
        <v>1337</v>
      </c>
      <c r="F1181" s="17" t="s">
        <v>154</v>
      </c>
      <c r="G1181" s="18"/>
      <c r="H1181" s="18"/>
    </row>
    <row r="1182" spans="1:8" ht="13.2">
      <c r="A1182" s="19" t="str">
        <f>HYPERLINK("https://www.facebook.com/hackercup/problem/421194065345355/","FbHkrCup 19-R2-C")</f>
        <v>FbHkrCup 19-R2-C</v>
      </c>
      <c r="B1182" s="20" t="s">
        <v>1350</v>
      </c>
      <c r="C1182" s="17">
        <v>6.75</v>
      </c>
      <c r="D1182" s="18"/>
      <c r="E1182" s="17" t="s">
        <v>1337</v>
      </c>
      <c r="F1182" s="17" t="s">
        <v>139</v>
      </c>
      <c r="G1182" s="18"/>
      <c r="H1182" s="18"/>
    </row>
    <row r="1183" spans="1:8" ht="13.2">
      <c r="A1183" s="19" t="str">
        <f>HYPERLINK("http://agc019.contest.atcoder.jp/tasks/agc019_d","AtCoder019-AGC-D")</f>
        <v>AtCoder019-AGC-D</v>
      </c>
      <c r="B1183" s="15" t="s">
        <v>1412</v>
      </c>
      <c r="C1183" s="17">
        <v>6.75</v>
      </c>
      <c r="D1183" s="18"/>
      <c r="E1183" s="17" t="s">
        <v>1337</v>
      </c>
      <c r="F1183" s="17" t="s">
        <v>139</v>
      </c>
      <c r="G1183" s="18"/>
      <c r="H1183" s="18"/>
    </row>
    <row r="1184" spans="1:8" ht="13.2">
      <c r="A1184" s="19" t="str">
        <f>HYPERLINK("http://codeforces.com/contest/650/problem/D","CF650-D1-D")</f>
        <v>CF650-D1-D</v>
      </c>
      <c r="B1184" s="15" t="s">
        <v>1413</v>
      </c>
      <c r="C1184" s="24">
        <v>6.75</v>
      </c>
      <c r="D1184" s="18"/>
      <c r="E1184" s="17" t="s">
        <v>1337</v>
      </c>
      <c r="F1184" s="17" t="s">
        <v>139</v>
      </c>
      <c r="G1184" s="18"/>
      <c r="H1184" s="18"/>
    </row>
    <row r="1185" spans="1:8" ht="13.2">
      <c r="A1185" s="19" t="str">
        <f>HYPERLINK("http://codeforces.com/problemset/gymProblem/101522/J","CF101522-GYM-J")</f>
        <v>CF101522-GYM-J</v>
      </c>
      <c r="B1185" s="18" t="s">
        <v>1414</v>
      </c>
      <c r="C1185" s="17">
        <v>6.75</v>
      </c>
      <c r="D1185" s="26" t="str">
        <f>HYPERLINK("https://github.com/mostafa-saad/MyCompetitiveProgramming/blob/master/Codeforces/CF101522-GYM-J.txt","Sol")</f>
        <v>Sol</v>
      </c>
      <c r="E1185" s="17" t="s">
        <v>1337</v>
      </c>
      <c r="F1185" s="17" t="s">
        <v>139</v>
      </c>
      <c r="G1185" s="18"/>
      <c r="H1185" s="18"/>
    </row>
    <row r="1186" spans="1:8" ht="13.2">
      <c r="A1186" s="19" t="str">
        <f>HYPERLINK("http://codeforces.com/contest/624/problem/D","CF624-D2-D")</f>
        <v>CF624-D2-D</v>
      </c>
      <c r="B1186" s="15" t="s">
        <v>1415</v>
      </c>
      <c r="C1186" s="24">
        <v>6.75</v>
      </c>
      <c r="D1186" s="18"/>
      <c r="E1186" s="17" t="s">
        <v>1337</v>
      </c>
      <c r="F1186" s="17" t="s">
        <v>242</v>
      </c>
      <c r="G1186" s="18"/>
      <c r="H1186" s="18"/>
    </row>
    <row r="1187" spans="1:8" ht="13.2">
      <c r="A1187" s="19" t="str">
        <f>HYPERLINK("http://codeforces.com/contest/296/problem/E","CF296-D2-E")</f>
        <v>CF296-D2-E</v>
      </c>
      <c r="B1187" s="20" t="s">
        <v>1416</v>
      </c>
      <c r="C1187" s="17">
        <v>6.75</v>
      </c>
      <c r="D1187" s="18"/>
      <c r="E1187" s="17" t="s">
        <v>1337</v>
      </c>
      <c r="F1187" s="17"/>
      <c r="G1187" s="18"/>
      <c r="H1187" s="18"/>
    </row>
    <row r="1188" spans="1:8" ht="13.2">
      <c r="A1188" s="19" t="str">
        <f>HYPERLINK("https://atcoder.jp/contests/yahoo-procon2019-qual/tasks/yahoo_procon2019_qual_f","AtCoder-YahooProcon-F")</f>
        <v>AtCoder-YahooProcon-F</v>
      </c>
      <c r="B1188" s="20" t="s">
        <v>1346</v>
      </c>
      <c r="C1188" s="21">
        <v>6.75</v>
      </c>
      <c r="D1188" s="18"/>
      <c r="E1188" s="17" t="s">
        <v>1337</v>
      </c>
      <c r="F1188" s="17"/>
      <c r="G1188" s="18"/>
      <c r="H1188" s="18"/>
    </row>
    <row r="1189" spans="1:8" ht="13.2">
      <c r="A1189" s="19" t="str">
        <f>HYPERLINK("http://agc032.contest.atcoder.jp/tasks/agc032_d","AtCoder032-AGC-D")</f>
        <v>AtCoder032-AGC-D</v>
      </c>
      <c r="B1189" s="15" t="s">
        <v>1348</v>
      </c>
      <c r="C1189" s="17">
        <v>6.6</v>
      </c>
      <c r="D1189" s="18"/>
      <c r="E1189" s="17" t="s">
        <v>1337</v>
      </c>
      <c r="F1189" s="17" t="s">
        <v>201</v>
      </c>
      <c r="G1189" s="18"/>
      <c r="H1189" s="18"/>
    </row>
    <row r="1190" spans="1:8" ht="13.2">
      <c r="A1190" s="19" t="str">
        <f>HYPERLINK("http://codeforces.com/contest/178/problem/F3","CF178-D12-F3")</f>
        <v>CF178-D12-F3</v>
      </c>
      <c r="B1190" s="15" t="s">
        <v>1417</v>
      </c>
      <c r="C1190" s="17">
        <v>6.5</v>
      </c>
      <c r="D1190" s="26" t="str">
        <f>HYPERLINK("https://github.com/mostafa-saad/MyCompetitiveProgramming/blob/master/Codeforces/CF178-D12-F3.txt","Sol")</f>
        <v>Sol</v>
      </c>
      <c r="E1190" s="17" t="s">
        <v>1337</v>
      </c>
      <c r="F1190" s="17" t="s">
        <v>173</v>
      </c>
      <c r="G1190" s="18"/>
      <c r="H1190" s="18"/>
    </row>
    <row r="1191" spans="1:8" ht="13.2">
      <c r="A1191" s="19" t="str">
        <f>HYPERLINK("https://www.codechef.com/problems/COINDENO", "CODECHEF COINDENO")</f>
        <v>CODECHEF COINDENO</v>
      </c>
      <c r="B1191" s="20" t="s">
        <v>1418</v>
      </c>
      <c r="C1191" s="21">
        <v>6.5</v>
      </c>
      <c r="D1191" s="26" t="str">
        <f>HYPERLINK("https://github.com/tmwilliamlin168/CompetitiveProgramming/blob/master/CodeChef/COINDENO.cpp", "Sol")</f>
        <v>Sol</v>
      </c>
      <c r="E1191" s="17" t="s">
        <v>1337</v>
      </c>
      <c r="F1191" s="17" t="s">
        <v>173</v>
      </c>
      <c r="G1191" s="18"/>
      <c r="H1191" s="18"/>
    </row>
    <row r="1192" spans="1:8" ht="13.2">
      <c r="A1192" s="19" t="str">
        <f>HYPERLINK("http://codeforces.com/problemset/problem/645/E","CF645-D12-E")</f>
        <v>CF645-D12-E</v>
      </c>
      <c r="B1192" s="29" t="s">
        <v>1419</v>
      </c>
      <c r="C1192" s="17">
        <v>6.5</v>
      </c>
      <c r="D1192" s="18"/>
      <c r="E1192" s="17" t="s">
        <v>1337</v>
      </c>
      <c r="F1192" s="17" t="s">
        <v>1420</v>
      </c>
      <c r="G1192" s="18"/>
      <c r="H1192" s="18"/>
    </row>
    <row r="1193" spans="1:8" ht="13.2">
      <c r="A1193" s="19" t="str">
        <f>HYPERLINK("http://codeforces.com/contest/888/problem/F","CF888-D12-F")</f>
        <v>CF888-D12-F</v>
      </c>
      <c r="B1193" s="15" t="s">
        <v>1348</v>
      </c>
      <c r="C1193" s="17">
        <v>6.5</v>
      </c>
      <c r="D1193" s="18"/>
      <c r="E1193" s="17" t="s">
        <v>1337</v>
      </c>
      <c r="F1193" s="17" t="s">
        <v>154</v>
      </c>
      <c r="G1193" s="18"/>
      <c r="H1193" s="18"/>
    </row>
    <row r="1194" spans="1:8" ht="13.2">
      <c r="A1194" s="19" t="str">
        <f>HYPERLINK("https://community.topcoder.com/stat?c=problem_statement&amp;pm=10902","SRM469-D1-1000")</f>
        <v>SRM469-D1-1000</v>
      </c>
      <c r="B1194" s="15" t="s">
        <v>1348</v>
      </c>
      <c r="C1194" s="17">
        <v>6.5</v>
      </c>
      <c r="D1194" s="18"/>
      <c r="E1194" s="17" t="s">
        <v>1337</v>
      </c>
      <c r="F1194" s="17" t="s">
        <v>154</v>
      </c>
      <c r="G1194" s="18"/>
      <c r="H1194" s="18"/>
    </row>
    <row r="1195" spans="1:8" ht="13.2">
      <c r="A1195" s="15" t="s">
        <v>1421</v>
      </c>
      <c r="B1195" s="15" t="s">
        <v>1422</v>
      </c>
      <c r="C1195" s="17">
        <v>6.5</v>
      </c>
      <c r="D1195" s="26" t="str">
        <f>HYPERLINK("https://github.com/mostafa-saad/MyCompetitiveProgramming/blob/master/Timus/TIMUS_1223.txt","Sol")</f>
        <v>Sol</v>
      </c>
      <c r="E1195" s="17" t="s">
        <v>1337</v>
      </c>
      <c r="F1195" s="17" t="s">
        <v>154</v>
      </c>
      <c r="G1195" s="18"/>
      <c r="H1195" s="18"/>
    </row>
    <row r="1196" spans="1:8" ht="13.2">
      <c r="A1196" s="19" t="str">
        <f>HYPERLINK("https://codeforces.com/contest/1131/problem/E","CF1131-D2-E")</f>
        <v>CF1131-D2-E</v>
      </c>
      <c r="B1196" s="15" t="s">
        <v>1348</v>
      </c>
      <c r="C1196" s="17">
        <v>6.5</v>
      </c>
      <c r="D1196" s="18"/>
      <c r="E1196" s="17" t="s">
        <v>1337</v>
      </c>
      <c r="F1196" s="17" t="s">
        <v>139</v>
      </c>
      <c r="G1196" s="18"/>
      <c r="H1196" s="18"/>
    </row>
    <row r="1197" spans="1:8" ht="13.2">
      <c r="A1197" s="19" t="str">
        <f>HYPERLINK("https://codeforces.com/contest/1264/problem/D1", "CF1264-D1-D1")</f>
        <v>CF1264-D1-D1</v>
      </c>
      <c r="B1197" s="15" t="s">
        <v>1348</v>
      </c>
      <c r="C1197" s="17">
        <v>6.5</v>
      </c>
      <c r="D1197" s="18"/>
      <c r="E1197" s="17" t="s">
        <v>1337</v>
      </c>
      <c r="F1197" s="17" t="s">
        <v>139</v>
      </c>
      <c r="G1197" s="18"/>
      <c r="H1197" s="18"/>
    </row>
    <row r="1198" spans="1:8" ht="13.2">
      <c r="A1198" s="19" t="str">
        <f>HYPERLINK("http://codeforces.com/contest/845/problem/F","CF845-D12-F")</f>
        <v>CF845-D12-F</v>
      </c>
      <c r="B1198" s="15" t="s">
        <v>1348</v>
      </c>
      <c r="C1198" s="24">
        <v>6.5</v>
      </c>
      <c r="D1198" s="18"/>
      <c r="E1198" s="17" t="s">
        <v>1337</v>
      </c>
      <c r="F1198" s="17" t="s">
        <v>139</v>
      </c>
      <c r="G1198" s="18"/>
      <c r="H1198" s="18"/>
    </row>
    <row r="1199" spans="1:8" ht="13.2">
      <c r="A1199" s="19" t="str">
        <f>HYPERLINK("https://www.hackerrank.com/contests/codeagon/challenges/number-of-ways-1","HACKER number-of-ways-1")</f>
        <v>HACKER number-of-ways-1</v>
      </c>
      <c r="B1199" s="20" t="s">
        <v>1348</v>
      </c>
      <c r="C1199" s="21">
        <v>6.5</v>
      </c>
      <c r="D1199" s="18"/>
      <c r="E1199" s="17" t="s">
        <v>1337</v>
      </c>
      <c r="F1199" s="17" t="s">
        <v>139</v>
      </c>
      <c r="G1199" s="18"/>
      <c r="H1199" s="18"/>
    </row>
    <row r="1200" spans="1:8" ht="13.2">
      <c r="A1200" s="19" t="str">
        <f>HYPERLINK("https://codeforces.com/contest/1189/problem/E","CF1189-D2-F")</f>
        <v>CF1189-D2-F</v>
      </c>
      <c r="B1200" s="15" t="s">
        <v>1423</v>
      </c>
      <c r="C1200" s="17">
        <v>6.5</v>
      </c>
      <c r="D1200" s="18"/>
      <c r="E1200" s="17" t="s">
        <v>1337</v>
      </c>
      <c r="F1200" s="17" t="s">
        <v>139</v>
      </c>
      <c r="G1200" s="18"/>
      <c r="H1200" s="18"/>
    </row>
    <row r="1201" spans="1:8" ht="13.2">
      <c r="A1201" s="19" t="str">
        <f>HYPERLINK("http://codeforces.com/contest/1051/problem/E","CF1051-D12-E")</f>
        <v>CF1051-D12-E</v>
      </c>
      <c r="B1201" s="15" t="s">
        <v>1424</v>
      </c>
      <c r="C1201" s="17">
        <v>6.5</v>
      </c>
      <c r="D1201" s="18"/>
      <c r="E1201" s="17" t="s">
        <v>1337</v>
      </c>
      <c r="F1201" s="17" t="s">
        <v>139</v>
      </c>
      <c r="G1201" s="18"/>
      <c r="H1201" s="18"/>
    </row>
    <row r="1202" spans="1:8" ht="13.2">
      <c r="A1202" s="15" t="s">
        <v>1425</v>
      </c>
      <c r="B1202" s="16" t="s">
        <v>1426</v>
      </c>
      <c r="C1202" s="17">
        <v>6.5</v>
      </c>
      <c r="D1202" s="18"/>
      <c r="E1202" s="17" t="s">
        <v>1337</v>
      </c>
      <c r="F1202" s="17" t="s">
        <v>139</v>
      </c>
      <c r="G1202" s="18"/>
      <c r="H1202" s="18"/>
    </row>
    <row r="1203" spans="1:8" ht="13.2">
      <c r="A1203" s="19" t="str">
        <f>HYPERLINK("http://codeforces.com/contest/796/problem/E","CF796-D2-E")</f>
        <v>CF796-D2-E</v>
      </c>
      <c r="B1203" s="15" t="s">
        <v>1427</v>
      </c>
      <c r="C1203" s="17">
        <v>6.5</v>
      </c>
      <c r="D1203" s="18"/>
      <c r="E1203" s="17" t="s">
        <v>1337</v>
      </c>
      <c r="F1203" s="17" t="s">
        <v>139</v>
      </c>
      <c r="G1203" s="18"/>
      <c r="H1203" s="18"/>
    </row>
    <row r="1204" spans="1:8" ht="13.2">
      <c r="A1204" s="19" t="str">
        <f>HYPERLINK("https://codeforces.com/contest/1043/problem/F","CF1043-D12-F")</f>
        <v>CF1043-D12-F</v>
      </c>
      <c r="B1204" s="15" t="s">
        <v>1428</v>
      </c>
      <c r="C1204" s="17">
        <v>6.5</v>
      </c>
      <c r="D1204" s="26" t="str">
        <f>HYPERLINK("https://github.com/nya-nya-meow/CompetitiveProgramming/blob/master/CodeForces/CF1043-D12-F.cpp","Sol")</f>
        <v>Sol</v>
      </c>
      <c r="E1204" s="17" t="s">
        <v>1337</v>
      </c>
      <c r="F1204" s="17" t="s">
        <v>139</v>
      </c>
      <c r="G1204" s="18"/>
      <c r="H1204" s="18"/>
    </row>
    <row r="1205" spans="1:8" ht="13.2">
      <c r="A1205" s="15" t="s">
        <v>1429</v>
      </c>
      <c r="B1205" s="30" t="s">
        <v>1430</v>
      </c>
      <c r="C1205" s="33">
        <v>6.5</v>
      </c>
      <c r="D1205" s="26" t="str">
        <f>HYPERLINK("https://github.com/MetalBall887/Competitive-Programming/blob/master/TopCoder/SRM418-D1-500.cpp", "Sol (different but longer)")</f>
        <v>Sol (different but longer)</v>
      </c>
      <c r="E1205" s="17" t="s">
        <v>1337</v>
      </c>
      <c r="F1205" s="17" t="s">
        <v>139</v>
      </c>
      <c r="G1205" s="18"/>
      <c r="H1205" s="18"/>
    </row>
    <row r="1206" spans="1:8" ht="13.2">
      <c r="A1206" s="19" t="str">
        <f>HYPERLINK("http://codeforces.com/contest/17/problem/C","CF17-D12-C")</f>
        <v>CF17-D12-C</v>
      </c>
      <c r="B1206" s="15" t="s">
        <v>1431</v>
      </c>
      <c r="C1206" s="24">
        <v>6.5</v>
      </c>
      <c r="D1206" s="18"/>
      <c r="E1206" s="17" t="s">
        <v>1337</v>
      </c>
      <c r="F1206" s="17" t="s">
        <v>139</v>
      </c>
      <c r="G1206" s="18"/>
      <c r="H1206" s="18"/>
    </row>
    <row r="1207" spans="1:8" ht="13.2">
      <c r="A1207" s="19" t="str">
        <f>HYPERLINK("https://codeforces.com/problemset/problem/1032/F","CF1079-D2-F")</f>
        <v>CF1079-D2-F</v>
      </c>
      <c r="B1207" s="20" t="s">
        <v>1432</v>
      </c>
      <c r="C1207" s="21">
        <v>6.5</v>
      </c>
      <c r="D1207" s="18"/>
      <c r="E1207" s="17" t="s">
        <v>1337</v>
      </c>
      <c r="F1207" s="17" t="s">
        <v>139</v>
      </c>
      <c r="G1207" s="18"/>
      <c r="H1207" s="18"/>
    </row>
    <row r="1208" spans="1:8" ht="13.2">
      <c r="A1208" s="19" t="str">
        <f>HYPERLINK("https://codeforces.com/contest/1253/problem/E","CF1253-D2-E")</f>
        <v>CF1253-D2-E</v>
      </c>
      <c r="B1208" s="20" t="s">
        <v>1433</v>
      </c>
      <c r="C1208" s="21">
        <v>6.5</v>
      </c>
      <c r="D1208" s="26" t="str">
        <f>HYPERLINK("https://github.com/farmerboy95/CompetitiveProgramming/blob/master/Codeforces/CF1253-D2-E.cpp","Sl")</f>
        <v>Sl</v>
      </c>
      <c r="E1208" s="17" t="s">
        <v>1337</v>
      </c>
      <c r="F1208" s="17" t="s">
        <v>139</v>
      </c>
      <c r="G1208" s="18"/>
      <c r="H1208" s="18"/>
    </row>
    <row r="1209" spans="1:8" ht="13.2">
      <c r="A1209" s="19" t="str">
        <f>HYPERLINK("https://codeforces.com/contest/1088/problem/F","CF1088-D2-F")</f>
        <v>CF1088-D2-F</v>
      </c>
      <c r="B1209" s="15" t="s">
        <v>1434</v>
      </c>
      <c r="C1209" s="17">
        <v>6.5</v>
      </c>
      <c r="D1209" s="18"/>
      <c r="E1209" s="17" t="s">
        <v>1337</v>
      </c>
      <c r="F1209" s="17" t="s">
        <v>139</v>
      </c>
      <c r="G1209" s="18"/>
      <c r="H1209" s="18"/>
    </row>
    <row r="1210" spans="1:8" ht="13.2">
      <c r="A1210" s="19" t="str">
        <f>HYPERLINK("https://atcoder.jp/contests/caddi2018/tasks/caddi2018_d","Atcoder-caddi2018-D")</f>
        <v>Atcoder-caddi2018-D</v>
      </c>
      <c r="B1210" s="15" t="s">
        <v>1348</v>
      </c>
      <c r="C1210" s="17">
        <v>6.5</v>
      </c>
      <c r="D1210" s="18"/>
      <c r="E1210" s="17" t="s">
        <v>1337</v>
      </c>
      <c r="F1210" s="17"/>
      <c r="G1210" s="18"/>
      <c r="H1210" s="18"/>
    </row>
    <row r="1211" spans="1:8" ht="13.2">
      <c r="A1211" s="19" t="str">
        <f>HYPERLINK("https://codeforces.com/contest/1068/problem/D","CF1068-D2-D")</f>
        <v>CF1068-D2-D</v>
      </c>
      <c r="B1211" s="15" t="s">
        <v>1348</v>
      </c>
      <c r="C1211" s="17">
        <v>6.5</v>
      </c>
      <c r="D1211" s="18"/>
      <c r="E1211" s="17" t="s">
        <v>1337</v>
      </c>
      <c r="F1211" s="17"/>
      <c r="G1211" s="18"/>
      <c r="H1211" s="18"/>
    </row>
    <row r="1212" spans="1:8" ht="13.2">
      <c r="A1212" s="19" t="str">
        <f>HYPERLINK("http://codeforces.com/contest/373/problem/E","CF373-D2-E")</f>
        <v>CF373-D2-E</v>
      </c>
      <c r="B1212" s="15" t="s">
        <v>1348</v>
      </c>
      <c r="C1212" s="24">
        <v>6.5</v>
      </c>
      <c r="D1212" s="18"/>
      <c r="E1212" s="17" t="s">
        <v>1337</v>
      </c>
      <c r="F1212" s="17"/>
      <c r="G1212" s="18"/>
      <c r="H1212" s="18"/>
    </row>
    <row r="1213" spans="1:8" ht="13.2">
      <c r="A1213" s="19" t="str">
        <f>HYPERLINK("http://codeforces.com/contest/480/problem/C","CF480-D1-C")</f>
        <v>CF480-D1-C</v>
      </c>
      <c r="B1213" s="20" t="s">
        <v>1348</v>
      </c>
      <c r="C1213" s="17">
        <v>6.5</v>
      </c>
      <c r="D1213" s="18"/>
      <c r="E1213" s="17" t="s">
        <v>1337</v>
      </c>
      <c r="F1213" s="17"/>
      <c r="G1213" s="18"/>
      <c r="H1213" s="18"/>
    </row>
    <row r="1214" spans="1:8" ht="13.2">
      <c r="A1214" s="19" t="str">
        <f>HYPERLINK("http://codeforces.com/problemset/problem/744/C","CF744-D1-C")</f>
        <v>CF744-D1-C</v>
      </c>
      <c r="B1214" s="18" t="s">
        <v>1348</v>
      </c>
      <c r="C1214" s="31">
        <v>6.5</v>
      </c>
      <c r="D1214" s="18"/>
      <c r="E1214" s="17" t="s">
        <v>1337</v>
      </c>
      <c r="F1214" s="17"/>
      <c r="G1214" s="18"/>
      <c r="H1214" s="18"/>
    </row>
    <row r="1215" spans="1:8" ht="13.2">
      <c r="A1215" s="19" t="str">
        <f>HYPERLINK("https://www.codechef.com/problems/KNICOV","CODECHEF KNICOV")</f>
        <v>CODECHEF KNICOV</v>
      </c>
      <c r="B1215" s="15" t="s">
        <v>1348</v>
      </c>
      <c r="C1215" s="24">
        <v>6.5</v>
      </c>
      <c r="D1215" s="18"/>
      <c r="E1215" s="17" t="s">
        <v>1337</v>
      </c>
      <c r="F1215" s="17"/>
      <c r="G1215" s="18"/>
      <c r="H1215" s="18"/>
    </row>
    <row r="1216" spans="1:8" ht="13.2">
      <c r="A1216" s="19" t="str">
        <f>HYPERLINK("https://www.facebook.com/hackercup/problem/271442536778669/", "FbHkrCup 18-R2-C")</f>
        <v>FbHkrCup 18-R2-C</v>
      </c>
      <c r="B1216" s="20" t="s">
        <v>1348</v>
      </c>
      <c r="C1216" s="21">
        <v>6.5</v>
      </c>
      <c r="D1216" s="18"/>
      <c r="E1216" s="17" t="s">
        <v>1337</v>
      </c>
      <c r="F1216" s="17"/>
      <c r="G1216" s="18"/>
      <c r="H1216" s="18"/>
    </row>
    <row r="1217" spans="1:8" ht="13.2">
      <c r="A1217" s="15" t="s">
        <v>1435</v>
      </c>
      <c r="B1217" s="29" t="s">
        <v>1348</v>
      </c>
      <c r="C1217" s="31">
        <v>6.5</v>
      </c>
      <c r="D1217" s="18"/>
      <c r="E1217" s="24" t="s">
        <v>1337</v>
      </c>
      <c r="F1217" s="17"/>
      <c r="G1217" s="18"/>
      <c r="H1217" s="18"/>
    </row>
    <row r="1218" spans="1:8" ht="13.2">
      <c r="A1218" s="19" t="str">
        <f>HYPERLINK("http://codeforces.com/contest/71/problem/E","CF71-D2-E")</f>
        <v>CF71-D2-E</v>
      </c>
      <c r="B1218" s="29" t="s">
        <v>1436</v>
      </c>
      <c r="C1218" s="17">
        <v>6.5</v>
      </c>
      <c r="D1218" s="18"/>
      <c r="E1218" s="17" t="s">
        <v>1337</v>
      </c>
      <c r="F1218" s="17"/>
      <c r="G1218" s="18"/>
      <c r="H1218" s="18"/>
    </row>
    <row r="1219" spans="1:8" ht="13.2">
      <c r="A1219" s="19" t="str">
        <f>HYPERLINK("http://codeforces.com/contest/536/problem/D","CF536-D1-D")</f>
        <v>CF536-D1-D</v>
      </c>
      <c r="B1219" s="15" t="s">
        <v>1437</v>
      </c>
      <c r="C1219" s="24">
        <v>6.5</v>
      </c>
      <c r="D1219" s="18"/>
      <c r="E1219" s="17" t="s">
        <v>1337</v>
      </c>
      <c r="F1219" s="17"/>
      <c r="G1219" s="18"/>
      <c r="H1219" s="18"/>
    </row>
    <row r="1220" spans="1:8" ht="13.2">
      <c r="A1220" s="19" t="str">
        <f>HYPERLINK("https://www.codechef.com/problems/DANYANUM","CODECHEF DANYANUM")</f>
        <v>CODECHEF DANYANUM</v>
      </c>
      <c r="B1220" s="15" t="s">
        <v>1438</v>
      </c>
      <c r="C1220" s="17">
        <v>6.5</v>
      </c>
      <c r="D1220" s="18"/>
      <c r="E1220" s="17" t="s">
        <v>1337</v>
      </c>
      <c r="F1220" s="17"/>
      <c r="G1220" s="18"/>
      <c r="H1220" s="18"/>
    </row>
    <row r="1221" spans="1:8" ht="13.2">
      <c r="A1221" s="15" t="s">
        <v>1439</v>
      </c>
      <c r="B1221" s="34" t="s">
        <v>1346</v>
      </c>
      <c r="C1221" s="17">
        <v>6.5</v>
      </c>
      <c r="D1221" s="18"/>
      <c r="E1221" s="17" t="s">
        <v>1337</v>
      </c>
      <c r="F1221" s="17"/>
      <c r="G1221" s="18"/>
      <c r="H1221" s="18"/>
    </row>
    <row r="1222" spans="1:8" ht="13.2">
      <c r="A1222" s="19" t="str">
        <f>HYPERLINK("http://codeforces.com/contest/697/problem/C", "CF697-D2-E")</f>
        <v>CF697-D2-E</v>
      </c>
      <c r="B1222" s="20" t="s">
        <v>1440</v>
      </c>
      <c r="C1222" s="21">
        <v>6.5</v>
      </c>
      <c r="D1222" s="18"/>
      <c r="E1222" s="17" t="s">
        <v>1337</v>
      </c>
      <c r="F1222" s="17"/>
      <c r="G1222" s="18"/>
      <c r="H1222" s="18"/>
    </row>
    <row r="1223" spans="1:8" ht="13.2">
      <c r="A1223" s="19" t="str">
        <f>HYPERLINK("http://community.topcoder.com/stat?c=problem_statement&amp;pm=6215","SRM302-D1-1000")</f>
        <v>SRM302-D1-1000</v>
      </c>
      <c r="B1223" s="20" t="s">
        <v>1441</v>
      </c>
      <c r="C1223" s="21">
        <v>6.5</v>
      </c>
      <c r="D1223" s="18"/>
      <c r="E1223" s="17" t="s">
        <v>1337</v>
      </c>
      <c r="F1223" s="17"/>
      <c r="G1223" s="18"/>
      <c r="H1223" s="18"/>
    </row>
    <row r="1224" spans="1:8" ht="13.2">
      <c r="A1224" s="19" t="str">
        <f>HYPERLINK("https://codeforces.com/contest/1247/problem/E","CF1247-D2-E")</f>
        <v>CF1247-D2-E</v>
      </c>
      <c r="B1224" s="15" t="s">
        <v>1442</v>
      </c>
      <c r="C1224" s="17">
        <v>6.4</v>
      </c>
      <c r="D1224" s="18"/>
      <c r="E1224" s="17" t="s">
        <v>1337</v>
      </c>
      <c r="F1224" s="17" t="s">
        <v>154</v>
      </c>
      <c r="G1224" s="18"/>
      <c r="H1224" s="18"/>
    </row>
    <row r="1225" spans="1:8" ht="13.2">
      <c r="A1225" s="19" t="str">
        <f>HYPERLINK("http://codeforces.com/contest/814/problem/E","CF814-D2-E")</f>
        <v>CF814-D2-E</v>
      </c>
      <c r="B1225" s="15" t="s">
        <v>1443</v>
      </c>
      <c r="C1225" s="17">
        <v>6.3</v>
      </c>
      <c r="D1225" s="18" t="s">
        <v>1115</v>
      </c>
      <c r="E1225" s="17" t="s">
        <v>1337</v>
      </c>
      <c r="F1225" s="17" t="s">
        <v>154</v>
      </c>
      <c r="G1225" s="18"/>
      <c r="H1225" s="18"/>
    </row>
    <row r="1226" spans="1:8" ht="13.2">
      <c r="A1226" s="19" t="str">
        <f>HYPERLINK("http://codeforces.com/contest/981/problem/E", "CF981-D12-E")</f>
        <v>CF981-D12-E</v>
      </c>
      <c r="B1226" s="20" t="s">
        <v>1444</v>
      </c>
      <c r="C1226" s="21">
        <v>6.3</v>
      </c>
      <c r="D1226" s="26" t="str">
        <f>HYPERLINK("https://github.com/tmwilliamlin168/CompetitiveProgramming/blob/master/CodeForces/CF981-D12-E.cpp", "Sol")</f>
        <v>Sol</v>
      </c>
      <c r="E1226" s="17" t="s">
        <v>1337</v>
      </c>
      <c r="F1226" s="17" t="s">
        <v>154</v>
      </c>
      <c r="G1226" s="18"/>
      <c r="H1226" s="18"/>
    </row>
    <row r="1227" spans="1:8" ht="13.2">
      <c r="A1227" s="19" t="str">
        <f>HYPERLINK("https://codeforces.com/contest/1237/problem/E","CF1237-D12-E")</f>
        <v>CF1237-D12-E</v>
      </c>
      <c r="B1227" s="20" t="s">
        <v>1445</v>
      </c>
      <c r="C1227" s="21">
        <v>6.3</v>
      </c>
      <c r="D1227" s="18"/>
      <c r="E1227" s="17" t="s">
        <v>1337</v>
      </c>
      <c r="F1227" s="17" t="s">
        <v>139</v>
      </c>
      <c r="G1227" s="18"/>
      <c r="H1227" s="18"/>
    </row>
    <row r="1228" spans="1:8" ht="13.2">
      <c r="A1228" s="19" t="str">
        <f>HYPERLINK("https://atcoder.jp/contests/caddi2018/tasks/caddi2018_c","Atcoder-caddi2018-C")</f>
        <v>Atcoder-caddi2018-C</v>
      </c>
      <c r="B1228" s="15" t="s">
        <v>1446</v>
      </c>
      <c r="C1228" s="17">
        <v>6.3</v>
      </c>
      <c r="D1228" s="26" t="str">
        <f>HYPERLINK("https://github.com/fiv2001/CompetitiveProgramming/blob/master/Atcoder/Atcoder-caddi2018-C", "Sol")</f>
        <v>Sol</v>
      </c>
      <c r="E1228" s="17" t="s">
        <v>1337</v>
      </c>
      <c r="F1228" s="17" t="s">
        <v>139</v>
      </c>
      <c r="G1228" s="18"/>
      <c r="H1228" s="18"/>
    </row>
    <row r="1229" spans="1:8" ht="13.2">
      <c r="A1229" s="19" t="str">
        <f>HYPERLINK("http://codeforces.com/contest/490/problem/F","CF490-D2-F")</f>
        <v>CF490-D2-F</v>
      </c>
      <c r="B1229" s="29" t="s">
        <v>1447</v>
      </c>
      <c r="C1229" s="17">
        <v>6.3</v>
      </c>
      <c r="D1229" s="18"/>
      <c r="E1229" s="17" t="s">
        <v>1337</v>
      </c>
      <c r="F1229" s="17"/>
      <c r="G1229" s="18"/>
      <c r="H1229" s="18"/>
    </row>
    <row r="1230" spans="1:8" ht="13.2">
      <c r="A1230" s="19" t="str">
        <f>HYPERLINK("https://codeforces.com/contest/1146/problem/F","CF1146-D12-F")</f>
        <v>CF1146-D12-F</v>
      </c>
      <c r="B1230" s="15" t="s">
        <v>1348</v>
      </c>
      <c r="C1230" s="21">
        <v>6.25</v>
      </c>
      <c r="D1230" s="18"/>
      <c r="E1230" s="17" t="s">
        <v>1337</v>
      </c>
      <c r="F1230" s="17" t="s">
        <v>154</v>
      </c>
      <c r="G1230" s="18"/>
      <c r="H1230" s="18"/>
    </row>
    <row r="1231" spans="1:8" ht="13.2">
      <c r="A1231" s="19" t="str">
        <f>HYPERLINK("https://codeforces.com/contest/1206/problem/E","CF1206-D2-E")</f>
        <v>CF1206-D2-E</v>
      </c>
      <c r="B1231" s="23" t="s">
        <v>1448</v>
      </c>
      <c r="C1231" s="17">
        <v>6.25</v>
      </c>
      <c r="D1231" s="18"/>
      <c r="E1231" s="17" t="s">
        <v>1337</v>
      </c>
      <c r="F1231" s="17" t="s">
        <v>139</v>
      </c>
      <c r="G1231" s="18"/>
      <c r="H1231" s="18"/>
    </row>
    <row r="1232" spans="1:8" ht="13.2">
      <c r="A1232" s="19" t="str">
        <f>HYPERLINK("https://codeforces.com/contest/1178/problem/F1","CF1178-D12-F1")</f>
        <v>CF1178-D12-F1</v>
      </c>
      <c r="B1232" s="15" t="s">
        <v>1346</v>
      </c>
      <c r="C1232" s="17">
        <v>6.25</v>
      </c>
      <c r="D1232" s="18"/>
      <c r="E1232" s="17" t="s">
        <v>1337</v>
      </c>
      <c r="F1232" s="17" t="s">
        <v>139</v>
      </c>
      <c r="G1232" s="18"/>
      <c r="H1232" s="18"/>
    </row>
    <row r="1233" spans="1:8" ht="13.2">
      <c r="A1233" s="19" t="str">
        <f>HYPERLINK("https://codeforces.com/contest/1105/problem/E","CF1105-D2-E")</f>
        <v>CF1105-D2-E</v>
      </c>
      <c r="B1233" s="23" t="s">
        <v>1449</v>
      </c>
      <c r="C1233" s="17">
        <v>6.25</v>
      </c>
      <c r="D1233" s="18"/>
      <c r="E1233" s="17" t="s">
        <v>1337</v>
      </c>
      <c r="F1233" s="17" t="s">
        <v>139</v>
      </c>
      <c r="G1233" s="18"/>
      <c r="H1233" s="18"/>
    </row>
    <row r="1234" spans="1:8" ht="13.2">
      <c r="A1234" s="19" t="str">
        <f>HYPERLINK("http://codeforces.com/contest/569/problem/D","CF569-D2-D")</f>
        <v>CF569-D2-D</v>
      </c>
      <c r="B1234" s="29" t="s">
        <v>1450</v>
      </c>
      <c r="C1234" s="17">
        <v>6.25</v>
      </c>
      <c r="D1234" s="18"/>
      <c r="E1234" s="17" t="s">
        <v>1337</v>
      </c>
      <c r="F1234" s="17" t="s">
        <v>139</v>
      </c>
      <c r="G1234" s="18"/>
      <c r="H1234" s="18"/>
    </row>
    <row r="1235" spans="1:8" ht="13.2">
      <c r="A1235" s="19" t="str">
        <f>HYPERLINK("https://codeforces.com/contest/922/problem/E","CF922-D2-E")</f>
        <v>CF922-D2-E</v>
      </c>
      <c r="B1235" s="20" t="s">
        <v>1451</v>
      </c>
      <c r="C1235" s="17">
        <v>6.25</v>
      </c>
      <c r="D1235" s="18"/>
      <c r="E1235" s="17" t="s">
        <v>1337</v>
      </c>
      <c r="F1235" s="17" t="s">
        <v>201</v>
      </c>
      <c r="G1235" s="18"/>
      <c r="H1235" s="18"/>
    </row>
    <row r="1236" spans="1:8" ht="13.2">
      <c r="A1236" s="19" t="str">
        <f>HYPERLINK("http://codeforces.com/contest/133/problem/E","CF133-D2-E")</f>
        <v>CF133-D2-E</v>
      </c>
      <c r="B1236" s="29" t="s">
        <v>1348</v>
      </c>
      <c r="C1236" s="17">
        <v>6.25</v>
      </c>
      <c r="D1236" s="18"/>
      <c r="E1236" s="17" t="s">
        <v>1337</v>
      </c>
      <c r="F1236" s="17"/>
      <c r="G1236" s="18"/>
      <c r="H1236" s="18"/>
    </row>
    <row r="1237" spans="1:8" ht="13.2">
      <c r="A1237" s="15" t="s">
        <v>1452</v>
      </c>
      <c r="B1237" s="29" t="s">
        <v>1348</v>
      </c>
      <c r="C1237" s="31">
        <v>6.25</v>
      </c>
      <c r="D1237" s="18"/>
      <c r="E1237" s="24" t="s">
        <v>1337</v>
      </c>
      <c r="F1237" s="17"/>
      <c r="G1237" s="18"/>
      <c r="H1237" s="18"/>
    </row>
    <row r="1238" spans="1:8" ht="13.2">
      <c r="A1238" s="19" t="str">
        <f>HYPERLINK("https://codeforces.com/contest/486/problem/E","CF486-D2-E")</f>
        <v>CF486-D2-E</v>
      </c>
      <c r="B1238" s="20" t="s">
        <v>1453</v>
      </c>
      <c r="C1238" s="21">
        <v>6.25</v>
      </c>
      <c r="D1238" s="18"/>
      <c r="E1238" s="17" t="s">
        <v>1337</v>
      </c>
      <c r="F1238" s="17"/>
      <c r="G1238" s="18"/>
      <c r="H1238" s="18"/>
    </row>
    <row r="1239" spans="1:8" ht="13.2">
      <c r="A1239" s="15" t="s">
        <v>1454</v>
      </c>
      <c r="B1239" s="41" t="s">
        <v>1455</v>
      </c>
      <c r="C1239" s="17">
        <v>6.25</v>
      </c>
      <c r="D1239" s="18"/>
      <c r="E1239" s="17" t="s">
        <v>1337</v>
      </c>
      <c r="F1239" s="17"/>
      <c r="G1239" s="18"/>
      <c r="H1239" s="18"/>
    </row>
    <row r="1240" spans="1:8" ht="13.2">
      <c r="A1240" s="19" t="str">
        <f>HYPERLINK("http://codeforces.com/contest/124/problem/E","CF124-D2-E")</f>
        <v>CF124-D2-E</v>
      </c>
      <c r="B1240" s="15" t="s">
        <v>1456</v>
      </c>
      <c r="C1240" s="24">
        <v>6.1</v>
      </c>
      <c r="D1240" s="26" t="str">
        <f>HYPERLINK("https://github.com/peon-pasado/CompetitiveProgramming/blob/master/codeforces/CF124-D2-E.cpp","Sol")</f>
        <v>Sol</v>
      </c>
      <c r="E1240" s="17" t="s">
        <v>1337</v>
      </c>
      <c r="F1240" s="17" t="s">
        <v>139</v>
      </c>
      <c r="G1240" s="18"/>
      <c r="H1240" s="18"/>
    </row>
    <row r="1241" spans="1:8" ht="13.2">
      <c r="A1241" s="19" t="str">
        <f>HYPERLINK("http://codeforces.com/contest/505/problem/D","CF505-D2-D")</f>
        <v>CF505-D2-D</v>
      </c>
      <c r="B1241" s="15" t="s">
        <v>1457</v>
      </c>
      <c r="C1241" s="24">
        <v>6</v>
      </c>
      <c r="D1241" s="18"/>
      <c r="E1241" s="17" t="s">
        <v>1337</v>
      </c>
      <c r="F1241" s="17" t="s">
        <v>306</v>
      </c>
      <c r="G1241" s="18"/>
      <c r="H1241" s="18"/>
    </row>
    <row r="1242" spans="1:8" ht="13.2">
      <c r="A1242" s="15" t="s">
        <v>1458</v>
      </c>
      <c r="B1242" s="37" t="s">
        <v>1459</v>
      </c>
      <c r="C1242" s="17">
        <v>6</v>
      </c>
      <c r="D1242" s="18"/>
      <c r="E1242" s="17" t="s">
        <v>1337</v>
      </c>
      <c r="F1242" s="17" t="s">
        <v>1053</v>
      </c>
      <c r="G1242" s="18"/>
      <c r="H1242" s="18"/>
    </row>
    <row r="1243" spans="1:8" ht="13.2">
      <c r="A1243" s="19" t="str">
        <f>HYPERLINK("http://codeforces.com/contest/623/problem/B","CF623-D1-B")</f>
        <v>CF623-D1-B</v>
      </c>
      <c r="B1243" s="38" t="s">
        <v>1415</v>
      </c>
      <c r="C1243" s="24">
        <v>6</v>
      </c>
      <c r="D1243" s="18"/>
      <c r="E1243" s="17" t="s">
        <v>1337</v>
      </c>
      <c r="F1243" s="17" t="s">
        <v>1420</v>
      </c>
      <c r="G1243" s="18"/>
      <c r="H1243" s="18"/>
    </row>
    <row r="1244" spans="1:8" ht="13.2">
      <c r="A1244" s="15" t="s">
        <v>1460</v>
      </c>
      <c r="B1244" s="15" t="s">
        <v>1461</v>
      </c>
      <c r="C1244" s="24">
        <v>6</v>
      </c>
      <c r="D1244" s="26" t="str">
        <f>HYPERLINK("https://github.com/mostafa-saad/MyCompetitiveProgramming/blob/master/Timus/TIMUS_1223.txt","Sol")</f>
        <v>Sol</v>
      </c>
      <c r="E1244" s="17" t="s">
        <v>1337</v>
      </c>
      <c r="F1244" s="17" t="s">
        <v>154</v>
      </c>
      <c r="G1244" s="18"/>
      <c r="H1244" s="18"/>
    </row>
    <row r="1245" spans="1:8" ht="13.2">
      <c r="A1245" s="19" t="str">
        <f>HYPERLINK("https://codeforces.com/contest/1260/problem/E","CF1260-D12-E")</f>
        <v>CF1260-D12-E</v>
      </c>
      <c r="B1245" s="20" t="s">
        <v>1462</v>
      </c>
      <c r="C1245" s="21">
        <v>6</v>
      </c>
      <c r="D1245" s="18"/>
      <c r="E1245" s="17" t="s">
        <v>1337</v>
      </c>
      <c r="F1245" s="17" t="s">
        <v>154</v>
      </c>
      <c r="G1245" s="18"/>
      <c r="H1245" s="18"/>
    </row>
    <row r="1246" spans="1:8" ht="13.2">
      <c r="A1246" s="19" t="str">
        <f>HYPERLINK("https://atcoder.jp/contests/abc145/tasks/abc145_f","AtCoder145-ABC-F")</f>
        <v>AtCoder145-ABC-F</v>
      </c>
      <c r="B1246" s="20" t="s">
        <v>1348</v>
      </c>
      <c r="C1246" s="21">
        <v>6</v>
      </c>
      <c r="D1246" s="26" t="str">
        <f>HYPERLINK("https://github.com/farmerboy95/CompetitiveProgramming/blob/master/AtCoder/AtCoder145-ABC-F.cpp","Sol")</f>
        <v>Sol</v>
      </c>
      <c r="E1246" s="17" t="s">
        <v>1337</v>
      </c>
      <c r="F1246" s="17" t="s">
        <v>139</v>
      </c>
      <c r="G1246" s="18"/>
      <c r="H1246" s="18"/>
    </row>
    <row r="1247" spans="1:8" ht="13.2">
      <c r="A1247" s="15" t="s">
        <v>1463</v>
      </c>
      <c r="B1247" s="15" t="s">
        <v>1348</v>
      </c>
      <c r="C1247" s="17">
        <v>6</v>
      </c>
      <c r="D1247" s="26" t="str">
        <f>HYPERLINK("https://github.com/Ownography/CP/blob/master/UVA%2013179","Sol")</f>
        <v>Sol</v>
      </c>
      <c r="E1247" s="17" t="s">
        <v>1337</v>
      </c>
      <c r="F1247" s="17" t="s">
        <v>139</v>
      </c>
      <c r="G1247" s="18"/>
      <c r="H1247" s="18"/>
    </row>
    <row r="1248" spans="1:8" ht="13.2">
      <c r="A1248" s="19" t="str">
        <f>HYPERLINK("https://codeforces.com/contest/1175/problem/E","CF1175-D12-E")</f>
        <v>CF1175-D12-E</v>
      </c>
      <c r="B1248" s="20" t="s">
        <v>1464</v>
      </c>
      <c r="C1248" s="21">
        <v>6</v>
      </c>
      <c r="D1248" s="18"/>
      <c r="E1248" s="17" t="s">
        <v>1337</v>
      </c>
      <c r="F1248" s="17" t="s">
        <v>139</v>
      </c>
      <c r="G1248" s="18"/>
      <c r="H1248" s="18"/>
    </row>
    <row r="1249" spans="1:8" ht="13.2">
      <c r="A1249" s="15" t="s">
        <v>1465</v>
      </c>
      <c r="B1249" s="34" t="s">
        <v>1358</v>
      </c>
      <c r="C1249" s="31">
        <v>6</v>
      </c>
      <c r="D1249" s="18"/>
      <c r="E1249" s="17" t="s">
        <v>1337</v>
      </c>
      <c r="F1249" s="17" t="s">
        <v>139</v>
      </c>
      <c r="G1249" s="18"/>
      <c r="H1249" s="18"/>
    </row>
    <row r="1250" spans="1:8" ht="13.2">
      <c r="A1250" s="19" t="str">
        <f>HYPERLINK("http://codeforces.com/contest/1121/problem/F","CF1121-D2-F")</f>
        <v>CF1121-D2-F</v>
      </c>
      <c r="B1250" s="20" t="s">
        <v>1466</v>
      </c>
      <c r="C1250" s="17">
        <v>6</v>
      </c>
      <c r="D1250" s="18"/>
      <c r="E1250" s="17" t="s">
        <v>1337</v>
      </c>
      <c r="F1250" s="17" t="s">
        <v>139</v>
      </c>
      <c r="G1250" s="18"/>
      <c r="H1250" s="18"/>
    </row>
    <row r="1251" spans="1:8" ht="13.2">
      <c r="A1251" s="19" t="str">
        <f>HYPERLINK("https://codeforces.com/contest/1257/problem/E","CF1257-D2-E")</f>
        <v>CF1257-D2-E</v>
      </c>
      <c r="B1251" s="15" t="s">
        <v>1467</v>
      </c>
      <c r="C1251" s="17">
        <v>6</v>
      </c>
      <c r="D1251" s="18"/>
      <c r="E1251" s="17" t="s">
        <v>1337</v>
      </c>
      <c r="F1251" s="17" t="s">
        <v>139</v>
      </c>
      <c r="G1251" s="18"/>
      <c r="H1251" s="18"/>
    </row>
    <row r="1252" spans="1:8" ht="13.2">
      <c r="A1252" s="19" t="str">
        <f>HYPERLINK("https://codeforces.com/contest/1169/problem/E","CF1169-D2-E")</f>
        <v>CF1169-D2-E</v>
      </c>
      <c r="B1252" s="15" t="s">
        <v>1468</v>
      </c>
      <c r="C1252" s="17">
        <v>6</v>
      </c>
      <c r="D1252" s="18"/>
      <c r="E1252" s="17" t="s">
        <v>1337</v>
      </c>
      <c r="F1252" s="17" t="s">
        <v>139</v>
      </c>
      <c r="G1252" s="18"/>
      <c r="H1252" s="18"/>
    </row>
    <row r="1253" spans="1:8" ht="13.2">
      <c r="A1253" s="19" t="str">
        <f>HYPERLINK("https://codeforces.com/gym/102014","CF102014-GYM-I")</f>
        <v>CF102014-GYM-I</v>
      </c>
      <c r="B1253" s="15" t="s">
        <v>1346</v>
      </c>
      <c r="C1253" s="17">
        <v>6</v>
      </c>
      <c r="D1253" s="26" t="str">
        <f>HYPERLINK("https://github.com/ZeyadKhattab/Competitive-Programming/blob/master/Codeforces/Gyms/102014/CF102014-GYM-I.java","Sol (no editorial)")</f>
        <v>Sol (no editorial)</v>
      </c>
      <c r="E1253" s="17" t="s">
        <v>1337</v>
      </c>
      <c r="F1253" s="17" t="s">
        <v>139</v>
      </c>
      <c r="G1253" s="18"/>
      <c r="H1253" s="18"/>
    </row>
    <row r="1254" spans="1:8" ht="13.2">
      <c r="A1254" s="19" t="str">
        <f>HYPERLINK("https://codeforces.com/contest/1174/problem/E", "CF1174-D2-E")</f>
        <v>CF1174-D2-E</v>
      </c>
      <c r="B1254" s="20" t="s">
        <v>1469</v>
      </c>
      <c r="C1254" s="21">
        <v>6</v>
      </c>
      <c r="D1254" s="18"/>
      <c r="E1254" s="17" t="s">
        <v>1337</v>
      </c>
      <c r="F1254" s="17" t="s">
        <v>139</v>
      </c>
      <c r="G1254" s="18"/>
      <c r="H1254" s="18"/>
    </row>
    <row r="1255" spans="1:8" ht="13.2">
      <c r="A1255" s="19" t="str">
        <f>HYPERLINK("https://agc007.contest.atcoder.jp/tasks/agc007_d","AtCoder007-AGC-D")</f>
        <v>AtCoder007-AGC-D</v>
      </c>
      <c r="B1255" s="15" t="s">
        <v>1470</v>
      </c>
      <c r="C1255" s="17">
        <v>6</v>
      </c>
      <c r="D1255" s="18"/>
      <c r="E1255" s="17" t="s">
        <v>1337</v>
      </c>
      <c r="F1255" s="17" t="s">
        <v>139</v>
      </c>
      <c r="G1255" s="18"/>
      <c r="H1255" s="18"/>
    </row>
    <row r="1256" spans="1:8" ht="13.2">
      <c r="A1256" s="15" t="s">
        <v>1471</v>
      </c>
      <c r="B1256" s="18" t="s">
        <v>1472</v>
      </c>
      <c r="C1256" s="33">
        <v>6</v>
      </c>
      <c r="D1256" s="18"/>
      <c r="E1256" s="17" t="s">
        <v>1337</v>
      </c>
      <c r="F1256" s="17" t="s">
        <v>139</v>
      </c>
      <c r="G1256" s="18"/>
      <c r="H1256" s="18"/>
    </row>
    <row r="1257" spans="1:8" ht="13.2">
      <c r="A1257" s="19" t="str">
        <f>HYPERLINK("http://codeforces.com/contest/611/problem/D","CF611-D12-D")</f>
        <v>CF611-D12-D</v>
      </c>
      <c r="B1257" s="29" t="s">
        <v>1473</v>
      </c>
      <c r="C1257" s="17">
        <v>6</v>
      </c>
      <c r="D1257" s="26" t="str">
        <f>HYPERLINK("https://github.com/goswami-rahul/competitive-coding/blob/master/CompetitiveProgramming/codeforces/CF611-D12-D.cpp","Sol")</f>
        <v>Sol</v>
      </c>
      <c r="E1257" s="17" t="s">
        <v>1337</v>
      </c>
      <c r="F1257" s="17" t="s">
        <v>139</v>
      </c>
      <c r="G1257" s="18"/>
      <c r="H1257" s="18"/>
    </row>
    <row r="1258" spans="1:8" ht="13.2">
      <c r="A1258" s="19" t="str">
        <f>HYPERLINK("https://www.codechef.com/problems/ABDTOLL","CODECHEF ABDTOLL")</f>
        <v>CODECHEF ABDTOLL</v>
      </c>
      <c r="B1258" s="20" t="s">
        <v>1434</v>
      </c>
      <c r="C1258" s="17">
        <v>6</v>
      </c>
      <c r="D1258" s="18"/>
      <c r="E1258" s="17" t="s">
        <v>1337</v>
      </c>
      <c r="F1258" s="17" t="s">
        <v>139</v>
      </c>
      <c r="G1258" s="18"/>
      <c r="H1258" s="18"/>
    </row>
    <row r="1259" spans="1:8" ht="13.2">
      <c r="A1259" s="15" t="s">
        <v>1474</v>
      </c>
      <c r="B1259" s="18" t="s">
        <v>1348</v>
      </c>
      <c r="C1259" s="17">
        <v>6</v>
      </c>
      <c r="D1259" s="26" t="str">
        <f>HYPERLINK("https://ideone.com/Zliix2","Sol")</f>
        <v>Sol</v>
      </c>
      <c r="E1259" s="17" t="s">
        <v>1337</v>
      </c>
      <c r="F1259" s="17" t="s">
        <v>201</v>
      </c>
      <c r="G1259" s="18"/>
      <c r="H1259" s="18"/>
    </row>
    <row r="1260" spans="1:8" ht="13.2">
      <c r="A1260" s="15" t="s">
        <v>1475</v>
      </c>
      <c r="B1260" s="28" t="s">
        <v>1348</v>
      </c>
      <c r="C1260" s="24">
        <v>6</v>
      </c>
      <c r="D1260" s="26" t="str">
        <f>HYPERLINK("https://github.com/mostafa-saad/MyCompetitiveProgramming/blob/master/LiveArchive/LIVEARCHIVE_6175.txt","Sol")</f>
        <v>Sol</v>
      </c>
      <c r="E1260" s="17" t="s">
        <v>1337</v>
      </c>
      <c r="F1260" s="17" t="s">
        <v>201</v>
      </c>
      <c r="G1260" s="18"/>
      <c r="H1260" s="18"/>
    </row>
    <row r="1261" spans="1:8" ht="13.2">
      <c r="A1261" s="19" t="str">
        <f>HYPERLINK("https://onlinejudge.org/index.php?option=onlinejudge&amp;Itemid=8&amp;page=show_problem&amp;problem=4902","UVA 13014")</f>
        <v>UVA 13014</v>
      </c>
      <c r="B1261" s="29" t="s">
        <v>1476</v>
      </c>
      <c r="C1261" s="17">
        <v>6</v>
      </c>
      <c r="D1261" s="26" t="str">
        <f>HYPERLINK("https://github.com/DrSchwad/CompetitiveProgramming/blob/master/UVA/UVA%2013014.cpp","Sol")</f>
        <v>Sol</v>
      </c>
      <c r="E1261" s="17" t="s">
        <v>1337</v>
      </c>
      <c r="F1261" s="17" t="s">
        <v>201</v>
      </c>
      <c r="G1261" s="18"/>
      <c r="H1261" s="18"/>
    </row>
    <row r="1262" spans="1:8" ht="13.2">
      <c r="A1262" s="19" t="str">
        <f>HYPERLINK("https://codeforces.com/problemset/gymProblem/100503/F","CF100503-GYM-F")</f>
        <v>CF100503-GYM-F</v>
      </c>
      <c r="B1262" s="15" t="s">
        <v>1477</v>
      </c>
      <c r="C1262" s="17">
        <v>6</v>
      </c>
      <c r="D1262" s="26" t="str">
        <f>HYPERLINK("https://github.com/WaleedAbdelhakim/Competitive-Programming/blob/master/CodeForces/CF252112-GYM-F.cpp","Sol(no editorial)")</f>
        <v>Sol(no editorial)</v>
      </c>
      <c r="E1262" s="17" t="s">
        <v>1337</v>
      </c>
      <c r="F1262" s="17" t="s">
        <v>201</v>
      </c>
      <c r="G1262" s="18"/>
      <c r="H1262" s="18"/>
    </row>
    <row r="1263" spans="1:8" ht="13.2">
      <c r="A1263" s="15" t="s">
        <v>1478</v>
      </c>
      <c r="B1263" s="29" t="s">
        <v>1451</v>
      </c>
      <c r="C1263" s="17">
        <v>6</v>
      </c>
      <c r="D1263" s="26" t="str">
        <f>HYPERLINK("https://github.com/tmwilliamlin168/CompetitiveProgramming/blob/master/UVA/1427.cpp", "Sol")</f>
        <v>Sol</v>
      </c>
      <c r="E1263" s="17" t="s">
        <v>1337</v>
      </c>
      <c r="F1263" s="17" t="s">
        <v>201</v>
      </c>
      <c r="G1263" s="18"/>
      <c r="H1263" s="18"/>
    </row>
    <row r="1264" spans="1:8" ht="13.2">
      <c r="A1264" s="15" t="s">
        <v>1479</v>
      </c>
      <c r="B1264" s="29" t="s">
        <v>1480</v>
      </c>
      <c r="C1264" s="17">
        <v>6</v>
      </c>
      <c r="D1264" s="18"/>
      <c r="E1264" s="24" t="s">
        <v>1337</v>
      </c>
      <c r="F1264" s="17" t="s">
        <v>201</v>
      </c>
      <c r="G1264" s="18"/>
      <c r="H1264" s="18"/>
    </row>
    <row r="1265" spans="1:8" ht="13.2">
      <c r="A1265" s="19" t="str">
        <f>HYPERLINK("https://codeforces.com/contest/1078/problem/B","CF1079-D2-E")</f>
        <v>CF1079-D2-E</v>
      </c>
      <c r="B1265" s="15" t="s">
        <v>1481</v>
      </c>
      <c r="C1265" s="17">
        <v>6</v>
      </c>
      <c r="D1265" s="26" t="str">
        <f>HYPERLINK("https://github.com/Huvok/CompetitiveProgramming/blob/master/Codeforces/CF1079-D2-E.cpp", "Sol")</f>
        <v>Sol</v>
      </c>
      <c r="E1265" s="17" t="s">
        <v>1337</v>
      </c>
      <c r="F1265" s="17" t="s">
        <v>201</v>
      </c>
      <c r="G1265" s="18"/>
      <c r="H1265" s="18"/>
    </row>
    <row r="1266" spans="1:8" ht="13.2">
      <c r="A1266" s="19" t="str">
        <f>HYPERLINK("http://codeforces.com/contest/920/problem/D","CF920-D2-D")</f>
        <v>CF920-D2-D</v>
      </c>
      <c r="B1266" s="18" t="s">
        <v>1482</v>
      </c>
      <c r="C1266" s="17">
        <v>6</v>
      </c>
      <c r="D1266" s="26" t="str">
        <f>HYPERLINK("https://github.com/VAMPIER000001/CompetitiveProgramming/blob/dd04e50225a4acfb86449f9c42a1eeb99604201f/CF/CF920-D2-D.Cpp","Sol")</f>
        <v>Sol</v>
      </c>
      <c r="E1266" s="17" t="s">
        <v>1337</v>
      </c>
      <c r="F1266" s="17" t="s">
        <v>201</v>
      </c>
      <c r="G1266" s="18"/>
      <c r="H1266" s="18"/>
    </row>
    <row r="1267" spans="1:8" ht="13.2">
      <c r="A1267" s="19" t="str">
        <f>HYPERLINK("https://codeforces.com/contest/372/problem/C","CF372-D1-C")</f>
        <v>CF372-D1-C</v>
      </c>
      <c r="B1267" s="15" t="s">
        <v>1483</v>
      </c>
      <c r="C1267" s="17">
        <v>6</v>
      </c>
      <c r="D1267" s="18"/>
      <c r="E1267" s="17" t="s">
        <v>1337</v>
      </c>
      <c r="F1267" s="17" t="s">
        <v>201</v>
      </c>
      <c r="G1267" s="18"/>
      <c r="H1267" s="18"/>
    </row>
    <row r="1268" spans="1:8" ht="13.2">
      <c r="A1268" s="19" t="str">
        <f>HYPERLINK("http://codeforces.com/contest/984/problem/D","CF984-D2-D")</f>
        <v>CF984-D2-D</v>
      </c>
      <c r="B1268" s="20" t="s">
        <v>1348</v>
      </c>
      <c r="C1268" s="21">
        <v>6</v>
      </c>
      <c r="D1268" s="18"/>
      <c r="E1268" s="17" t="s">
        <v>1337</v>
      </c>
      <c r="F1268" s="17" t="s">
        <v>242</v>
      </c>
      <c r="G1268" s="18"/>
      <c r="H1268" s="18"/>
    </row>
    <row r="1269" spans="1:8" ht="13.2">
      <c r="A1269" s="19" t="str">
        <f>HYPERLINK("https://icpcarchive.ecs.baylor.edu/index.php?option=com_onlinejudge&amp;Itemid=8&amp;category=592&amp;page=show_problem&amp;problem=4773","LIVEARCHIVE 6761")</f>
        <v>LIVEARCHIVE 6761</v>
      </c>
      <c r="B1269" s="20" t="s">
        <v>1484</v>
      </c>
      <c r="C1269" s="24">
        <v>6</v>
      </c>
      <c r="D1269" s="26" t="str">
        <f>HYPERLINK("https://github.com/omaryasser/Competitive-Programming/blob/master/Live%20Archive%20Solutions/6761%20-%20Super%20Ants.cpp","Sol")</f>
        <v>Sol</v>
      </c>
      <c r="E1269" s="17" t="s">
        <v>1337</v>
      </c>
      <c r="F1269" s="17" t="s">
        <v>242</v>
      </c>
      <c r="G1269" s="18"/>
      <c r="H1269" s="18"/>
    </row>
    <row r="1270" spans="1:8" ht="13.2">
      <c r="A1270" s="19" t="str">
        <f>HYPERLINK("http://codeforces.com/contest/476/problem/E","CF476-D2-E")</f>
        <v>CF476-D2-E</v>
      </c>
      <c r="B1270" s="15" t="s">
        <v>1485</v>
      </c>
      <c r="C1270" s="24">
        <v>6</v>
      </c>
      <c r="D1270" s="18"/>
      <c r="E1270" s="17" t="s">
        <v>1337</v>
      </c>
      <c r="F1270" s="17" t="s">
        <v>242</v>
      </c>
      <c r="G1270" s="18"/>
      <c r="H1270" s="18"/>
    </row>
    <row r="1271" spans="1:8" ht="13.2">
      <c r="A1271" s="19" t="str">
        <f>HYPERLINK("http://codeforces.com/gym/101492/problem/L","CF101492-GYM-L")</f>
        <v>CF101492-GYM-L</v>
      </c>
      <c r="B1271" s="18" t="s">
        <v>1348</v>
      </c>
      <c r="C1271" s="17">
        <v>6</v>
      </c>
      <c r="D1271" s="18"/>
      <c r="E1271" s="17" t="s">
        <v>1337</v>
      </c>
      <c r="F1271" s="17"/>
      <c r="G1271" s="18"/>
      <c r="H1271" s="18"/>
    </row>
    <row r="1272" spans="1:8" ht="13.2">
      <c r="A1272" s="19" t="str">
        <f>HYPERLINK("http://codeforces.com/contest/208/problem/B","CF208-D2-B")</f>
        <v>CF208-D2-B</v>
      </c>
      <c r="B1272" s="29" t="s">
        <v>1348</v>
      </c>
      <c r="C1272" s="17">
        <v>6</v>
      </c>
      <c r="D1272" s="18"/>
      <c r="E1272" s="17" t="s">
        <v>1337</v>
      </c>
      <c r="F1272" s="17"/>
      <c r="G1272" s="18"/>
      <c r="H1272" s="18"/>
    </row>
    <row r="1273" spans="1:8" ht="13.2">
      <c r="A1273" s="19" t="str">
        <f>HYPERLINK("http://codeforces.com/contest/590/problem/D","CF590-D1-D")</f>
        <v>CF590-D1-D</v>
      </c>
      <c r="B1273" s="15" t="s">
        <v>1348</v>
      </c>
      <c r="C1273" s="24">
        <v>6</v>
      </c>
      <c r="D1273" s="18"/>
      <c r="E1273" s="17" t="s">
        <v>1337</v>
      </c>
      <c r="F1273" s="17"/>
      <c r="G1273" s="18"/>
      <c r="H1273" s="18"/>
    </row>
    <row r="1274" spans="1:8" ht="13.2">
      <c r="A1274" s="19" t="str">
        <f>HYPERLINK("http://codeforces.com/contest/675/problem/E","CF675-D2-E")</f>
        <v>CF675-D2-E</v>
      </c>
      <c r="B1274" s="15" t="s">
        <v>1348</v>
      </c>
      <c r="C1274" s="24">
        <v>6</v>
      </c>
      <c r="D1274" s="18"/>
      <c r="E1274" s="17" t="s">
        <v>1337</v>
      </c>
      <c r="F1274" s="17"/>
      <c r="G1274" s="18"/>
      <c r="H1274" s="18"/>
    </row>
    <row r="1275" spans="1:8" ht="13.2">
      <c r="A1275" s="15" t="s">
        <v>1486</v>
      </c>
      <c r="B1275" s="30" t="s">
        <v>1348</v>
      </c>
      <c r="C1275" s="40">
        <v>6</v>
      </c>
      <c r="D1275" s="18"/>
      <c r="E1275" s="17" t="s">
        <v>1337</v>
      </c>
      <c r="F1275" s="17"/>
      <c r="G1275" s="18"/>
      <c r="H1275" s="18"/>
    </row>
    <row r="1276" spans="1:8" ht="13.2">
      <c r="A1276" s="15" t="s">
        <v>1487</v>
      </c>
      <c r="B1276" s="16" t="s">
        <v>1348</v>
      </c>
      <c r="C1276" s="31">
        <v>6</v>
      </c>
      <c r="D1276" s="18"/>
      <c r="E1276" s="17" t="s">
        <v>1337</v>
      </c>
      <c r="F1276" s="17"/>
      <c r="G1276" s="18"/>
      <c r="H1276" s="18"/>
    </row>
    <row r="1277" spans="1:8" ht="13.2">
      <c r="A1277" s="15" t="s">
        <v>1488</v>
      </c>
      <c r="B1277" s="41" t="s">
        <v>1489</v>
      </c>
      <c r="C1277" s="17">
        <v>6</v>
      </c>
      <c r="D1277" s="18"/>
      <c r="E1277" s="17" t="s">
        <v>1337</v>
      </c>
      <c r="F1277" s="17"/>
      <c r="G1277" s="18"/>
      <c r="H1277" s="18"/>
    </row>
    <row r="1278" spans="1:8" ht="13.2">
      <c r="A1278" s="19" t="str">
        <f>HYPERLINK("http://codeforces.com/contest/300/problem/D","CF300-D2-D")</f>
        <v>CF300-D2-D</v>
      </c>
      <c r="B1278" s="15" t="s">
        <v>1490</v>
      </c>
      <c r="C1278" s="24">
        <v>6</v>
      </c>
      <c r="D1278" s="18"/>
      <c r="E1278" s="17" t="s">
        <v>1337</v>
      </c>
      <c r="F1278" s="17"/>
      <c r="G1278" s="18"/>
      <c r="H1278" s="18"/>
    </row>
    <row r="1279" spans="1:8" ht="13.2">
      <c r="A1279" s="15" t="s">
        <v>1491</v>
      </c>
      <c r="B1279" s="29" t="s">
        <v>1492</v>
      </c>
      <c r="C1279" s="24">
        <v>6</v>
      </c>
      <c r="D1279" s="26" t="str">
        <f>HYPERLINK("http://pavelsimo.blogspot.com/2012/07/uva-11654-arithmetic-subsequence.html","Sol")</f>
        <v>Sol</v>
      </c>
      <c r="E1279" s="17" t="s">
        <v>1337</v>
      </c>
      <c r="F1279" s="17"/>
      <c r="G1279" s="18"/>
      <c r="H1279" s="18"/>
    </row>
    <row r="1280" spans="1:8" ht="13.2">
      <c r="A1280" s="15" t="s">
        <v>1493</v>
      </c>
      <c r="B1280" s="30" t="s">
        <v>1494</v>
      </c>
      <c r="C1280" s="17">
        <v>6</v>
      </c>
      <c r="D1280" s="18"/>
      <c r="E1280" s="17" t="s">
        <v>1337</v>
      </c>
      <c r="F1280" s="17"/>
      <c r="G1280" s="18"/>
      <c r="H1280" s="18"/>
    </row>
    <row r="1281" spans="1:8" ht="13.2">
      <c r="A1281" s="19" t="str">
        <f>HYPERLINK("http://codeforces.com/contest/677/problem/D","CF677-D2-D")</f>
        <v>CF677-D2-D</v>
      </c>
      <c r="B1281" s="29" t="s">
        <v>1495</v>
      </c>
      <c r="C1281" s="17">
        <v>6</v>
      </c>
      <c r="D1281" s="18"/>
      <c r="E1281" s="17" t="s">
        <v>1337</v>
      </c>
      <c r="F1281" s="17"/>
      <c r="G1281" s="18"/>
      <c r="H1281" s="18"/>
    </row>
    <row r="1282" spans="1:8" ht="13.2">
      <c r="A1282" s="19" t="str">
        <f>HYPERLINK("http://codeforces.com/contest/235/problem/B","CF235-D1-B")</f>
        <v>CF235-D1-B</v>
      </c>
      <c r="B1282" s="15" t="s">
        <v>1496</v>
      </c>
      <c r="C1282" s="21">
        <v>6</v>
      </c>
      <c r="D1282" s="18"/>
      <c r="E1282" s="17" t="s">
        <v>1337</v>
      </c>
      <c r="F1282" s="17"/>
      <c r="G1282" s="18"/>
      <c r="H1282" s="18"/>
    </row>
    <row r="1283" spans="1:8" ht="13.2">
      <c r="A1283" s="15" t="s">
        <v>1497</v>
      </c>
      <c r="B1283" s="30" t="s">
        <v>1366</v>
      </c>
      <c r="C1283" s="40">
        <v>6</v>
      </c>
      <c r="D1283" s="18"/>
      <c r="E1283" s="17" t="s">
        <v>1337</v>
      </c>
      <c r="F1283" s="17"/>
      <c r="G1283" s="18"/>
      <c r="H1283" s="18"/>
    </row>
    <row r="1284" spans="1:8" ht="13.2">
      <c r="A1284" s="15" t="s">
        <v>1498</v>
      </c>
      <c r="B1284" s="16" t="s">
        <v>1499</v>
      </c>
      <c r="C1284" s="17">
        <v>6</v>
      </c>
      <c r="D1284" s="18"/>
      <c r="E1284" s="17" t="s">
        <v>1337</v>
      </c>
      <c r="F1284" s="17"/>
      <c r="G1284" s="18"/>
      <c r="H1284" s="18"/>
    </row>
    <row r="1285" spans="1:8" ht="13.2">
      <c r="A1285" s="15" t="s">
        <v>1500</v>
      </c>
      <c r="B1285" s="30" t="s">
        <v>1501</v>
      </c>
      <c r="C1285" s="24">
        <v>6</v>
      </c>
      <c r="D1285" s="18"/>
      <c r="E1285" s="17" t="s">
        <v>1337</v>
      </c>
      <c r="F1285" s="17"/>
      <c r="G1285" s="18"/>
      <c r="H1285" s="18"/>
    </row>
    <row r="1286" spans="1:8" ht="13.2">
      <c r="A1286" s="19" t="str">
        <f>HYPERLINK("http://codeforces.com/contest/157/problem/E","CF157-D2-E")</f>
        <v>CF157-D2-E</v>
      </c>
      <c r="B1286" s="29" t="s">
        <v>1346</v>
      </c>
      <c r="C1286" s="17">
        <v>6</v>
      </c>
      <c r="D1286" s="18"/>
      <c r="E1286" s="17" t="s">
        <v>1337</v>
      </c>
      <c r="F1286" s="17"/>
      <c r="G1286" s="18"/>
      <c r="H1286" s="18"/>
    </row>
    <row r="1287" spans="1:8" ht="13.2">
      <c r="A1287" s="15" t="s">
        <v>1502</v>
      </c>
      <c r="B1287" s="34" t="s">
        <v>1503</v>
      </c>
      <c r="C1287" s="31">
        <v>6</v>
      </c>
      <c r="D1287" s="18"/>
      <c r="E1287" s="17" t="s">
        <v>1337</v>
      </c>
      <c r="F1287" s="17"/>
      <c r="G1287" s="18"/>
      <c r="H1287" s="18"/>
    </row>
    <row r="1288" spans="1:8" ht="13.2">
      <c r="A1288" s="19" t="str">
        <f>HYPERLINK("https://www.codechef.com/problems/MKSTR", "CODECHEF MKSTR")</f>
        <v>CODECHEF MKSTR</v>
      </c>
      <c r="B1288" s="20" t="s">
        <v>1504</v>
      </c>
      <c r="C1288" s="21">
        <v>6</v>
      </c>
      <c r="D1288" s="18"/>
      <c r="E1288" s="17" t="s">
        <v>1337</v>
      </c>
      <c r="F1288" s="17"/>
      <c r="G1288" s="18"/>
      <c r="H1288" s="18"/>
    </row>
    <row r="1289" spans="1:8" ht="13.2">
      <c r="A1289" s="15" t="s">
        <v>1505</v>
      </c>
      <c r="B1289" s="15" t="s">
        <v>1441</v>
      </c>
      <c r="C1289" s="24">
        <v>6</v>
      </c>
      <c r="D1289" s="26" t="str">
        <f>HYPERLINK("https://github.com/goswami-rahul/competitive-coding/blob/master/CompetitiveProgramming/zoj/2349.cpp","Sol")</f>
        <v>Sol</v>
      </c>
      <c r="E1289" s="17" t="s">
        <v>1337</v>
      </c>
      <c r="F1289" s="17"/>
      <c r="G1289" s="18"/>
      <c r="H1289" s="18"/>
    </row>
    <row r="1290" spans="1:8" ht="13.2">
      <c r="A1290" s="19" t="str">
        <f>HYPERLINK("http://codeforces.com/contest/1025/problem/D","CF1025-D2-D")</f>
        <v>CF1025-D2-D</v>
      </c>
      <c r="B1290" s="20" t="s">
        <v>1506</v>
      </c>
      <c r="C1290" s="21">
        <v>5.75</v>
      </c>
      <c r="D1290" s="18"/>
      <c r="E1290" s="17" t="s">
        <v>1337</v>
      </c>
      <c r="F1290" s="17" t="s">
        <v>196</v>
      </c>
      <c r="G1290" s="18"/>
      <c r="H1290" s="18"/>
    </row>
    <row r="1291" spans="1:8" ht="13.2">
      <c r="A1291" s="19" t="str">
        <f>HYPERLINK("http://codeforces.com/contest/313/problem/D","CF313-D2-D")</f>
        <v>CF313-D2-D</v>
      </c>
      <c r="B1291" s="29" t="s">
        <v>1507</v>
      </c>
      <c r="C1291" s="17">
        <v>5.75</v>
      </c>
      <c r="D1291" s="18"/>
      <c r="E1291" s="17" t="s">
        <v>1337</v>
      </c>
      <c r="F1291" s="17" t="s">
        <v>139</v>
      </c>
      <c r="G1291" s="18"/>
      <c r="H1291" s="18"/>
    </row>
    <row r="1292" spans="1:8" ht="13.2">
      <c r="A1292" s="19" t="str">
        <f>HYPERLINK("http://codeforces.com/contest/488/problem/D","CF488-D2-D")</f>
        <v>CF488-D2-D</v>
      </c>
      <c r="B1292" s="29" t="s">
        <v>1508</v>
      </c>
      <c r="C1292" s="17">
        <v>5.75</v>
      </c>
      <c r="D1292" s="18"/>
      <c r="E1292" s="17" t="s">
        <v>1337</v>
      </c>
      <c r="F1292" s="17"/>
      <c r="G1292" s="18"/>
      <c r="H1292" s="18"/>
    </row>
    <row r="1293" spans="1:8" ht="13.2">
      <c r="A1293" s="19" t="str">
        <f>HYPERLINK("http://codeforces.com/contest/822/problem/D","CF822-D2-D")</f>
        <v>CF822-D2-D</v>
      </c>
      <c r="B1293" s="29" t="s">
        <v>1509</v>
      </c>
      <c r="C1293" s="17">
        <v>5.5</v>
      </c>
      <c r="D1293" s="18"/>
      <c r="E1293" s="17" t="s">
        <v>1337</v>
      </c>
      <c r="F1293" s="17" t="s">
        <v>255</v>
      </c>
      <c r="G1293" s="18"/>
      <c r="H1293" s="18"/>
    </row>
    <row r="1294" spans="1:8" ht="13.2">
      <c r="A1294" s="19" t="str">
        <f>HYPERLINK("http://codeforces.com/contest/762/problem/D","CF762-D12-D")</f>
        <v>CF762-D12-D</v>
      </c>
      <c r="B1294" s="18" t="s">
        <v>1510</v>
      </c>
      <c r="C1294" s="17">
        <v>5.5</v>
      </c>
      <c r="D1294" s="18"/>
      <c r="E1294" s="17" t="s">
        <v>1337</v>
      </c>
      <c r="F1294" s="17" t="s">
        <v>229</v>
      </c>
      <c r="G1294" s="18"/>
      <c r="H1294" s="18"/>
    </row>
    <row r="1295" spans="1:8" ht="13.2">
      <c r="A1295" s="19" t="str">
        <f>HYPERLINK("http://codeforces.com/contest/1013/problem/E","CF1013-D2-E")</f>
        <v>CF1013-D2-E</v>
      </c>
      <c r="B1295" s="15" t="s">
        <v>1348</v>
      </c>
      <c r="C1295" s="17">
        <v>5.5</v>
      </c>
      <c r="D1295" s="18"/>
      <c r="E1295" s="17" t="s">
        <v>1337</v>
      </c>
      <c r="F1295" s="17" t="s">
        <v>154</v>
      </c>
      <c r="G1295" s="18"/>
      <c r="H1295" s="18"/>
    </row>
    <row r="1296" spans="1:8" ht="13.2">
      <c r="A1296" s="19" t="str">
        <f>HYPERLINK("http://codeforces.com/contest/149/problem/D","CF149-D2-D")</f>
        <v>CF149-D2-D</v>
      </c>
      <c r="B1296" s="29" t="s">
        <v>1511</v>
      </c>
      <c r="C1296" s="17">
        <v>5.5</v>
      </c>
      <c r="D1296" s="26" t="str">
        <f>HYPERLINK("https://github.com/osamahatem/CompetitiveProgramming/blob/master/Codeforces/149D.%20Coloring%20Brackets.cpp","Sol")</f>
        <v>Sol</v>
      </c>
      <c r="E1296" s="17" t="s">
        <v>1337</v>
      </c>
      <c r="F1296" s="17" t="s">
        <v>196</v>
      </c>
      <c r="G1296" s="18"/>
      <c r="H1296" s="18"/>
    </row>
    <row r="1297" spans="1:8" ht="13.2">
      <c r="A1297" s="19" t="str">
        <f>HYPERLINK("http://codeforces.com/contest/10/problem/D","CF10-D12-D")</f>
        <v>CF10-D12-D</v>
      </c>
      <c r="B1297" s="15" t="s">
        <v>1348</v>
      </c>
      <c r="C1297" s="24">
        <v>5.5</v>
      </c>
      <c r="D1297" s="18"/>
      <c r="E1297" s="17" t="s">
        <v>1337</v>
      </c>
      <c r="F1297" s="17" t="s">
        <v>139</v>
      </c>
      <c r="G1297" s="18"/>
      <c r="H1297" s="18"/>
    </row>
    <row r="1298" spans="1:8" ht="13.2">
      <c r="A1298" s="19" t="str">
        <f>HYPERLINK("https://codeforces.com/contest/18/problem/E","CF18-D12-E")</f>
        <v>CF18-D12-E</v>
      </c>
      <c r="B1298" s="15" t="s">
        <v>1348</v>
      </c>
      <c r="C1298" s="17">
        <v>5.5</v>
      </c>
      <c r="D1298" s="18"/>
      <c r="E1298" s="17" t="s">
        <v>1337</v>
      </c>
      <c r="F1298" s="17" t="s">
        <v>139</v>
      </c>
      <c r="G1298" s="18"/>
      <c r="H1298" s="18"/>
    </row>
    <row r="1299" spans="1:8" ht="13.2">
      <c r="A1299" s="19" t="str">
        <f>HYPERLINK("https://codingcompetitions.withgoogle.com/kickstart/round/0000000000050ff2/0000000000150a0d","KICKSTART 19-RC-C")</f>
        <v>KICKSTART 19-RC-C</v>
      </c>
      <c r="B1299" s="20" t="s">
        <v>1348</v>
      </c>
      <c r="C1299" s="21">
        <v>5.5</v>
      </c>
      <c r="D1299" s="18"/>
      <c r="E1299" s="17" t="s">
        <v>1337</v>
      </c>
      <c r="F1299" s="17" t="s">
        <v>139</v>
      </c>
      <c r="G1299" s="18"/>
      <c r="H1299" s="18"/>
    </row>
    <row r="1300" spans="1:8" ht="13.2">
      <c r="A1300" s="15" t="s">
        <v>1512</v>
      </c>
      <c r="B1300" s="15" t="s">
        <v>1348</v>
      </c>
      <c r="C1300" s="17">
        <v>5.5</v>
      </c>
      <c r="D1300" s="18"/>
      <c r="E1300" s="17" t="s">
        <v>1337</v>
      </c>
      <c r="F1300" s="17" t="s">
        <v>139</v>
      </c>
      <c r="G1300" s="18"/>
      <c r="H1300" s="18"/>
    </row>
    <row r="1301" spans="1:8" ht="13.2">
      <c r="A1301" s="15" t="s">
        <v>1513</v>
      </c>
      <c r="B1301" s="15" t="s">
        <v>1348</v>
      </c>
      <c r="C1301" s="17">
        <v>5.5</v>
      </c>
      <c r="D1301" s="18"/>
      <c r="E1301" s="17" t="s">
        <v>1337</v>
      </c>
      <c r="F1301" s="17" t="s">
        <v>139</v>
      </c>
      <c r="G1301" s="18"/>
      <c r="H1301" s="18"/>
    </row>
    <row r="1302" spans="1:8" ht="13.2">
      <c r="A1302" s="19" t="str">
        <f>HYPERLINK("http://codeforces.com/contest/264/problem/C","CF264-D1-C")</f>
        <v>CF264-D1-C</v>
      </c>
      <c r="B1302" s="18" t="s">
        <v>1514</v>
      </c>
      <c r="C1302" s="17">
        <v>5.5</v>
      </c>
      <c r="D1302" s="18"/>
      <c r="E1302" s="17" t="s">
        <v>1337</v>
      </c>
      <c r="F1302" s="17" t="s">
        <v>139</v>
      </c>
      <c r="G1302" s="18"/>
      <c r="H1302" s="18"/>
    </row>
    <row r="1303" spans="1:8" ht="13.2">
      <c r="A1303" s="19" t="str">
        <f>HYPERLINK("http://codeforces.com/contest/808/problem/E","CF808-D12-E")</f>
        <v>CF808-D12-E</v>
      </c>
      <c r="B1303" s="15" t="s">
        <v>1515</v>
      </c>
      <c r="C1303" s="17">
        <v>5.5</v>
      </c>
      <c r="D1303" s="18"/>
      <c r="E1303" s="17" t="s">
        <v>1337</v>
      </c>
      <c r="F1303" s="17" t="s">
        <v>139</v>
      </c>
      <c r="G1303" s="18"/>
      <c r="H1303" s="18"/>
    </row>
    <row r="1304" spans="1:8" ht="13.2">
      <c r="A1304" s="19" t="str">
        <f>HYPERLINK("http://codeforces.com/contest/284/problem/D","CF284-D2-D")</f>
        <v>CF284-D2-D</v>
      </c>
      <c r="B1304" s="29" t="s">
        <v>1516</v>
      </c>
      <c r="C1304" s="17">
        <v>5.5</v>
      </c>
      <c r="D1304" s="18"/>
      <c r="E1304" s="17" t="s">
        <v>1337</v>
      </c>
      <c r="F1304" s="17" t="s">
        <v>139</v>
      </c>
      <c r="G1304" s="18"/>
      <c r="H1304" s="18"/>
    </row>
    <row r="1305" spans="1:8" ht="13.2">
      <c r="A1305" s="15" t="s">
        <v>1517</v>
      </c>
      <c r="B1305" s="30" t="s">
        <v>1518</v>
      </c>
      <c r="C1305" s="40">
        <v>5.5</v>
      </c>
      <c r="D1305" s="18"/>
      <c r="E1305" s="17" t="s">
        <v>1337</v>
      </c>
      <c r="F1305" s="17" t="s">
        <v>139</v>
      </c>
      <c r="G1305" s="18"/>
      <c r="H1305" s="18"/>
    </row>
    <row r="1306" spans="1:8" ht="13.2">
      <c r="A1306" s="19" t="str">
        <f>HYPERLINK("https://codeforces.com/contest/1066/problem/F","CF1066-D3-F")</f>
        <v>CF1066-D3-F</v>
      </c>
      <c r="B1306" s="20" t="s">
        <v>1427</v>
      </c>
      <c r="C1306" s="21">
        <v>5.5</v>
      </c>
      <c r="D1306" s="18"/>
      <c r="E1306" s="17" t="s">
        <v>1337</v>
      </c>
      <c r="F1306" s="17" t="s">
        <v>139</v>
      </c>
      <c r="G1306" s="18"/>
      <c r="H1306" s="18"/>
    </row>
    <row r="1307" spans="1:8" ht="13.2">
      <c r="A1307" s="19" t="str">
        <f>HYPERLINK("https://codeforces.com/contest/1271/problem/D","CF1271-D2-D")</f>
        <v>CF1271-D2-D</v>
      </c>
      <c r="B1307" s="20" t="s">
        <v>1519</v>
      </c>
      <c r="C1307" s="21">
        <v>5.5</v>
      </c>
      <c r="D1307" s="18"/>
      <c r="E1307" s="17" t="s">
        <v>1337</v>
      </c>
      <c r="F1307" s="17" t="s">
        <v>139</v>
      </c>
      <c r="G1307" s="18"/>
      <c r="H1307" s="18"/>
    </row>
    <row r="1308" spans="1:8" ht="13.2">
      <c r="A1308" s="19" t="str">
        <f>HYPERLINK("https://codeforces.com/gym/102021/attachments", "CF102021-GYM-K")</f>
        <v>CF102021-GYM-K</v>
      </c>
      <c r="B1308" s="20" t="s">
        <v>1346</v>
      </c>
      <c r="C1308" s="17">
        <v>5.5</v>
      </c>
      <c r="D1308" s="18" t="s">
        <v>1166</v>
      </c>
      <c r="E1308" s="17" t="s">
        <v>1337</v>
      </c>
      <c r="F1308" s="17" t="s">
        <v>139</v>
      </c>
      <c r="G1308" s="18"/>
      <c r="H1308" s="18"/>
    </row>
    <row r="1309" spans="1:8" ht="13.2">
      <c r="A1309" s="19" t="str">
        <f>HYPERLINK("https://codeforces.com/contest/1151/problem/E","CF1151-D2-E")</f>
        <v>CF1151-D2-E</v>
      </c>
      <c r="B1309" s="20" t="s">
        <v>1520</v>
      </c>
      <c r="C1309" s="17">
        <v>5.5</v>
      </c>
      <c r="D1309" s="18"/>
      <c r="E1309" s="17" t="s">
        <v>1337</v>
      </c>
      <c r="F1309" s="17" t="s">
        <v>139</v>
      </c>
      <c r="G1309" s="18"/>
      <c r="H1309" s="18"/>
    </row>
    <row r="1310" spans="1:8" ht="13.2">
      <c r="A1310" s="19" t="str">
        <f>HYPERLINK("https://codeforces.com/gym/102021/attachments", "CF102021-GYM-K")</f>
        <v>CF102021-GYM-K</v>
      </c>
      <c r="B1310" s="20" t="s">
        <v>1521</v>
      </c>
      <c r="C1310" s="17">
        <v>5.5</v>
      </c>
      <c r="D1310" s="26" t="str">
        <f>HYPERLINK("https://github.com/YazanZebak/CompetitiveProgramming/blob/master/Codeforces/CF102021-GYM-K.cpp", "Sol")</f>
        <v>Sol</v>
      </c>
      <c r="E1310" s="17" t="s">
        <v>1337</v>
      </c>
      <c r="F1310" s="17" t="s">
        <v>139</v>
      </c>
      <c r="G1310" s="18"/>
      <c r="H1310" s="18"/>
    </row>
    <row r="1311" spans="1:8" ht="13.2">
      <c r="A1311" s="19" t="str">
        <f>HYPERLINK("https://uva.onlinejudge.org/index.php?option=com_onlinejudge&amp;Itemid=8&amp;page=show_problem&amp;problem=284","UVA 348")</f>
        <v>UVA 348</v>
      </c>
      <c r="B1311" s="29" t="s">
        <v>1522</v>
      </c>
      <c r="C1311" s="17">
        <v>5.5</v>
      </c>
      <c r="D1311" s="26" t="str">
        <f>HYPERLINK("https://github.com/mostafa-saad/MyCompetitiveProgramming/blob/master/UVA/UVA_348.txt","Sol")</f>
        <v>Sol</v>
      </c>
      <c r="E1311" s="17" t="s">
        <v>1337</v>
      </c>
      <c r="F1311" s="17" t="s">
        <v>139</v>
      </c>
      <c r="G1311" s="18"/>
      <c r="H1311" s="18"/>
    </row>
    <row r="1312" spans="1:8" ht="13.2">
      <c r="A1312" s="19" t="str">
        <f>HYPERLINK("https://codingcompetitions.withgoogle.com/kickstart/round/0000000000050edd/00000000001a286d","Kickstart 19-RH-C")</f>
        <v>Kickstart 19-RH-C</v>
      </c>
      <c r="B1312" s="20" t="s">
        <v>1523</v>
      </c>
      <c r="C1312" s="21">
        <v>5.5</v>
      </c>
      <c r="D1312" s="26" t="str">
        <f>HYPERLINK("https://github.com/farmerboy95/CompetitiveProgramming/blob/master/Google%20Kickstart/Kickstart%2019-RH-C.cpp","Sol")</f>
        <v>Sol</v>
      </c>
      <c r="E1312" s="17" t="s">
        <v>1337</v>
      </c>
      <c r="F1312" s="17" t="s">
        <v>139</v>
      </c>
      <c r="G1312" s="18"/>
      <c r="H1312" s="18"/>
    </row>
    <row r="1313" spans="1:8" ht="13.2">
      <c r="A1313" s="19" t="str">
        <f>HYPERLINK("http://codeforces.com/problemset/problem/895/C","CF895-D2-C")</f>
        <v>CF895-D2-C</v>
      </c>
      <c r="B1313" s="15" t="s">
        <v>1524</v>
      </c>
      <c r="C1313" s="17">
        <v>5.5</v>
      </c>
      <c r="D1313" s="18"/>
      <c r="E1313" s="17" t="s">
        <v>1337</v>
      </c>
      <c r="F1313" s="17" t="s">
        <v>139</v>
      </c>
      <c r="G1313" s="18"/>
      <c r="H1313" s="18"/>
    </row>
    <row r="1314" spans="1:8" ht="13.2">
      <c r="A1314" s="15" t="s">
        <v>1525</v>
      </c>
      <c r="B1314" s="29" t="s">
        <v>1526</v>
      </c>
      <c r="C1314" s="31">
        <v>5.5</v>
      </c>
      <c r="D1314" s="18"/>
      <c r="E1314" s="17" t="s">
        <v>1337</v>
      </c>
      <c r="F1314" s="17" t="s">
        <v>139</v>
      </c>
      <c r="G1314" s="18"/>
      <c r="H1314" s="18"/>
    </row>
    <row r="1315" spans="1:8" ht="13.2">
      <c r="A1315" s="19" t="str">
        <f>HYPERLINK("https://codeforces.com/contest/1148/problem/D","CF1148-D12-D")</f>
        <v>CF1148-D12-D</v>
      </c>
      <c r="B1315" s="20" t="s">
        <v>1433</v>
      </c>
      <c r="C1315" s="21">
        <v>5.5</v>
      </c>
      <c r="D1315" s="18"/>
      <c r="E1315" s="17" t="s">
        <v>1337</v>
      </c>
      <c r="F1315" s="17" t="s">
        <v>139</v>
      </c>
      <c r="G1315" s="18"/>
      <c r="H1315" s="18"/>
    </row>
    <row r="1316" spans="1:8" ht="13.2">
      <c r="A1316" s="19" t="str">
        <f>HYPERLINK("https://codeforces.com/contest/1114/problem/D", "CF1114-D2-D")</f>
        <v>CF1114-D2-D</v>
      </c>
      <c r="B1316" s="15" t="s">
        <v>1348</v>
      </c>
      <c r="C1316" s="17">
        <v>5.5</v>
      </c>
      <c r="D1316" s="18"/>
      <c r="E1316" s="17" t="s">
        <v>1337</v>
      </c>
      <c r="F1316" s="17" t="s">
        <v>201</v>
      </c>
      <c r="G1316" s="18"/>
      <c r="H1316" s="18"/>
    </row>
    <row r="1317" spans="1:8" ht="13.2">
      <c r="A1317" s="19" t="str">
        <f>HYPERLINK("https://codeforces.com/contest/1256/problem/E","CF1256-D3-E")</f>
        <v>CF1256-D3-E</v>
      </c>
      <c r="B1317" s="20" t="s">
        <v>1348</v>
      </c>
      <c r="C1317" s="21">
        <v>5.5</v>
      </c>
      <c r="D1317" s="18"/>
      <c r="E1317" s="17" t="s">
        <v>1337</v>
      </c>
      <c r="F1317" s="17" t="s">
        <v>201</v>
      </c>
      <c r="G1317" s="18"/>
      <c r="H1317" s="18"/>
    </row>
    <row r="1318" spans="1:8" ht="13.2">
      <c r="A1318" s="19" t="str">
        <f>HYPERLINK("https://codeforces.com/contest/1077/problem/F2","CF1077-D3-F2")</f>
        <v>CF1077-D3-F2</v>
      </c>
      <c r="B1318" s="15" t="s">
        <v>1527</v>
      </c>
      <c r="C1318" s="17">
        <v>5.5</v>
      </c>
      <c r="D1318" s="18"/>
      <c r="E1318" s="17" t="s">
        <v>1337</v>
      </c>
      <c r="F1318" s="17" t="s">
        <v>201</v>
      </c>
      <c r="G1318" s="18"/>
      <c r="H1318" s="18"/>
    </row>
    <row r="1319" spans="1:8" ht="13.2">
      <c r="A1319" s="19" t="str">
        <f>HYPERLINK("http://codeforces.com/contest/1012/problem/C","CF1012-D1-C")</f>
        <v>CF1012-D1-C</v>
      </c>
      <c r="B1319" s="29" t="s">
        <v>1514</v>
      </c>
      <c r="C1319" s="21">
        <v>5.5</v>
      </c>
      <c r="D1319" s="18"/>
      <c r="E1319" s="17" t="s">
        <v>1337</v>
      </c>
      <c r="F1319" s="17" t="s">
        <v>201</v>
      </c>
      <c r="G1319" s="18"/>
      <c r="H1319" s="18"/>
    </row>
    <row r="1320" spans="1:8" ht="13.2">
      <c r="A1320" s="19" t="str">
        <f>HYPERLINK("https://www.codechef.com/COOK105B/problems/DINCPATH", "CODECHEF DINCPATH")</f>
        <v>CODECHEF DINCPATH</v>
      </c>
      <c r="B1320" s="15" t="s">
        <v>1528</v>
      </c>
      <c r="C1320" s="17">
        <v>5.5</v>
      </c>
      <c r="D1320" s="18"/>
      <c r="E1320" s="17" t="s">
        <v>1337</v>
      </c>
      <c r="F1320" s="17" t="s">
        <v>201</v>
      </c>
      <c r="G1320" s="18"/>
      <c r="H1320" s="18"/>
    </row>
    <row r="1321" spans="1:8" ht="13.2">
      <c r="A1321" s="15" t="s">
        <v>1529</v>
      </c>
      <c r="B1321" s="29" t="s">
        <v>1507</v>
      </c>
      <c r="C1321" s="31">
        <v>5.5</v>
      </c>
      <c r="D1321" s="18"/>
      <c r="E1321" s="24" t="s">
        <v>1337</v>
      </c>
      <c r="F1321" s="17" t="s">
        <v>201</v>
      </c>
      <c r="G1321" s="18"/>
      <c r="H1321" s="18"/>
    </row>
    <row r="1322" spans="1:8" ht="13.2">
      <c r="A1322" s="15" t="s">
        <v>1530</v>
      </c>
      <c r="B1322" s="29" t="s">
        <v>1531</v>
      </c>
      <c r="C1322" s="31">
        <v>5.5</v>
      </c>
      <c r="D1322" s="26" t="str">
        <f>HYPERLINK("https://github.com/ahmedsamir221/CompetitiveProgramming/blob/master/Timus/TIMUS%201156.cpp","Sol")</f>
        <v>Sol</v>
      </c>
      <c r="E1322" s="17" t="s">
        <v>1337</v>
      </c>
      <c r="F1322" s="17" t="s">
        <v>436</v>
      </c>
      <c r="G1322" s="18"/>
      <c r="H1322" s="18"/>
    </row>
    <row r="1323" spans="1:8" ht="13.2">
      <c r="A1323" s="15" t="s">
        <v>1532</v>
      </c>
      <c r="B1323" s="35" t="s">
        <v>1346</v>
      </c>
      <c r="C1323" s="40">
        <v>5.5</v>
      </c>
      <c r="D1323" s="18"/>
      <c r="E1323" s="17" t="s">
        <v>1337</v>
      </c>
      <c r="F1323" s="17" t="s">
        <v>242</v>
      </c>
      <c r="G1323" s="18"/>
      <c r="H1323" s="18"/>
    </row>
    <row r="1324" spans="1:8" ht="13.2">
      <c r="A1324" s="15" t="s">
        <v>1533</v>
      </c>
      <c r="B1324" s="34" t="s">
        <v>1348</v>
      </c>
      <c r="C1324" s="31">
        <v>5.5</v>
      </c>
      <c r="D1324" s="18"/>
      <c r="E1324" s="17" t="s">
        <v>1337</v>
      </c>
      <c r="F1324" s="17"/>
      <c r="G1324" s="18"/>
      <c r="H1324" s="18"/>
    </row>
    <row r="1325" spans="1:8" ht="13.2">
      <c r="A1325" s="15" t="s">
        <v>1534</v>
      </c>
      <c r="B1325" s="35" t="s">
        <v>1348</v>
      </c>
      <c r="C1325" s="40">
        <v>5.5</v>
      </c>
      <c r="D1325" s="18"/>
      <c r="E1325" s="17" t="s">
        <v>1337</v>
      </c>
      <c r="F1325" s="17"/>
      <c r="G1325" s="18"/>
      <c r="H1325" s="18"/>
    </row>
    <row r="1326" spans="1:8" ht="13.2">
      <c r="A1326" s="15" t="s">
        <v>1535</v>
      </c>
      <c r="B1326" s="30" t="s">
        <v>1348</v>
      </c>
      <c r="C1326" s="40">
        <v>5.5</v>
      </c>
      <c r="D1326" s="18"/>
      <c r="E1326" s="17" t="s">
        <v>1337</v>
      </c>
      <c r="F1326" s="17"/>
      <c r="G1326" s="18"/>
      <c r="H1326" s="18"/>
    </row>
    <row r="1327" spans="1:8" ht="13.2">
      <c r="A1327" s="15" t="s">
        <v>1536</v>
      </c>
      <c r="B1327" s="39" t="s">
        <v>1348</v>
      </c>
      <c r="C1327" s="24">
        <v>5.5</v>
      </c>
      <c r="D1327" s="26" t="str">
        <f>HYPERLINK("https://github.com/3agwa/CompetitiveProgramming/blob/master/TopCoder/SRM366-D1-1000.cpp","Sol")</f>
        <v>Sol</v>
      </c>
      <c r="E1327" s="17" t="s">
        <v>1337</v>
      </c>
      <c r="F1327" s="17"/>
      <c r="G1327" s="18"/>
      <c r="H1327" s="18"/>
    </row>
    <row r="1328" spans="1:8" ht="13.2">
      <c r="A1328" s="15" t="s">
        <v>1537</v>
      </c>
      <c r="B1328" s="30" t="s">
        <v>1348</v>
      </c>
      <c r="C1328" s="40">
        <v>5.5</v>
      </c>
      <c r="D1328" s="18"/>
      <c r="E1328" s="17" t="s">
        <v>1337</v>
      </c>
      <c r="F1328" s="17"/>
      <c r="G1328" s="18"/>
      <c r="H1328" s="18"/>
    </row>
    <row r="1329" spans="1:8" ht="13.2">
      <c r="A1329" s="15" t="s">
        <v>1538</v>
      </c>
      <c r="B1329" s="29" t="s">
        <v>1348</v>
      </c>
      <c r="C1329" s="40">
        <v>5.5</v>
      </c>
      <c r="D1329" s="18"/>
      <c r="E1329" s="17" t="s">
        <v>1337</v>
      </c>
      <c r="F1329" s="17"/>
      <c r="G1329" s="18"/>
      <c r="H1329" s="18"/>
    </row>
    <row r="1330" spans="1:8" ht="13.2">
      <c r="A1330" s="15" t="s">
        <v>1539</v>
      </c>
      <c r="B1330" s="30" t="s">
        <v>1348</v>
      </c>
      <c r="C1330" s="24">
        <v>5.5</v>
      </c>
      <c r="D1330" s="18"/>
      <c r="E1330" s="17" t="s">
        <v>1337</v>
      </c>
      <c r="F1330" s="17"/>
      <c r="G1330" s="18"/>
      <c r="H1330" s="18"/>
    </row>
    <row r="1331" spans="1:8" ht="13.2">
      <c r="A1331" s="15" t="s">
        <v>1540</v>
      </c>
      <c r="B1331" s="35" t="s">
        <v>1541</v>
      </c>
      <c r="C1331" s="40">
        <v>5.5</v>
      </c>
      <c r="D1331" s="18"/>
      <c r="E1331" s="17" t="s">
        <v>1337</v>
      </c>
      <c r="F1331" s="17"/>
      <c r="G1331" s="18"/>
      <c r="H1331" s="18"/>
    </row>
    <row r="1332" spans="1:8" ht="13.2">
      <c r="A1332" s="15" t="s">
        <v>1542</v>
      </c>
      <c r="B1332" s="30" t="s">
        <v>1541</v>
      </c>
      <c r="C1332" s="40">
        <v>5.5</v>
      </c>
      <c r="D1332" s="18"/>
      <c r="E1332" s="17" t="s">
        <v>1337</v>
      </c>
      <c r="F1332" s="17"/>
      <c r="G1332" s="18"/>
      <c r="H1332" s="18"/>
    </row>
    <row r="1333" spans="1:8" ht="13.2">
      <c r="A1333" s="19" t="str">
        <f>HYPERLINK("http://codeforces.com/contest/285/problem/D","CF285-D2-D")</f>
        <v>CF285-D2-D</v>
      </c>
      <c r="B1333" s="29" t="s">
        <v>1543</v>
      </c>
      <c r="C1333" s="17">
        <v>5.5</v>
      </c>
      <c r="D1333" s="18"/>
      <c r="E1333" s="17" t="s">
        <v>1337</v>
      </c>
      <c r="F1333" s="17"/>
      <c r="G1333" s="18"/>
      <c r="H1333" s="18"/>
    </row>
    <row r="1334" spans="1:8" ht="13.2">
      <c r="A1334" s="19" t="str">
        <f>HYPERLINK("https://www.codechef.com/problems/KGP13G","CODECHEF KGP13G")</f>
        <v>CODECHEF KGP13G</v>
      </c>
      <c r="B1334" s="29" t="s">
        <v>1544</v>
      </c>
      <c r="C1334" s="24">
        <v>5.5</v>
      </c>
      <c r="D1334" s="18"/>
      <c r="E1334" s="17" t="s">
        <v>1337</v>
      </c>
      <c r="F1334" s="17"/>
      <c r="G1334" s="18"/>
      <c r="H1334" s="18"/>
    </row>
    <row r="1335" spans="1:8" ht="13.2">
      <c r="A1335" s="15" t="s">
        <v>1545</v>
      </c>
      <c r="B1335" s="18" t="s">
        <v>1546</v>
      </c>
      <c r="C1335" s="31">
        <v>5.5</v>
      </c>
      <c r="D1335" s="18"/>
      <c r="E1335" s="17" t="s">
        <v>1337</v>
      </c>
      <c r="F1335" s="17"/>
      <c r="G1335" s="18"/>
      <c r="H1335" s="18"/>
    </row>
    <row r="1336" spans="1:8" ht="13.2">
      <c r="A1336" s="19" t="str">
        <f>HYPERLINK("http://codeforces.com/contest/361/problem/D","CF361-D2-D")</f>
        <v>CF361-D2-D</v>
      </c>
      <c r="B1336" s="29" t="s">
        <v>1350</v>
      </c>
      <c r="C1336" s="17">
        <v>5.5</v>
      </c>
      <c r="D1336" s="18"/>
      <c r="E1336" s="17" t="s">
        <v>1337</v>
      </c>
      <c r="F1336" s="17"/>
      <c r="G1336" s="18"/>
      <c r="H1336" s="18"/>
    </row>
    <row r="1337" spans="1:8" ht="13.2">
      <c r="A1337" s="19" t="str">
        <f>HYPERLINK("http://codeforces.com/contest/627/problem/A","CF627-D12-A")</f>
        <v>CF627-D12-A</v>
      </c>
      <c r="B1337" s="29" t="s">
        <v>1547</v>
      </c>
      <c r="C1337" s="17">
        <v>5.5</v>
      </c>
      <c r="D1337" s="18"/>
      <c r="E1337" s="17" t="s">
        <v>1337</v>
      </c>
      <c r="F1337" s="17"/>
      <c r="G1337" s="18"/>
      <c r="H1337" s="18"/>
    </row>
    <row r="1338" spans="1:8" ht="13.2">
      <c r="A1338" s="15" t="s">
        <v>1548</v>
      </c>
      <c r="B1338" s="30" t="s">
        <v>1549</v>
      </c>
      <c r="C1338" s="24">
        <v>5.5</v>
      </c>
      <c r="D1338" s="18"/>
      <c r="E1338" s="17" t="s">
        <v>1337</v>
      </c>
      <c r="F1338" s="17"/>
      <c r="G1338" s="18"/>
      <c r="H1338" s="18"/>
    </row>
    <row r="1339" spans="1:8" ht="13.2">
      <c r="A1339" s="15" t="s">
        <v>1550</v>
      </c>
      <c r="B1339" s="28" t="s">
        <v>1357</v>
      </c>
      <c r="C1339" s="24">
        <v>5.5</v>
      </c>
      <c r="D1339" s="18"/>
      <c r="E1339" s="17" t="s">
        <v>1337</v>
      </c>
      <c r="F1339" s="17"/>
      <c r="G1339" s="18"/>
      <c r="H1339" s="18"/>
    </row>
    <row r="1340" spans="1:8" ht="13.2">
      <c r="A1340" s="15" t="s">
        <v>1551</v>
      </c>
      <c r="B1340" s="18" t="s">
        <v>1358</v>
      </c>
      <c r="C1340" s="31">
        <v>5.5</v>
      </c>
      <c r="D1340" s="18"/>
      <c r="E1340" s="17" t="s">
        <v>1337</v>
      </c>
      <c r="F1340" s="17"/>
      <c r="G1340" s="18"/>
      <c r="H1340" s="18"/>
    </row>
    <row r="1341" spans="1:8" ht="13.2">
      <c r="A1341" s="15" t="s">
        <v>1552</v>
      </c>
      <c r="B1341" s="35" t="s">
        <v>1553</v>
      </c>
      <c r="C1341" s="40">
        <v>5.5</v>
      </c>
      <c r="D1341" s="18"/>
      <c r="E1341" s="17" t="s">
        <v>1337</v>
      </c>
      <c r="F1341" s="17"/>
      <c r="G1341" s="18"/>
      <c r="H1341" s="18"/>
    </row>
    <row r="1342" spans="1:8" ht="13.2">
      <c r="A1342" s="19" t="str">
        <f>HYPERLINK("http://codeforces.com/contest/404/problem/D","CF404-D2-D")</f>
        <v>CF404-D2-D</v>
      </c>
      <c r="B1342" s="18" t="s">
        <v>1354</v>
      </c>
      <c r="C1342" s="17">
        <v>5.5</v>
      </c>
      <c r="D1342" s="18"/>
      <c r="E1342" s="17" t="s">
        <v>1337</v>
      </c>
      <c r="F1342" s="17"/>
      <c r="G1342" s="18"/>
      <c r="H1342" s="18"/>
    </row>
    <row r="1343" spans="1:8" ht="13.2">
      <c r="A1343" s="19" t="str">
        <f>HYPERLINK("https://atcoder.jp/contests/abc120/tasks/abc118_d","AtCoder118-ABC-D")</f>
        <v>AtCoder118-ABC-D</v>
      </c>
      <c r="B1343" s="20" t="s">
        <v>1481</v>
      </c>
      <c r="C1343" s="21">
        <v>5.5</v>
      </c>
      <c r="D1343" s="18"/>
      <c r="E1343" s="17" t="s">
        <v>1337</v>
      </c>
      <c r="F1343" s="17"/>
      <c r="G1343" s="18"/>
      <c r="H1343" s="18"/>
    </row>
    <row r="1344" spans="1:8" ht="13.2">
      <c r="A1344" s="19" t="str">
        <f>HYPERLINK("http://codeforces.com/contest/202/problem/D","CF202-D2-D")</f>
        <v>CF202-D2-D</v>
      </c>
      <c r="B1344" s="29" t="s">
        <v>1346</v>
      </c>
      <c r="C1344" s="17">
        <v>5.5</v>
      </c>
      <c r="D1344" s="18"/>
      <c r="E1344" s="17" t="s">
        <v>1337</v>
      </c>
      <c r="F1344" s="17"/>
      <c r="G1344" s="18"/>
      <c r="H1344" s="18"/>
    </row>
    <row r="1345" spans="1:8" ht="13.2">
      <c r="A1345" s="15" t="s">
        <v>1554</v>
      </c>
      <c r="B1345" s="30" t="s">
        <v>1346</v>
      </c>
      <c r="C1345" s="40">
        <v>5.5</v>
      </c>
      <c r="D1345" s="18"/>
      <c r="E1345" s="17" t="s">
        <v>1337</v>
      </c>
      <c r="F1345" s="17"/>
      <c r="G1345" s="18"/>
      <c r="H1345" s="18"/>
    </row>
    <row r="1346" spans="1:8" ht="13.2">
      <c r="A1346" s="15" t="s">
        <v>1555</v>
      </c>
      <c r="B1346" s="16" t="s">
        <v>1346</v>
      </c>
      <c r="C1346" s="31">
        <v>5.5</v>
      </c>
      <c r="D1346" s="18"/>
      <c r="E1346" s="17" t="s">
        <v>1337</v>
      </c>
      <c r="F1346" s="17"/>
      <c r="G1346" s="18"/>
      <c r="H1346" s="18"/>
    </row>
    <row r="1347" spans="1:8" ht="13.2">
      <c r="A1347" s="15" t="s">
        <v>1556</v>
      </c>
      <c r="B1347" s="38" t="s">
        <v>1441</v>
      </c>
      <c r="C1347" s="17">
        <v>5.5</v>
      </c>
      <c r="D1347" s="18"/>
      <c r="E1347" s="17" t="s">
        <v>1337</v>
      </c>
      <c r="F1347" s="17"/>
      <c r="G1347" s="18"/>
      <c r="H1347" s="18"/>
    </row>
    <row r="1348" spans="1:8" ht="13.2">
      <c r="A1348" s="19" t="str">
        <f>HYPERLINK("http://codeforces.com/contest/1071/problem/B","CF1072-D2-D")</f>
        <v>CF1072-D2-D</v>
      </c>
      <c r="B1348" s="20" t="s">
        <v>1557</v>
      </c>
      <c r="C1348" s="21">
        <v>5.25</v>
      </c>
      <c r="D1348" s="18"/>
      <c r="E1348" s="17" t="s">
        <v>1337</v>
      </c>
      <c r="F1348" s="17" t="s">
        <v>196</v>
      </c>
      <c r="G1348" s="18"/>
      <c r="H1348" s="18"/>
    </row>
    <row r="1349" spans="1:8" ht="13.2">
      <c r="A1349" s="15" t="s">
        <v>1558</v>
      </c>
      <c r="B1349" s="29" t="s">
        <v>1559</v>
      </c>
      <c r="C1349" s="40">
        <v>5.25</v>
      </c>
      <c r="D1349" s="18"/>
      <c r="E1349" s="17" t="s">
        <v>1337</v>
      </c>
      <c r="F1349" s="17" t="s">
        <v>139</v>
      </c>
      <c r="G1349" s="18"/>
      <c r="H1349" s="18"/>
    </row>
    <row r="1350" spans="1:8" ht="13.2">
      <c r="A1350" s="19" t="str">
        <f>HYPERLINK("https://codeforces.com/contest/6/problem/D","CF6-D12-D")</f>
        <v>CF6-D12-D</v>
      </c>
      <c r="B1350" s="15" t="s">
        <v>1560</v>
      </c>
      <c r="C1350" s="17">
        <v>5.25</v>
      </c>
      <c r="D1350" s="18"/>
      <c r="E1350" s="17" t="s">
        <v>1337</v>
      </c>
      <c r="F1350" s="17" t="s">
        <v>139</v>
      </c>
      <c r="G1350" s="18"/>
      <c r="H1350" s="18"/>
    </row>
    <row r="1351" spans="1:8" ht="13.2">
      <c r="A1351" s="19" t="str">
        <f>HYPERLINK("https://codeforces.com/gym/101979/problem/D","CF101979-GYM-D")</f>
        <v>CF101979-GYM-D</v>
      </c>
      <c r="B1351" s="20" t="s">
        <v>1561</v>
      </c>
      <c r="C1351" s="21">
        <v>5.25</v>
      </c>
      <c r="D1351" s="18"/>
      <c r="E1351" s="17" t="s">
        <v>1337</v>
      </c>
      <c r="F1351" s="17" t="s">
        <v>139</v>
      </c>
      <c r="G1351" s="18"/>
      <c r="H1351" s="18"/>
    </row>
    <row r="1352" spans="1:8" ht="13.2">
      <c r="A1352" s="19" t="str">
        <f>HYPERLINK("http://codeforces.com/contest/459/problem/E","CF459-D2-E")</f>
        <v>CF459-D2-E</v>
      </c>
      <c r="B1352" s="29" t="s">
        <v>1562</v>
      </c>
      <c r="C1352" s="17">
        <v>5.25</v>
      </c>
      <c r="D1352" s="18"/>
      <c r="E1352" s="17" t="s">
        <v>1337</v>
      </c>
      <c r="F1352" s="17" t="s">
        <v>242</v>
      </c>
      <c r="G1352" s="18"/>
      <c r="H1352" s="18"/>
    </row>
    <row r="1353" spans="1:8" ht="13.2">
      <c r="A1353" s="19" t="str">
        <f>HYPERLINK("http://codeforces.com/contest/598/problem/E","CF598-D12-E")</f>
        <v>CF598-D12-E</v>
      </c>
      <c r="B1353" s="15" t="s">
        <v>1348</v>
      </c>
      <c r="C1353" s="17">
        <v>5</v>
      </c>
      <c r="D1353" s="18"/>
      <c r="E1353" s="17" t="s">
        <v>1337</v>
      </c>
      <c r="F1353" s="17" t="s">
        <v>154</v>
      </c>
      <c r="G1353" s="18"/>
      <c r="H1353" s="18"/>
    </row>
    <row r="1354" spans="1:8" ht="13.2">
      <c r="A1354" s="19" t="str">
        <f>HYPERLINK("https://www.codechef.com/MAY18B/problems/CHSIGN","CODECHEF CHSIGN")</f>
        <v>CODECHEF CHSIGN</v>
      </c>
      <c r="B1354" s="15" t="s">
        <v>1563</v>
      </c>
      <c r="C1354" s="17">
        <v>5</v>
      </c>
      <c r="D1354" s="26" t="str">
        <f>HYPERLINK("https://github.com/timpostuvan/CompetitiveProgramming/blob/master/CodeChef/CHSIGN.cpp","Sol")</f>
        <v>Sol</v>
      </c>
      <c r="E1354" s="17" t="s">
        <v>1337</v>
      </c>
      <c r="F1354" s="17" t="s">
        <v>154</v>
      </c>
      <c r="G1354" s="18"/>
      <c r="H1354" s="18"/>
    </row>
    <row r="1355" spans="1:8" ht="13.2">
      <c r="A1355" s="19" t="str">
        <f>HYPERLINK("http://codeforces.com/problemset/problem/494/B", "CF494-D1-B")</f>
        <v>CF494-D1-B</v>
      </c>
      <c r="B1355" s="20" t="s">
        <v>1466</v>
      </c>
      <c r="C1355" s="21">
        <v>5</v>
      </c>
      <c r="D1355" s="18"/>
      <c r="E1355" s="17" t="s">
        <v>1337</v>
      </c>
      <c r="F1355" s="17" t="s">
        <v>154</v>
      </c>
      <c r="G1355" s="18"/>
      <c r="H1355" s="18"/>
    </row>
    <row r="1356" spans="1:8" ht="13.2">
      <c r="A1356" s="19" t="str">
        <f>HYPERLINK("https://arc087.contest.atcoder.jp/tasks/arc087_b","AtCoder087-ARC-B")</f>
        <v>AtCoder087-ARC-B</v>
      </c>
      <c r="B1356" s="15" t="s">
        <v>1384</v>
      </c>
      <c r="C1356" s="17">
        <v>5</v>
      </c>
      <c r="D1356" s="18"/>
      <c r="E1356" s="17" t="s">
        <v>1337</v>
      </c>
      <c r="F1356" s="17" t="s">
        <v>154</v>
      </c>
      <c r="G1356" s="18"/>
      <c r="H1356" s="18"/>
    </row>
    <row r="1357" spans="1:8" ht="13.2">
      <c r="A1357" s="19" t="str">
        <f>HYPERLINK("https://codeforces.com/contest/1132/problem/F","CF1132-D12-F")</f>
        <v>CF1132-D12-F</v>
      </c>
      <c r="B1357" s="15" t="s">
        <v>1348</v>
      </c>
      <c r="C1357" s="17">
        <v>5</v>
      </c>
      <c r="D1357" s="18"/>
      <c r="E1357" s="17" t="s">
        <v>1337</v>
      </c>
      <c r="F1357" s="17" t="s">
        <v>139</v>
      </c>
      <c r="G1357" s="18"/>
      <c r="H1357" s="18"/>
    </row>
    <row r="1358" spans="1:8" ht="13.2">
      <c r="A1358" s="19" t="str">
        <f>HYPERLINK("http://codeforces.com/contest/13/problem/C","CF13-D12-C")</f>
        <v>CF13-D12-C</v>
      </c>
      <c r="B1358" s="15" t="s">
        <v>1348</v>
      </c>
      <c r="C1358" s="17">
        <v>5</v>
      </c>
      <c r="D1358" s="18"/>
      <c r="E1358" s="17" t="s">
        <v>1337</v>
      </c>
      <c r="F1358" s="17" t="s">
        <v>139</v>
      </c>
      <c r="G1358" s="18"/>
      <c r="H1358" s="18"/>
    </row>
    <row r="1359" spans="1:8" ht="13.2">
      <c r="A1359" s="19" t="str">
        <f>HYPERLINK("http://codeforces.com/contest/383/problem/D","CF383-D1-D")</f>
        <v>CF383-D1-D</v>
      </c>
      <c r="B1359" s="15" t="s">
        <v>1348</v>
      </c>
      <c r="C1359" s="24">
        <v>5</v>
      </c>
      <c r="D1359" s="18"/>
      <c r="E1359" s="17" t="s">
        <v>1337</v>
      </c>
      <c r="F1359" s="17" t="s">
        <v>139</v>
      </c>
      <c r="G1359" s="18"/>
      <c r="H1359" s="18"/>
    </row>
    <row r="1360" spans="1:8" ht="13.2">
      <c r="A1360" s="19" t="str">
        <f>HYPERLINK("http://codeforces.com/problemset/problem/900/E","CF900-D2-E")</f>
        <v>CF900-D2-E</v>
      </c>
      <c r="B1360" s="18" t="s">
        <v>1348</v>
      </c>
      <c r="C1360" s="17">
        <v>5</v>
      </c>
      <c r="D1360" s="26" t="str">
        <f>HYPERLINK("https://github.com/MedoN11/CompetitiveProgramming/blob/master/CodeForces/CF450-D2-E.cpp","Sol")</f>
        <v>Sol</v>
      </c>
      <c r="E1360" s="17" t="s">
        <v>1337</v>
      </c>
      <c r="F1360" s="17" t="s">
        <v>139</v>
      </c>
      <c r="G1360" s="18"/>
      <c r="H1360" s="18"/>
    </row>
    <row r="1361" spans="1:8" ht="13.2">
      <c r="A1361" s="15" t="s">
        <v>1564</v>
      </c>
      <c r="B1361" s="15" t="s">
        <v>1348</v>
      </c>
      <c r="C1361" s="17">
        <v>5</v>
      </c>
      <c r="D1361" s="26" t="str">
        <f>HYPERLINK("https://github.com/AhmedElsisy/CompetitiveProgramming/blob/master/SPOJ/SPOJ%20NUMTSN.cpp","Sol")</f>
        <v>Sol</v>
      </c>
      <c r="E1361" s="17" t="s">
        <v>1337</v>
      </c>
      <c r="F1361" s="17" t="s">
        <v>139</v>
      </c>
      <c r="G1361" s="18"/>
      <c r="H1361" s="18"/>
    </row>
    <row r="1362" spans="1:8" ht="13.2">
      <c r="A1362" s="19" t="str">
        <f>HYPERLINK("https://codeforces.com/contest/1241/problem/D", "CF1241-D2-D")</f>
        <v>CF1241-D2-D</v>
      </c>
      <c r="B1362" s="15" t="s">
        <v>1565</v>
      </c>
      <c r="C1362" s="17">
        <v>5</v>
      </c>
      <c r="D1362" s="18"/>
      <c r="E1362" s="17" t="s">
        <v>1337</v>
      </c>
      <c r="F1362" s="17" t="s">
        <v>139</v>
      </c>
      <c r="G1362" s="18"/>
      <c r="H1362" s="18"/>
    </row>
    <row r="1363" spans="1:8" ht="13.2">
      <c r="A1363" s="15" t="s">
        <v>1566</v>
      </c>
      <c r="B1363" s="15" t="s">
        <v>1415</v>
      </c>
      <c r="C1363" s="17">
        <v>5</v>
      </c>
      <c r="D1363" s="26" t="str">
        <f>HYPERLINK("https://github.com/AhmedElsisy/CompetitiveProgramming/blob/master/SPOJ/SPOJ%20COLORSEG.cpp","Sol")</f>
        <v>Sol</v>
      </c>
      <c r="E1363" s="17" t="s">
        <v>1337</v>
      </c>
      <c r="F1363" s="17" t="s">
        <v>139</v>
      </c>
      <c r="G1363" s="18"/>
      <c r="H1363" s="18"/>
    </row>
    <row r="1364" spans="1:8" ht="13.2">
      <c r="A1364" s="19" t="str">
        <f>HYPERLINK("https://uva.onlinejudge.org/index.php?option=com_onlinejudge&amp;Itemid=8&amp;page=show_problem&amp;problem=1475","UVA 10534")</f>
        <v>UVA 10534</v>
      </c>
      <c r="B1364" s="29" t="s">
        <v>1567</v>
      </c>
      <c r="C1364" s="17">
        <v>5</v>
      </c>
      <c r="D1364" s="26" t="str">
        <f>HYPERLINK("https://github.com/AliOsm/CompetitiveProgramming/blob/master/UVA/10534%20-%20Wavio%20Sequence.cpp","Sol")</f>
        <v>Sol</v>
      </c>
      <c r="E1364" s="17" t="s">
        <v>1337</v>
      </c>
      <c r="F1364" s="17" t="s">
        <v>139</v>
      </c>
      <c r="G1364" s="18"/>
      <c r="H1364" s="18"/>
    </row>
    <row r="1365" spans="1:8" ht="13.2">
      <c r="A1365" s="19" t="str">
        <f>HYPERLINK("http://codeforces.com/contest/340/problem/D","CF340-D2-D")</f>
        <v>CF340-D2-D</v>
      </c>
      <c r="B1365" s="29" t="s">
        <v>1568</v>
      </c>
      <c r="C1365" s="17">
        <v>5</v>
      </c>
      <c r="D1365" s="18"/>
      <c r="E1365" s="17" t="s">
        <v>1337</v>
      </c>
      <c r="F1365" s="17" t="s">
        <v>139</v>
      </c>
      <c r="G1365" s="18"/>
      <c r="H1365" s="18"/>
    </row>
    <row r="1366" spans="1:8" ht="13.2">
      <c r="A1366" s="19" t="str">
        <f>HYPERLINK("https://atcoder.jp/contests/abc132/tasks/abc132_f","AtCoder132-ABC-F")</f>
        <v>AtCoder132-ABC-F</v>
      </c>
      <c r="B1366" s="20" t="s">
        <v>1346</v>
      </c>
      <c r="C1366" s="17">
        <v>5</v>
      </c>
      <c r="D1366" s="18"/>
      <c r="E1366" s="17" t="s">
        <v>1337</v>
      </c>
      <c r="F1366" s="17" t="s">
        <v>139</v>
      </c>
      <c r="G1366" s="18"/>
      <c r="H1366" s="18"/>
    </row>
    <row r="1367" spans="1:8" ht="13.2">
      <c r="A1367" s="19" t="str">
        <f>HYPERLINK("https://codeforces.com/contest/1197/problem/D","CF1197-D12-D")</f>
        <v>CF1197-D12-D</v>
      </c>
      <c r="B1367" s="20" t="s">
        <v>1346</v>
      </c>
      <c r="C1367" s="17">
        <v>5</v>
      </c>
      <c r="D1367" s="18"/>
      <c r="E1367" s="17" t="s">
        <v>1337</v>
      </c>
      <c r="F1367" s="17" t="s">
        <v>139</v>
      </c>
      <c r="G1367" s="18"/>
      <c r="H1367" s="18"/>
    </row>
    <row r="1368" spans="1:8" ht="13.2">
      <c r="A1368" s="19" t="str">
        <f>HYPERLINK("http://codeforces.com/contest/265/problem/D","CF265-D2-D")</f>
        <v>CF265-D2-D</v>
      </c>
      <c r="B1368" s="29" t="s">
        <v>1569</v>
      </c>
      <c r="C1368" s="17">
        <v>5</v>
      </c>
      <c r="D1368" s="18"/>
      <c r="E1368" s="17" t="s">
        <v>1337</v>
      </c>
      <c r="F1368" s="17" t="s">
        <v>139</v>
      </c>
      <c r="G1368" s="18"/>
      <c r="H1368" s="18"/>
    </row>
    <row r="1369" spans="1:8" ht="13.2">
      <c r="A1369" s="19" t="str">
        <f>HYPERLINK("https://atcoder.jp/contests/abc145/tasks/abc145_e","AtCoder145-ABC-E")</f>
        <v>AtCoder145-ABC-E</v>
      </c>
      <c r="B1369" s="20" t="s">
        <v>1433</v>
      </c>
      <c r="C1369" s="21">
        <v>5</v>
      </c>
      <c r="D1369" s="26" t="str">
        <f>HYPERLINK("https://github.com/farmerboy95/CompetitiveProgramming/blob/master/AtCoder/AtCoder145-ABC-E.cpp","Sol")</f>
        <v>Sol</v>
      </c>
      <c r="E1369" s="17" t="s">
        <v>1337</v>
      </c>
      <c r="F1369" s="17" t="s">
        <v>139</v>
      </c>
      <c r="G1369" s="18"/>
      <c r="H1369" s="18"/>
    </row>
    <row r="1370" spans="1:8" ht="13.2">
      <c r="A1370" s="15" t="s">
        <v>1570</v>
      </c>
      <c r="B1370" s="29" t="s">
        <v>1571</v>
      </c>
      <c r="C1370" s="24">
        <v>5</v>
      </c>
      <c r="D1370" s="26" t="str">
        <f>HYPERLINK("https://github.com/Coder-Boy1/UVA/blob/master/10690","Sol")</f>
        <v>Sol</v>
      </c>
      <c r="E1370" s="17" t="s">
        <v>1337</v>
      </c>
      <c r="F1370" s="17" t="s">
        <v>139</v>
      </c>
      <c r="G1370" s="18"/>
      <c r="H1370" s="18"/>
    </row>
    <row r="1371" spans="1:8" ht="13.2">
      <c r="A1371" s="19" t="str">
        <f>HYPERLINK("http://codeforces.com/contest/366/problem/C","CF366-D2-C")</f>
        <v>CF366-D2-C</v>
      </c>
      <c r="B1371" s="29" t="s">
        <v>1481</v>
      </c>
      <c r="C1371" s="17">
        <v>5</v>
      </c>
      <c r="D1371" s="18"/>
      <c r="E1371" s="17" t="s">
        <v>1337</v>
      </c>
      <c r="F1371" s="17" t="s">
        <v>613</v>
      </c>
      <c r="G1371" s="18"/>
      <c r="H1371" s="18"/>
    </row>
    <row r="1372" spans="1:8" ht="13.2">
      <c r="A1372" s="19" t="str">
        <f>HYPERLINK("https://atcoder.jp/contests/abc155/tasks/abc155_e","AtCoder155-ABC-E")</f>
        <v>AtCoder155-ABC-E</v>
      </c>
      <c r="B1372" s="20" t="s">
        <v>1348</v>
      </c>
      <c r="C1372" s="21">
        <v>5</v>
      </c>
      <c r="D1372" s="18"/>
      <c r="E1372" s="17" t="s">
        <v>1337</v>
      </c>
      <c r="F1372" s="17" t="s">
        <v>201</v>
      </c>
      <c r="G1372" s="18"/>
      <c r="H1372" s="18"/>
    </row>
    <row r="1373" spans="1:8" ht="13.2">
      <c r="A1373" s="19" t="str">
        <f>HYPERLINK("https://codeforces.com/contest/1140/problem/D","CF1140-D12-D")</f>
        <v>CF1140-D12-D</v>
      </c>
      <c r="B1373" s="20" t="s">
        <v>1348</v>
      </c>
      <c r="C1373" s="17">
        <v>5</v>
      </c>
      <c r="D1373" s="18"/>
      <c r="E1373" s="17" t="s">
        <v>1337</v>
      </c>
      <c r="F1373" s="17" t="s">
        <v>201</v>
      </c>
      <c r="G1373" s="18"/>
      <c r="H1373" s="18"/>
    </row>
    <row r="1374" spans="1:8" ht="13.2">
      <c r="A1374" s="19" t="str">
        <f>HYPERLINK("http://codeforces.com/contest/101/problem/B","CF101-D1-B")</f>
        <v>CF101-D1-B</v>
      </c>
      <c r="B1374" s="29" t="s">
        <v>1572</v>
      </c>
      <c r="C1374" s="17">
        <v>5</v>
      </c>
      <c r="D1374" s="26" t="str">
        <f>HYPERLINK("https://github.com/Huvok/CompetitiveProgramming/blob/master/Codeforces/CF101-D1-B.cpp","Sol")</f>
        <v>Sol</v>
      </c>
      <c r="E1374" s="17" t="s">
        <v>1337</v>
      </c>
      <c r="F1374" s="17" t="s">
        <v>201</v>
      </c>
      <c r="G1374" s="18"/>
      <c r="H1374" s="18"/>
    </row>
    <row r="1375" spans="1:8" ht="13.2">
      <c r="A1375" s="19" t="str">
        <f>HYPERLINK("http://codeforces.com/contest/721/problem/C","CF721-D2-C")</f>
        <v>CF721-D2-C</v>
      </c>
      <c r="B1375" s="29" t="s">
        <v>1573</v>
      </c>
      <c r="C1375" s="17">
        <v>5</v>
      </c>
      <c r="D1375" s="18"/>
      <c r="E1375" s="17" t="s">
        <v>1337</v>
      </c>
      <c r="F1375" s="17" t="s">
        <v>201</v>
      </c>
      <c r="G1375" s="18"/>
      <c r="H1375" s="18"/>
    </row>
    <row r="1376" spans="1:8" ht="13.2">
      <c r="A1376" s="19" t="str">
        <f>HYPERLINK("https://codeforces.com/contest/1107/problem/D","CF1107-D12-D")</f>
        <v>CF1107-D12-D</v>
      </c>
      <c r="B1376" s="15" t="s">
        <v>1354</v>
      </c>
      <c r="C1376" s="17">
        <v>5</v>
      </c>
      <c r="D1376" s="18"/>
      <c r="E1376" s="17" t="s">
        <v>1337</v>
      </c>
      <c r="F1376" s="17" t="s">
        <v>201</v>
      </c>
      <c r="G1376" s="18"/>
      <c r="H1376" s="18"/>
    </row>
    <row r="1377" spans="1:8" ht="13.2">
      <c r="A1377" s="19" t="str">
        <f>HYPERLINK("http://codeforces.com/contest/2/problem/B","CF2-D12-B")</f>
        <v>CF2-D12-B</v>
      </c>
      <c r="B1377" s="23" t="s">
        <v>1346</v>
      </c>
      <c r="C1377" s="17">
        <v>5</v>
      </c>
      <c r="D1377" s="18"/>
      <c r="E1377" s="17" t="s">
        <v>1337</v>
      </c>
      <c r="F1377" s="17" t="s">
        <v>201</v>
      </c>
      <c r="G1377" s="18"/>
      <c r="H1377" s="18"/>
    </row>
    <row r="1378" spans="1:8" ht="13.2">
      <c r="A1378" s="19" t="str">
        <f>HYPERLINK("http://codeforces.com/contest/506/problem/A", "CF506-D1-A")</f>
        <v>CF506-D1-A</v>
      </c>
      <c r="B1378" s="15" t="s">
        <v>1574</v>
      </c>
      <c r="C1378" s="17">
        <v>5</v>
      </c>
      <c r="D1378" s="18"/>
      <c r="E1378" s="17" t="s">
        <v>1337</v>
      </c>
      <c r="F1378" s="17" t="s">
        <v>201</v>
      </c>
      <c r="G1378" s="18"/>
      <c r="H1378" s="18"/>
    </row>
    <row r="1379" spans="1:8" ht="13.2">
      <c r="A1379" s="19" t="str">
        <f>HYPERLINK("http://codeforces.com/contest/946/problem/D","CF946-D12-D")</f>
        <v>CF946-D12-D</v>
      </c>
      <c r="B1379" s="15" t="s">
        <v>1575</v>
      </c>
      <c r="C1379" s="17">
        <v>5</v>
      </c>
      <c r="D1379" s="18"/>
      <c r="E1379" s="17" t="s">
        <v>1337</v>
      </c>
      <c r="F1379" s="17" t="s">
        <v>201</v>
      </c>
      <c r="G1379" s="18"/>
      <c r="H1379" s="18"/>
    </row>
    <row r="1380" spans="1:8" ht="13.2">
      <c r="A1380" s="19" t="str">
        <f>HYPERLINK("http://codeforces.com/contest/608/problem/C","CF608-D2-C")</f>
        <v>CF608-D2-C</v>
      </c>
      <c r="B1380" s="29" t="s">
        <v>1348</v>
      </c>
      <c r="C1380" s="17">
        <v>5</v>
      </c>
      <c r="D1380" s="18"/>
      <c r="E1380" s="17" t="s">
        <v>1337</v>
      </c>
      <c r="F1380" s="17" t="s">
        <v>242</v>
      </c>
      <c r="G1380" s="18"/>
      <c r="H1380" s="18"/>
    </row>
    <row r="1381" spans="1:8" ht="13.2">
      <c r="A1381" s="15" t="s">
        <v>1576</v>
      </c>
      <c r="B1381" s="30" t="s">
        <v>1577</v>
      </c>
      <c r="C1381" s="17">
        <v>5</v>
      </c>
      <c r="D1381" s="26" t="str">
        <f>HYPERLINK("https://github.com/StavrosChryselis/spoj/blob/master/FATAWY.cpp","Sol")</f>
        <v>Sol</v>
      </c>
      <c r="E1381" s="17" t="s">
        <v>1337</v>
      </c>
      <c r="F1381" s="17" t="s">
        <v>242</v>
      </c>
      <c r="G1381" s="18"/>
      <c r="H1381" s="18"/>
    </row>
    <row r="1382" spans="1:8" ht="13.2">
      <c r="A1382" s="15" t="s">
        <v>1578</v>
      </c>
      <c r="B1382" s="35" t="s">
        <v>1579</v>
      </c>
      <c r="C1382" s="40">
        <v>5</v>
      </c>
      <c r="D1382" s="18"/>
      <c r="E1382" s="17" t="s">
        <v>1337</v>
      </c>
      <c r="F1382" s="17" t="s">
        <v>242</v>
      </c>
      <c r="G1382" s="18"/>
      <c r="H1382" s="18"/>
    </row>
    <row r="1383" spans="1:8" ht="13.2">
      <c r="A1383" s="15" t="s">
        <v>1580</v>
      </c>
      <c r="B1383" s="34" t="s">
        <v>1581</v>
      </c>
      <c r="C1383" s="31">
        <v>5</v>
      </c>
      <c r="D1383" s="18"/>
      <c r="E1383" s="17" t="s">
        <v>1337</v>
      </c>
      <c r="F1383" s="17" t="s">
        <v>242</v>
      </c>
      <c r="G1383" s="18"/>
      <c r="H1383" s="18"/>
    </row>
    <row r="1384" spans="1:8" ht="13.2">
      <c r="A1384" s="19" t="str">
        <f>HYPERLINK("http://agc021.contest.atcoder.jp/tasks/agc021_d","AtCoder021-AGC-D")</f>
        <v>AtCoder021-AGC-D</v>
      </c>
      <c r="B1384" s="15" t="s">
        <v>1348</v>
      </c>
      <c r="C1384" s="17">
        <v>5</v>
      </c>
      <c r="D1384" s="18"/>
      <c r="E1384" s="17" t="s">
        <v>1337</v>
      </c>
      <c r="F1384" s="17"/>
      <c r="G1384" s="18"/>
      <c r="H1384" s="18"/>
    </row>
    <row r="1385" spans="1:8" ht="13.2">
      <c r="A1385" s="19" t="str">
        <f>HYPERLINK("https://codeforces.com/contest/1096/problem/D","CF1096-D12-D")</f>
        <v>CF1096-D12-D</v>
      </c>
      <c r="B1385" s="20" t="s">
        <v>1348</v>
      </c>
      <c r="C1385" s="17">
        <v>5</v>
      </c>
      <c r="D1385" s="18"/>
      <c r="E1385" s="17" t="s">
        <v>1337</v>
      </c>
      <c r="F1385" s="17"/>
      <c r="G1385" s="18"/>
      <c r="H1385" s="18"/>
    </row>
    <row r="1386" spans="1:8" ht="13.2">
      <c r="A1386" s="19" t="str">
        <f>HYPERLINK("http://codeforces.com/contest/225/problem/C","CF225-D2-C")</f>
        <v>CF225-D2-C</v>
      </c>
      <c r="B1386" s="29" t="s">
        <v>1348</v>
      </c>
      <c r="C1386" s="17">
        <v>5</v>
      </c>
      <c r="D1386" s="18"/>
      <c r="E1386" s="17" t="s">
        <v>1337</v>
      </c>
      <c r="F1386" s="17"/>
      <c r="G1386" s="18"/>
      <c r="H1386" s="18"/>
    </row>
    <row r="1387" spans="1:8" ht="13.2">
      <c r="A1387" s="19" t="str">
        <f>HYPERLINK("http://codeforces.com/contest/407/problem/B","CF407-D1-B")</f>
        <v>CF407-D1-B</v>
      </c>
      <c r="B1387" s="29" t="s">
        <v>1348</v>
      </c>
      <c r="C1387" s="17">
        <v>5</v>
      </c>
      <c r="D1387" s="18"/>
      <c r="E1387" s="17" t="s">
        <v>1337</v>
      </c>
      <c r="F1387" s="17"/>
      <c r="G1387" s="18"/>
      <c r="H1387" s="18"/>
    </row>
    <row r="1388" spans="1:8" ht="13.2">
      <c r="A1388" s="19" t="str">
        <f>HYPERLINK("http://codeforces.com/contest/699/problem/C","CF699-D2-C")</f>
        <v>CF699-D2-C</v>
      </c>
      <c r="B1388" s="29" t="s">
        <v>1348</v>
      </c>
      <c r="C1388" s="17">
        <v>5</v>
      </c>
      <c r="D1388" s="18"/>
      <c r="E1388" s="17" t="s">
        <v>1337</v>
      </c>
      <c r="F1388" s="17"/>
      <c r="G1388" s="18"/>
      <c r="H1388" s="18"/>
    </row>
    <row r="1389" spans="1:8" ht="13.2">
      <c r="A1389" s="19" t="str">
        <f>HYPERLINK("http://codeforces.com/contest/811/problem/C","CF811-D2-C")</f>
        <v>CF811-D2-C</v>
      </c>
      <c r="B1389" s="18" t="s">
        <v>1348</v>
      </c>
      <c r="C1389" s="31">
        <v>5</v>
      </c>
      <c r="D1389" s="18"/>
      <c r="E1389" s="17" t="s">
        <v>1337</v>
      </c>
      <c r="F1389" s="17"/>
      <c r="G1389" s="18"/>
      <c r="H1389" s="18"/>
    </row>
    <row r="1390" spans="1:8" ht="13.2">
      <c r="A1390" s="19" t="str">
        <f>HYPERLINK("https://www.codechef.com/problems/RWALK","CODECHEF RWALK")</f>
        <v>CODECHEF RWALK</v>
      </c>
      <c r="B1390" s="29" t="s">
        <v>1348</v>
      </c>
      <c r="C1390" s="17">
        <v>5</v>
      </c>
      <c r="D1390" s="18"/>
      <c r="E1390" s="17" t="s">
        <v>1337</v>
      </c>
      <c r="F1390" s="17"/>
      <c r="G1390" s="18"/>
      <c r="H1390" s="18"/>
    </row>
    <row r="1391" spans="1:8" ht="13.2">
      <c r="A1391" s="15" t="s">
        <v>1582</v>
      </c>
      <c r="B1391" s="29" t="s">
        <v>1348</v>
      </c>
      <c r="C1391" s="17">
        <v>5</v>
      </c>
      <c r="D1391" s="18"/>
      <c r="E1391" s="17" t="s">
        <v>1337</v>
      </c>
      <c r="F1391" s="17"/>
      <c r="G1391" s="18"/>
      <c r="H1391" s="18"/>
    </row>
    <row r="1392" spans="1:8" ht="13.2">
      <c r="A1392" s="15" t="s">
        <v>1583</v>
      </c>
      <c r="B1392" s="30" t="s">
        <v>1348</v>
      </c>
      <c r="C1392" s="31">
        <v>5</v>
      </c>
      <c r="D1392" s="18"/>
      <c r="E1392" s="17" t="s">
        <v>1337</v>
      </c>
      <c r="F1392" s="17"/>
      <c r="G1392" s="18"/>
      <c r="H1392" s="18"/>
    </row>
    <row r="1393" spans="1:8" ht="13.2">
      <c r="A1393" s="15" t="s">
        <v>1584</v>
      </c>
      <c r="B1393" s="29" t="s">
        <v>1348</v>
      </c>
      <c r="C1393" s="17">
        <v>5</v>
      </c>
      <c r="D1393" s="18"/>
      <c r="E1393" s="24" t="s">
        <v>1337</v>
      </c>
      <c r="F1393" s="17"/>
      <c r="G1393" s="18"/>
      <c r="H1393" s="18"/>
    </row>
    <row r="1394" spans="1:8" ht="13.2">
      <c r="A1394" s="15" t="s">
        <v>1585</v>
      </c>
      <c r="B1394" s="18" t="s">
        <v>1348</v>
      </c>
      <c r="C1394" s="17">
        <v>5</v>
      </c>
      <c r="D1394" s="18"/>
      <c r="E1394" s="17" t="s">
        <v>1337</v>
      </c>
      <c r="F1394" s="17"/>
      <c r="G1394" s="18"/>
      <c r="H1394" s="18"/>
    </row>
    <row r="1395" spans="1:8" ht="13.2">
      <c r="A1395" s="15" t="s">
        <v>1586</v>
      </c>
      <c r="B1395" s="30" t="s">
        <v>1348</v>
      </c>
      <c r="C1395" s="24">
        <v>5</v>
      </c>
      <c r="D1395" s="18"/>
      <c r="E1395" s="17" t="s">
        <v>1337</v>
      </c>
      <c r="F1395" s="17"/>
      <c r="G1395" s="18"/>
      <c r="H1395" s="18"/>
    </row>
    <row r="1396" spans="1:8" ht="13.2">
      <c r="A1396" s="15" t="s">
        <v>1587</v>
      </c>
      <c r="B1396" s="29" t="s">
        <v>1588</v>
      </c>
      <c r="C1396" s="17">
        <v>5</v>
      </c>
      <c r="D1396" s="18"/>
      <c r="E1396" s="24" t="s">
        <v>1337</v>
      </c>
      <c r="F1396" s="17"/>
      <c r="G1396" s="18"/>
      <c r="H1396" s="18"/>
    </row>
    <row r="1397" spans="1:8" ht="13.2">
      <c r="A1397" s="15" t="s">
        <v>1589</v>
      </c>
      <c r="B1397" s="16" t="s">
        <v>1541</v>
      </c>
      <c r="C1397" s="31">
        <v>5</v>
      </c>
      <c r="D1397" s="18"/>
      <c r="E1397" s="17" t="s">
        <v>1337</v>
      </c>
      <c r="F1397" s="17"/>
      <c r="G1397" s="18"/>
      <c r="H1397" s="18"/>
    </row>
    <row r="1398" spans="1:8" ht="13.2">
      <c r="A1398" s="15" t="s">
        <v>1590</v>
      </c>
      <c r="B1398" s="35" t="s">
        <v>1541</v>
      </c>
      <c r="C1398" s="40">
        <v>5</v>
      </c>
      <c r="D1398" s="18"/>
      <c r="E1398" s="17" t="s">
        <v>1337</v>
      </c>
      <c r="F1398" s="17"/>
      <c r="G1398" s="18"/>
      <c r="H1398" s="18"/>
    </row>
    <row r="1399" spans="1:8" ht="13.2">
      <c r="A1399" s="19" t="str">
        <f>HYPERLINK("http://codeforces.com/contest/991/problem/D","CF991-D2-D")</f>
        <v>CF991-D2-D</v>
      </c>
      <c r="B1399" s="15" t="s">
        <v>1591</v>
      </c>
      <c r="C1399" s="17">
        <v>5</v>
      </c>
      <c r="D1399" s="18"/>
      <c r="E1399" s="17" t="s">
        <v>1337</v>
      </c>
      <c r="F1399" s="17"/>
      <c r="G1399" s="18"/>
      <c r="H1399" s="18"/>
    </row>
    <row r="1400" spans="1:8" ht="13.2">
      <c r="A1400" s="19" t="str">
        <f>HYPERLINK("http://codeforces.com/contest/527/problem/D","CF527-D2-D")</f>
        <v>CF527-D2-D</v>
      </c>
      <c r="B1400" s="15" t="s">
        <v>1592</v>
      </c>
      <c r="C1400" s="24">
        <v>5</v>
      </c>
      <c r="D1400" s="18"/>
      <c r="E1400" s="17" t="s">
        <v>1337</v>
      </c>
      <c r="F1400" s="17"/>
      <c r="G1400" s="18"/>
      <c r="H1400" s="18"/>
    </row>
    <row r="1401" spans="1:8" ht="13.2">
      <c r="A1401" s="19" t="str">
        <f>HYPERLINK("https://www.codechef.com/problems/VOGOZO","CODECHEF VOGOZO")</f>
        <v>CODECHEF VOGOZO</v>
      </c>
      <c r="B1401" s="18" t="s">
        <v>1593</v>
      </c>
      <c r="C1401" s="17">
        <v>5</v>
      </c>
      <c r="D1401" s="26" t="str">
        <f>HYPERLINK("https://github.com/MedoN11/CompetitiveProgramming/blob/master/CodeChef/VOGOZO.cpp","Sol")</f>
        <v>Sol</v>
      </c>
      <c r="E1401" s="17" t="s">
        <v>1337</v>
      </c>
      <c r="F1401" s="17"/>
      <c r="G1401" s="18"/>
      <c r="H1401" s="18"/>
    </row>
    <row r="1402" spans="1:8" ht="13.2">
      <c r="A1402" s="19" t="str">
        <f>HYPERLINK("http://codeforces.com/problemset/gymProblem/101411/H","CF101411-GYM-H")</f>
        <v>CF101411-GYM-H</v>
      </c>
      <c r="B1402" s="29" t="s">
        <v>1594</v>
      </c>
      <c r="C1402" s="17">
        <v>5</v>
      </c>
      <c r="D1402" s="18"/>
      <c r="E1402" s="17" t="s">
        <v>1337</v>
      </c>
      <c r="F1402" s="17"/>
      <c r="G1402" s="18"/>
      <c r="H1402" s="18"/>
    </row>
    <row r="1403" spans="1:8" ht="13.2">
      <c r="A1403" s="15" t="s">
        <v>1595</v>
      </c>
      <c r="B1403" s="30" t="s">
        <v>1596</v>
      </c>
      <c r="C1403" s="24">
        <v>5</v>
      </c>
      <c r="D1403" s="18"/>
      <c r="E1403" s="24" t="s">
        <v>1337</v>
      </c>
      <c r="F1403" s="17"/>
      <c r="G1403" s="18"/>
      <c r="H1403" s="18"/>
    </row>
    <row r="1404" spans="1:8" ht="13.2">
      <c r="A1404" s="15" t="s">
        <v>1597</v>
      </c>
      <c r="B1404" s="29" t="s">
        <v>1598</v>
      </c>
      <c r="C1404" s="17">
        <v>5</v>
      </c>
      <c r="D1404" s="18"/>
      <c r="E1404" s="17" t="s">
        <v>1337</v>
      </c>
      <c r="F1404" s="17"/>
      <c r="G1404" s="18"/>
      <c r="H1404" s="18"/>
    </row>
    <row r="1405" spans="1:8" ht="13.2">
      <c r="A1405" s="19" t="str">
        <f>HYPERLINK("http://codeforces.com/contest/607/problem/D","CF607-D1-D")</f>
        <v>CF607-D1-D</v>
      </c>
      <c r="B1405" s="15" t="s">
        <v>1599</v>
      </c>
      <c r="C1405" s="24">
        <v>5</v>
      </c>
      <c r="D1405" s="18"/>
      <c r="E1405" s="17" t="s">
        <v>1337</v>
      </c>
      <c r="F1405" s="17"/>
      <c r="G1405" s="18"/>
      <c r="H1405" s="18"/>
    </row>
    <row r="1406" spans="1:8" ht="13.2">
      <c r="A1406" s="19" t="str">
        <f>HYPERLINK("http://codeforces.com/contest/417/problem/D","CF417-D2-D")</f>
        <v>CF417-D2-D</v>
      </c>
      <c r="B1406" s="15" t="s">
        <v>1600</v>
      </c>
      <c r="C1406" s="24">
        <v>5</v>
      </c>
      <c r="D1406" s="18"/>
      <c r="E1406" s="17" t="s">
        <v>1337</v>
      </c>
      <c r="F1406" s="17"/>
      <c r="G1406" s="18"/>
      <c r="H1406" s="18"/>
    </row>
    <row r="1407" spans="1:8" ht="13.2">
      <c r="A1407" s="15" t="s">
        <v>1601</v>
      </c>
      <c r="B1407" s="29" t="s">
        <v>1357</v>
      </c>
      <c r="C1407" s="31">
        <v>5</v>
      </c>
      <c r="D1407" s="18"/>
      <c r="E1407" s="17" t="s">
        <v>1337</v>
      </c>
      <c r="F1407" s="17"/>
      <c r="G1407" s="18"/>
      <c r="H1407" s="18"/>
    </row>
    <row r="1408" spans="1:8" ht="13.2">
      <c r="A1408" s="15" t="s">
        <v>1602</v>
      </c>
      <c r="B1408" s="30" t="s">
        <v>1354</v>
      </c>
      <c r="C1408" s="24">
        <v>5</v>
      </c>
      <c r="D1408" s="18"/>
      <c r="E1408" s="17" t="s">
        <v>1337</v>
      </c>
      <c r="F1408" s="17"/>
      <c r="G1408" s="18"/>
      <c r="H1408" s="18"/>
    </row>
    <row r="1409" spans="1:8" ht="13.2">
      <c r="A1409" s="19" t="str">
        <f>HYPERLINK("http://codeforces.com/contest/270/problem/D","CF270-D2-D")</f>
        <v>CF270-D2-D</v>
      </c>
      <c r="B1409" s="29" t="s">
        <v>1603</v>
      </c>
      <c r="C1409" s="17">
        <v>5</v>
      </c>
      <c r="D1409" s="18"/>
      <c r="E1409" s="17" t="s">
        <v>1337</v>
      </c>
      <c r="F1409" s="17"/>
      <c r="G1409" s="18"/>
      <c r="H1409" s="18"/>
    </row>
    <row r="1410" spans="1:8" ht="13.2">
      <c r="A1410" s="19" t="str">
        <f>HYPERLINK("https://csacademy.com/contest/round-61/task/strictly-increasing-array/","CSA61-D")</f>
        <v>CSA61-D</v>
      </c>
      <c r="B1410" s="15" t="s">
        <v>1604</v>
      </c>
      <c r="C1410" s="17">
        <v>5</v>
      </c>
      <c r="D1410" s="18"/>
      <c r="E1410" s="17" t="s">
        <v>1337</v>
      </c>
      <c r="F1410" s="17"/>
      <c r="G1410" s="18"/>
      <c r="H1410" s="18"/>
    </row>
    <row r="1411" spans="1:8" ht="13.2">
      <c r="A1411" s="15" t="s">
        <v>1605</v>
      </c>
      <c r="B1411" s="18" t="s">
        <v>1606</v>
      </c>
      <c r="C1411" s="17">
        <v>5</v>
      </c>
      <c r="D1411" s="26" t="str">
        <f>HYPERLINK("https://github.com/AliOsm/CompetitiveProgramming/blob/master/SPOJ/BRDGHRD%20-%20Building%20Bridges(HARD).cpp","Sol")</f>
        <v>Sol</v>
      </c>
      <c r="E1411" s="17" t="s">
        <v>1337</v>
      </c>
      <c r="F1411" s="17"/>
      <c r="G1411" s="18"/>
      <c r="H1411" s="18"/>
    </row>
    <row r="1412" spans="1:8" ht="13.2">
      <c r="A1412" s="15" t="s">
        <v>1607</v>
      </c>
      <c r="B1412" s="34" t="s">
        <v>1346</v>
      </c>
      <c r="C1412" s="17">
        <v>5</v>
      </c>
      <c r="D1412" s="18"/>
      <c r="E1412" s="17" t="s">
        <v>1337</v>
      </c>
      <c r="F1412" s="17"/>
      <c r="G1412" s="18"/>
      <c r="H1412" s="18"/>
    </row>
    <row r="1413" spans="1:8" ht="13.2">
      <c r="A1413" s="19" t="str">
        <f>HYPERLINK("https://codeforces.com/contest/245/problem/H","CF245-D12-H")</f>
        <v>CF245-D12-H</v>
      </c>
      <c r="B1413" s="15" t="s">
        <v>1608</v>
      </c>
      <c r="C1413" s="17">
        <v>5</v>
      </c>
      <c r="D1413" s="18"/>
      <c r="E1413" s="17" t="s">
        <v>1337</v>
      </c>
      <c r="F1413" s="17"/>
      <c r="G1413" s="18"/>
      <c r="H1413" s="18"/>
    </row>
    <row r="1414" spans="1:8" ht="13.2">
      <c r="A1414" s="15" t="s">
        <v>1609</v>
      </c>
      <c r="B1414" s="30" t="s">
        <v>1610</v>
      </c>
      <c r="C1414" s="40">
        <v>5</v>
      </c>
      <c r="D1414" s="18"/>
      <c r="E1414" s="17" t="s">
        <v>1337</v>
      </c>
      <c r="F1414" s="17"/>
      <c r="G1414" s="18"/>
      <c r="H1414" s="18"/>
    </row>
    <row r="1415" spans="1:8" ht="13.2">
      <c r="A1415" s="15" t="s">
        <v>1611</v>
      </c>
      <c r="B1415" s="18" t="s">
        <v>1612</v>
      </c>
      <c r="C1415" s="31">
        <v>5</v>
      </c>
      <c r="D1415" s="18"/>
      <c r="E1415" s="17" t="s">
        <v>1337</v>
      </c>
      <c r="F1415" s="17"/>
      <c r="G1415" s="18"/>
      <c r="H1415" s="18"/>
    </row>
    <row r="1416" spans="1:8" ht="13.2">
      <c r="A1416" s="15" t="s">
        <v>1613</v>
      </c>
      <c r="B1416" s="28" t="s">
        <v>1614</v>
      </c>
      <c r="C1416" s="24">
        <v>5</v>
      </c>
      <c r="D1416" s="18"/>
      <c r="E1416" s="17" t="s">
        <v>1337</v>
      </c>
      <c r="F1416" s="17"/>
      <c r="G1416" s="18"/>
      <c r="H1416" s="18"/>
    </row>
    <row r="1417" spans="1:8" ht="13.2">
      <c r="A1417" s="19" t="str">
        <f>HYPERLINK("http://codeforces.com/problemset/problem/842/C","CF842-D2-C")</f>
        <v>CF842-D2-C</v>
      </c>
      <c r="B1417" s="18" t="s">
        <v>1615</v>
      </c>
      <c r="C1417" s="17">
        <v>5</v>
      </c>
      <c r="D1417" s="26" t="str">
        <f>HYPERLINK("https://github.com/MedoN11/CompetitiveProgramming/blob/master/CodeForces/CF842-D2-C.cpp","Sol")</f>
        <v>Sol</v>
      </c>
      <c r="E1417" s="17" t="s">
        <v>1337</v>
      </c>
      <c r="F1417" s="17"/>
      <c r="G1417" s="18"/>
      <c r="H1417" s="18"/>
    </row>
    <row r="1418" spans="1:8" ht="13.2">
      <c r="A1418" s="15" t="s">
        <v>1616</v>
      </c>
      <c r="B1418" s="15" t="s">
        <v>1348</v>
      </c>
      <c r="C1418" s="17">
        <v>4.5</v>
      </c>
      <c r="D1418" s="18"/>
      <c r="E1418" s="17" t="s">
        <v>1337</v>
      </c>
      <c r="F1418" s="17" t="s">
        <v>154</v>
      </c>
      <c r="G1418" s="18"/>
      <c r="H1418" s="18"/>
    </row>
    <row r="1419" spans="1:8" ht="13.2">
      <c r="A1419" s="15" t="s">
        <v>1617</v>
      </c>
      <c r="B1419" s="15" t="s">
        <v>1348</v>
      </c>
      <c r="C1419" s="17">
        <v>4.5</v>
      </c>
      <c r="D1419" s="26" t="str">
        <f>HYPERLINK("https://github.com/ahmedsamir221/CompetitiveProgramming/blob/master/SPOJ/SPOJ%20NAIVELOK.cpp","Sol")</f>
        <v>Sol</v>
      </c>
      <c r="E1419" s="17" t="s">
        <v>1337</v>
      </c>
      <c r="F1419" s="17" t="s">
        <v>139</v>
      </c>
      <c r="G1419" s="18"/>
      <c r="H1419" s="18"/>
    </row>
    <row r="1420" spans="1:8" ht="13.2">
      <c r="A1420" s="19" t="str">
        <f>HYPERLINK("http://codeforces.com/contest/706/problem/C","CF706-D2-C")</f>
        <v>CF706-D2-C</v>
      </c>
      <c r="B1420" s="29" t="s">
        <v>1348</v>
      </c>
      <c r="C1420" s="17">
        <v>4.5</v>
      </c>
      <c r="D1420" s="18"/>
      <c r="E1420" s="17" t="s">
        <v>1337</v>
      </c>
      <c r="F1420" s="17" t="s">
        <v>242</v>
      </c>
      <c r="G1420" s="18"/>
      <c r="H1420" s="18"/>
    </row>
    <row r="1421" spans="1:8" ht="13.2">
      <c r="A1421" s="19" t="str">
        <f>HYPERLINK("https://www.facebook.com/hackercup/problem/1632703893518337/", "FbHkrCup 18-RQ-A")</f>
        <v>FbHkrCup 18-RQ-A</v>
      </c>
      <c r="B1421" s="20" t="s">
        <v>1348</v>
      </c>
      <c r="C1421" s="21">
        <v>4.5</v>
      </c>
      <c r="D1421" s="26" t="str">
        <f>HYPERLINK("https://github.com/SpeedOfMagic/CompetitiveProgramming/blob/master/FbHkrCup/FbHkrCup%2018-Tourist.cpp","ACC")</f>
        <v>ACC</v>
      </c>
      <c r="E1421" s="17" t="s">
        <v>1337</v>
      </c>
      <c r="F1421" s="17" t="s">
        <v>242</v>
      </c>
      <c r="G1421" s="18"/>
      <c r="H1421" s="18"/>
    </row>
    <row r="1422" spans="1:8" ht="13.2">
      <c r="A1422" s="19" t="str">
        <f>HYPERLINK("http://codeforces.com/contest/430/problem/D","CF430-D2-D")</f>
        <v>CF430-D2-D</v>
      </c>
      <c r="B1422" s="29" t="s">
        <v>1618</v>
      </c>
      <c r="C1422" s="17">
        <v>4.5</v>
      </c>
      <c r="D1422" s="18"/>
      <c r="E1422" s="17" t="s">
        <v>1337</v>
      </c>
      <c r="F1422" s="17" t="s">
        <v>242</v>
      </c>
      <c r="G1422" s="18"/>
      <c r="H1422" s="18"/>
    </row>
    <row r="1423" spans="1:8" ht="13.2">
      <c r="A1423" s="19" t="str">
        <f>HYPERLINK("http://codeforces.com/contest/358/problem/D","CF358-D2-D")</f>
        <v>CF358-D2-D</v>
      </c>
      <c r="B1423" s="29" t="s">
        <v>1348</v>
      </c>
      <c r="C1423" s="17">
        <v>4.5</v>
      </c>
      <c r="D1423" s="18"/>
      <c r="E1423" s="17" t="s">
        <v>1337</v>
      </c>
      <c r="F1423" s="17"/>
      <c r="G1423" s="18"/>
      <c r="H1423" s="18"/>
    </row>
    <row r="1424" spans="1:8" ht="13.2">
      <c r="A1424" s="19" t="str">
        <f>HYPERLINK("http://codeforces.com/contest/408/problem/D","CF408-D2-D")</f>
        <v>CF408-D2-D</v>
      </c>
      <c r="B1424" s="29" t="s">
        <v>1348</v>
      </c>
      <c r="C1424" s="17">
        <v>4.5</v>
      </c>
      <c r="D1424" s="18"/>
      <c r="E1424" s="17" t="s">
        <v>1337</v>
      </c>
      <c r="F1424" s="17"/>
      <c r="G1424" s="18"/>
      <c r="H1424" s="18"/>
    </row>
    <row r="1425" spans="1:8" ht="16.5" customHeight="1">
      <c r="A1425" s="19" t="str">
        <f>HYPERLINK("http://codeforces.com/contest/456/problem/C","CF456-D2-C")</f>
        <v>CF456-D2-C</v>
      </c>
      <c r="B1425" s="29" t="s">
        <v>1348</v>
      </c>
      <c r="C1425" s="17">
        <v>4.5</v>
      </c>
      <c r="D1425" s="18"/>
      <c r="E1425" s="17" t="s">
        <v>1337</v>
      </c>
      <c r="F1425" s="17"/>
      <c r="G1425" s="18"/>
      <c r="H1425" s="18"/>
    </row>
    <row r="1426" spans="1:8" ht="13.2">
      <c r="A1426" s="19" t="str">
        <f>HYPERLINK("http://codeforces.com/contest/682/problem/D","CF682-D2-D")</f>
        <v>CF682-D2-D</v>
      </c>
      <c r="B1426" s="18" t="s">
        <v>1348</v>
      </c>
      <c r="C1426" s="17">
        <v>4.5</v>
      </c>
      <c r="D1426" s="18"/>
      <c r="E1426" s="17" t="s">
        <v>1337</v>
      </c>
      <c r="F1426" s="17"/>
      <c r="G1426" s="18"/>
      <c r="H1426" s="18"/>
    </row>
    <row r="1427" spans="1:8" ht="13.2">
      <c r="A1427" s="19" t="str">
        <f>HYPERLINK("http://codeforces.com/contest/711/problem/C","CF711-D2-C")</f>
        <v>CF711-D2-C</v>
      </c>
      <c r="B1427" s="29" t="s">
        <v>1348</v>
      </c>
      <c r="C1427" s="17">
        <v>4.5</v>
      </c>
      <c r="D1427" s="18"/>
      <c r="E1427" s="17" t="s">
        <v>1337</v>
      </c>
      <c r="F1427" s="17"/>
      <c r="G1427" s="18"/>
      <c r="H1427" s="18"/>
    </row>
    <row r="1428" spans="1:8" ht="13.2">
      <c r="A1428" s="15" t="s">
        <v>1619</v>
      </c>
      <c r="B1428" s="18" t="s">
        <v>1348</v>
      </c>
      <c r="C1428" s="17">
        <v>4.5</v>
      </c>
      <c r="D1428" s="26" t="str">
        <f>HYPERLINK("https://github.com/Maverick10/Competitive-Programming/blob/master/Solutions/World%20Finals/2017%20-%20F.cpp","Sol")</f>
        <v>Sol</v>
      </c>
      <c r="E1428" s="17" t="s">
        <v>1337</v>
      </c>
      <c r="F1428" s="17"/>
      <c r="G1428" s="18"/>
      <c r="H1428" s="18"/>
    </row>
    <row r="1429" spans="1:8" ht="13.2">
      <c r="A1429" s="19" t="str">
        <f>HYPERLINK("https://uva.onlinejudge.org/index.php?option=com_onlinejudge&amp;Itemid=8&amp;page=show_problem&amp;problem=1558","UVA 10617")</f>
        <v>UVA 10617</v>
      </c>
      <c r="B1429" s="29" t="s">
        <v>1348</v>
      </c>
      <c r="C1429" s="17">
        <v>4.5</v>
      </c>
      <c r="D1429" s="18"/>
      <c r="E1429" s="17" t="s">
        <v>1337</v>
      </c>
      <c r="F1429" s="17"/>
      <c r="G1429" s="18"/>
      <c r="H1429" s="18"/>
    </row>
    <row r="1430" spans="1:8" ht="13.2">
      <c r="A1430" s="19" t="str">
        <f>HYPERLINK("https://uva.onlinejudge.org/index.php?option=onlinejudge&amp;page=show_problem&amp;problem=548","UVA 607")</f>
        <v>UVA 607</v>
      </c>
      <c r="B1430" s="29" t="s">
        <v>1348</v>
      </c>
      <c r="C1430" s="17">
        <v>4.5</v>
      </c>
      <c r="D1430" s="26" t="str">
        <f>HYPERLINK("https://github.com/MichaelMounir12/CompetitiveProgramming/blob/69c0dba2b0b29083ebad94dfd18be25dcf903235/UVA/UVA_607.cpp","Sol")</f>
        <v>Sol</v>
      </c>
      <c r="E1430" s="17" t="s">
        <v>1337</v>
      </c>
      <c r="F1430" s="17"/>
      <c r="G1430" s="18"/>
      <c r="H1430" s="18"/>
    </row>
    <row r="1431" spans="1:8" ht="13.2">
      <c r="A1431" s="15" t="s">
        <v>1620</v>
      </c>
      <c r="B1431" s="16" t="s">
        <v>1541</v>
      </c>
      <c r="C1431" s="24">
        <v>4.5</v>
      </c>
      <c r="D1431" s="18"/>
      <c r="E1431" s="17" t="s">
        <v>1337</v>
      </c>
      <c r="F1431" s="17"/>
      <c r="G1431" s="18"/>
      <c r="H1431" s="18"/>
    </row>
    <row r="1432" spans="1:8" ht="13.2">
      <c r="A1432" s="19" t="str">
        <f>HYPERLINK("https://www.codechef.com/problems/TACNTSTR","CODECHEF TACNTSTR")</f>
        <v>CODECHEF TACNTSTR</v>
      </c>
      <c r="B1432" s="15" t="s">
        <v>1543</v>
      </c>
      <c r="C1432" s="24">
        <v>4.5</v>
      </c>
      <c r="D1432" s="18"/>
      <c r="E1432" s="17" t="s">
        <v>1337</v>
      </c>
      <c r="F1432" s="17"/>
      <c r="G1432" s="18"/>
      <c r="H1432" s="18"/>
    </row>
    <row r="1433" spans="1:8" ht="13.2">
      <c r="A1433" s="19" t="str">
        <f>HYPERLINK("https://atcoder.jp/contests/abc119/tasks/abc119_c","AtCoder119-ABC-C")</f>
        <v>AtCoder119-ABC-C</v>
      </c>
      <c r="B1433" s="20" t="s">
        <v>1621</v>
      </c>
      <c r="C1433" s="21">
        <v>4.5</v>
      </c>
      <c r="D1433" s="18"/>
      <c r="E1433" s="17" t="s">
        <v>1337</v>
      </c>
      <c r="F1433" s="17"/>
      <c r="G1433" s="18"/>
      <c r="H1433" s="18"/>
    </row>
    <row r="1434" spans="1:8" ht="13.2">
      <c r="A1434" s="19" t="str">
        <f>HYPERLINK("http://codeforces.com/contest/792/problem/C","CF792-D2-C")</f>
        <v>CF792-D2-C</v>
      </c>
      <c r="B1434" s="29" t="s">
        <v>1622</v>
      </c>
      <c r="C1434" s="17">
        <v>4.5</v>
      </c>
      <c r="D1434" s="18"/>
      <c r="E1434" s="17" t="s">
        <v>1337</v>
      </c>
      <c r="F1434" s="17"/>
      <c r="G1434" s="18"/>
      <c r="H1434" s="18"/>
    </row>
    <row r="1435" spans="1:8" ht="13.2">
      <c r="A1435" s="15" t="s">
        <v>1623</v>
      </c>
      <c r="B1435" s="28" t="s">
        <v>1354</v>
      </c>
      <c r="C1435" s="24">
        <v>4.5</v>
      </c>
      <c r="D1435" s="26" t="str">
        <f>HYPERLINK("http://ideone.com/HN1fLp","Sol")</f>
        <v>Sol</v>
      </c>
      <c r="E1435" s="17" t="s">
        <v>1337</v>
      </c>
      <c r="F1435" s="17"/>
      <c r="G1435" s="18"/>
      <c r="H1435" s="18"/>
    </row>
    <row r="1436" spans="1:8" ht="13.2">
      <c r="A1436" s="19" t="str">
        <f>HYPERLINK("http://codeforces.com/contest/4/problem/D","CF4-D2-D")</f>
        <v>CF4-D2-D</v>
      </c>
      <c r="B1436" s="18" t="s">
        <v>1624</v>
      </c>
      <c r="C1436" s="17">
        <v>4.5</v>
      </c>
      <c r="D1436" s="18"/>
      <c r="E1436" s="17" t="s">
        <v>1337</v>
      </c>
      <c r="F1436" s="17"/>
      <c r="G1436" s="18"/>
      <c r="H1436" s="18"/>
    </row>
    <row r="1437" spans="1:8" ht="13.2">
      <c r="A1437" s="19" t="str">
        <f>HYPERLINK("https://www.hackerrank.com/contests/moodys-analytics-2018-university-codesprint/challenges/short-trade-transaction","MAUC 18-short-trade-transaction")</f>
        <v>MAUC 18-short-trade-transaction</v>
      </c>
      <c r="B1437" s="20" t="s">
        <v>1348</v>
      </c>
      <c r="C1437" s="21">
        <v>4.25</v>
      </c>
      <c r="D1437" s="26" t="str">
        <f>HYPERLINK("https://github.com/SpeedOfMagic/CompetitiveProgramming/blob/master/MAUC/18-short-trade-transaction.cpp","Sol")</f>
        <v>Sol</v>
      </c>
      <c r="E1437" s="17" t="s">
        <v>1337</v>
      </c>
      <c r="F1437" s="17" t="s">
        <v>242</v>
      </c>
      <c r="G1437" s="18"/>
      <c r="H1437" s="18"/>
    </row>
    <row r="1438" spans="1:8" ht="13.2">
      <c r="A1438" s="15" t="s">
        <v>1625</v>
      </c>
      <c r="B1438" s="29" t="s">
        <v>1354</v>
      </c>
      <c r="C1438" s="17">
        <v>4</v>
      </c>
      <c r="D1438" s="18"/>
      <c r="E1438" s="17" t="s">
        <v>1337</v>
      </c>
      <c r="F1438" s="17" t="s">
        <v>255</v>
      </c>
      <c r="G1438" s="18"/>
      <c r="H1438" s="18"/>
    </row>
    <row r="1439" spans="1:8" ht="13.2">
      <c r="A1439" s="15" t="s">
        <v>1626</v>
      </c>
      <c r="B1439" s="16" t="s">
        <v>1541</v>
      </c>
      <c r="C1439" s="17">
        <v>4</v>
      </c>
      <c r="D1439" s="18"/>
      <c r="E1439" s="17" t="s">
        <v>1337</v>
      </c>
      <c r="F1439" s="17" t="s">
        <v>229</v>
      </c>
      <c r="G1439" s="18"/>
      <c r="H1439" s="18"/>
    </row>
    <row r="1440" spans="1:8" ht="13.2">
      <c r="A1440" s="15" t="s">
        <v>1627</v>
      </c>
      <c r="B1440" s="15" t="s">
        <v>1348</v>
      </c>
      <c r="C1440" s="17">
        <v>4</v>
      </c>
      <c r="D1440" s="18"/>
      <c r="E1440" s="17" t="s">
        <v>1337</v>
      </c>
      <c r="F1440" s="17" t="s">
        <v>201</v>
      </c>
      <c r="G1440" s="18"/>
      <c r="H1440" s="18"/>
    </row>
    <row r="1441" spans="1:8" ht="13.2">
      <c r="A1441" s="19" t="str">
        <f>HYPERLINK("http://codeforces.com/contest/604/problem/C","CF604-D2-C")</f>
        <v>CF604-D2-C</v>
      </c>
      <c r="B1441" s="29" t="s">
        <v>1541</v>
      </c>
      <c r="C1441" s="17">
        <v>4</v>
      </c>
      <c r="D1441" s="18"/>
      <c r="E1441" s="17" t="s">
        <v>1337</v>
      </c>
      <c r="F1441" s="17" t="s">
        <v>201</v>
      </c>
      <c r="G1441" s="18"/>
      <c r="H1441" s="18"/>
    </row>
    <row r="1442" spans="1:8" ht="13.2">
      <c r="A1442" s="19" t="str">
        <f>HYPERLINK("https://codeforces.com/contest/1057/problem/C","CF1057-D12-C")</f>
        <v>CF1057-D12-C</v>
      </c>
      <c r="B1442" s="15" t="s">
        <v>1628</v>
      </c>
      <c r="C1442" s="17">
        <v>4</v>
      </c>
      <c r="D1442" s="18"/>
      <c r="E1442" s="17" t="s">
        <v>1337</v>
      </c>
      <c r="F1442" s="17" t="s">
        <v>201</v>
      </c>
      <c r="G1442" s="18"/>
      <c r="H1442" s="18"/>
    </row>
    <row r="1443" spans="1:8" ht="13.2">
      <c r="A1443" s="19" t="str">
        <f>HYPERLINK("https://codeforces.com/contest/1102/problem/F","CF1102-D3-F")</f>
        <v>CF1102-D3-F</v>
      </c>
      <c r="B1443" s="15" t="s">
        <v>1629</v>
      </c>
      <c r="C1443" s="21">
        <v>4</v>
      </c>
      <c r="D1443" s="18"/>
      <c r="E1443" s="17" t="s">
        <v>1337</v>
      </c>
      <c r="F1443" s="17" t="s">
        <v>201</v>
      </c>
      <c r="G1443" s="18"/>
      <c r="H1443" s="18"/>
    </row>
    <row r="1444" spans="1:8" ht="13.2">
      <c r="A1444" s="15" t="s">
        <v>1630</v>
      </c>
      <c r="B1444" s="18" t="s">
        <v>1631</v>
      </c>
      <c r="C1444" s="17">
        <v>4</v>
      </c>
      <c r="D1444" s="26" t="str">
        <f>HYPERLINK("https://github.com/mostafa-saad/MyCompetitiveProgramming/blob/master/ZOJ/ZOJ_1025.txt","Sol")</f>
        <v>Sol</v>
      </c>
      <c r="E1444" s="17" t="s">
        <v>1337</v>
      </c>
      <c r="F1444" s="17" t="s">
        <v>358</v>
      </c>
      <c r="G1444" s="18"/>
      <c r="H1444" s="18"/>
    </row>
    <row r="1445" spans="1:8" ht="13.2">
      <c r="A1445" s="15" t="s">
        <v>1632</v>
      </c>
      <c r="B1445" s="18" t="s">
        <v>1633</v>
      </c>
      <c r="C1445" s="33">
        <v>4</v>
      </c>
      <c r="D1445" s="18"/>
      <c r="E1445" s="17" t="s">
        <v>1337</v>
      </c>
      <c r="F1445" s="17" t="s">
        <v>242</v>
      </c>
      <c r="G1445" s="18"/>
      <c r="H1445" s="18"/>
    </row>
    <row r="1446" spans="1:8" ht="13.2">
      <c r="A1446" s="15" t="s">
        <v>1634</v>
      </c>
      <c r="B1446" s="30" t="s">
        <v>1481</v>
      </c>
      <c r="C1446" s="17">
        <v>4</v>
      </c>
      <c r="D1446" s="26" t="str">
        <f>HYPERLINK("https://github.com/arvindr9/CompetitiveProgramming/blob/master/UVA/UVA%2010980.cpp","Sol")</f>
        <v>Sol</v>
      </c>
      <c r="E1446" s="17" t="s">
        <v>1337</v>
      </c>
      <c r="F1446" s="17" t="s">
        <v>242</v>
      </c>
      <c r="G1446" s="18"/>
      <c r="H1446" s="18"/>
    </row>
    <row r="1447" spans="1:8" ht="13.2">
      <c r="A1447" s="19" t="str">
        <f>HYPERLINK("http://codeforces.com/contest/221/problem/D","CF221-D2-D")</f>
        <v>CF221-D2-D</v>
      </c>
      <c r="B1447" s="29" t="s">
        <v>1635</v>
      </c>
      <c r="C1447" s="33">
        <v>4</v>
      </c>
      <c r="D1447" s="18"/>
      <c r="E1447" s="17" t="s">
        <v>1337</v>
      </c>
      <c r="F1447" s="17" t="s">
        <v>242</v>
      </c>
      <c r="G1447" s="18"/>
      <c r="H1447" s="18"/>
    </row>
    <row r="1448" spans="1:8" ht="13.2">
      <c r="A1448" s="19" t="str">
        <f>HYPERLINK("http://codeforces.com/contest/415/problem/D","CF415-D2-D")</f>
        <v>CF415-D2-D</v>
      </c>
      <c r="B1448" s="18" t="s">
        <v>1348</v>
      </c>
      <c r="C1448" s="17">
        <v>4</v>
      </c>
      <c r="D1448" s="18"/>
      <c r="E1448" s="17" t="s">
        <v>1337</v>
      </c>
      <c r="F1448" s="17"/>
      <c r="G1448" s="18"/>
      <c r="H1448" s="18"/>
    </row>
    <row r="1449" spans="1:8" ht="13.2">
      <c r="A1449" s="15" t="s">
        <v>1636</v>
      </c>
      <c r="B1449" s="15" t="s">
        <v>1348</v>
      </c>
      <c r="C1449" s="17">
        <v>4</v>
      </c>
      <c r="D1449" s="18"/>
      <c r="E1449" s="17" t="s">
        <v>1337</v>
      </c>
      <c r="F1449" s="17"/>
      <c r="G1449" s="18"/>
      <c r="H1449" s="18"/>
    </row>
    <row r="1450" spans="1:8" ht="13.2">
      <c r="A1450" s="15" t="s">
        <v>1637</v>
      </c>
      <c r="B1450" s="15" t="s">
        <v>1348</v>
      </c>
      <c r="C1450" s="40">
        <v>4</v>
      </c>
      <c r="D1450" s="18"/>
      <c r="E1450" s="17" t="s">
        <v>1337</v>
      </c>
      <c r="F1450" s="17"/>
      <c r="G1450" s="18"/>
      <c r="H1450" s="18"/>
    </row>
    <row r="1451" spans="1:8" ht="13.2">
      <c r="A1451" s="15" t="s">
        <v>1638</v>
      </c>
      <c r="B1451" s="29" t="s">
        <v>1348</v>
      </c>
      <c r="C1451" s="40">
        <v>4</v>
      </c>
      <c r="D1451" s="18"/>
      <c r="E1451" s="17" t="s">
        <v>1337</v>
      </c>
      <c r="F1451" s="17"/>
      <c r="G1451" s="18"/>
      <c r="H1451" s="18"/>
    </row>
    <row r="1452" spans="1:8" ht="13.2">
      <c r="A1452" s="19" t="str">
        <f>HYPERLINK("https://uva.onlinejudge.org/index.php?option=com_onlinejudge&amp;Itemid=8&amp;page=show_problem&amp;problem=1680","UVA 10739")</f>
        <v>UVA 10739</v>
      </c>
      <c r="B1452" s="29" t="s">
        <v>1348</v>
      </c>
      <c r="C1452" s="17">
        <v>4</v>
      </c>
      <c r="D1452" s="18"/>
      <c r="E1452" s="17" t="s">
        <v>1337</v>
      </c>
      <c r="F1452" s="17"/>
      <c r="G1452" s="18"/>
      <c r="H1452" s="18"/>
    </row>
    <row r="1453" spans="1:8" ht="13.2">
      <c r="A1453" s="15" t="s">
        <v>1639</v>
      </c>
      <c r="B1453" s="28" t="s">
        <v>1348</v>
      </c>
      <c r="C1453" s="24">
        <v>4</v>
      </c>
      <c r="D1453" s="18"/>
      <c r="E1453" s="17" t="s">
        <v>1337</v>
      </c>
      <c r="F1453" s="17"/>
      <c r="G1453" s="18"/>
      <c r="H1453" s="18"/>
    </row>
    <row r="1454" spans="1:8" ht="13.2">
      <c r="A1454" s="19" t="str">
        <f>HYPERLINK("https://uva.onlinejudge.org/index.php?option=onlinejudge&amp;page=show_problem&amp;problem=3215","UVA 12063")</f>
        <v>UVA 12063</v>
      </c>
      <c r="B1454" s="29" t="s">
        <v>1348</v>
      </c>
      <c r="C1454" s="17">
        <v>4</v>
      </c>
      <c r="D1454" s="18"/>
      <c r="E1454" s="17" t="s">
        <v>1337</v>
      </c>
      <c r="F1454" s="17"/>
      <c r="G1454" s="18"/>
      <c r="H1454" s="18"/>
    </row>
    <row r="1455" spans="1:8" ht="13.2">
      <c r="A1455" s="15" t="s">
        <v>1640</v>
      </c>
      <c r="B1455" s="30" t="s">
        <v>1348</v>
      </c>
      <c r="C1455" s="24">
        <v>4</v>
      </c>
      <c r="D1455" s="18"/>
      <c r="E1455" s="17" t="s">
        <v>1337</v>
      </c>
      <c r="F1455" s="17"/>
      <c r="G1455" s="18"/>
      <c r="H1455" s="18"/>
    </row>
    <row r="1456" spans="1:8" ht="13.2">
      <c r="A1456" s="15" t="s">
        <v>1641</v>
      </c>
      <c r="B1456" s="41" t="s">
        <v>1642</v>
      </c>
      <c r="C1456" s="33">
        <v>4</v>
      </c>
      <c r="D1456" s="26" t="str">
        <f>HYPERLINK("https://github.com/HeartBlue/CompetitiveProgramming/blob/master/UVA/UVA%2011026%20A%20Grouping%20Problem.cpp","Sol")</f>
        <v>Sol</v>
      </c>
      <c r="E1456" s="17" t="s">
        <v>1337</v>
      </c>
      <c r="F1456" s="17"/>
      <c r="G1456" s="18"/>
      <c r="H1456" s="18"/>
    </row>
    <row r="1457" spans="1:8" ht="13.2">
      <c r="A1457" s="15" t="s">
        <v>1643</v>
      </c>
      <c r="B1457" s="35" t="s">
        <v>1546</v>
      </c>
      <c r="C1457" s="40">
        <v>4</v>
      </c>
      <c r="D1457" s="18"/>
      <c r="E1457" s="17" t="s">
        <v>1337</v>
      </c>
      <c r="F1457" s="17"/>
      <c r="G1457" s="18"/>
      <c r="H1457" s="18"/>
    </row>
    <row r="1458" spans="1:8" ht="13.2">
      <c r="A1458" s="19" t="str">
        <f>HYPERLINK("https://uva.onlinejudge.org/index.php?option=onlinejudge&amp;page=show_problem&amp;problem=1760","UVA 10819")</f>
        <v>UVA 10819</v>
      </c>
      <c r="B1458" s="29" t="s">
        <v>1546</v>
      </c>
      <c r="C1458" s="17">
        <v>4</v>
      </c>
      <c r="D1458" s="18"/>
      <c r="E1458" s="17" t="s">
        <v>1337</v>
      </c>
      <c r="F1458" s="17"/>
      <c r="G1458" s="18"/>
      <c r="H1458" s="18"/>
    </row>
    <row r="1459" spans="1:8" ht="13.2">
      <c r="A1459" s="15" t="s">
        <v>1644</v>
      </c>
      <c r="B1459" s="35" t="s">
        <v>1645</v>
      </c>
      <c r="C1459" s="40">
        <v>4</v>
      </c>
      <c r="D1459" s="18"/>
      <c r="E1459" s="17" t="s">
        <v>1337</v>
      </c>
      <c r="F1459" s="17"/>
      <c r="G1459" s="18"/>
      <c r="H1459" s="18"/>
    </row>
    <row r="1460" spans="1:8" ht="13.2">
      <c r="A1460" s="19" t="str">
        <f>HYPERLINK("http://codeforces.com/contest/545/problem/C","CF545-D2-C")</f>
        <v>CF545-D2-C</v>
      </c>
      <c r="B1460" s="29" t="s">
        <v>1646</v>
      </c>
      <c r="C1460" s="17">
        <v>4</v>
      </c>
      <c r="D1460" s="18"/>
      <c r="E1460" s="17" t="s">
        <v>1337</v>
      </c>
      <c r="F1460" s="17"/>
      <c r="G1460" s="18"/>
      <c r="H1460" s="18"/>
    </row>
    <row r="1461" spans="1:8" ht="13.2">
      <c r="A1461" s="15" t="s">
        <v>1647</v>
      </c>
      <c r="B1461" s="16" t="s">
        <v>1648</v>
      </c>
      <c r="C1461" s="31">
        <v>4</v>
      </c>
      <c r="D1461" s="18"/>
      <c r="E1461" s="17" t="s">
        <v>1337</v>
      </c>
      <c r="F1461" s="17"/>
      <c r="G1461" s="18"/>
      <c r="H1461" s="18"/>
    </row>
    <row r="1462" spans="1:8" ht="13.2">
      <c r="A1462" s="19" t="str">
        <f>HYPERLINK("http://codeforces.com/contest/489/problem/C","CF489-D2-C")</f>
        <v>CF489-D2-C</v>
      </c>
      <c r="B1462" s="29" t="s">
        <v>1353</v>
      </c>
      <c r="C1462" s="17">
        <v>4</v>
      </c>
      <c r="D1462" s="18"/>
      <c r="E1462" s="17" t="s">
        <v>1337</v>
      </c>
      <c r="F1462" s="17"/>
      <c r="G1462" s="18"/>
      <c r="H1462" s="18"/>
    </row>
    <row r="1463" spans="1:8" ht="13.2">
      <c r="A1463" s="19" t="str">
        <f>HYPERLINK("http://codeforces.com/contest/41/problem/D","CF41-D2-D")</f>
        <v>CF41-D2-D</v>
      </c>
      <c r="B1463" s="18" t="s">
        <v>1354</v>
      </c>
      <c r="C1463" s="17">
        <v>4</v>
      </c>
      <c r="D1463" s="18"/>
      <c r="E1463" s="17" t="s">
        <v>1337</v>
      </c>
      <c r="F1463" s="17"/>
      <c r="G1463" s="18"/>
      <c r="H1463" s="18"/>
    </row>
    <row r="1464" spans="1:8" ht="13.2">
      <c r="A1464" s="15" t="s">
        <v>1649</v>
      </c>
      <c r="B1464" s="15" t="s">
        <v>1650</v>
      </c>
      <c r="C1464" s="33">
        <v>4</v>
      </c>
      <c r="D1464" s="18"/>
      <c r="E1464" s="17" t="s">
        <v>1337</v>
      </c>
      <c r="F1464" s="17"/>
      <c r="G1464" s="18"/>
      <c r="H1464" s="18"/>
    </row>
    <row r="1465" spans="1:8" ht="13.2">
      <c r="A1465" s="19" t="str">
        <f>HYPERLINK("http://codeforces.com/contest/463/problem/D","CF463-D2-D")</f>
        <v>CF463-D2-D</v>
      </c>
      <c r="B1465" s="29" t="s">
        <v>1604</v>
      </c>
      <c r="C1465" s="17">
        <v>4</v>
      </c>
      <c r="D1465" s="18"/>
      <c r="E1465" s="17" t="s">
        <v>1337</v>
      </c>
      <c r="F1465" s="17"/>
      <c r="G1465" s="18"/>
      <c r="H1465" s="18"/>
    </row>
    <row r="1466" spans="1:8" ht="13.2">
      <c r="A1466" s="19" t="str">
        <f>HYPERLINK("https://uva.onlinejudge.org/index.php?option=com_onlinejudge&amp;Itemid=8&amp;page=show_problem&amp;problem=438","UVA 497")</f>
        <v>UVA 497</v>
      </c>
      <c r="B1466" s="29" t="s">
        <v>1651</v>
      </c>
      <c r="C1466" s="17">
        <v>4</v>
      </c>
      <c r="D1466" s="18"/>
      <c r="E1466" s="17" t="s">
        <v>1337</v>
      </c>
      <c r="F1466" s="17"/>
      <c r="G1466" s="18"/>
      <c r="H1466" s="18"/>
    </row>
    <row r="1467" spans="1:8" ht="13.2">
      <c r="A1467" s="15" t="s">
        <v>1652</v>
      </c>
      <c r="B1467" s="29" t="s">
        <v>1653</v>
      </c>
      <c r="C1467" s="33">
        <v>4</v>
      </c>
      <c r="D1467" s="18"/>
      <c r="E1467" s="17" t="s">
        <v>1337</v>
      </c>
      <c r="F1467" s="17"/>
      <c r="G1467" s="18"/>
      <c r="H1467" s="18"/>
    </row>
    <row r="1468" spans="1:8" ht="13.2">
      <c r="A1468" s="15" t="s">
        <v>1654</v>
      </c>
      <c r="B1468" s="30" t="s">
        <v>1655</v>
      </c>
      <c r="C1468" s="33">
        <v>4</v>
      </c>
      <c r="D1468" s="18"/>
      <c r="E1468" s="17" t="s">
        <v>1337</v>
      </c>
      <c r="F1468" s="17"/>
      <c r="G1468" s="18"/>
      <c r="H1468" s="18"/>
    </row>
    <row r="1469" spans="1:8" ht="13.2">
      <c r="A1469" s="15" t="s">
        <v>1656</v>
      </c>
      <c r="B1469" s="30" t="s">
        <v>1348</v>
      </c>
      <c r="C1469" s="17">
        <v>3.5</v>
      </c>
      <c r="D1469" s="18"/>
      <c r="E1469" s="17" t="s">
        <v>1337</v>
      </c>
      <c r="F1469" s="17"/>
      <c r="G1469" s="18"/>
      <c r="H1469" s="18"/>
    </row>
    <row r="1470" spans="1:8" ht="13.2">
      <c r="A1470" s="15" t="s">
        <v>1657</v>
      </c>
      <c r="B1470" s="29" t="s">
        <v>1658</v>
      </c>
      <c r="C1470" s="24">
        <v>3.5</v>
      </c>
      <c r="D1470" s="18"/>
      <c r="E1470" s="17" t="s">
        <v>1337</v>
      </c>
      <c r="F1470" s="17"/>
      <c r="G1470" s="18"/>
      <c r="H1470" s="18"/>
    </row>
    <row r="1471" spans="1:8" ht="13.2">
      <c r="A1471" s="15" t="s">
        <v>1659</v>
      </c>
      <c r="B1471" s="28" t="s">
        <v>1660</v>
      </c>
      <c r="C1471" s="24">
        <v>3.5</v>
      </c>
      <c r="D1471" s="26" t="str">
        <f>HYPERLINK("https://github.com/Ownography/CP/blob/master/SPOJ%20UOFTAB","Sol")</f>
        <v>Sol</v>
      </c>
      <c r="E1471" s="17" t="s">
        <v>1337</v>
      </c>
      <c r="F1471" s="17"/>
      <c r="G1471" s="18"/>
      <c r="H1471" s="18"/>
    </row>
    <row r="1472" spans="1:8" ht="13.2">
      <c r="A1472" s="19" t="str">
        <f>HYPERLINK("https://uva.onlinejudge.org/index.php?option=onlinejudge&amp;page=show_problem&amp;problem=1041","UVA 10100")</f>
        <v>UVA 10100</v>
      </c>
      <c r="B1472" s="29" t="s">
        <v>1661</v>
      </c>
      <c r="C1472" s="17">
        <v>3.5</v>
      </c>
      <c r="D1472" s="18"/>
      <c r="E1472" s="17" t="s">
        <v>1337</v>
      </c>
      <c r="F1472" s="17"/>
      <c r="G1472" s="18"/>
      <c r="H1472" s="18"/>
    </row>
    <row r="1473" spans="1:8" ht="13.2">
      <c r="A1473" s="15" t="s">
        <v>1662</v>
      </c>
      <c r="B1473" s="29" t="s">
        <v>1663</v>
      </c>
      <c r="C1473" s="17">
        <v>3.5</v>
      </c>
      <c r="D1473" s="18"/>
      <c r="E1473" s="17" t="s">
        <v>1337</v>
      </c>
      <c r="F1473" s="17"/>
      <c r="G1473" s="18"/>
      <c r="H1473" s="18"/>
    </row>
    <row r="1474" spans="1:8" ht="13.2">
      <c r="A1474" s="15" t="s">
        <v>1664</v>
      </c>
      <c r="B1474" s="29" t="s">
        <v>1348</v>
      </c>
      <c r="C1474" s="24">
        <v>3</v>
      </c>
      <c r="D1474" s="18"/>
      <c r="E1474" s="24" t="s">
        <v>1337</v>
      </c>
      <c r="F1474" s="17" t="s">
        <v>229</v>
      </c>
      <c r="G1474" s="18"/>
      <c r="H1474" s="18"/>
    </row>
    <row r="1475" spans="1:8" ht="13.2">
      <c r="A1475" s="15" t="s">
        <v>1665</v>
      </c>
      <c r="B1475" s="15" t="s">
        <v>1348</v>
      </c>
      <c r="C1475" s="17">
        <v>3</v>
      </c>
      <c r="D1475" s="26" t="str">
        <f>HYPERLINK("https://github.com/AhmedElsisy/CompetitiveProgramming/blob/master/SPOJ/SPOJ%20NOVICE63.cpp","Sol")</f>
        <v>Sol</v>
      </c>
      <c r="E1475" s="17" t="s">
        <v>1337</v>
      </c>
      <c r="F1475" s="17" t="s">
        <v>201</v>
      </c>
      <c r="G1475" s="18"/>
      <c r="H1475" s="18"/>
    </row>
    <row r="1476" spans="1:8" ht="13.2">
      <c r="A1476" s="19" t="str">
        <f>HYPERLINK("https://uva.onlinejudge.org/index.php?option=com_onlinejudge&amp;Itemid=8&amp;page=show_problem&amp;problem=944","UVA 10003")</f>
        <v>UVA 10003</v>
      </c>
      <c r="B1476" s="29" t="s">
        <v>1666</v>
      </c>
      <c r="C1476" s="17">
        <v>3</v>
      </c>
      <c r="D1476" s="18"/>
      <c r="E1476" s="17" t="s">
        <v>1337</v>
      </c>
      <c r="F1476" s="17" t="s">
        <v>201</v>
      </c>
      <c r="G1476" s="18"/>
      <c r="H1476" s="18"/>
    </row>
    <row r="1477" spans="1:8" ht="13.2">
      <c r="A1477" s="19" t="str">
        <f>HYPERLINK("https://uva.onlinejudge.org/index.php?option=com_onlinejudge&amp;Itemid=8&amp;page=show_problem&amp;problem=977","UVA 10036")</f>
        <v>UVA 10036</v>
      </c>
      <c r="B1477" s="29" t="s">
        <v>1667</v>
      </c>
      <c r="C1477" s="17">
        <v>3</v>
      </c>
      <c r="D1477" s="18"/>
      <c r="E1477" s="17" t="s">
        <v>1337</v>
      </c>
      <c r="F1477" s="17" t="s">
        <v>242</v>
      </c>
      <c r="G1477" s="18"/>
      <c r="H1477" s="18"/>
    </row>
    <row r="1478" spans="1:8" ht="13.2">
      <c r="A1478" s="15" t="s">
        <v>1668</v>
      </c>
      <c r="B1478" s="15" t="s">
        <v>1348</v>
      </c>
      <c r="C1478" s="17">
        <v>3</v>
      </c>
      <c r="D1478" s="26" t="str">
        <f>HYPERLINK("https://github.com/MonaAhmed810/CompetitiveProgramming/blob/master/SPOJ/DCOWS.cpp","Sol")</f>
        <v>Sol</v>
      </c>
      <c r="E1478" s="17" t="s">
        <v>1337</v>
      </c>
      <c r="F1478" s="17"/>
      <c r="G1478" s="18"/>
      <c r="H1478" s="18"/>
    </row>
    <row r="1479" spans="1:8" ht="13.2">
      <c r="A1479" s="19" t="str">
        <f>HYPERLINK("http://www.spoj.com/problems/TRT/","SPOJ TRT")</f>
        <v>SPOJ TRT</v>
      </c>
      <c r="B1479" s="18" t="s">
        <v>1348</v>
      </c>
      <c r="C1479" s="17">
        <v>3</v>
      </c>
      <c r="D1479" s="18"/>
      <c r="E1479" s="17" t="s">
        <v>1337</v>
      </c>
      <c r="F1479" s="17"/>
      <c r="G1479" s="18"/>
      <c r="H1479" s="18"/>
    </row>
    <row r="1480" spans="1:8" ht="13.2">
      <c r="A1480" s="15" t="s">
        <v>1669</v>
      </c>
      <c r="B1480" s="18" t="s">
        <v>1348</v>
      </c>
      <c r="C1480" s="31">
        <v>3</v>
      </c>
      <c r="D1480" s="18"/>
      <c r="E1480" s="17" t="s">
        <v>1337</v>
      </c>
      <c r="F1480" s="17"/>
      <c r="G1480" s="18"/>
      <c r="H1480" s="18"/>
    </row>
    <row r="1481" spans="1:8" ht="13.2">
      <c r="A1481" s="15" t="s">
        <v>1670</v>
      </c>
      <c r="B1481" s="28" t="s">
        <v>1348</v>
      </c>
      <c r="C1481" s="24">
        <v>3</v>
      </c>
      <c r="D1481" s="18"/>
      <c r="E1481" s="17" t="s">
        <v>1337</v>
      </c>
      <c r="F1481" s="17"/>
      <c r="G1481" s="18"/>
      <c r="H1481" s="18"/>
    </row>
    <row r="1482" spans="1:8" ht="13.2">
      <c r="A1482" s="15" t="s">
        <v>1671</v>
      </c>
      <c r="B1482" s="30" t="s">
        <v>1348</v>
      </c>
      <c r="C1482" s="17">
        <v>3</v>
      </c>
      <c r="D1482" s="18"/>
      <c r="E1482" s="17" t="s">
        <v>1337</v>
      </c>
      <c r="F1482" s="17"/>
      <c r="G1482" s="18"/>
      <c r="H1482" s="18"/>
    </row>
    <row r="1483" spans="1:8" ht="13.2">
      <c r="A1483" s="15" t="s">
        <v>1672</v>
      </c>
      <c r="B1483" s="29" t="s">
        <v>1348</v>
      </c>
      <c r="C1483" s="17">
        <v>3</v>
      </c>
      <c r="D1483" s="26" t="str">
        <f>HYPERLINK("https://github.com/Maverick10/Competitive-Programming/blob/master/Solutions/UVa/UVa%20-%201231.cpp","Sol")</f>
        <v>Sol</v>
      </c>
      <c r="E1483" s="17" t="s">
        <v>1337</v>
      </c>
      <c r="F1483" s="17"/>
      <c r="G1483" s="18"/>
      <c r="H1483" s="18"/>
    </row>
    <row r="1484" spans="1:8" ht="13.2">
      <c r="A1484" s="15" t="s">
        <v>1673</v>
      </c>
      <c r="B1484" s="30" t="s">
        <v>1348</v>
      </c>
      <c r="C1484" s="24">
        <v>3</v>
      </c>
      <c r="D1484" s="18"/>
      <c r="E1484" s="17" t="s">
        <v>1337</v>
      </c>
      <c r="F1484" s="17"/>
      <c r="G1484" s="18"/>
      <c r="H1484" s="18"/>
    </row>
    <row r="1485" spans="1:8" ht="13.2">
      <c r="A1485" s="19" t="str">
        <f>HYPERLINK("https://uva.onlinejudge.org/index.php?option=com_onlinejudge&amp;Itemid=8&amp;page=show_problem&amp;problem=503","UVA 562")</f>
        <v>UVA 562</v>
      </c>
      <c r="B1485" s="29" t="s">
        <v>1348</v>
      </c>
      <c r="C1485" s="17">
        <v>3</v>
      </c>
      <c r="D1485" s="18"/>
      <c r="E1485" s="17" t="s">
        <v>1337</v>
      </c>
      <c r="F1485" s="17"/>
      <c r="G1485" s="18"/>
      <c r="H1485" s="18"/>
    </row>
    <row r="1486" spans="1:8" ht="13.2">
      <c r="A1486" s="15" t="s">
        <v>1674</v>
      </c>
      <c r="B1486" s="29" t="s">
        <v>1675</v>
      </c>
      <c r="C1486" s="24">
        <v>3</v>
      </c>
      <c r="D1486" s="18"/>
      <c r="E1486" s="17" t="s">
        <v>1337</v>
      </c>
      <c r="F1486" s="17"/>
      <c r="G1486" s="18"/>
      <c r="H1486" s="18"/>
    </row>
    <row r="1487" spans="1:8" ht="13.2">
      <c r="A1487" s="15" t="s">
        <v>1676</v>
      </c>
      <c r="B1487" s="35" t="s">
        <v>1677</v>
      </c>
      <c r="C1487" s="40">
        <v>3</v>
      </c>
      <c r="D1487" s="18"/>
      <c r="E1487" s="17" t="s">
        <v>1337</v>
      </c>
      <c r="F1487" s="17"/>
      <c r="G1487" s="18"/>
      <c r="H1487" s="18"/>
    </row>
    <row r="1488" spans="1:8" ht="13.2">
      <c r="A1488" s="19" t="str">
        <f>HYPERLINK("http://codeforces.com/contest/677/problem/A","CF67-D2-A")</f>
        <v>CF67-D2-A</v>
      </c>
      <c r="B1488" s="18" t="s">
        <v>1358</v>
      </c>
      <c r="C1488" s="17">
        <v>3</v>
      </c>
      <c r="D1488" s="18"/>
      <c r="E1488" s="17" t="s">
        <v>1337</v>
      </c>
      <c r="F1488" s="17"/>
      <c r="G1488" s="18"/>
      <c r="H1488" s="18"/>
    </row>
    <row r="1489" spans="1:8" ht="13.2">
      <c r="A1489" s="15" t="s">
        <v>1678</v>
      </c>
      <c r="B1489" s="18" t="s">
        <v>1358</v>
      </c>
      <c r="C1489" s="31">
        <v>3</v>
      </c>
      <c r="D1489" s="18"/>
      <c r="E1489" s="17" t="s">
        <v>1337</v>
      </c>
      <c r="F1489" s="17"/>
      <c r="G1489" s="18"/>
      <c r="H1489" s="18"/>
    </row>
    <row r="1490" spans="1:8" ht="13.2">
      <c r="A1490" s="19" t="str">
        <f>HYPERLINK("https://uva.onlinejudge.org/index.php?option=onlinejudge&amp;page=show_problem&amp;problem=1133","UVA 10192")</f>
        <v>UVA 10192</v>
      </c>
      <c r="B1490" s="29" t="s">
        <v>1661</v>
      </c>
      <c r="C1490" s="17">
        <v>3</v>
      </c>
      <c r="D1490" s="18"/>
      <c r="E1490" s="17" t="s">
        <v>1337</v>
      </c>
      <c r="F1490" s="17"/>
      <c r="G1490" s="18"/>
      <c r="H1490" s="18"/>
    </row>
    <row r="1491" spans="1:8" ht="13.2">
      <c r="A1491" s="15" t="s">
        <v>1679</v>
      </c>
      <c r="B1491" s="30" t="s">
        <v>1680</v>
      </c>
      <c r="C1491" s="24">
        <v>3</v>
      </c>
      <c r="D1491" s="18"/>
      <c r="E1491" s="17" t="s">
        <v>1337</v>
      </c>
      <c r="F1491" s="17"/>
      <c r="G1491" s="18"/>
      <c r="H1491" s="18"/>
    </row>
    <row r="1492" spans="1:8" ht="13.2">
      <c r="A1492" s="15" t="s">
        <v>1681</v>
      </c>
      <c r="B1492" s="29" t="s">
        <v>1346</v>
      </c>
      <c r="C1492" s="31">
        <v>3</v>
      </c>
      <c r="D1492" s="18"/>
      <c r="E1492" s="24" t="s">
        <v>1337</v>
      </c>
      <c r="F1492" s="17"/>
      <c r="G1492" s="18"/>
      <c r="H1492" s="18"/>
    </row>
    <row r="1493" spans="1:8" ht="13.2">
      <c r="A1493" s="15" t="s">
        <v>1682</v>
      </c>
      <c r="B1493" s="18" t="s">
        <v>1683</v>
      </c>
      <c r="C1493" s="40">
        <v>3</v>
      </c>
      <c r="D1493" s="18"/>
      <c r="E1493" s="17" t="s">
        <v>1337</v>
      </c>
      <c r="F1493" s="17"/>
      <c r="G1493" s="18"/>
      <c r="H1493" s="18"/>
    </row>
    <row r="1494" spans="1:8" ht="13.2">
      <c r="A1494" s="15" t="s">
        <v>1684</v>
      </c>
      <c r="B1494" s="35" t="s">
        <v>1441</v>
      </c>
      <c r="C1494" s="40">
        <v>3</v>
      </c>
      <c r="D1494" s="18"/>
      <c r="E1494" s="17" t="s">
        <v>1337</v>
      </c>
      <c r="F1494" s="17"/>
      <c r="G1494" s="18"/>
      <c r="H1494" s="18"/>
    </row>
    <row r="1495" spans="1:8" ht="13.2">
      <c r="A1495" s="19" t="str">
        <f>HYPERLINK("http://www.spoj.com/problems/BYTESM2/","SPOJ BYTESM2")</f>
        <v>SPOJ BYTESM2</v>
      </c>
      <c r="B1495" s="18" t="s">
        <v>1348</v>
      </c>
      <c r="C1495" s="17">
        <v>2</v>
      </c>
      <c r="D1495" s="18"/>
      <c r="E1495" s="17" t="s">
        <v>1337</v>
      </c>
      <c r="F1495" s="17"/>
      <c r="G1495" s="18"/>
      <c r="H1495" s="18"/>
    </row>
    <row r="1496" spans="1:8" ht="13.2">
      <c r="A1496" s="15" t="s">
        <v>1685</v>
      </c>
      <c r="B1496" s="30" t="s">
        <v>1348</v>
      </c>
      <c r="C1496" s="24">
        <v>2</v>
      </c>
      <c r="D1496" s="18"/>
      <c r="E1496" s="17" t="s">
        <v>1337</v>
      </c>
      <c r="F1496" s="17"/>
      <c r="G1496" s="18"/>
      <c r="H1496" s="18"/>
    </row>
    <row r="1497" spans="1:8" ht="13.2">
      <c r="A1497" s="15" t="s">
        <v>1686</v>
      </c>
      <c r="B1497" s="15" t="s">
        <v>1687</v>
      </c>
      <c r="C1497" s="24">
        <v>2</v>
      </c>
      <c r="D1497" s="18"/>
      <c r="E1497" s="17" t="s">
        <v>1337</v>
      </c>
      <c r="F1497" s="17"/>
      <c r="G1497" s="18"/>
      <c r="H1497" s="18"/>
    </row>
    <row r="1498" spans="1:8" ht="13.2">
      <c r="A1498" s="19" t="str">
        <f>HYPERLINK("https://codeforces.com/problemset/problem/1225/G", "CF1225-D12-G")</f>
        <v>CF1225-D12-G</v>
      </c>
      <c r="B1498" s="20" t="s">
        <v>1688</v>
      </c>
      <c r="C1498" s="17"/>
      <c r="D1498" s="18"/>
      <c r="E1498" s="17" t="s">
        <v>1337</v>
      </c>
      <c r="F1498" s="17" t="s">
        <v>139</v>
      </c>
      <c r="G1498" s="18"/>
      <c r="H1498" s="18"/>
    </row>
    <row r="1499" spans="1:8" ht="13.2">
      <c r="A1499" s="19" t="str">
        <f>HYPERLINK("https://codeforces.com/contest/506/problem/E","CF506-D1-E")</f>
        <v>CF506-D1-E</v>
      </c>
      <c r="B1499" s="15" t="s">
        <v>1689</v>
      </c>
      <c r="C1499" s="17"/>
      <c r="D1499" s="26" t="str">
        <f>HYPERLINK("https://codeforces.com/blog/entry/61306","Read Later")</f>
        <v>Read Later</v>
      </c>
      <c r="E1499" s="17" t="s">
        <v>1337</v>
      </c>
      <c r="F1499" s="17"/>
      <c r="G1499" s="18"/>
      <c r="H1499" s="18"/>
    </row>
    <row r="1500" spans="1:8" ht="13.2">
      <c r="A1500" s="19" t="str">
        <f>HYPERLINK("https://uva.onlinejudge.org/index.php?option=com_onlinejudge&amp;Itemid=8&amp;page=show_problem&amp;problem=4159","UVA 1413")</f>
        <v>UVA 1413</v>
      </c>
      <c r="B1500" s="30" t="s">
        <v>1690</v>
      </c>
      <c r="C1500" s="17">
        <v>8</v>
      </c>
      <c r="D1500" s="18"/>
      <c r="E1500" s="17" t="s">
        <v>1691</v>
      </c>
      <c r="F1500" s="17"/>
      <c r="G1500" s="18"/>
      <c r="H1500" s="18"/>
    </row>
    <row r="1501" spans="1:8" ht="13.2">
      <c r="A1501" s="19" t="str">
        <f>HYPERLINK("http://codeforces.com/contest/24/problem/D","CF24-D12-D")</f>
        <v>CF24-D12-D</v>
      </c>
      <c r="B1501" s="41" t="s">
        <v>1692</v>
      </c>
      <c r="C1501" s="17">
        <v>7.5</v>
      </c>
      <c r="D1501" s="18"/>
      <c r="E1501" s="17" t="s">
        <v>1691</v>
      </c>
      <c r="F1501" s="17" t="s">
        <v>154</v>
      </c>
      <c r="G1501" s="18"/>
      <c r="H1501" s="18"/>
    </row>
    <row r="1502" spans="1:8" ht="13.2">
      <c r="A1502" s="15" t="s">
        <v>1693</v>
      </c>
      <c r="B1502" s="30" t="s">
        <v>1694</v>
      </c>
      <c r="C1502" s="24">
        <v>7.5</v>
      </c>
      <c r="D1502" s="18"/>
      <c r="E1502" s="17" t="s">
        <v>1691</v>
      </c>
      <c r="F1502" s="17"/>
      <c r="G1502" s="18"/>
      <c r="H1502" s="18"/>
    </row>
    <row r="1503" spans="1:8" ht="13.2">
      <c r="A1503" s="19" t="str">
        <f>HYPERLINK("https://www.hackerrank.com/challenges/palindromes","HACKR palindromes")</f>
        <v>HACKR palindromes</v>
      </c>
      <c r="B1503" s="41" t="s">
        <v>1695</v>
      </c>
      <c r="C1503" s="17">
        <v>7</v>
      </c>
      <c r="D1503" s="18"/>
      <c r="E1503" s="17" t="s">
        <v>1691</v>
      </c>
      <c r="F1503" s="17"/>
      <c r="G1503" s="18"/>
      <c r="H1503" s="18"/>
    </row>
    <row r="1504" spans="1:8" ht="13.2">
      <c r="A1504" s="15" t="s">
        <v>1696</v>
      </c>
      <c r="B1504" s="28" t="s">
        <v>1697</v>
      </c>
      <c r="C1504" s="33">
        <v>6.75</v>
      </c>
      <c r="D1504" s="26" t="str">
        <f>HYPERLINK("https://github.com/mostafa-saad/MyCompetitiveProgramming/blob/master/UVA/UVA_1390.txt","Sol")</f>
        <v>Sol</v>
      </c>
      <c r="E1504" s="17" t="s">
        <v>1691</v>
      </c>
      <c r="F1504" s="17" t="s">
        <v>139</v>
      </c>
      <c r="G1504" s="18"/>
      <c r="H1504" s="18"/>
    </row>
    <row r="1505" spans="1:8" ht="13.2">
      <c r="A1505" s="19" t="str">
        <f>HYPERLINK("https://code.google.com/codejam/contest/188266/dashboard#s=p2","CODEJAM 09-R1A-C")</f>
        <v>CODEJAM 09-R1A-C</v>
      </c>
      <c r="B1505" s="28" t="s">
        <v>1698</v>
      </c>
      <c r="C1505" s="17">
        <v>6.5</v>
      </c>
      <c r="D1505" s="26" t="str">
        <f>HYPERLINK("https://github.com/mostafa-saad/MyCompetitiveProgramming/blob/master/GoogleCodeJam/CODEJAM-09-R1A-C.txt","Sol")</f>
        <v>Sol</v>
      </c>
      <c r="E1505" s="17" t="s">
        <v>1691</v>
      </c>
      <c r="F1505" s="17" t="s">
        <v>154</v>
      </c>
      <c r="G1505" s="18"/>
      <c r="H1505" s="18"/>
    </row>
    <row r="1506" spans="1:8" ht="13.2">
      <c r="A1506" s="19" t="str">
        <f>HYPERLINK("https://community.topcoder.com/stat?c=problem_statement&amp;pm=8595","TC(MONSTERSANDBUNNIES)")</f>
        <v>TC(MONSTERSANDBUNNIES)</v>
      </c>
      <c r="B1506" s="28" t="s">
        <v>1699</v>
      </c>
      <c r="C1506" s="24">
        <v>6.5</v>
      </c>
      <c r="D1506" s="18"/>
      <c r="E1506" s="17" t="s">
        <v>1691</v>
      </c>
      <c r="F1506" s="17" t="s">
        <v>139</v>
      </c>
      <c r="G1506" s="18"/>
      <c r="H1506" s="18"/>
    </row>
    <row r="1507" spans="1:8" ht="13.2">
      <c r="A1507" s="15" t="s">
        <v>1700</v>
      </c>
      <c r="B1507" s="28" t="s">
        <v>1701</v>
      </c>
      <c r="C1507" s="24">
        <v>6.5</v>
      </c>
      <c r="D1507" s="18"/>
      <c r="E1507" s="17" t="s">
        <v>1691</v>
      </c>
      <c r="F1507" s="17"/>
      <c r="G1507" s="18"/>
      <c r="H1507" s="18"/>
    </row>
    <row r="1508" spans="1:8" ht="13.2">
      <c r="A1508" s="19" t="str">
        <f>HYPERLINK("https://codeforces.com/gym/102190/attachments","CF102190-GYM-B")</f>
        <v>CF102190-GYM-B</v>
      </c>
      <c r="B1508" s="15" t="s">
        <v>1702</v>
      </c>
      <c r="C1508" s="17">
        <v>6.25</v>
      </c>
      <c r="D1508" s="26" t="str">
        <f>HYPERLINK("https://github.com/mostafa-saad/MyCompetitiveProgramming/blob/master/Codeforces/CF102190-GYM-B.txt","Sol")</f>
        <v>Sol</v>
      </c>
      <c r="E1508" s="17" t="s">
        <v>1691</v>
      </c>
      <c r="F1508" s="17" t="s">
        <v>139</v>
      </c>
      <c r="G1508" s="18"/>
      <c r="H1508" s="18"/>
    </row>
    <row r="1509" spans="1:8" ht="13.2">
      <c r="A1509" s="15" t="s">
        <v>1703</v>
      </c>
      <c r="B1509" s="28" t="s">
        <v>1704</v>
      </c>
      <c r="C1509" s="24">
        <v>6.25</v>
      </c>
      <c r="D1509" s="26" t="str">
        <f>HYPERLINK("https://github.com/mostafa-saad/MyCompetitiveProgramming/blob/master/UVA/UVA_11755.txt","Sol")</f>
        <v>Sol</v>
      </c>
      <c r="E1509" s="17" t="s">
        <v>1691</v>
      </c>
      <c r="F1509" s="17"/>
      <c r="G1509" s="18"/>
      <c r="H1509" s="18"/>
    </row>
    <row r="1510" spans="1:8" ht="13.2">
      <c r="A1510" s="15" t="s">
        <v>1705</v>
      </c>
      <c r="B1510" s="30" t="s">
        <v>1706</v>
      </c>
      <c r="C1510" s="24">
        <v>6</v>
      </c>
      <c r="D1510" s="26" t="str">
        <f>HYPERLINK("https://github.com/mostafa-saad/MyCompetitiveProgramming/blob/master/SPOJ/SPOJ_GS.txt","Sol")</f>
        <v>Sol</v>
      </c>
      <c r="E1510" s="17" t="s">
        <v>1691</v>
      </c>
      <c r="F1510" s="17" t="s">
        <v>201</v>
      </c>
      <c r="G1510" s="18"/>
      <c r="H1510" s="18"/>
    </row>
    <row r="1511" spans="1:8" ht="13.2">
      <c r="A1511" s="15" t="s">
        <v>1707</v>
      </c>
      <c r="B1511" s="30" t="s">
        <v>1708</v>
      </c>
      <c r="C1511" s="17">
        <v>6</v>
      </c>
      <c r="D1511" s="18"/>
      <c r="E1511" s="17" t="s">
        <v>1691</v>
      </c>
      <c r="F1511" s="17"/>
      <c r="G1511" s="18"/>
      <c r="H1511" s="18"/>
    </row>
    <row r="1512" spans="1:8" ht="13.2">
      <c r="A1512" s="15" t="s">
        <v>1709</v>
      </c>
      <c r="B1512" s="30" t="s">
        <v>1710</v>
      </c>
      <c r="C1512" s="24">
        <v>5.75</v>
      </c>
      <c r="D1512" s="18"/>
      <c r="E1512" s="17" t="s">
        <v>1691</v>
      </c>
      <c r="F1512" s="17"/>
      <c r="G1512" s="18"/>
      <c r="H1512" s="18"/>
    </row>
    <row r="1513" spans="1:8" ht="13.2">
      <c r="A1513" s="15" t="s">
        <v>1711</v>
      </c>
      <c r="B1513" s="28" t="s">
        <v>1712</v>
      </c>
      <c r="C1513" s="17">
        <v>5</v>
      </c>
      <c r="D1513" s="18"/>
      <c r="E1513" s="17" t="s">
        <v>1691</v>
      </c>
      <c r="F1513" s="17"/>
      <c r="G1513" s="18"/>
      <c r="H1513" s="18"/>
    </row>
    <row r="1514" spans="1:8" ht="13.2">
      <c r="A1514" s="15" t="s">
        <v>1713</v>
      </c>
      <c r="B1514" s="28" t="s">
        <v>1714</v>
      </c>
      <c r="C1514" s="24">
        <v>5</v>
      </c>
      <c r="D1514" s="26" t="str">
        <f>HYPERLINK("https://github.com/MedoN11/CompetitiveProgramming/blob/master/TopCoder/SRM568-D2-1000.java","Sol")</f>
        <v>Sol</v>
      </c>
      <c r="E1514" s="17" t="s">
        <v>1691</v>
      </c>
      <c r="F1514" s="17"/>
      <c r="G1514" s="18"/>
      <c r="H1514" s="18"/>
    </row>
    <row r="1515" spans="1:8" ht="13.2">
      <c r="A1515" s="19" t="str">
        <f>HYPERLINK("https://agc004.contest.atcoder.jp/tasks/agc004_e","AtCoder004-AGC-E")</f>
        <v>AtCoder004-AGC-E</v>
      </c>
      <c r="B1515" s="15" t="s">
        <v>1715</v>
      </c>
      <c r="C1515" s="17">
        <v>7.5</v>
      </c>
      <c r="D1515" s="18"/>
      <c r="E1515" s="17" t="s">
        <v>1716</v>
      </c>
      <c r="F1515" s="17" t="s">
        <v>139</v>
      </c>
      <c r="G1515" s="18"/>
      <c r="H1515" s="18"/>
    </row>
    <row r="1516" spans="1:8" ht="13.2">
      <c r="A1516" s="15" t="s">
        <v>1717</v>
      </c>
      <c r="B1516" s="29" t="s">
        <v>1718</v>
      </c>
      <c r="C1516" s="17">
        <v>6.75</v>
      </c>
      <c r="D1516" s="26" t="str">
        <f>HYPERLINK("https://github.com/mostafa-saad/MyCompetitiveProgramming/blob/master/UVA/UVA_12099.txt","Sol")</f>
        <v>Sol</v>
      </c>
      <c r="E1516" s="17" t="s">
        <v>1716</v>
      </c>
      <c r="F1516" s="17" t="s">
        <v>139</v>
      </c>
      <c r="G1516" s="18"/>
      <c r="H1516" s="18"/>
    </row>
    <row r="1517" spans="1:8" ht="13.2">
      <c r="A1517" s="19" t="str">
        <f>HYPERLINK("http://community.topcoder.com/stat?c=problem_statement&amp;pm=11504&amp;rd=14569","TC(SISTERSERASINGLETTERS)")</f>
        <v>TC(SISTERSERASINGLETTERS)</v>
      </c>
      <c r="B1517" s="28" t="s">
        <v>1719</v>
      </c>
      <c r="C1517" s="24">
        <v>6.3</v>
      </c>
      <c r="D1517" s="26" t="str">
        <f>HYPERLINK("https://github.com/nya-nya-meow/CompetitiveProgramming/blob/master/TopCoder/TC(SISTERSERASINGLETTERS).cpp","Find O(N^2) sol. Sol")</f>
        <v>Find O(N^2) sol. Sol</v>
      </c>
      <c r="E1517" s="17" t="s">
        <v>1716</v>
      </c>
      <c r="F1517" s="17" t="s">
        <v>173</v>
      </c>
      <c r="G1517" s="18"/>
      <c r="H1517" s="18"/>
    </row>
    <row r="1518" spans="1:8" ht="13.2">
      <c r="A1518" s="19" t="str">
        <f>HYPERLINK("http://codeforces.com/contest/351/problem/C", "CF351-D1-C")</f>
        <v>CF351-D1-C</v>
      </c>
      <c r="B1518" s="20" t="s">
        <v>1720</v>
      </c>
      <c r="C1518" s="21">
        <v>6.25</v>
      </c>
      <c r="D1518" s="26" t="str">
        <f>HYPERLINK("https://github.com/tmwilliamlin168/CompetitiveProgramming/blob/master/CodeForces/0351C.cpp", "Sol")</f>
        <v>Sol</v>
      </c>
      <c r="E1518" s="17" t="s">
        <v>1716</v>
      </c>
      <c r="F1518" s="17" t="s">
        <v>139</v>
      </c>
      <c r="G1518" s="18"/>
      <c r="H1518" s="18"/>
    </row>
    <row r="1519" spans="1:8" ht="13.2">
      <c r="A1519" s="19" t="str">
        <f>HYPERLINK("http://codeforces.com/contest/559/problem/C","CF559-D1-C")</f>
        <v>CF559-D1-C</v>
      </c>
      <c r="B1519" s="29" t="s">
        <v>1721</v>
      </c>
      <c r="C1519" s="17">
        <v>6.1</v>
      </c>
      <c r="D1519" s="18"/>
      <c r="E1519" s="17" t="s">
        <v>1716</v>
      </c>
      <c r="F1519" s="17" t="s">
        <v>1053</v>
      </c>
      <c r="G1519" s="18"/>
      <c r="H1519" s="18"/>
    </row>
    <row r="1520" spans="1:8" ht="13.2">
      <c r="A1520" s="19" t="str">
        <f>HYPERLINK("https://codeforces.com/contest/1140/problem/E","CF1140-D12-E")</f>
        <v>CF1140-D12-E</v>
      </c>
      <c r="B1520" s="30" t="s">
        <v>1722</v>
      </c>
      <c r="C1520" s="17">
        <v>6</v>
      </c>
      <c r="D1520" s="18"/>
      <c r="E1520" s="17" t="s">
        <v>1716</v>
      </c>
      <c r="F1520" s="17" t="s">
        <v>201</v>
      </c>
      <c r="G1520" s="18"/>
      <c r="H1520" s="18"/>
    </row>
    <row r="1521" spans="1:8" ht="13.2">
      <c r="A1521" s="15" t="s">
        <v>1723</v>
      </c>
      <c r="B1521" s="30" t="s">
        <v>1722</v>
      </c>
      <c r="C1521" s="24">
        <v>6</v>
      </c>
      <c r="D1521" s="26" t="str">
        <f>HYPERLINK("https://github.com/Mahmoud3ali/CompetitiveProgramming/blob/master/TopCoder/SRM508-D1-500.cpp","Sol")</f>
        <v>Sol</v>
      </c>
      <c r="E1521" s="17" t="s">
        <v>1716</v>
      </c>
      <c r="F1521" s="17"/>
      <c r="G1521" s="18"/>
      <c r="H1521" s="18"/>
    </row>
    <row r="1522" spans="1:8" ht="13.2">
      <c r="A1522" s="19" t="str">
        <f>HYPERLINK("http://lightoj.com/volume_showproblem.php?problem=1126","LightOJ 1126")</f>
        <v>LightOJ 1126</v>
      </c>
      <c r="B1522" s="37" t="s">
        <v>1724</v>
      </c>
      <c r="C1522" s="17">
        <v>5.5</v>
      </c>
      <c r="D1522" s="26" t="str">
        <f>HYPERLINK("https://github.com/nya-nya-meow/CompetitiveProgramming/blob/master/LightOJ/1126.cpp","Sol")</f>
        <v>Sol</v>
      </c>
      <c r="E1522" s="17" t="s">
        <v>1716</v>
      </c>
      <c r="F1522" s="17" t="s">
        <v>139</v>
      </c>
      <c r="G1522" s="18"/>
      <c r="H1522" s="18"/>
    </row>
    <row r="1523" spans="1:8" ht="13.2">
      <c r="A1523" s="19" t="str">
        <f>HYPERLINK("http://codeforces.com/contest/837/problem/D","CF837-D12-D")</f>
        <v>CF837-D12-D</v>
      </c>
      <c r="B1523" s="29" t="s">
        <v>1725</v>
      </c>
      <c r="C1523" s="17">
        <v>5</v>
      </c>
      <c r="D1523" s="18"/>
      <c r="E1523" s="17" t="s">
        <v>1716</v>
      </c>
      <c r="F1523" s="17"/>
      <c r="G1523" s="18"/>
      <c r="H1523" s="18"/>
    </row>
    <row r="1524" spans="1:8" ht="13.2">
      <c r="A1524" s="15" t="s">
        <v>1726</v>
      </c>
      <c r="B1524" s="29" t="s">
        <v>1727</v>
      </c>
      <c r="C1524" s="17">
        <v>5</v>
      </c>
      <c r="D1524" s="18"/>
      <c r="E1524" s="17" t="s">
        <v>1716</v>
      </c>
      <c r="F1524" s="17"/>
      <c r="G1524" s="18"/>
      <c r="H1524" s="18"/>
    </row>
    <row r="1525" spans="1:8" ht="13.2">
      <c r="A1525" s="15" t="s">
        <v>1728</v>
      </c>
      <c r="B1525" s="30" t="s">
        <v>1729</v>
      </c>
      <c r="C1525" s="17">
        <v>6.6</v>
      </c>
      <c r="D1525" s="18"/>
      <c r="E1525" s="17" t="s">
        <v>1730</v>
      </c>
      <c r="F1525" s="17" t="s">
        <v>139</v>
      </c>
      <c r="G1525" s="18"/>
      <c r="H1525" s="18"/>
    </row>
    <row r="1526" spans="1:8" ht="13.2">
      <c r="A1526" s="19" t="str">
        <f>HYPERLINK("https://www.hackerrank.com/challenges/billboards","HACKR BILLBOARDS")</f>
        <v>HACKR BILLBOARDS</v>
      </c>
      <c r="B1526" s="30" t="s">
        <v>1731</v>
      </c>
      <c r="C1526" s="24">
        <v>6</v>
      </c>
      <c r="D1526" s="26" t="str">
        <f>HYPERLINK("https://github.com/sggutier/CompetitiveProgramming/blob/master/HackerRank/billboards.cpp","Sol")</f>
        <v>Sol</v>
      </c>
      <c r="E1526" s="17" t="s">
        <v>1730</v>
      </c>
      <c r="F1526" s="17" t="s">
        <v>1164</v>
      </c>
      <c r="G1526" s="18"/>
      <c r="H1526" s="18"/>
    </row>
    <row r="1527" spans="1:8" ht="13.2">
      <c r="A1527" s="15" t="s">
        <v>1732</v>
      </c>
      <c r="B1527" s="41" t="s">
        <v>1733</v>
      </c>
      <c r="C1527" s="17">
        <v>7</v>
      </c>
      <c r="D1527" s="18"/>
      <c r="E1527" s="17" t="s">
        <v>1734</v>
      </c>
      <c r="F1527" s="17" t="s">
        <v>173</v>
      </c>
      <c r="G1527" s="18"/>
      <c r="H1527" s="18"/>
    </row>
    <row r="1528" spans="1:8" ht="13.2">
      <c r="A1528" s="19" t="str">
        <f>HYPERLINK("https://codeforces.com/contest/1199/problem/F","CF1199-D2-F")</f>
        <v>CF1199-D2-F</v>
      </c>
      <c r="B1528" s="20" t="s">
        <v>1735</v>
      </c>
      <c r="C1528" s="17">
        <v>6.3</v>
      </c>
      <c r="D1528" s="18"/>
      <c r="E1528" s="17" t="s">
        <v>1734</v>
      </c>
      <c r="F1528" s="17" t="s">
        <v>154</v>
      </c>
      <c r="G1528" s="18"/>
      <c r="H1528" s="18"/>
    </row>
    <row r="1529" spans="1:8" ht="13.2">
      <c r="A1529" s="15" t="s">
        <v>1736</v>
      </c>
      <c r="B1529" s="28" t="s">
        <v>1737</v>
      </c>
      <c r="C1529" s="24">
        <v>5.75</v>
      </c>
      <c r="D1529" s="18"/>
      <c r="E1529" s="17" t="s">
        <v>1734</v>
      </c>
      <c r="F1529" s="17" t="s">
        <v>201</v>
      </c>
      <c r="G1529" s="18"/>
      <c r="H1529" s="18"/>
    </row>
    <row r="1530" spans="1:8" ht="13.2">
      <c r="A1530" s="15" t="s">
        <v>1738</v>
      </c>
      <c r="B1530" s="30" t="s">
        <v>1739</v>
      </c>
      <c r="C1530" s="17">
        <v>5.5</v>
      </c>
      <c r="D1530" s="26" t="str">
        <f>HYPERLINK("https://github.com/mostafa-saad/MyCompetitiveProgramming/blob/master/SPOJ/SPOJ_FISHES.txt","Sol")</f>
        <v>Sol</v>
      </c>
      <c r="E1530" s="17" t="s">
        <v>1734</v>
      </c>
      <c r="F1530" s="17" t="s">
        <v>139</v>
      </c>
      <c r="G1530" s="18"/>
      <c r="H1530" s="18"/>
    </row>
    <row r="1531" spans="1:8" ht="13.2">
      <c r="A1531" s="15" t="s">
        <v>1740</v>
      </c>
      <c r="B1531" s="28" t="s">
        <v>1737</v>
      </c>
      <c r="C1531" s="24">
        <v>5.5</v>
      </c>
      <c r="D1531" s="18"/>
      <c r="E1531" s="17" t="s">
        <v>1734</v>
      </c>
      <c r="F1531" s="17"/>
      <c r="G1531" s="18"/>
      <c r="H1531" s="18"/>
    </row>
    <row r="1532" spans="1:8" ht="13.2">
      <c r="A1532" s="19" t="str">
        <f>HYPERLINK("http://codeforces.com/contest/75/problem/D","CF75-D2-D")</f>
        <v>CF75-D2-D</v>
      </c>
      <c r="B1532" s="29" t="s">
        <v>1741</v>
      </c>
      <c r="C1532" s="17">
        <v>5</v>
      </c>
      <c r="D1532" s="18"/>
      <c r="E1532" s="17" t="s">
        <v>1734</v>
      </c>
      <c r="F1532" s="17" t="s">
        <v>201</v>
      </c>
      <c r="G1532" s="18"/>
      <c r="H1532" s="18"/>
    </row>
    <row r="1533" spans="1:8" ht="13.2">
      <c r="A1533" s="15" t="s">
        <v>1742</v>
      </c>
      <c r="B1533" s="28" t="s">
        <v>1743</v>
      </c>
      <c r="C1533" s="24">
        <v>4</v>
      </c>
      <c r="D1533" s="18"/>
      <c r="E1533" s="17" t="s">
        <v>1734</v>
      </c>
      <c r="F1533" s="17"/>
      <c r="G1533" s="18"/>
      <c r="H1533" s="18"/>
    </row>
    <row r="1534" spans="1:8" ht="13.2">
      <c r="A1534" s="15" t="s">
        <v>1744</v>
      </c>
      <c r="B1534" s="30" t="s">
        <v>1745</v>
      </c>
      <c r="C1534" s="17">
        <v>3.5</v>
      </c>
      <c r="D1534" s="18"/>
      <c r="E1534" s="17" t="s">
        <v>1734</v>
      </c>
      <c r="F1534" s="17"/>
      <c r="G1534" s="18"/>
      <c r="H1534" s="18"/>
    </row>
    <row r="1535" spans="1:8" ht="13.2">
      <c r="A1535" s="15" t="s">
        <v>1746</v>
      </c>
      <c r="B1535" s="29" t="s">
        <v>1747</v>
      </c>
      <c r="C1535" s="17">
        <v>3</v>
      </c>
      <c r="D1535" s="18"/>
      <c r="E1535" s="17" t="s">
        <v>1734</v>
      </c>
      <c r="F1535" s="17"/>
      <c r="G1535" s="18"/>
      <c r="H1535" s="18"/>
    </row>
    <row r="1536" spans="1:8" ht="13.2">
      <c r="A1536" s="15" t="s">
        <v>1748</v>
      </c>
      <c r="B1536" s="29" t="s">
        <v>1737</v>
      </c>
      <c r="C1536" s="17">
        <v>3</v>
      </c>
      <c r="D1536" s="18"/>
      <c r="E1536" s="17" t="s">
        <v>1734</v>
      </c>
      <c r="F1536" s="17"/>
      <c r="G1536" s="18"/>
      <c r="H1536" s="18"/>
    </row>
    <row r="1537" spans="1:8" ht="13.2">
      <c r="A1537" s="15" t="s">
        <v>1749</v>
      </c>
      <c r="B1537" s="16" t="s">
        <v>1750</v>
      </c>
      <c r="C1537" s="17">
        <v>7.5</v>
      </c>
      <c r="D1537" s="18"/>
      <c r="E1537" s="17" t="s">
        <v>1751</v>
      </c>
      <c r="F1537" s="17" t="s">
        <v>139</v>
      </c>
      <c r="G1537" s="18"/>
      <c r="H1537" s="18"/>
    </row>
    <row r="1538" spans="1:8" ht="13.2">
      <c r="A1538" s="15" t="s">
        <v>1752</v>
      </c>
      <c r="B1538" s="16" t="s">
        <v>1753</v>
      </c>
      <c r="C1538" s="31">
        <v>6.5</v>
      </c>
      <c r="D1538" s="18" t="s">
        <v>1754</v>
      </c>
      <c r="E1538" s="17" t="s">
        <v>1751</v>
      </c>
      <c r="F1538" s="17" t="s">
        <v>139</v>
      </c>
      <c r="G1538" s="18"/>
      <c r="H1538" s="18"/>
    </row>
    <row r="1539" spans="1:8" ht="13.2">
      <c r="A1539" s="15" t="s">
        <v>1755</v>
      </c>
      <c r="B1539" s="30" t="s">
        <v>1756</v>
      </c>
      <c r="C1539" s="24">
        <v>6.5</v>
      </c>
      <c r="D1539" s="18"/>
      <c r="E1539" s="17" t="s">
        <v>1751</v>
      </c>
      <c r="F1539" s="17"/>
      <c r="G1539" s="18"/>
      <c r="H1539" s="18"/>
    </row>
    <row r="1540" spans="1:8" ht="13.2">
      <c r="A1540" s="15" t="s">
        <v>1757</v>
      </c>
      <c r="B1540" s="34" t="s">
        <v>1758</v>
      </c>
      <c r="C1540" s="33">
        <v>6.1</v>
      </c>
      <c r="D1540" s="26" t="str">
        <f>HYPERLINK("https://github.com/aviroop123/CompetitiveProgramming/blob/master/TopCoder/SRM358-D1-500.cpp","Sol")</f>
        <v>Sol</v>
      </c>
      <c r="E1540" s="17" t="s">
        <v>1751</v>
      </c>
      <c r="F1540" s="17" t="s">
        <v>139</v>
      </c>
      <c r="G1540" s="18"/>
      <c r="H1540" s="18"/>
    </row>
    <row r="1541" spans="1:8" ht="13.2">
      <c r="A1541" s="15" t="s">
        <v>1759</v>
      </c>
      <c r="B1541" s="28" t="s">
        <v>1760</v>
      </c>
      <c r="C1541" s="24">
        <v>5</v>
      </c>
      <c r="D1541" s="18"/>
      <c r="E1541" s="17" t="s">
        <v>1751</v>
      </c>
      <c r="F1541" s="17"/>
      <c r="G1541" s="18"/>
      <c r="H1541" s="18"/>
    </row>
    <row r="1542" spans="1:8" ht="13.2">
      <c r="A1542" s="15" t="s">
        <v>1761</v>
      </c>
      <c r="B1542" s="28" t="s">
        <v>1762</v>
      </c>
      <c r="C1542" s="24">
        <v>5</v>
      </c>
      <c r="D1542" s="18"/>
      <c r="E1542" s="17" t="s">
        <v>1751</v>
      </c>
      <c r="F1542" s="17"/>
      <c r="G1542" s="18"/>
      <c r="H1542" s="18"/>
    </row>
    <row r="1543" spans="1:8" ht="13.2">
      <c r="A1543" s="19" t="str">
        <f>HYPERLINK("http://codeforces.com/contest/38/problem/F","CF38-D12-F")</f>
        <v>CF38-D12-F</v>
      </c>
      <c r="B1543" s="29" t="s">
        <v>1763</v>
      </c>
      <c r="C1543" s="17">
        <v>5</v>
      </c>
      <c r="D1543" s="18"/>
      <c r="E1543" s="17" t="s">
        <v>1751</v>
      </c>
      <c r="F1543" s="17"/>
      <c r="G1543" s="18"/>
      <c r="H1543" s="18"/>
    </row>
    <row r="1544" spans="1:8" ht="13.2">
      <c r="A1544" s="15" t="s">
        <v>1764</v>
      </c>
      <c r="B1544" s="29" t="s">
        <v>1765</v>
      </c>
      <c r="C1544" s="24">
        <v>3</v>
      </c>
      <c r="D1544" s="18"/>
      <c r="E1544" s="17" t="s">
        <v>1751</v>
      </c>
      <c r="F1544" s="17"/>
      <c r="G1544" s="18"/>
      <c r="H1544" s="18"/>
    </row>
    <row r="1545" spans="1:8" ht="13.2">
      <c r="A1545" s="15" t="s">
        <v>1766</v>
      </c>
      <c r="B1545" s="18" t="s">
        <v>1765</v>
      </c>
      <c r="C1545" s="24">
        <v>3</v>
      </c>
      <c r="D1545" s="18"/>
      <c r="E1545" s="17" t="s">
        <v>1751</v>
      </c>
      <c r="F1545" s="17"/>
      <c r="G1545" s="18"/>
      <c r="H1545" s="18"/>
    </row>
    <row r="1546" spans="1:8" ht="13.2">
      <c r="A1546" s="19" t="str">
        <f>HYPERLINK("https://www.codechef.com/problems/BUYING","CODECHEF BUYING")</f>
        <v>CODECHEF BUYING</v>
      </c>
      <c r="B1546" s="18" t="s">
        <v>1767</v>
      </c>
      <c r="C1546" s="17">
        <v>7.25</v>
      </c>
      <c r="D1546" s="26" t="str">
        <f>HYPERLINK("https://github.com/shanto86/Training/blob/master/Codechef/CODECHEF%20BUYING.cpp","Sol")</f>
        <v>Sol</v>
      </c>
      <c r="E1546" s="17" t="s">
        <v>1768</v>
      </c>
      <c r="F1546" s="17" t="s">
        <v>173</v>
      </c>
      <c r="G1546" s="18"/>
      <c r="H1546" s="18"/>
    </row>
    <row r="1547" spans="1:8" ht="13.2">
      <c r="A1547" s="15" t="s">
        <v>1769</v>
      </c>
      <c r="B1547" s="29" t="s">
        <v>1770</v>
      </c>
      <c r="C1547" s="24">
        <v>6.5</v>
      </c>
      <c r="D1547" s="18"/>
      <c r="E1547" s="17" t="s">
        <v>1768</v>
      </c>
      <c r="F1547" s="17"/>
      <c r="G1547" s="18"/>
      <c r="H1547" s="18"/>
    </row>
    <row r="1548" spans="1:8" ht="13.2">
      <c r="A1548" s="19" t="str">
        <f>HYPERLINK("http://codeforces.com/contest/600/problem/E","CF600-D12-E")</f>
        <v>CF600-D12-E</v>
      </c>
      <c r="B1548" s="38" t="s">
        <v>1771</v>
      </c>
      <c r="C1548" s="17">
        <v>6</v>
      </c>
      <c r="D1548" s="18"/>
      <c r="E1548" s="17" t="s">
        <v>1768</v>
      </c>
      <c r="F1548" s="17" t="s">
        <v>154</v>
      </c>
      <c r="G1548" s="18"/>
      <c r="H1548" s="18"/>
    </row>
    <row r="1549" spans="1:8" ht="13.2">
      <c r="A1549" s="15" t="s">
        <v>1772</v>
      </c>
      <c r="B1549" s="28" t="s">
        <v>1773</v>
      </c>
      <c r="C1549" s="17">
        <v>6</v>
      </c>
      <c r="D1549" s="26" t="str">
        <f>HYPERLINK("https://github.com/stefdasca/CompetitiveProgramming/blob/master/TopCoder/SRM416-D1-500.cpp","Sol. Read Editorial.")</f>
        <v>Sol. Read Editorial.</v>
      </c>
      <c r="E1549" s="17" t="s">
        <v>1768</v>
      </c>
      <c r="F1549" s="17" t="s">
        <v>139</v>
      </c>
      <c r="G1549" s="18"/>
      <c r="H1549" s="18"/>
    </row>
    <row r="1550" spans="1:8" ht="13.2">
      <c r="A1550" s="15" t="s">
        <v>1774</v>
      </c>
      <c r="B1550" s="28" t="s">
        <v>1775</v>
      </c>
      <c r="C1550" s="24">
        <v>6</v>
      </c>
      <c r="D1550" s="26" t="str">
        <f>HYPERLINK("https://github.com/sggutier/CompetitiveProgramming/blob/master/LiveArchive/3930.cpp","Sol")</f>
        <v>Sol</v>
      </c>
      <c r="E1550" s="24" t="s">
        <v>1768</v>
      </c>
      <c r="F1550" s="17" t="s">
        <v>201</v>
      </c>
      <c r="G1550" s="18"/>
      <c r="H1550" s="18"/>
    </row>
    <row r="1551" spans="1:8" ht="13.2">
      <c r="A1551" s="15" t="s">
        <v>1776</v>
      </c>
      <c r="B1551" s="38" t="s">
        <v>1777</v>
      </c>
      <c r="C1551" s="17">
        <v>6</v>
      </c>
      <c r="D1551" s="18"/>
      <c r="E1551" s="17" t="s">
        <v>1768</v>
      </c>
      <c r="F1551" s="17" t="s">
        <v>242</v>
      </c>
      <c r="G1551" s="18"/>
      <c r="H1551" s="18"/>
    </row>
    <row r="1552" spans="1:8" ht="13.2">
      <c r="A1552" s="15" t="s">
        <v>1778</v>
      </c>
      <c r="B1552" s="38" t="s">
        <v>1777</v>
      </c>
      <c r="C1552" s="17">
        <v>6</v>
      </c>
      <c r="D1552" s="18"/>
      <c r="E1552" s="17" t="s">
        <v>1768</v>
      </c>
      <c r="F1552" s="17" t="s">
        <v>242</v>
      </c>
      <c r="G1552" s="18"/>
      <c r="H1552" s="18"/>
    </row>
    <row r="1553" spans="1:8" ht="13.2">
      <c r="A1553" s="19" t="str">
        <f>HYPERLINK("http://codeforces.com/contest/1051/problem/D","CF1051-D12-D")</f>
        <v>CF1051-D12-D</v>
      </c>
      <c r="B1553" s="15" t="s">
        <v>1779</v>
      </c>
      <c r="C1553" s="17">
        <v>5.5</v>
      </c>
      <c r="D1553" s="18"/>
      <c r="E1553" s="17" t="s">
        <v>1768</v>
      </c>
      <c r="F1553" s="17" t="s">
        <v>201</v>
      </c>
      <c r="G1553" s="18"/>
      <c r="H1553" s="18"/>
    </row>
    <row r="1554" spans="1:8" ht="14.25" customHeight="1">
      <c r="A1554" s="15" t="s">
        <v>1780</v>
      </c>
      <c r="B1554" s="28" t="s">
        <v>1781</v>
      </c>
      <c r="C1554" s="17">
        <v>5.5</v>
      </c>
      <c r="D1554" s="18"/>
      <c r="E1554" s="17" t="s">
        <v>1768</v>
      </c>
      <c r="F1554" s="17"/>
      <c r="G1554" s="18"/>
      <c r="H1554" s="18"/>
    </row>
    <row r="1555" spans="1:8" ht="13.2">
      <c r="A1555" s="19" t="str">
        <f>HYPERLINK("https://www.facebook.com/hackercup/problem/180494849326631/","FbHkrCup 18-R1-A")</f>
        <v>FbHkrCup 18-R1-A</v>
      </c>
      <c r="B1555" s="29" t="s">
        <v>1782</v>
      </c>
      <c r="C1555" s="21">
        <v>5</v>
      </c>
      <c r="D1555" s="18"/>
      <c r="E1555" s="17" t="s">
        <v>1768</v>
      </c>
      <c r="F1555" s="17" t="s">
        <v>201</v>
      </c>
      <c r="G1555" s="18"/>
      <c r="H1555" s="18"/>
    </row>
    <row r="1556" spans="1:8" ht="13.2">
      <c r="A1556" s="19" t="str">
        <f>HYPERLINK("https://onlinejudge.org/index.php?option=onlinejudge&amp;Itemid=8&amp;page=show_problem&amp;problem=3665","UVA 10918")</f>
        <v>UVA 10918</v>
      </c>
      <c r="B1556" s="28" t="s">
        <v>1783</v>
      </c>
      <c r="C1556" s="24">
        <v>5</v>
      </c>
      <c r="D1556" s="26" t="str">
        <f>HYPERLINK("https://algorithmist.com/wiki/UVa_10918","Sol")</f>
        <v>Sol</v>
      </c>
      <c r="E1556" s="17" t="s">
        <v>1768</v>
      </c>
      <c r="F1556" s="17" t="s">
        <v>242</v>
      </c>
      <c r="G1556" s="18"/>
      <c r="H1556" s="18"/>
    </row>
    <row r="1557" spans="1:8" ht="13.2">
      <c r="A1557" s="15" t="s">
        <v>1784</v>
      </c>
      <c r="B1557" s="38" t="s">
        <v>1777</v>
      </c>
      <c r="C1557" s="17">
        <v>5</v>
      </c>
      <c r="D1557" s="18"/>
      <c r="E1557" s="17" t="s">
        <v>1768</v>
      </c>
      <c r="F1557" s="17"/>
      <c r="G1557" s="18"/>
      <c r="H1557" s="18"/>
    </row>
    <row r="1558" spans="1:8" ht="13.2">
      <c r="A1558" s="15" t="s">
        <v>1785</v>
      </c>
      <c r="B1558" s="29" t="s">
        <v>1786</v>
      </c>
      <c r="C1558" s="24">
        <v>5</v>
      </c>
      <c r="D1558" s="18"/>
      <c r="E1558" s="17" t="s">
        <v>1768</v>
      </c>
      <c r="F1558" s="17"/>
      <c r="G1558" s="18"/>
      <c r="H1558" s="18"/>
    </row>
    <row r="1559" spans="1:8" ht="13.2">
      <c r="A1559" s="15" t="s">
        <v>1787</v>
      </c>
      <c r="B1559" s="28" t="s">
        <v>1788</v>
      </c>
      <c r="C1559" s="24">
        <v>5</v>
      </c>
      <c r="D1559" s="18"/>
      <c r="E1559" s="17" t="s">
        <v>1768</v>
      </c>
      <c r="F1559" s="17"/>
      <c r="G1559" s="18"/>
      <c r="H1559" s="18"/>
    </row>
    <row r="1560" spans="1:8" ht="13.2">
      <c r="A1560" s="15" t="s">
        <v>1789</v>
      </c>
      <c r="B1560" s="28" t="s">
        <v>1790</v>
      </c>
      <c r="C1560" s="33">
        <v>4</v>
      </c>
      <c r="D1560" s="26" t="str">
        <f>HYPERLINK("https://github.com/mostafa-saad/MyCompetitiveProgramming/blob/master/UVA/UVA_10940.txt","Sol")</f>
        <v>Sol</v>
      </c>
      <c r="E1560" s="17" t="s">
        <v>1768</v>
      </c>
      <c r="F1560" s="17"/>
      <c r="G1560" s="18"/>
      <c r="H1560" s="18"/>
    </row>
    <row r="1561" spans="1:8" ht="13.2">
      <c r="A1561" s="15" t="s">
        <v>1791</v>
      </c>
      <c r="B1561" s="30" t="s">
        <v>1792</v>
      </c>
      <c r="C1561" s="24">
        <v>7.5</v>
      </c>
      <c r="D1561" s="18"/>
      <c r="E1561" s="17" t="s">
        <v>1793</v>
      </c>
      <c r="F1561" s="17"/>
      <c r="G1561" s="18"/>
      <c r="H1561" s="18"/>
    </row>
    <row r="1562" spans="1:8" ht="13.2">
      <c r="A1562" s="19" t="str">
        <f>HYPERLINK("http://codeforces.com/contest/840/problem/C","CF840-D1-C")</f>
        <v>CF840-D1-C</v>
      </c>
      <c r="B1562" s="15" t="s">
        <v>1794</v>
      </c>
      <c r="C1562" s="17">
        <v>7.1</v>
      </c>
      <c r="D1562" s="26" t="str">
        <f>HYPERLINK("https://github.com/nya-nya-meow/CompetitiveProgramming/blob/master/CodeForces/CF840-D1-C.cpp","Sol")</f>
        <v>Sol</v>
      </c>
      <c r="E1562" s="17" t="s">
        <v>1793</v>
      </c>
      <c r="F1562" s="17" t="s">
        <v>173</v>
      </c>
      <c r="G1562" s="18"/>
      <c r="H1562" s="18"/>
    </row>
    <row r="1563" spans="1:8" ht="13.2">
      <c r="A1563" s="19" t="str">
        <f>HYPERLINK("http://codeforces.com/gym/101606/problem/E","CF101606-GYM-E")</f>
        <v>CF101606-GYM-E</v>
      </c>
      <c r="B1563" s="20" t="s">
        <v>1795</v>
      </c>
      <c r="C1563" s="21">
        <v>7</v>
      </c>
      <c r="D1563" s="26" t="str">
        <f>HYPERLINK("https://github.com/OmarHashim/Competitive-Programming/blob/master/CodeForces/CF101606-GYM-E","Sol")</f>
        <v>Sol</v>
      </c>
      <c r="E1563" s="17" t="s">
        <v>1793</v>
      </c>
      <c r="F1563" s="17"/>
      <c r="G1563" s="18"/>
      <c r="H1563" s="18"/>
    </row>
    <row r="1564" spans="1:8" ht="13.2">
      <c r="A1564" s="19" t="str">
        <f>HYPERLINK("http://codeforces.com/gym/100283/problem/C","CF100283-Gym-C")</f>
        <v>CF100283-Gym-C</v>
      </c>
      <c r="B1564" s="15" t="s">
        <v>1796</v>
      </c>
      <c r="C1564" s="17">
        <v>6.75</v>
      </c>
      <c r="D1564" s="26" t="str">
        <f>HYPERLINK("https://github.com/mostafa-saad/MyCompetitiveProgramming/blob/master/Codeforces/CF100283-Gym-C.txt","Sol")</f>
        <v>Sol</v>
      </c>
      <c r="E1564" s="17" t="s">
        <v>1793</v>
      </c>
      <c r="F1564" s="17" t="s">
        <v>1420</v>
      </c>
      <c r="G1564" s="18"/>
      <c r="H1564" s="18"/>
    </row>
    <row r="1565" spans="1:8" ht="13.2">
      <c r="A1565" s="19" t="str">
        <f>HYPERLINK("https://codeforces.com/contest/570/problem/E","CF570-D2-E")</f>
        <v>CF570-D2-E</v>
      </c>
      <c r="B1565" s="20" t="s">
        <v>1797</v>
      </c>
      <c r="C1565" s="21">
        <v>6.75</v>
      </c>
      <c r="D1565" s="18"/>
      <c r="E1565" s="17" t="s">
        <v>1793</v>
      </c>
      <c r="F1565" s="17" t="s">
        <v>139</v>
      </c>
      <c r="G1565" s="18"/>
      <c r="H1565" s="18"/>
    </row>
    <row r="1566" spans="1:8" ht="13.2">
      <c r="A1566" s="19" t="str">
        <f>HYPERLINK("http://codeforces.com/gym/101490/attachments/download/5853/2016-benelux-algorithm-programming-contest-bapc-16-en.pdf","CF101490-GYM-D")</f>
        <v>CF101490-GYM-D</v>
      </c>
      <c r="B1566" s="15" t="s">
        <v>1797</v>
      </c>
      <c r="C1566" s="17">
        <v>6.75</v>
      </c>
      <c r="D1566" s="26" t="str">
        <f>HYPERLINK("https://github.com/MedoN11/CompetitiveProgramming/blob/master/CodeForces/CF101490-GYM-D.cpp","Sol")</f>
        <v>Sol</v>
      </c>
      <c r="E1566" s="17" t="s">
        <v>1793</v>
      </c>
      <c r="F1566" s="17"/>
      <c r="G1566" s="18"/>
      <c r="H1566" s="18"/>
    </row>
    <row r="1567" spans="1:8" ht="13.2">
      <c r="A1567" s="19" t="str">
        <f>HYPERLINK("https://www.codechef.com/problems/AMBALLS","CODECHEF AMBALLS")</f>
        <v>CODECHEF AMBALLS</v>
      </c>
      <c r="B1567" s="15" t="s">
        <v>1798</v>
      </c>
      <c r="C1567" s="17">
        <v>6.5</v>
      </c>
      <c r="D1567" s="18"/>
      <c r="E1567" s="17" t="s">
        <v>1793</v>
      </c>
      <c r="F1567" s="17" t="s">
        <v>139</v>
      </c>
      <c r="G1567" s="18"/>
      <c r="H1567" s="18"/>
    </row>
    <row r="1568" spans="1:8" ht="13.2">
      <c r="A1568" s="19" t="str">
        <f>HYPERLINK("https://csacademy.com/contest/round-40/task/restricted-permutations/","CSA40-D")</f>
        <v>CSA40-D</v>
      </c>
      <c r="B1568" s="15" t="s">
        <v>1799</v>
      </c>
      <c r="C1568" s="17">
        <v>6.5</v>
      </c>
      <c r="D1568" s="26" t="str">
        <f>HYPERLINK("https://github.com/nya-nya-meow/CompetitiveProgramming/blob/master/CSAcademy/CSA40-D.cpp","Sol")</f>
        <v>Sol</v>
      </c>
      <c r="E1568" s="17" t="s">
        <v>1793</v>
      </c>
      <c r="F1568" s="17" t="s">
        <v>139</v>
      </c>
      <c r="G1568" s="18"/>
      <c r="H1568" s="18"/>
    </row>
    <row r="1569" spans="1:8" ht="13.2">
      <c r="A1569" s="19" t="str">
        <f>HYPERLINK("http://codeforces.com/contest/570/problem/E","CF570-D2-E")</f>
        <v>CF570-D2-E</v>
      </c>
      <c r="B1569" s="18" t="s">
        <v>1800</v>
      </c>
      <c r="C1569" s="17">
        <v>6.4</v>
      </c>
      <c r="D1569" s="18"/>
      <c r="E1569" s="17" t="s">
        <v>1793</v>
      </c>
      <c r="F1569" s="17" t="s">
        <v>139</v>
      </c>
      <c r="G1569" s="18"/>
      <c r="H1569" s="18"/>
    </row>
    <row r="1570" spans="1:8" ht="13.2">
      <c r="A1570" s="15" t="s">
        <v>1801</v>
      </c>
      <c r="B1570" s="30" t="s">
        <v>1802</v>
      </c>
      <c r="C1570" s="24">
        <v>6.3</v>
      </c>
      <c r="D1570" s="18"/>
      <c r="E1570" s="17" t="s">
        <v>1793</v>
      </c>
      <c r="F1570" s="17" t="s">
        <v>1053</v>
      </c>
      <c r="G1570" s="18"/>
      <c r="H1570" s="18"/>
    </row>
    <row r="1571" spans="1:8" ht="13.2">
      <c r="A1571" s="19" t="str">
        <f>HYPERLINK("https://codeforces.com/contest/940/problem/E", "CF940-D2-E")</f>
        <v>CF940-D2-E</v>
      </c>
      <c r="B1571" s="15" t="s">
        <v>1803</v>
      </c>
      <c r="C1571" s="17">
        <v>6.3</v>
      </c>
      <c r="D1571" s="18"/>
      <c r="E1571" s="17" t="s">
        <v>1793</v>
      </c>
      <c r="F1571" s="17" t="s">
        <v>139</v>
      </c>
      <c r="G1571" s="18"/>
      <c r="H1571" s="18"/>
    </row>
    <row r="1572" spans="1:8" ht="13.2">
      <c r="A1572" s="19" t="str">
        <f>HYPERLINK("http://codeforces.com/contest/813/problem/D","CF813-D12-D")</f>
        <v>CF813-D12-D</v>
      </c>
      <c r="B1572" s="18" t="s">
        <v>1804</v>
      </c>
      <c r="C1572" s="17">
        <v>6.25</v>
      </c>
      <c r="D1572" s="26" t="str">
        <f>HYPERLINK("https://github.com/tmwilliamlin168/CompetitiveProgramming/blob/master/CodeForces/CF813-D12-D.cpp", "Sol. Read Editorial for an interesting sol")</f>
        <v>Sol. Read Editorial for an interesting sol</v>
      </c>
      <c r="E1572" s="17" t="s">
        <v>1793</v>
      </c>
      <c r="F1572" s="17" t="s">
        <v>196</v>
      </c>
      <c r="G1572" s="18"/>
      <c r="H1572" s="18"/>
    </row>
    <row r="1573" spans="1:8" ht="13.2">
      <c r="A1573" s="19" t="str">
        <f>HYPERLINK("http://codeforces.com/contest/710/problem/E","CF710-D12-E")</f>
        <v>CF710-D12-E</v>
      </c>
      <c r="B1573" s="15" t="s">
        <v>1805</v>
      </c>
      <c r="C1573" s="17">
        <v>6.1</v>
      </c>
      <c r="D1573" s="26" t="str">
        <f>HYPERLINK("https://github.com/mostafa-saad/MyCompetitiveProgramming/blob/master/Codeforces/CF710-D12-E.txt","Sol")</f>
        <v>Sol</v>
      </c>
      <c r="E1573" s="17" t="s">
        <v>1793</v>
      </c>
      <c r="F1573" s="17" t="s">
        <v>196</v>
      </c>
      <c r="G1573" s="18"/>
      <c r="H1573" s="18"/>
    </row>
    <row r="1574" spans="1:8" ht="13.2">
      <c r="A1574" s="19" t="str">
        <f>HYPERLINK("http://codeforces.com/contest/418/problem/B","CF418-D1-B")</f>
        <v>CF418-D1-B</v>
      </c>
      <c r="B1574" s="29" t="s">
        <v>1806</v>
      </c>
      <c r="C1574" s="17">
        <v>5.5</v>
      </c>
      <c r="D1574" s="18"/>
      <c r="E1574" s="17" t="s">
        <v>1793</v>
      </c>
      <c r="F1574" s="17" t="s">
        <v>1053</v>
      </c>
      <c r="G1574" s="18"/>
      <c r="H1574" s="18"/>
    </row>
    <row r="1575" spans="1:8" ht="13.2">
      <c r="A1575" s="15" t="s">
        <v>1807</v>
      </c>
      <c r="B1575" s="15" t="s">
        <v>1808</v>
      </c>
      <c r="C1575" s="24">
        <v>5.5</v>
      </c>
      <c r="D1575" s="26" t="str">
        <f>HYPERLINK("https://github.com/mostafa-saad/MyCompetitiveProgramming/blob/master/ZOJ/ZOJ_3305.txt","Sol")</f>
        <v>Sol</v>
      </c>
      <c r="E1575" s="17" t="s">
        <v>1793</v>
      </c>
      <c r="F1575" s="17" t="s">
        <v>154</v>
      </c>
      <c r="G1575" s="18"/>
      <c r="H1575" s="18"/>
    </row>
    <row r="1576" spans="1:8" ht="13.2">
      <c r="A1576" s="19" t="str">
        <f>HYPERLINK("https://onlinejudge.org/index.php?option=onlinejudge&amp;Itemid=8&amp;page=show_problem&amp;problem=2233","UVA 11266")</f>
        <v>UVA 11266</v>
      </c>
      <c r="B1576" s="30" t="s">
        <v>1809</v>
      </c>
      <c r="C1576" s="24">
        <v>5.5</v>
      </c>
      <c r="D1576" s="26" t="str">
        <f>HYPERLINK("https://morris821028.github.io/2014/07/06/oj/uva/uva-11266/","Sol")</f>
        <v>Sol</v>
      </c>
      <c r="E1576" s="17" t="s">
        <v>1793</v>
      </c>
      <c r="F1576" s="17" t="s">
        <v>1810</v>
      </c>
      <c r="G1576" s="18"/>
      <c r="H1576" s="18"/>
    </row>
    <row r="1577" spans="1:8" ht="13.2">
      <c r="A1577" s="15" t="s">
        <v>1811</v>
      </c>
      <c r="B1577" s="34" t="s">
        <v>1812</v>
      </c>
      <c r="C1577" s="31">
        <v>5.5</v>
      </c>
      <c r="D1577" s="26" t="str">
        <f>HYPERLINK("https://github.com/andriy-zhuk/CompetitiveProgramming/blob/master/TopCoder/SRM534-D1-500.cpp","sol")</f>
        <v>sol</v>
      </c>
      <c r="E1577" s="17" t="s">
        <v>1793</v>
      </c>
      <c r="F1577" s="17"/>
      <c r="G1577" s="18"/>
      <c r="H1577" s="18"/>
    </row>
    <row r="1578" spans="1:8" ht="13.2">
      <c r="A1578" s="19" t="str">
        <f>HYPERLINK("http://codeforces.com/contest/478/problem/D","CF478-D2-D")</f>
        <v>CF478-D2-D</v>
      </c>
      <c r="B1578" s="29" t="s">
        <v>1813</v>
      </c>
      <c r="C1578" s="17">
        <v>5</v>
      </c>
      <c r="D1578" s="18"/>
      <c r="E1578" s="17" t="s">
        <v>1793</v>
      </c>
      <c r="F1578" s="17" t="s">
        <v>1053</v>
      </c>
      <c r="G1578" s="18"/>
      <c r="H1578" s="18"/>
    </row>
    <row r="1579" spans="1:8" ht="13.2">
      <c r="A1579" s="19" t="str">
        <f>HYPERLINK("http://codeforces.com/contest/192/problem/C","CF192-D2-C")</f>
        <v>CF192-D2-C</v>
      </c>
      <c r="B1579" s="15" t="s">
        <v>1797</v>
      </c>
      <c r="C1579" s="17">
        <v>5</v>
      </c>
      <c r="D1579" s="18"/>
      <c r="E1579" s="17" t="s">
        <v>1793</v>
      </c>
      <c r="F1579" s="17"/>
      <c r="G1579" s="18"/>
      <c r="H1579" s="18"/>
    </row>
    <row r="1580" spans="1:8" ht="13.2">
      <c r="A1580" s="15" t="s">
        <v>1814</v>
      </c>
      <c r="B1580" s="20" t="s">
        <v>1815</v>
      </c>
      <c r="C1580" s="17">
        <v>5</v>
      </c>
      <c r="D1580" s="18"/>
      <c r="E1580" s="17" t="s">
        <v>1793</v>
      </c>
      <c r="F1580" s="17"/>
      <c r="G1580" s="18"/>
      <c r="H1580" s="18"/>
    </row>
    <row r="1581" spans="1:8" ht="13.2">
      <c r="A1581" s="19" t="str">
        <f>HYPERLINK("http://codeforces.com/contest/667/problem/C","CF667-D2-C")</f>
        <v>CF667-D2-C</v>
      </c>
      <c r="B1581" s="29" t="s">
        <v>1816</v>
      </c>
      <c r="C1581" s="17">
        <v>4.5</v>
      </c>
      <c r="D1581" s="18"/>
      <c r="E1581" s="17" t="s">
        <v>1793</v>
      </c>
      <c r="F1581" s="17" t="s">
        <v>139</v>
      </c>
      <c r="G1581" s="18"/>
      <c r="H1581" s="18"/>
    </row>
    <row r="1582" spans="1:8" ht="13.2">
      <c r="A1582" s="15" t="s">
        <v>1817</v>
      </c>
      <c r="B1582" s="18" t="s">
        <v>1797</v>
      </c>
      <c r="C1582" s="40">
        <v>3</v>
      </c>
      <c r="D1582" s="18"/>
      <c r="E1582" s="17" t="s">
        <v>1793</v>
      </c>
      <c r="F1582" s="17"/>
      <c r="G1582" s="18"/>
      <c r="H1582" s="18"/>
    </row>
    <row r="1583" spans="1:8" ht="13.2">
      <c r="A1583" s="19" t="str">
        <f>HYPERLINK("http://codeforces.com/gym/101915/problem/E","CF101915-Gym-E")</f>
        <v>CF101915-Gym-E</v>
      </c>
      <c r="B1583" s="20" t="s">
        <v>1818</v>
      </c>
      <c r="C1583" s="21">
        <v>7.5</v>
      </c>
      <c r="D1583" s="26" t="str">
        <f>HYPERLINK("https://github.com/swapnil119/CompetitiveProgramming/blob/master/CompetitiveProgramming/Codeforces/CF101915-GYM-E.cpp","Sol")</f>
        <v>Sol</v>
      </c>
      <c r="E1583" s="17" t="s">
        <v>1819</v>
      </c>
      <c r="F1583" s="17" t="s">
        <v>139</v>
      </c>
      <c r="G1583" s="18"/>
      <c r="H1583" s="18"/>
    </row>
    <row r="1584" spans="1:8" ht="13.2">
      <c r="A1584" s="19" t="str">
        <f>HYPERLINK("http://codeforces.com/contest/662/problem/C","CF662-D12-C")</f>
        <v>CF662-D12-C</v>
      </c>
      <c r="B1584" s="15" t="s">
        <v>1818</v>
      </c>
      <c r="C1584" s="24">
        <v>7.5</v>
      </c>
      <c r="D1584" s="18"/>
      <c r="E1584" s="17" t="s">
        <v>1819</v>
      </c>
      <c r="F1584" s="17" t="s">
        <v>139</v>
      </c>
      <c r="G1584" s="18"/>
      <c r="H1584" s="18"/>
    </row>
    <row r="1585" spans="1:8" ht="13.2">
      <c r="A1585" s="19" t="str">
        <f>HYPERLINK("http://codeforces.com/contest/1198/problem/F","CF1198-D1-F")</f>
        <v>CF1198-D1-F</v>
      </c>
      <c r="B1585" s="15" t="s">
        <v>1820</v>
      </c>
      <c r="C1585" s="17">
        <v>7.5</v>
      </c>
      <c r="D1585" s="18"/>
      <c r="E1585" s="17" t="s">
        <v>1819</v>
      </c>
      <c r="F1585" s="17" t="s">
        <v>139</v>
      </c>
      <c r="G1585" s="18"/>
      <c r="H1585" s="18"/>
    </row>
    <row r="1586" spans="1:8" ht="13.2">
      <c r="A1586" s="15" t="s">
        <v>1821</v>
      </c>
      <c r="B1586" s="30" t="s">
        <v>1818</v>
      </c>
      <c r="C1586" s="17">
        <v>7.5</v>
      </c>
      <c r="D1586" s="18" t="s">
        <v>1822</v>
      </c>
      <c r="E1586" s="17" t="s">
        <v>1819</v>
      </c>
      <c r="F1586" s="17" t="s">
        <v>201</v>
      </c>
      <c r="G1586" s="18"/>
      <c r="H1586" s="18"/>
    </row>
    <row r="1587" spans="1:8" ht="13.2">
      <c r="A1587" s="15" t="s">
        <v>1823</v>
      </c>
      <c r="B1587" s="30" t="s">
        <v>1824</v>
      </c>
      <c r="C1587" s="17">
        <v>7.25</v>
      </c>
      <c r="D1587" s="18"/>
      <c r="E1587" s="17" t="s">
        <v>1819</v>
      </c>
      <c r="F1587" s="17"/>
      <c r="G1587" s="18"/>
      <c r="H1587" s="18"/>
    </row>
    <row r="1588" spans="1:8" ht="13.2">
      <c r="A1588" s="19" t="str">
        <f>HYPERLINK("https://agc012.contest.atcoder.jp/tasks/agc012_e","AtCoder012-AGC-E")</f>
        <v>AtCoder012-AGC-E</v>
      </c>
      <c r="B1588" s="15" t="s">
        <v>1825</v>
      </c>
      <c r="C1588" s="17">
        <v>7.25</v>
      </c>
      <c r="D1588" s="18"/>
      <c r="E1588" s="17" t="s">
        <v>1819</v>
      </c>
      <c r="F1588" s="17"/>
      <c r="G1588" s="18"/>
      <c r="H1588" s="18"/>
    </row>
    <row r="1589" spans="1:8" ht="13.2">
      <c r="A1589" s="15" t="s">
        <v>1826</v>
      </c>
      <c r="B1589" s="41" t="s">
        <v>1827</v>
      </c>
      <c r="C1589" s="17">
        <v>7</v>
      </c>
      <c r="D1589" s="18"/>
      <c r="E1589" s="17" t="s">
        <v>1819</v>
      </c>
      <c r="F1589" s="17" t="s">
        <v>173</v>
      </c>
      <c r="G1589" s="18"/>
      <c r="H1589" s="18"/>
    </row>
    <row r="1590" spans="1:8" ht="13.2">
      <c r="A1590" s="19" t="str">
        <f>HYPERLINK("http://codeforces.com/contest/544/problem/E","CF544-D2-E")</f>
        <v>CF544-D2-E</v>
      </c>
      <c r="B1590" s="38" t="s">
        <v>1828</v>
      </c>
      <c r="C1590" s="33">
        <v>7</v>
      </c>
      <c r="D1590" s="18"/>
      <c r="E1590" s="17" t="s">
        <v>1819</v>
      </c>
      <c r="F1590" s="17" t="s">
        <v>139</v>
      </c>
      <c r="G1590" s="18"/>
      <c r="H1590" s="18"/>
    </row>
    <row r="1591" spans="1:8" ht="13.2">
      <c r="A1591" s="19" t="str">
        <f>HYPERLINK("http://codeforces.com/contest/367/problem/D","CF367-D1-D")</f>
        <v>CF367-D1-D</v>
      </c>
      <c r="B1591" s="29" t="s">
        <v>1829</v>
      </c>
      <c r="C1591" s="17">
        <v>7</v>
      </c>
      <c r="D1591" s="18"/>
      <c r="E1591" s="17" t="s">
        <v>1819</v>
      </c>
      <c r="F1591" s="17"/>
      <c r="G1591" s="18"/>
      <c r="H1591" s="18"/>
    </row>
    <row r="1592" spans="1:8" ht="13.2">
      <c r="A1592" s="15" t="s">
        <v>1830</v>
      </c>
      <c r="B1592" s="34" t="s">
        <v>1831</v>
      </c>
      <c r="C1592" s="17">
        <v>6.75</v>
      </c>
      <c r="D1592" s="18"/>
      <c r="E1592" s="17" t="s">
        <v>1819</v>
      </c>
      <c r="F1592" s="17" t="s">
        <v>154</v>
      </c>
      <c r="G1592" s="18"/>
      <c r="H1592" s="18"/>
    </row>
    <row r="1593" spans="1:8" ht="13.2">
      <c r="A1593" s="19" t="str">
        <f>HYPERLINK("http://codeforces.com/contest/543/problem/C","CF543-D1-C")</f>
        <v>CF543-D1-C</v>
      </c>
      <c r="B1593" s="15" t="s">
        <v>1832</v>
      </c>
      <c r="C1593" s="17">
        <v>6.75</v>
      </c>
      <c r="D1593" s="18"/>
      <c r="E1593" s="17" t="s">
        <v>1819</v>
      </c>
      <c r="F1593" s="17" t="s">
        <v>139</v>
      </c>
      <c r="G1593" s="18"/>
      <c r="H1593" s="18"/>
    </row>
    <row r="1594" spans="1:8" ht="13.2">
      <c r="A1594" s="19" t="str">
        <f>HYPERLINK("https://community.topcoder.com/stat?c=problem_statement&amp;pm=14662","TC(Avoid9)")</f>
        <v>TC(Avoid9)</v>
      </c>
      <c r="B1594" s="37" t="s">
        <v>1833</v>
      </c>
      <c r="C1594" s="17">
        <v>6.75</v>
      </c>
      <c r="D1594" s="18"/>
      <c r="E1594" s="17" t="s">
        <v>1819</v>
      </c>
      <c r="F1594" s="17"/>
      <c r="G1594" s="18"/>
      <c r="H1594" s="18"/>
    </row>
    <row r="1595" spans="1:8" ht="13.2">
      <c r="A1595" s="19" t="str">
        <f>HYPERLINK("http://codeforces.com/contest/454/problem/D","CF454-D2-D")</f>
        <v>CF454-D2-D</v>
      </c>
      <c r="B1595" s="28" t="s">
        <v>1818</v>
      </c>
      <c r="C1595" s="17">
        <v>6.5</v>
      </c>
      <c r="D1595" s="18"/>
      <c r="E1595" s="17" t="s">
        <v>1819</v>
      </c>
      <c r="F1595" s="17" t="s">
        <v>139</v>
      </c>
      <c r="G1595" s="18"/>
      <c r="H1595" s="18"/>
    </row>
    <row r="1596" spans="1:8" ht="13.2">
      <c r="A1596" s="15" t="s">
        <v>1834</v>
      </c>
      <c r="B1596" s="29" t="s">
        <v>1835</v>
      </c>
      <c r="C1596" s="24">
        <v>6.5</v>
      </c>
      <c r="D1596" s="26" t="str">
        <f>HYPERLINK("https://github.com/Ownography/CP/blob/master/UVA%201323","Sol")</f>
        <v>Sol</v>
      </c>
      <c r="E1596" s="17" t="s">
        <v>1819</v>
      </c>
      <c r="F1596" s="17" t="s">
        <v>139</v>
      </c>
      <c r="G1596" s="18"/>
      <c r="H1596" s="18"/>
    </row>
    <row r="1597" spans="1:8" ht="13.2">
      <c r="A1597" s="19" t="str">
        <f>HYPERLINK("https://codeforces.com/contest/1313/problem/D","CF1313-D2-D")</f>
        <v>CF1313-D2-D</v>
      </c>
      <c r="B1597" s="20" t="s">
        <v>1836</v>
      </c>
      <c r="C1597" s="21">
        <v>6.5</v>
      </c>
      <c r="D1597" s="18"/>
      <c r="E1597" s="17" t="s">
        <v>1819</v>
      </c>
      <c r="F1597" s="17" t="s">
        <v>139</v>
      </c>
      <c r="G1597" s="18"/>
      <c r="H1597" s="18"/>
    </row>
    <row r="1598" spans="1:8" ht="13.2">
      <c r="A1598" s="15" t="s">
        <v>1837</v>
      </c>
      <c r="B1598" s="18" t="s">
        <v>1838</v>
      </c>
      <c r="C1598" s="24">
        <v>6.5</v>
      </c>
      <c r="D1598" s="26" t="str">
        <f>HYPERLINK("https://github.com/MedoN11/CompetitiveProgramming/blob/master/TopCoder/SRM549-D2-1000.java","Sol")</f>
        <v>Sol</v>
      </c>
      <c r="E1598" s="17" t="s">
        <v>1819</v>
      </c>
      <c r="F1598" s="17" t="s">
        <v>139</v>
      </c>
      <c r="G1598" s="18"/>
      <c r="H1598" s="18"/>
    </row>
    <row r="1599" spans="1:8" ht="13.2">
      <c r="A1599" s="19" t="str">
        <f>HYPERLINK("http://codeforces.com/contest/413/problem/D","CF413-D12-D")</f>
        <v>CF413-D12-D</v>
      </c>
      <c r="B1599" s="28" t="s">
        <v>1818</v>
      </c>
      <c r="C1599" s="17">
        <v>6.5</v>
      </c>
      <c r="D1599" s="18"/>
      <c r="E1599" s="17" t="s">
        <v>1819</v>
      </c>
      <c r="F1599" s="17"/>
      <c r="G1599" s="18"/>
      <c r="H1599" s="18"/>
    </row>
    <row r="1600" spans="1:8" ht="13.2">
      <c r="A1600" s="19" t="str">
        <f>HYPERLINK("https://codeforces.com/contest/743/problem/E","CF743-D2-E")</f>
        <v>CF743-D2-E</v>
      </c>
      <c r="B1600" s="20" t="s">
        <v>1818</v>
      </c>
      <c r="C1600" s="21">
        <v>6.5</v>
      </c>
      <c r="D1600" s="18"/>
      <c r="E1600" s="17" t="s">
        <v>1819</v>
      </c>
      <c r="F1600" s="17"/>
      <c r="G1600" s="18"/>
      <c r="H1600" s="18"/>
    </row>
    <row r="1601" spans="1:8" ht="13.2">
      <c r="A1601" s="19" t="str">
        <f>HYPERLINK("http://codeforces.com/contest/342/problem/D","CF342-D2-D")</f>
        <v>CF342-D2-D</v>
      </c>
      <c r="B1601" s="15" t="s">
        <v>1839</v>
      </c>
      <c r="C1601" s="24">
        <v>6.5</v>
      </c>
      <c r="D1601" s="18"/>
      <c r="E1601" s="17" t="s">
        <v>1819</v>
      </c>
      <c r="F1601" s="17"/>
      <c r="G1601" s="18"/>
      <c r="H1601" s="18"/>
    </row>
    <row r="1602" spans="1:8" ht="13.2">
      <c r="A1602" s="19" t="str">
        <f>HYPERLINK("https://www.codechef.com/problems/FAVGAME","CODECHEF FAVGAME")</f>
        <v>CODECHEF FAVGAME</v>
      </c>
      <c r="B1602" s="18" t="s">
        <v>1840</v>
      </c>
      <c r="C1602" s="17">
        <v>6.5</v>
      </c>
      <c r="D1602" s="18"/>
      <c r="E1602" s="17" t="s">
        <v>1819</v>
      </c>
      <c r="F1602" s="17"/>
      <c r="G1602" s="18"/>
      <c r="H1602" s="18"/>
    </row>
    <row r="1603" spans="1:8" ht="13.2">
      <c r="A1603" s="19" t="str">
        <f>HYPERLINK("https://codeforces.com/contest/1209/problem/E2","CF1209-D12-E2")</f>
        <v>CF1209-D12-E2</v>
      </c>
      <c r="B1603" s="49" t="s">
        <v>1841</v>
      </c>
      <c r="C1603" s="50">
        <v>6.4</v>
      </c>
      <c r="D1603" s="26" t="str">
        <f>HYPERLINK("https://github.com/andriy-zhuk/CompetitiveProgramming/blob/master/Codeforces/CF1209-D12-E2.cpp","Sol")</f>
        <v>Sol</v>
      </c>
      <c r="E1603" s="17" t="s">
        <v>1819</v>
      </c>
      <c r="F1603" s="17" t="s">
        <v>154</v>
      </c>
      <c r="G1603" s="18"/>
      <c r="H1603" s="18"/>
    </row>
    <row r="1604" spans="1:8" ht="13.2">
      <c r="A1604" s="15" t="s">
        <v>1842</v>
      </c>
      <c r="B1604" s="34" t="s">
        <v>1843</v>
      </c>
      <c r="C1604" s="33">
        <v>6.25</v>
      </c>
      <c r="D1604" s="26" t="str">
        <f>HYPERLINK("https://github.com/jebouin/CompetitiveProgramming/blob/master/TopCoder/SRM356-D1-500.cpp","Sol")</f>
        <v>Sol</v>
      </c>
      <c r="E1604" s="17" t="s">
        <v>1819</v>
      </c>
      <c r="F1604" s="17" t="s">
        <v>173</v>
      </c>
      <c r="G1604" s="18"/>
      <c r="H1604" s="18"/>
    </row>
    <row r="1605" spans="1:8" ht="13.2">
      <c r="A1605" s="19" t="str">
        <f>HYPERLINK("https://codeforces.com/contest/378/problem/E","CF378-D2-E")</f>
        <v>CF378-D2-E</v>
      </c>
      <c r="B1605" s="20" t="s">
        <v>1818</v>
      </c>
      <c r="C1605" s="21">
        <v>6.25</v>
      </c>
      <c r="D1605" s="18"/>
      <c r="E1605" s="17" t="s">
        <v>1819</v>
      </c>
      <c r="F1605" s="17" t="s">
        <v>139</v>
      </c>
      <c r="G1605" s="18"/>
      <c r="H1605" s="18"/>
    </row>
    <row r="1606" spans="1:8" ht="13.2">
      <c r="A1606" s="19" t="str">
        <f>HYPERLINK("https://www.hackerrank.com/contests/hack-the-interview-u-s-2/challenges/charity","HACKR charity")</f>
        <v>HACKR charity</v>
      </c>
      <c r="B1606" s="15" t="s">
        <v>1818</v>
      </c>
      <c r="C1606" s="17">
        <v>6.25</v>
      </c>
      <c r="D1606" s="18"/>
      <c r="E1606" s="17" t="s">
        <v>1819</v>
      </c>
      <c r="F1606" s="17" t="s">
        <v>139</v>
      </c>
      <c r="G1606" s="18"/>
      <c r="H1606" s="18"/>
    </row>
    <row r="1607" spans="1:8" ht="13.2">
      <c r="A1607" s="19" t="str">
        <f>HYPERLINK("http://codeforces.com/contest/907/problem/E","CF907-D2-E")</f>
        <v>CF907-D2-E</v>
      </c>
      <c r="B1607" s="15" t="s">
        <v>1844</v>
      </c>
      <c r="C1607" s="17">
        <v>6.25</v>
      </c>
      <c r="D1607" s="26" t="str">
        <f>HYPERLINK("https://github.com/goswami-rahul/competitive-coding/blob/master/CompetitiveProgramming/codeforces/CF907-D2-E.cpp","Sol")</f>
        <v>Sol</v>
      </c>
      <c r="E1607" s="17" t="s">
        <v>1819</v>
      </c>
      <c r="F1607" s="17" t="s">
        <v>139</v>
      </c>
      <c r="G1607" s="18"/>
      <c r="H1607" s="18"/>
    </row>
    <row r="1608" spans="1:8" ht="13.2">
      <c r="A1608" s="15" t="s">
        <v>1845</v>
      </c>
      <c r="B1608" s="28" t="s">
        <v>1846</v>
      </c>
      <c r="C1608" s="24">
        <v>6.25</v>
      </c>
      <c r="D1608" s="26" t="str">
        <f>HYPERLINK("https://github.com/Omaar22/CompetitiveProgramming/blob/master/SPOJ/SPOJ%20DNALAB.cpp","Sol")</f>
        <v>Sol</v>
      </c>
      <c r="E1608" s="17" t="s">
        <v>1819</v>
      </c>
      <c r="F1608" s="17"/>
      <c r="G1608" s="18"/>
      <c r="H1608" s="18"/>
    </row>
    <row r="1609" spans="1:8" ht="13.2">
      <c r="A1609" s="15" t="s">
        <v>1847</v>
      </c>
      <c r="B1609" s="41" t="s">
        <v>1848</v>
      </c>
      <c r="C1609" s="17">
        <v>6.1</v>
      </c>
      <c r="D1609" s="26" t="str">
        <f>HYPERLINK("https://github.com/mostafa-saad/MyCompetitiveProgramming/blob/master/LiveArchive/LIVEARCHIVE_4970.txt","Sol")</f>
        <v>Sol</v>
      </c>
      <c r="E1609" s="17" t="s">
        <v>1819</v>
      </c>
      <c r="F1609" s="17" t="s">
        <v>139</v>
      </c>
      <c r="G1609" s="18"/>
      <c r="H1609" s="18"/>
    </row>
    <row r="1610" spans="1:8" ht="13.2">
      <c r="A1610" s="19" t="str">
        <f>HYPERLINK("http://codeforces.com/contest/743/problem/E","CF743-D2-E")</f>
        <v>CF743-D2-E</v>
      </c>
      <c r="B1610" s="18" t="s">
        <v>1849</v>
      </c>
      <c r="C1610" s="17">
        <v>6.1</v>
      </c>
      <c r="D1610" s="18"/>
      <c r="E1610" s="17" t="s">
        <v>1819</v>
      </c>
      <c r="F1610" s="17" t="s">
        <v>613</v>
      </c>
      <c r="G1610" s="18"/>
      <c r="H1610" s="18"/>
    </row>
    <row r="1611" spans="1:8" ht="13.2">
      <c r="A1611" s="19" t="str">
        <f>HYPERLINK("http://codeforces.com/problemset/problem/453/B", "CF453-D1-B")</f>
        <v>CF453-D1-B</v>
      </c>
      <c r="B1611" s="20" t="s">
        <v>1850</v>
      </c>
      <c r="C1611" s="21">
        <v>6.1</v>
      </c>
      <c r="D1611" s="18"/>
      <c r="E1611" s="17" t="s">
        <v>1819</v>
      </c>
      <c r="F1611" s="17" t="s">
        <v>201</v>
      </c>
      <c r="G1611" s="18"/>
      <c r="H1611" s="18"/>
    </row>
    <row r="1612" spans="1:8" ht="13.2">
      <c r="A1612" s="19" t="str">
        <f>HYPERLINK("https://codeforces.com/contest/757/problem/D","CF757-D12-D")</f>
        <v>CF757-D12-D</v>
      </c>
      <c r="B1612" s="15" t="s">
        <v>1818</v>
      </c>
      <c r="C1612" s="17">
        <v>6</v>
      </c>
      <c r="D1612" s="18"/>
      <c r="E1612" s="17" t="s">
        <v>1819</v>
      </c>
      <c r="F1612" s="17" t="s">
        <v>139</v>
      </c>
      <c r="G1612" s="18"/>
      <c r="H1612" s="18"/>
    </row>
    <row r="1613" spans="1:8" ht="13.2">
      <c r="A1613" s="15" t="s">
        <v>1851</v>
      </c>
      <c r="B1613" s="30" t="s">
        <v>1852</v>
      </c>
      <c r="C1613" s="24">
        <v>6</v>
      </c>
      <c r="D1613" s="18"/>
      <c r="E1613" s="17" t="s">
        <v>1819</v>
      </c>
      <c r="F1613" s="17" t="s">
        <v>139</v>
      </c>
      <c r="G1613" s="18"/>
      <c r="H1613" s="18"/>
    </row>
    <row r="1614" spans="1:8" ht="13.2">
      <c r="A1614" s="19" t="str">
        <f>HYPERLINK("http://codeforces.com/contest/1234/problem/F","CF1234-D3-F")</f>
        <v>CF1234-D3-F</v>
      </c>
      <c r="B1614" s="15" t="s">
        <v>1818</v>
      </c>
      <c r="C1614" s="17">
        <v>6</v>
      </c>
      <c r="D1614" s="18"/>
      <c r="E1614" s="17" t="s">
        <v>1819</v>
      </c>
      <c r="F1614" s="17" t="s">
        <v>201</v>
      </c>
      <c r="G1614" s="18"/>
      <c r="H1614" s="18"/>
    </row>
    <row r="1615" spans="1:8" ht="13.2">
      <c r="A1615" s="19" t="str">
        <f>HYPERLINK("http://codeforces.com/gym/100212/attachments","CF100212-GYM-E")</f>
        <v>CF100212-GYM-E</v>
      </c>
      <c r="B1615" s="38" t="s">
        <v>1833</v>
      </c>
      <c r="C1615" s="17">
        <v>6</v>
      </c>
      <c r="D1615" s="26" t="str">
        <f>HYPERLINK("https://github.com/khaledsliti/CompetitiveProgramming/blob/master/Codeforces/CF100212-GYM-E.cpp","Sol")</f>
        <v>Sol</v>
      </c>
      <c r="E1615" s="17" t="s">
        <v>1819</v>
      </c>
      <c r="F1615" s="17" t="s">
        <v>201</v>
      </c>
      <c r="G1615" s="18"/>
      <c r="H1615" s="18"/>
    </row>
    <row r="1616" spans="1:8" ht="13.2">
      <c r="A1616" s="19" t="str">
        <f>HYPERLINK("http://codeforces.com/contest/385/problem/D","CF385-D2-D")</f>
        <v>CF385-D2-D</v>
      </c>
      <c r="B1616" s="28" t="s">
        <v>1853</v>
      </c>
      <c r="C1616" s="24">
        <v>6</v>
      </c>
      <c r="D1616" s="18"/>
      <c r="E1616" s="17" t="s">
        <v>1819</v>
      </c>
      <c r="F1616" s="17" t="s">
        <v>201</v>
      </c>
      <c r="G1616" s="18"/>
      <c r="H1616" s="18"/>
    </row>
    <row r="1617" spans="1:8" ht="13.2">
      <c r="A1617" s="15" t="s">
        <v>1854</v>
      </c>
      <c r="B1617" s="30" t="s">
        <v>1818</v>
      </c>
      <c r="C1617" s="24">
        <v>6</v>
      </c>
      <c r="D1617" s="18"/>
      <c r="E1617" s="17" t="s">
        <v>1819</v>
      </c>
      <c r="F1617" s="17" t="s">
        <v>242</v>
      </c>
      <c r="G1617" s="18"/>
      <c r="H1617" s="18"/>
    </row>
    <row r="1618" spans="1:8" ht="13.2">
      <c r="A1618" s="19" t="str">
        <f>HYPERLINK("https://beta.atcoder.jp/contests/abc113/tasks/abc113_d","AtCoder113-ABC-D")</f>
        <v>AtCoder113-ABC-D</v>
      </c>
      <c r="B1618" s="15" t="s">
        <v>1818</v>
      </c>
      <c r="C1618" s="17">
        <v>6</v>
      </c>
      <c r="D1618" s="18"/>
      <c r="E1618" s="17" t="s">
        <v>1819</v>
      </c>
      <c r="F1618" s="17"/>
      <c r="G1618" s="18"/>
      <c r="H1618" s="18"/>
    </row>
    <row r="1619" spans="1:8" ht="13.2">
      <c r="A1619" s="19" t="str">
        <f>HYPERLINK("http://codeforces.com/gym/101484/problem/E","CF101484-GYM-K")</f>
        <v>CF101484-GYM-K</v>
      </c>
      <c r="B1619" s="15" t="s">
        <v>1818</v>
      </c>
      <c r="C1619" s="17">
        <v>6</v>
      </c>
      <c r="D1619" s="26" t="str">
        <f>HYPERLINK("https://github.com/HosamEissa/Competitive-programming-/blob/master/Codeforces/CF101484-GYM-K.cpp","Sol")</f>
        <v>Sol</v>
      </c>
      <c r="E1619" s="17" t="s">
        <v>1819</v>
      </c>
      <c r="F1619" s="17"/>
      <c r="G1619" s="18"/>
      <c r="H1619" s="18"/>
    </row>
    <row r="1620" spans="1:8" ht="13.2">
      <c r="A1620" s="15" t="s">
        <v>1855</v>
      </c>
      <c r="B1620" s="28" t="s">
        <v>1818</v>
      </c>
      <c r="C1620" s="24">
        <v>6</v>
      </c>
      <c r="D1620" s="26" t="str">
        <f>HYPERLINK("https://github.com/OmarHashim/Competitive-Programming/blob/master/SPOJ/HELPBOB.cpp","Sol")</f>
        <v>Sol</v>
      </c>
      <c r="E1620" s="17" t="s">
        <v>1819</v>
      </c>
      <c r="F1620" s="17"/>
      <c r="G1620" s="18"/>
      <c r="H1620" s="18"/>
    </row>
    <row r="1621" spans="1:8" ht="13.2">
      <c r="A1621" s="19" t="str">
        <f>HYPERLINK("http://codeforces.com/contest/472/problem/G","CF472-D12-G")</f>
        <v>CF472-D12-G</v>
      </c>
      <c r="B1621" s="15" t="s">
        <v>1856</v>
      </c>
      <c r="C1621" s="24">
        <v>6</v>
      </c>
      <c r="D1621" s="18"/>
      <c r="E1621" s="17" t="s">
        <v>1819</v>
      </c>
      <c r="F1621" s="17"/>
      <c r="G1621" s="18"/>
      <c r="H1621" s="18"/>
    </row>
    <row r="1622" spans="1:8" ht="13.2">
      <c r="A1622" s="15" t="s">
        <v>1857</v>
      </c>
      <c r="B1622" s="16" t="s">
        <v>1858</v>
      </c>
      <c r="C1622" s="31">
        <v>6</v>
      </c>
      <c r="D1622" s="18"/>
      <c r="E1622" s="17" t="s">
        <v>1819</v>
      </c>
      <c r="F1622" s="17"/>
      <c r="G1622" s="18"/>
      <c r="H1622" s="18"/>
    </row>
    <row r="1623" spans="1:8" ht="13.2">
      <c r="A1623" s="15" t="s">
        <v>1859</v>
      </c>
      <c r="B1623" s="29" t="s">
        <v>1860</v>
      </c>
      <c r="C1623" s="17">
        <v>6</v>
      </c>
      <c r="D1623" s="26" t="str">
        <f>HYPERLINK("https://github.com/SaraElkadi/competitive-programming-/blob/master/UVA/11284.cpp","Sol")</f>
        <v>Sol</v>
      </c>
      <c r="E1623" s="17" t="s">
        <v>1819</v>
      </c>
      <c r="F1623" s="17"/>
      <c r="G1623" s="18"/>
      <c r="H1623" s="18"/>
    </row>
    <row r="1624" spans="1:8" ht="13.2">
      <c r="A1624" s="19" t="str">
        <f>HYPERLINK("http://codeforces.com/contest/510/problem/D","CF510-D2-D")</f>
        <v>CF510-D2-D</v>
      </c>
      <c r="B1624" s="15" t="s">
        <v>1861</v>
      </c>
      <c r="C1624" s="24">
        <v>6</v>
      </c>
      <c r="D1624" s="18"/>
      <c r="E1624" s="17" t="s">
        <v>1819</v>
      </c>
      <c r="F1624" s="17"/>
      <c r="G1624" s="18"/>
      <c r="H1624" s="18"/>
    </row>
    <row r="1625" spans="1:8" ht="13.2">
      <c r="A1625" s="19" t="str">
        <f>HYPERLINK("https://codeforces.com/gym/102219/problem/F","CF102219-GYM-F")</f>
        <v>CF102219-GYM-F</v>
      </c>
      <c r="B1625" s="15" t="s">
        <v>1818</v>
      </c>
      <c r="C1625" s="17">
        <v>5.5</v>
      </c>
      <c r="D1625" s="26" t="str">
        <f>HYPERLINK("https://github.com/WaleedAbdelhakim/Competitive-Programming/blob/master/CodeForces/CF102219-GYM-F.cpp","Sol")</f>
        <v>Sol</v>
      </c>
      <c r="E1625" s="17" t="s">
        <v>1819</v>
      </c>
      <c r="F1625" s="17" t="s">
        <v>154</v>
      </c>
      <c r="G1625" s="18"/>
      <c r="H1625" s="18"/>
    </row>
    <row r="1626" spans="1:8" ht="13.2">
      <c r="A1626" s="15" t="s">
        <v>1862</v>
      </c>
      <c r="B1626" s="18" t="s">
        <v>1818</v>
      </c>
      <c r="C1626" s="17">
        <v>5.5</v>
      </c>
      <c r="D1626" s="26" t="str">
        <f>HYPERLINK("https://github.com/ilyesG/Competitive-Programming/blob/master/LiveArchive/LIVEARCHIVE%203995.cpp","Sol")</f>
        <v>Sol</v>
      </c>
      <c r="E1626" s="17" t="s">
        <v>1819</v>
      </c>
      <c r="F1626" s="17" t="s">
        <v>242</v>
      </c>
      <c r="G1626" s="18"/>
      <c r="H1626" s="18"/>
    </row>
    <row r="1627" spans="1:8" ht="13.2">
      <c r="A1627" s="19" t="str">
        <f>HYPERLINK("http://codeforces.com/problemset/gymProblem/100155/F","CF100155-GYM-F")</f>
        <v>CF100155-GYM-F</v>
      </c>
      <c r="B1627" s="29" t="s">
        <v>1818</v>
      </c>
      <c r="C1627" s="17">
        <v>5.5</v>
      </c>
      <c r="D1627" s="26" t="str">
        <f>HYPERLINK("https://github.com/OmarHashim/Competitive-Programming/blob/master/CodeForces/CF100155-GYM-F.cpp","Sol")</f>
        <v>Sol</v>
      </c>
      <c r="E1627" s="17" t="s">
        <v>1819</v>
      </c>
      <c r="F1627" s="17"/>
      <c r="G1627" s="18"/>
      <c r="H1627" s="18"/>
    </row>
    <row r="1628" spans="1:8" ht="13.2">
      <c r="A1628" s="15" t="s">
        <v>1863</v>
      </c>
      <c r="B1628" s="30" t="s">
        <v>1864</v>
      </c>
      <c r="C1628" s="24">
        <v>5.5</v>
      </c>
      <c r="D1628" s="18"/>
      <c r="E1628" s="17" t="s">
        <v>1819</v>
      </c>
      <c r="F1628" s="17"/>
      <c r="G1628" s="18"/>
      <c r="H1628" s="18"/>
    </row>
    <row r="1629" spans="1:8" ht="13.2">
      <c r="A1629" s="19" t="str">
        <f>HYPERLINK("http://codeforces.com/contest/903/problem/F","CF903-D12-F")</f>
        <v>CF903-D12-F</v>
      </c>
      <c r="B1629" s="15" t="s">
        <v>1818</v>
      </c>
      <c r="C1629" s="17">
        <v>5</v>
      </c>
      <c r="D1629" s="18"/>
      <c r="E1629" s="17" t="s">
        <v>1819</v>
      </c>
      <c r="F1629" s="17" t="s">
        <v>139</v>
      </c>
      <c r="G1629" s="18"/>
      <c r="H1629" s="18"/>
    </row>
    <row r="1630" spans="1:8" ht="13.2">
      <c r="A1630" s="15" t="s">
        <v>1865</v>
      </c>
      <c r="B1630" s="28" t="s">
        <v>1866</v>
      </c>
      <c r="C1630" s="24">
        <v>5</v>
      </c>
      <c r="D1630" s="26" t="str">
        <f>HYPERLINK("https://github.com/aboodJAD/CompetitiveProgramming/blob/master/UVA/UVA%2011806.cpp","Sol")</f>
        <v>Sol</v>
      </c>
      <c r="E1630" s="17" t="s">
        <v>1819</v>
      </c>
      <c r="F1630" s="17" t="s">
        <v>613</v>
      </c>
      <c r="G1630" s="18"/>
      <c r="H1630" s="18"/>
    </row>
    <row r="1631" spans="1:8" ht="13.2">
      <c r="A1631" s="15" t="s">
        <v>1867</v>
      </c>
      <c r="B1631" s="29" t="s">
        <v>1868</v>
      </c>
      <c r="C1631" s="17">
        <v>5</v>
      </c>
      <c r="D1631" s="26" t="str">
        <f>HYPERLINK("https://github.com/ilyesG/Competitive-Programming/blob/master/UVA/UVA%2011825.cpp","Sol")</f>
        <v>Sol</v>
      </c>
      <c r="E1631" s="17" t="s">
        <v>1819</v>
      </c>
      <c r="F1631" s="17" t="s">
        <v>201</v>
      </c>
      <c r="G1631" s="18"/>
      <c r="H1631" s="18"/>
    </row>
    <row r="1632" spans="1:8" ht="13.2">
      <c r="A1632" s="19" t="str">
        <f>HYPERLINK("http://codeforces.com/gym/101055/problem/E","CF101055-gym-E")</f>
        <v>CF101055-gym-E</v>
      </c>
      <c r="B1632" s="29" t="s">
        <v>1818</v>
      </c>
      <c r="C1632" s="17">
        <v>5</v>
      </c>
      <c r="D1632" s="18"/>
      <c r="E1632" s="17" t="s">
        <v>1819</v>
      </c>
      <c r="F1632" s="17"/>
      <c r="G1632" s="18"/>
      <c r="H1632" s="18"/>
    </row>
    <row r="1633" spans="1:8" ht="13.2">
      <c r="A1633" s="15" t="s">
        <v>1869</v>
      </c>
      <c r="B1633" s="28" t="s">
        <v>1818</v>
      </c>
      <c r="C1633" s="24">
        <v>5</v>
      </c>
      <c r="D1633" s="18"/>
      <c r="E1633" s="17" t="s">
        <v>1819</v>
      </c>
      <c r="F1633" s="17"/>
      <c r="G1633" s="18"/>
      <c r="H1633" s="18"/>
    </row>
    <row r="1634" spans="1:8" ht="13.2">
      <c r="A1634" s="15" t="s">
        <v>1870</v>
      </c>
      <c r="B1634" s="35" t="s">
        <v>1818</v>
      </c>
      <c r="C1634" s="40">
        <v>5</v>
      </c>
      <c r="D1634" s="18"/>
      <c r="E1634" s="17" t="s">
        <v>1819</v>
      </c>
      <c r="F1634" s="17"/>
      <c r="G1634" s="18"/>
      <c r="H1634" s="18"/>
    </row>
    <row r="1635" spans="1:8" ht="13.2">
      <c r="A1635" s="15" t="s">
        <v>1871</v>
      </c>
      <c r="B1635" s="30" t="s">
        <v>1818</v>
      </c>
      <c r="C1635" s="24">
        <v>5</v>
      </c>
      <c r="D1635" s="18"/>
      <c r="E1635" s="17" t="s">
        <v>1819</v>
      </c>
      <c r="F1635" s="17"/>
      <c r="G1635" s="18"/>
      <c r="H1635" s="18"/>
    </row>
    <row r="1636" spans="1:8" ht="13.2">
      <c r="A1636" s="15" t="s">
        <v>1872</v>
      </c>
      <c r="B1636" s="18" t="s">
        <v>1818</v>
      </c>
      <c r="C1636" s="31">
        <v>5</v>
      </c>
      <c r="D1636" s="18"/>
      <c r="E1636" s="17" t="s">
        <v>1819</v>
      </c>
      <c r="F1636" s="17"/>
      <c r="G1636" s="18"/>
      <c r="H1636" s="18"/>
    </row>
    <row r="1637" spans="1:8" ht="13.2">
      <c r="A1637" s="15" t="s">
        <v>1873</v>
      </c>
      <c r="B1637" s="30" t="s">
        <v>1818</v>
      </c>
      <c r="C1637" s="24">
        <v>5</v>
      </c>
      <c r="D1637" s="18"/>
      <c r="E1637" s="17" t="s">
        <v>1819</v>
      </c>
      <c r="F1637" s="17"/>
      <c r="G1637" s="18"/>
      <c r="H1637" s="18"/>
    </row>
    <row r="1638" spans="1:8" ht="13.2">
      <c r="A1638" s="19" t="str">
        <f>HYPERLINK("http://acm.tju.edu.cn/toj/showp1189.html","TJU 1189")</f>
        <v>TJU 1189</v>
      </c>
      <c r="B1638" s="29" t="s">
        <v>1818</v>
      </c>
      <c r="C1638" s="17">
        <v>5</v>
      </c>
      <c r="D1638" s="18"/>
      <c r="E1638" s="17" t="s">
        <v>1819</v>
      </c>
      <c r="F1638" s="17"/>
      <c r="G1638" s="18"/>
      <c r="H1638" s="18"/>
    </row>
    <row r="1639" spans="1:8" ht="13.2">
      <c r="A1639" s="15" t="s">
        <v>1874</v>
      </c>
      <c r="B1639" s="28" t="s">
        <v>1818</v>
      </c>
      <c r="C1639" s="17">
        <v>5</v>
      </c>
      <c r="D1639" s="18"/>
      <c r="E1639" s="17" t="s">
        <v>1819</v>
      </c>
      <c r="F1639" s="17"/>
      <c r="G1639" s="18"/>
      <c r="H1639" s="18"/>
    </row>
    <row r="1640" spans="1:8" ht="13.2">
      <c r="A1640" s="15" t="s">
        <v>1875</v>
      </c>
      <c r="B1640" s="29" t="s">
        <v>1818</v>
      </c>
      <c r="C1640" s="17">
        <v>5</v>
      </c>
      <c r="D1640" s="18"/>
      <c r="E1640" s="17" t="s">
        <v>1819</v>
      </c>
      <c r="F1640" s="17"/>
      <c r="G1640" s="18"/>
      <c r="H1640" s="18"/>
    </row>
    <row r="1641" spans="1:8" ht="13.2">
      <c r="A1641" s="15" t="s">
        <v>1876</v>
      </c>
      <c r="B1641" s="28" t="s">
        <v>1877</v>
      </c>
      <c r="C1641" s="17">
        <v>5</v>
      </c>
      <c r="D1641" s="18"/>
      <c r="E1641" s="17" t="s">
        <v>1819</v>
      </c>
      <c r="F1641" s="17"/>
      <c r="G1641" s="18"/>
      <c r="H1641" s="18"/>
    </row>
    <row r="1642" spans="1:8" ht="13.2">
      <c r="A1642" s="15" t="s">
        <v>1878</v>
      </c>
      <c r="B1642" s="16" t="s">
        <v>1861</v>
      </c>
      <c r="C1642" s="31">
        <v>5</v>
      </c>
      <c r="D1642" s="18"/>
      <c r="E1642" s="17" t="s">
        <v>1819</v>
      </c>
      <c r="F1642" s="17"/>
      <c r="G1642" s="18"/>
      <c r="H1642" s="18"/>
    </row>
    <row r="1643" spans="1:8" ht="13.2">
      <c r="A1643" s="15" t="s">
        <v>1879</v>
      </c>
      <c r="B1643" s="29" t="s">
        <v>1880</v>
      </c>
      <c r="C1643" s="17">
        <v>5</v>
      </c>
      <c r="D1643" s="26" t="str">
        <f>HYPERLINK("https://github.com/AmrMaghraby/Competitve-Programming/blob/master/UVA/UVA%2010944.cpp","Sol")</f>
        <v>Sol</v>
      </c>
      <c r="E1643" s="17" t="s">
        <v>1819</v>
      </c>
      <c r="F1643" s="17"/>
      <c r="G1643" s="18"/>
      <c r="H1643" s="18"/>
    </row>
    <row r="1644" spans="1:8" ht="13.2">
      <c r="A1644" s="15" t="s">
        <v>1881</v>
      </c>
      <c r="B1644" s="18" t="s">
        <v>1818</v>
      </c>
      <c r="C1644" s="33">
        <v>4.5</v>
      </c>
      <c r="D1644" s="18"/>
      <c r="E1644" s="17" t="s">
        <v>1819</v>
      </c>
      <c r="F1644" s="17"/>
      <c r="G1644" s="18"/>
      <c r="H1644" s="18"/>
    </row>
    <row r="1645" spans="1:8" ht="13.2">
      <c r="A1645" s="15" t="s">
        <v>1882</v>
      </c>
      <c r="B1645" s="30" t="s">
        <v>1818</v>
      </c>
      <c r="C1645" s="17">
        <v>4.5</v>
      </c>
      <c r="D1645" s="18"/>
      <c r="E1645" s="17" t="s">
        <v>1819</v>
      </c>
      <c r="F1645" s="17"/>
      <c r="G1645" s="18"/>
      <c r="H1645" s="18"/>
    </row>
    <row r="1646" spans="1:8" ht="13.2">
      <c r="A1646" s="19" t="str">
        <f>HYPERLINK("https://uva.onlinejudge.org/index.php?option=com_onlinejudge&amp;Itemid=8&amp;page=show_problem&amp;problem=1205","UVA 10264")</f>
        <v>UVA 10264</v>
      </c>
      <c r="B1646" s="29" t="s">
        <v>1883</v>
      </c>
      <c r="C1646" s="17">
        <v>4.5</v>
      </c>
      <c r="D1646" s="26" t="str">
        <f>HYPERLINK("https://github.com/SaraElkadi/competitive-programming-/blob/master/UVA/10264.cpp","sol")</f>
        <v>sol</v>
      </c>
      <c r="E1646" s="17" t="s">
        <v>1819</v>
      </c>
      <c r="F1646" s="17"/>
      <c r="G1646" s="18"/>
      <c r="H1646" s="18"/>
    </row>
    <row r="1647" spans="1:8" ht="13.2">
      <c r="A1647" s="15" t="s">
        <v>1884</v>
      </c>
      <c r="B1647" s="30" t="s">
        <v>1885</v>
      </c>
      <c r="C1647" s="24">
        <v>4.5</v>
      </c>
      <c r="D1647" s="18"/>
      <c r="E1647" s="17" t="s">
        <v>1819</v>
      </c>
      <c r="F1647" s="17"/>
      <c r="G1647" s="18"/>
      <c r="H1647" s="18"/>
    </row>
    <row r="1648" spans="1:8" ht="13.2">
      <c r="A1648" s="15" t="s">
        <v>1886</v>
      </c>
      <c r="B1648" s="28" t="s">
        <v>1853</v>
      </c>
      <c r="C1648" s="24">
        <v>4.5</v>
      </c>
      <c r="D1648" s="18"/>
      <c r="E1648" s="17" t="s">
        <v>1819</v>
      </c>
      <c r="F1648" s="17"/>
      <c r="G1648" s="18"/>
      <c r="H1648" s="18"/>
    </row>
    <row r="1649" spans="1:8" ht="13.2">
      <c r="A1649" s="15" t="s">
        <v>1887</v>
      </c>
      <c r="B1649" s="29" t="s">
        <v>1888</v>
      </c>
      <c r="C1649" s="33">
        <v>4</v>
      </c>
      <c r="D1649" s="18"/>
      <c r="E1649" s="17" t="s">
        <v>1819</v>
      </c>
      <c r="F1649" s="17" t="s">
        <v>229</v>
      </c>
      <c r="G1649" s="18"/>
      <c r="H1649" s="18"/>
    </row>
    <row r="1650" spans="1:8" ht="13.2">
      <c r="A1650" s="19" t="str">
        <f>HYPERLINK("http://codeforces.com/contest/580/problem/D","CF580-D2-D")</f>
        <v>CF580-D2-D</v>
      </c>
      <c r="B1650" s="29" t="s">
        <v>1818</v>
      </c>
      <c r="C1650" s="17">
        <v>4</v>
      </c>
      <c r="D1650" s="18"/>
      <c r="E1650" s="17" t="s">
        <v>1819</v>
      </c>
      <c r="F1650" s="17" t="s">
        <v>201</v>
      </c>
      <c r="G1650" s="18"/>
      <c r="H1650" s="18"/>
    </row>
    <row r="1651" spans="1:8" ht="13.2">
      <c r="A1651" s="19" t="str">
        <f>HYPERLINK("http://www.spoj.com/problems/PERMUT1/","SPOJ PERMUT1")</f>
        <v>SPOJ PERMUT1</v>
      </c>
      <c r="B1651" s="29" t="s">
        <v>1818</v>
      </c>
      <c r="C1651" s="17">
        <v>4</v>
      </c>
      <c r="D1651" s="18"/>
      <c r="E1651" s="17" t="s">
        <v>1819</v>
      </c>
      <c r="F1651" s="17" t="s">
        <v>201</v>
      </c>
      <c r="G1651" s="18"/>
      <c r="H1651" s="18"/>
    </row>
    <row r="1652" spans="1:8" ht="13.2">
      <c r="A1652" s="19" t="str">
        <f>HYPERLINK("https://uva.onlinejudge.org/index.php?option=com_onlinejudge&amp;Itemid=8&amp;page=show_problem&amp;problem=1592","UVA 10651")</f>
        <v>UVA 10651</v>
      </c>
      <c r="B1652" s="29" t="s">
        <v>1818</v>
      </c>
      <c r="C1652" s="17">
        <v>4</v>
      </c>
      <c r="D1652" s="18"/>
      <c r="E1652" s="17" t="s">
        <v>1819</v>
      </c>
      <c r="F1652" s="17" t="s">
        <v>242</v>
      </c>
      <c r="G1652" s="18"/>
      <c r="H1652" s="18"/>
    </row>
    <row r="1653" spans="1:8" ht="13.2">
      <c r="A1653" s="19" t="str">
        <f>HYPERLINK("http://www.spoj.com/problems/ASSIGN/","SPOJ ASSIGN")</f>
        <v>SPOJ ASSIGN</v>
      </c>
      <c r="B1653" s="29" t="s">
        <v>1889</v>
      </c>
      <c r="C1653" s="17">
        <v>4</v>
      </c>
      <c r="D1653" s="18"/>
      <c r="E1653" s="17" t="s">
        <v>1819</v>
      </c>
      <c r="F1653" s="17" t="s">
        <v>242</v>
      </c>
      <c r="G1653" s="18"/>
      <c r="H1653" s="18"/>
    </row>
    <row r="1654" spans="1:8" ht="13.2">
      <c r="A1654" s="15" t="s">
        <v>1890</v>
      </c>
      <c r="B1654" s="29" t="s">
        <v>1818</v>
      </c>
      <c r="C1654" s="33">
        <v>4</v>
      </c>
      <c r="D1654" s="18"/>
      <c r="E1654" s="17" t="s">
        <v>1819</v>
      </c>
      <c r="F1654" s="17"/>
      <c r="G1654" s="18"/>
      <c r="H1654" s="18"/>
    </row>
    <row r="1655" spans="1:8" ht="13.2">
      <c r="A1655" s="15" t="s">
        <v>1891</v>
      </c>
      <c r="B1655" s="29" t="s">
        <v>1818</v>
      </c>
      <c r="C1655" s="17">
        <v>4</v>
      </c>
      <c r="D1655" s="26" t="str">
        <f>HYPERLINK("https://github.com/ahmedcpbl/CompetitiveProgramming/blob/master/UVA/11088.cpp","Sol")</f>
        <v>Sol</v>
      </c>
      <c r="E1655" s="17" t="s">
        <v>1819</v>
      </c>
      <c r="F1655" s="17"/>
      <c r="G1655" s="18"/>
      <c r="H1655" s="18"/>
    </row>
    <row r="1656" spans="1:8" ht="13.2">
      <c r="A1656" s="15" t="s">
        <v>1892</v>
      </c>
      <c r="B1656" s="28" t="s">
        <v>1893</v>
      </c>
      <c r="C1656" s="24">
        <v>4</v>
      </c>
      <c r="D1656" s="26" t="str">
        <f>HYPERLINK("https://github.com/MohamedNabil97/CompetitiveProgramming/tree/master/SPOJ/TRSTAGE.cpp","Sol")</f>
        <v>Sol</v>
      </c>
      <c r="E1656" s="17" t="s">
        <v>1819</v>
      </c>
      <c r="F1656" s="17"/>
      <c r="G1656" s="18"/>
      <c r="H1656" s="18"/>
    </row>
    <row r="1657" spans="1:8" ht="13.2">
      <c r="A1657" s="15" t="s">
        <v>1894</v>
      </c>
      <c r="B1657" s="28" t="s">
        <v>1895</v>
      </c>
      <c r="C1657" s="17">
        <v>4</v>
      </c>
      <c r="D1657" s="26" t="str">
        <f>HYPERLINK("https://github.com/HosamEissa/Competitive-programming-/blob/master/ACM-ICPC%20Live%20Archive/5856.cpp","Sol")</f>
        <v>Sol</v>
      </c>
      <c r="E1657" s="24" t="s">
        <v>1819</v>
      </c>
      <c r="F1657" s="17"/>
      <c r="G1657" s="18"/>
      <c r="H1657" s="18"/>
    </row>
    <row r="1658" spans="1:8" ht="13.2">
      <c r="A1658" s="15" t="s">
        <v>1896</v>
      </c>
      <c r="B1658" s="30" t="s">
        <v>1897</v>
      </c>
      <c r="C1658" s="33">
        <v>4</v>
      </c>
      <c r="D1658" s="18"/>
      <c r="E1658" s="17" t="s">
        <v>1819</v>
      </c>
      <c r="F1658" s="17"/>
      <c r="G1658" s="18"/>
      <c r="H1658" s="18"/>
    </row>
    <row r="1659" spans="1:8" ht="13.2">
      <c r="A1659" s="15" t="s">
        <v>1898</v>
      </c>
      <c r="B1659" s="30" t="s">
        <v>1861</v>
      </c>
      <c r="C1659" s="24">
        <v>4</v>
      </c>
      <c r="D1659" s="18"/>
      <c r="E1659" s="17" t="s">
        <v>1819</v>
      </c>
      <c r="F1659" s="17"/>
      <c r="G1659" s="18"/>
      <c r="H1659" s="18"/>
    </row>
    <row r="1660" spans="1:8" ht="13.2">
      <c r="A1660" s="15" t="s">
        <v>1899</v>
      </c>
      <c r="B1660" s="18" t="s">
        <v>1900</v>
      </c>
      <c r="C1660" s="33">
        <v>4</v>
      </c>
      <c r="D1660" s="18"/>
      <c r="E1660" s="17" t="s">
        <v>1819</v>
      </c>
      <c r="F1660" s="17"/>
      <c r="G1660" s="18"/>
      <c r="H1660" s="18"/>
    </row>
    <row r="1661" spans="1:8" ht="13.2">
      <c r="A1661" s="15" t="s">
        <v>1901</v>
      </c>
      <c r="B1661" s="30" t="s">
        <v>1902</v>
      </c>
      <c r="C1661" s="24">
        <v>3.5</v>
      </c>
      <c r="D1661" s="26" t="str">
        <f>HYPERLINK("https://ideone.com/UPTPfz","Sol")</f>
        <v>Sol</v>
      </c>
      <c r="E1661" s="17" t="s">
        <v>1819</v>
      </c>
      <c r="F1661" s="17"/>
      <c r="G1661" s="18"/>
      <c r="H1661" s="18"/>
    </row>
    <row r="1662" spans="1:8" ht="13.2">
      <c r="A1662" s="15" t="s">
        <v>1903</v>
      </c>
      <c r="B1662" s="28" t="s">
        <v>1904</v>
      </c>
      <c r="C1662" s="24">
        <v>3</v>
      </c>
      <c r="D1662" s="18"/>
      <c r="E1662" s="17" t="s">
        <v>1819</v>
      </c>
      <c r="F1662" s="17" t="s">
        <v>229</v>
      </c>
      <c r="G1662" s="18"/>
      <c r="H1662" s="18"/>
    </row>
    <row r="1663" spans="1:8" ht="13.2">
      <c r="A1663" s="15" t="s">
        <v>1905</v>
      </c>
      <c r="B1663" s="29" t="s">
        <v>1818</v>
      </c>
      <c r="C1663" s="24">
        <v>3</v>
      </c>
      <c r="D1663" s="18"/>
      <c r="E1663" s="17" t="s">
        <v>1819</v>
      </c>
      <c r="F1663" s="17"/>
      <c r="G1663" s="18"/>
      <c r="H1663" s="18"/>
    </row>
    <row r="1664" spans="1:8" ht="13.2">
      <c r="A1664" s="15" t="s">
        <v>1906</v>
      </c>
      <c r="B1664" s="18" t="s">
        <v>1907</v>
      </c>
      <c r="C1664" s="40">
        <v>3</v>
      </c>
      <c r="D1664" s="18"/>
      <c r="E1664" s="17" t="s">
        <v>1819</v>
      </c>
      <c r="F1664" s="17"/>
      <c r="G1664" s="18"/>
      <c r="H1664" s="18"/>
    </row>
    <row r="1665" spans="1:8" ht="13.2">
      <c r="A1665" s="19" t="str">
        <f>HYPERLINK("https://www.hackerrank.com/challenges/polita-sets","HACKR polita-sets")</f>
        <v>HACKR polita-sets</v>
      </c>
      <c r="B1665" s="29" t="s">
        <v>1908</v>
      </c>
      <c r="C1665" s="17">
        <v>9.5</v>
      </c>
      <c r="D1665" s="18"/>
      <c r="E1665" s="17" t="s">
        <v>1909</v>
      </c>
      <c r="F1665" s="17"/>
      <c r="G1665" s="18"/>
      <c r="H1665" s="18"/>
    </row>
    <row r="1666" spans="1:8" ht="13.2">
      <c r="A1666" s="19" t="str">
        <f>HYPERLINK("https://www.hackerrank.com/challenges/digit-products","HACKR digit-products")</f>
        <v>HACKR digit-products</v>
      </c>
      <c r="B1666" s="29" t="s">
        <v>1910</v>
      </c>
      <c r="C1666" s="17">
        <v>9</v>
      </c>
      <c r="D1666" s="18"/>
      <c r="E1666" s="17" t="s">
        <v>1909</v>
      </c>
      <c r="F1666" s="17"/>
      <c r="G1666" s="18"/>
      <c r="H1666" s="18"/>
    </row>
    <row r="1667" spans="1:8" ht="13.2">
      <c r="A1667" s="19" t="str">
        <f>HYPERLINK("https://agc002.contest.atcoder.jp/tasks/agc002_f","AtCoder002-AGC-F")</f>
        <v>AtCoder002-AGC-F</v>
      </c>
      <c r="B1667" s="15" t="s">
        <v>1911</v>
      </c>
      <c r="C1667" s="17">
        <v>8.5</v>
      </c>
      <c r="D1667" s="18"/>
      <c r="E1667" s="17" t="s">
        <v>1909</v>
      </c>
      <c r="F1667" s="17"/>
      <c r="G1667" s="18"/>
      <c r="H1667" s="18"/>
    </row>
    <row r="1668" spans="1:8" ht="13.2">
      <c r="A1668" s="19" t="str">
        <f>HYPERLINK("https://agc013.contest.atcoder.jp/tasks/agc013_e","AtCoder013-AGC-E")</f>
        <v>AtCoder013-AGC-E</v>
      </c>
      <c r="B1668" s="15" t="s">
        <v>1912</v>
      </c>
      <c r="C1668" s="17">
        <v>7.6</v>
      </c>
      <c r="D1668" s="18"/>
      <c r="E1668" s="17" t="s">
        <v>1909</v>
      </c>
      <c r="F1668" s="17"/>
      <c r="G1668" s="18"/>
      <c r="H1668" s="18"/>
    </row>
    <row r="1669" spans="1:8" ht="13.2">
      <c r="A1669" s="19" t="str">
        <f>HYPERLINK("https://codeforces.com/problemset/problem/1034/C", "CF1034-D1-C")</f>
        <v>CF1034-D1-C</v>
      </c>
      <c r="B1669" s="20" t="s">
        <v>1913</v>
      </c>
      <c r="C1669" s="21">
        <v>7.5</v>
      </c>
      <c r="D1669" s="18"/>
      <c r="E1669" s="17" t="s">
        <v>1909</v>
      </c>
      <c r="F1669" s="17" t="s">
        <v>154</v>
      </c>
      <c r="G1669" s="18"/>
      <c r="H1669" s="18"/>
    </row>
    <row r="1670" spans="1:8" ht="13.2">
      <c r="A1670" s="19" t="str">
        <f>HYPERLINK("https://agc009.contest.atcoder.jp/tasks/agc009_e","AtCoder009-AGC-E")</f>
        <v>AtCoder009-AGC-E</v>
      </c>
      <c r="B1670" s="15" t="s">
        <v>1914</v>
      </c>
      <c r="C1670" s="17">
        <v>7.5</v>
      </c>
      <c r="D1670" s="18"/>
      <c r="E1670" s="17" t="s">
        <v>1909</v>
      </c>
      <c r="F1670" s="17" t="s">
        <v>154</v>
      </c>
      <c r="G1670" s="18"/>
      <c r="H1670" s="18"/>
    </row>
    <row r="1671" spans="1:8" ht="13.2">
      <c r="A1671" s="19" t="str">
        <f>HYPERLINK("https://www.codechef.com/problems/ADIMAT", "CODECHEF ADIMAT")</f>
        <v>CODECHEF ADIMAT</v>
      </c>
      <c r="B1671" s="20" t="s">
        <v>1915</v>
      </c>
      <c r="C1671" s="17">
        <v>7.5</v>
      </c>
      <c r="D1671" s="18"/>
      <c r="E1671" s="17" t="s">
        <v>1909</v>
      </c>
      <c r="F1671" s="17" t="s">
        <v>139</v>
      </c>
      <c r="G1671" s="18"/>
      <c r="H1671" s="18"/>
    </row>
    <row r="1672" spans="1:8" ht="13.2">
      <c r="A1672" s="19" t="str">
        <f>HYPERLINK("https://www.codechef.com/problems/TBGRAPH", "CODECHEF TBGRAPH")</f>
        <v>CODECHEF TBGRAPH</v>
      </c>
      <c r="B1672" s="20" t="s">
        <v>1916</v>
      </c>
      <c r="C1672" s="21">
        <v>7.5</v>
      </c>
      <c r="D1672" s="26" t="str">
        <f>HYPERLINK("https://github.com/tmwilliamlin168/CompetitiveProgramming/blob/master/CodeChef/TBGRAPH.cpp", "Sol")</f>
        <v>Sol</v>
      </c>
      <c r="E1672" s="17" t="s">
        <v>1909</v>
      </c>
      <c r="F1672" s="17" t="s">
        <v>139</v>
      </c>
      <c r="G1672" s="18"/>
      <c r="H1672" s="18"/>
    </row>
    <row r="1673" spans="1:8" ht="13.2">
      <c r="A1673" s="19" t="str">
        <f>HYPERLINK("https://codeforces.com/contest/1097/problem/G","CF1097-D12-G")</f>
        <v>CF1097-D12-G</v>
      </c>
      <c r="B1673" s="23" t="s">
        <v>1917</v>
      </c>
      <c r="C1673" s="17">
        <v>7.5</v>
      </c>
      <c r="D1673" s="18"/>
      <c r="E1673" s="17" t="s">
        <v>1909</v>
      </c>
      <c r="F1673" s="17" t="s">
        <v>242</v>
      </c>
      <c r="G1673" s="18"/>
      <c r="H1673" s="18"/>
    </row>
    <row r="1674" spans="1:8" ht="13.2">
      <c r="A1674" s="19" t="str">
        <f>HYPERLINK("http://codeforces.com/contest/747/problem/F","CF747-D2-F")</f>
        <v>CF747-D2-F</v>
      </c>
      <c r="B1674" s="15" t="s">
        <v>1913</v>
      </c>
      <c r="C1674" s="24">
        <v>7.5</v>
      </c>
      <c r="D1674" s="18"/>
      <c r="E1674" s="17" t="s">
        <v>1909</v>
      </c>
      <c r="F1674" s="17"/>
      <c r="G1674" s="18"/>
      <c r="H1674" s="18"/>
    </row>
    <row r="1675" spans="1:8" ht="13.2">
      <c r="A1675" s="15" t="s">
        <v>1918</v>
      </c>
      <c r="B1675" s="28" t="s">
        <v>1913</v>
      </c>
      <c r="C1675" s="24">
        <v>7.5</v>
      </c>
      <c r="D1675" s="18"/>
      <c r="E1675" s="17" t="s">
        <v>1909</v>
      </c>
      <c r="F1675" s="17"/>
      <c r="G1675" s="18"/>
      <c r="H1675" s="18"/>
    </row>
    <row r="1676" spans="1:8" ht="13.2">
      <c r="A1676" s="15" t="s">
        <v>1919</v>
      </c>
      <c r="B1676" s="28" t="s">
        <v>1913</v>
      </c>
      <c r="C1676" s="24">
        <v>7.5</v>
      </c>
      <c r="D1676" s="18"/>
      <c r="E1676" s="17" t="s">
        <v>1909</v>
      </c>
      <c r="F1676" s="17"/>
      <c r="G1676" s="18"/>
      <c r="H1676" s="18"/>
    </row>
    <row r="1677" spans="1:8" ht="13.2">
      <c r="A1677" s="19" t="str">
        <f>HYPERLINK("http://agc028.contest.atcoder.jp/tasks/agc028_d","AtCoder028-AGC-D")</f>
        <v>AtCoder028-AGC-D</v>
      </c>
      <c r="B1677" s="15" t="s">
        <v>1913</v>
      </c>
      <c r="C1677" s="17">
        <v>7.3</v>
      </c>
      <c r="D1677" s="18"/>
      <c r="E1677" s="17" t="s">
        <v>1909</v>
      </c>
      <c r="F1677" s="17" t="s">
        <v>154</v>
      </c>
      <c r="G1677" s="18"/>
      <c r="H1677" s="18"/>
    </row>
    <row r="1678" spans="1:8" ht="13.2">
      <c r="A1678" s="19" t="str">
        <f>HYPERLINK("https://agc001.contest.atcoder.jp/tasks/agc001_e","AtCoder001-AGC-E")</f>
        <v>AtCoder001-AGC-E</v>
      </c>
      <c r="B1678" s="15" t="s">
        <v>1913</v>
      </c>
      <c r="C1678" s="17">
        <v>7.25</v>
      </c>
      <c r="D1678" s="18"/>
      <c r="E1678" s="17" t="s">
        <v>1909</v>
      </c>
      <c r="F1678" s="17" t="s">
        <v>154</v>
      </c>
      <c r="G1678" s="18"/>
      <c r="H1678" s="18"/>
    </row>
    <row r="1679" spans="1:8" ht="13.2">
      <c r="A1679" s="15" t="s">
        <v>1920</v>
      </c>
      <c r="B1679" s="30" t="s">
        <v>1921</v>
      </c>
      <c r="C1679" s="24">
        <v>7.25</v>
      </c>
      <c r="D1679" s="18"/>
      <c r="E1679" s="17" t="s">
        <v>1909</v>
      </c>
      <c r="F1679" s="17"/>
      <c r="G1679" s="18"/>
      <c r="H1679" s="18"/>
    </row>
    <row r="1680" spans="1:8" ht="13.2">
      <c r="A1680" s="15" t="s">
        <v>1922</v>
      </c>
      <c r="B1680" s="28" t="s">
        <v>1923</v>
      </c>
      <c r="C1680" s="24">
        <v>7.25</v>
      </c>
      <c r="D1680" s="18"/>
      <c r="E1680" s="17" t="s">
        <v>1909</v>
      </c>
      <c r="F1680" s="17"/>
      <c r="G1680" s="18"/>
      <c r="H1680" s="18"/>
    </row>
    <row r="1681" spans="1:8" ht="13.2">
      <c r="A1681" s="19" t="str">
        <f>HYPERLINK("http://agc026.contest.atcoder.jp/tasks/agc026_d","AtCoder026-AGC-D")</f>
        <v>AtCoder026-AGC-D</v>
      </c>
      <c r="B1681" s="15" t="s">
        <v>1924</v>
      </c>
      <c r="C1681" s="17">
        <v>7</v>
      </c>
      <c r="D1681" s="18"/>
      <c r="E1681" s="17" t="s">
        <v>1909</v>
      </c>
      <c r="F1681" s="17" t="s">
        <v>139</v>
      </c>
      <c r="G1681" s="18"/>
      <c r="H1681" s="18"/>
    </row>
    <row r="1682" spans="1:8" ht="13.2">
      <c r="A1682" s="19" t="str">
        <f>HYPERLINK("http://codeforces.com/contest/841/problem/E","CF841-D2-E")</f>
        <v>CF841-D2-E</v>
      </c>
      <c r="B1682" s="15" t="s">
        <v>1925</v>
      </c>
      <c r="C1682" s="24">
        <v>7</v>
      </c>
      <c r="D1682" s="18"/>
      <c r="E1682" s="17" t="s">
        <v>1909</v>
      </c>
      <c r="F1682" s="17" t="s">
        <v>139</v>
      </c>
      <c r="G1682" s="18"/>
      <c r="H1682" s="18"/>
    </row>
    <row r="1683" spans="1:8" ht="13.2">
      <c r="A1683" s="19" t="str">
        <f>HYPERLINK("https://www.hackerrank.com/contests/monthly/challenges/alien-languages/problem","HACKR alien-languages")</f>
        <v>HACKR alien-languages</v>
      </c>
      <c r="B1683" s="15" t="s">
        <v>1913</v>
      </c>
      <c r="C1683" s="17">
        <v>7</v>
      </c>
      <c r="D1683" s="26" t="str">
        <f>HYPERLINK("https://github.com/tmwilliamlin168/CompetitiveProgramming/blob/master/Hackerrank/alien-languages.cpp", "Sol")</f>
        <v>Sol</v>
      </c>
      <c r="E1683" s="17" t="s">
        <v>1909</v>
      </c>
      <c r="F1683" s="17" t="s">
        <v>242</v>
      </c>
      <c r="G1683" s="18"/>
      <c r="H1683" s="18"/>
    </row>
    <row r="1684" spans="1:8" ht="13.2">
      <c r="A1684" s="15" t="s">
        <v>1926</v>
      </c>
      <c r="B1684" s="15" t="s">
        <v>1913</v>
      </c>
      <c r="C1684" s="17">
        <v>7</v>
      </c>
      <c r="D1684" s="18"/>
      <c r="E1684" s="17" t="s">
        <v>1909</v>
      </c>
      <c r="F1684" s="17"/>
      <c r="G1684" s="18"/>
      <c r="H1684" s="18"/>
    </row>
    <row r="1685" spans="1:8" ht="13.2">
      <c r="A1685" s="19" t="str">
        <f>HYPERLINK("http://codeforces.com/contest/295/problem/D","CF295-D1-D")</f>
        <v>CF295-D1-D</v>
      </c>
      <c r="B1685" s="29" t="s">
        <v>1913</v>
      </c>
      <c r="C1685" s="17">
        <v>7</v>
      </c>
      <c r="D1685" s="18"/>
      <c r="E1685" s="17" t="s">
        <v>1909</v>
      </c>
      <c r="F1685" s="17"/>
      <c r="G1685" s="18"/>
      <c r="H1685" s="18"/>
    </row>
    <row r="1686" spans="1:8" ht="13.2">
      <c r="A1686" s="15" t="s">
        <v>1927</v>
      </c>
      <c r="B1686" s="30" t="s">
        <v>1928</v>
      </c>
      <c r="C1686" s="24">
        <v>7</v>
      </c>
      <c r="D1686" s="18"/>
      <c r="E1686" s="17" t="s">
        <v>1909</v>
      </c>
      <c r="F1686" s="17"/>
      <c r="G1686" s="18"/>
      <c r="H1686" s="18"/>
    </row>
    <row r="1687" spans="1:8" ht="13.2">
      <c r="A1687" s="19" t="str">
        <f>HYPERLINK("https://agc005.contest.atcoder.jp/tasks/agc005_d","AtCoder005-AGC-D")</f>
        <v>AtCoder005-AGC-D</v>
      </c>
      <c r="B1687" s="15" t="s">
        <v>1929</v>
      </c>
      <c r="C1687" s="17">
        <v>6.8</v>
      </c>
      <c r="D1687" s="18"/>
      <c r="E1687" s="17" t="s">
        <v>1909</v>
      </c>
      <c r="F1687" s="17" t="s">
        <v>154</v>
      </c>
      <c r="G1687" s="18"/>
      <c r="H1687" s="18"/>
    </row>
    <row r="1688" spans="1:8" ht="13.2">
      <c r="A1688" s="19" t="str">
        <f>HYPERLINK("http://agc030.contest.atcoder.jp/tasks/agc030_d","AtCoder030-AGC-D")</f>
        <v>AtCoder030-AGC-D</v>
      </c>
      <c r="B1688" s="15" t="s">
        <v>1930</v>
      </c>
      <c r="C1688" s="17">
        <v>6.8</v>
      </c>
      <c r="D1688" s="18"/>
      <c r="E1688" s="17" t="s">
        <v>1909</v>
      </c>
      <c r="F1688" s="17" t="s">
        <v>139</v>
      </c>
      <c r="G1688" s="18"/>
      <c r="H1688" s="18"/>
    </row>
    <row r="1689" spans="1:8" ht="13.2">
      <c r="A1689" s="19" t="str">
        <f>HYPERLINK("https://agc013.contest.atcoder.jp/tasks/agc013_d","AtCoder013-AGC-D")</f>
        <v>AtCoder013-AGC-D</v>
      </c>
      <c r="B1689" s="15" t="s">
        <v>1931</v>
      </c>
      <c r="C1689" s="17">
        <v>6.75</v>
      </c>
      <c r="D1689" s="18"/>
      <c r="E1689" s="17" t="s">
        <v>1909</v>
      </c>
      <c r="F1689" s="17" t="s">
        <v>154</v>
      </c>
      <c r="G1689" s="18"/>
      <c r="H1689" s="18"/>
    </row>
    <row r="1690" spans="1:8" ht="13.2">
      <c r="A1690" s="19" t="str">
        <f>HYPERLINK("https://codeforces.com/contest/1172/problem/C2", "CF1172-D1-C2")</f>
        <v>CF1172-D1-C2</v>
      </c>
      <c r="B1690" s="15" t="s">
        <v>1913</v>
      </c>
      <c r="C1690" s="17">
        <v>6.75</v>
      </c>
      <c r="D1690" s="18"/>
      <c r="E1690" s="17" t="s">
        <v>1909</v>
      </c>
      <c r="F1690" s="17" t="s">
        <v>139</v>
      </c>
      <c r="G1690" s="18"/>
      <c r="H1690" s="18"/>
    </row>
    <row r="1691" spans="1:8" ht="13.2">
      <c r="A1691" s="15" t="s">
        <v>1932</v>
      </c>
      <c r="B1691" s="30" t="s">
        <v>1933</v>
      </c>
      <c r="C1691" s="24">
        <v>6.7</v>
      </c>
      <c r="D1691" s="26" t="str">
        <f>HYPERLINK("https://github.com/dasannagariraja/CompetitiveProgramming/blob/master/TopCoder/SRM532-D1-500.cpp","Sol")</f>
        <v>Sol</v>
      </c>
      <c r="E1691" s="17" t="s">
        <v>1909</v>
      </c>
      <c r="F1691" s="17" t="s">
        <v>154</v>
      </c>
      <c r="G1691" s="18"/>
      <c r="H1691" s="18"/>
    </row>
    <row r="1692" spans="1:8" ht="13.2">
      <c r="A1692" s="19" t="str">
        <f>HYPERLINK("http://codeforces.com/problemset/gymProblem/101064/B","CF101064-GYM-B")</f>
        <v>CF101064-GYM-B</v>
      </c>
      <c r="B1692" s="29" t="s">
        <v>1934</v>
      </c>
      <c r="C1692" s="17">
        <v>6.6</v>
      </c>
      <c r="D1692" s="26" t="str">
        <f>HYPERLINK("https://github.com/mostafa-saad/MyCompetitiveProgramming/blob/master/Codeforces/CF101064-GYM-B.txt","Sol")</f>
        <v>Sol</v>
      </c>
      <c r="E1692" s="17" t="s">
        <v>1909</v>
      </c>
      <c r="F1692" s="17" t="s">
        <v>173</v>
      </c>
      <c r="G1692" s="18"/>
      <c r="H1692" s="18"/>
    </row>
    <row r="1693" spans="1:8" ht="13.2">
      <c r="A1693" s="19" t="str">
        <f>HYPERLINK("http://codeforces.com/contest/37/problem/D","CF37-D12-D")</f>
        <v>CF37-D12-D</v>
      </c>
      <c r="B1693" s="29" t="s">
        <v>1913</v>
      </c>
      <c r="C1693" s="17">
        <v>6.5</v>
      </c>
      <c r="D1693" s="26" t="str">
        <f>HYPERLINK("https://github.com/Huvok/CompetitiveProgramming/blob/master/Codeforces/CF37-D12-D.cpp", "Sol")</f>
        <v>Sol</v>
      </c>
      <c r="E1693" s="17" t="s">
        <v>1909</v>
      </c>
      <c r="F1693" s="17" t="s">
        <v>173</v>
      </c>
      <c r="G1693" s="18"/>
      <c r="H1693" s="18"/>
    </row>
    <row r="1694" spans="1:8" ht="13.2">
      <c r="A1694" s="19" t="str">
        <f>HYPERLINK("https://codeforces.com/contest/1185/problem/G2","CF1185-D2-G2")</f>
        <v>CF1185-D2-G2</v>
      </c>
      <c r="B1694" s="15" t="s">
        <v>1913</v>
      </c>
      <c r="C1694" s="17">
        <v>6.5</v>
      </c>
      <c r="D1694" s="18"/>
      <c r="E1694" s="17" t="s">
        <v>1909</v>
      </c>
      <c r="F1694" s="17" t="s">
        <v>139</v>
      </c>
      <c r="G1694" s="18"/>
      <c r="H1694" s="18"/>
    </row>
    <row r="1695" spans="1:8" ht="13.2">
      <c r="A1695" s="19" t="str">
        <f>HYPERLINK("https://codeforces.com/contest/1204/problem/E", "CF1204-D2-E")</f>
        <v>CF1204-D2-E</v>
      </c>
      <c r="B1695" s="20" t="s">
        <v>1913</v>
      </c>
      <c r="C1695" s="21">
        <v>6.5</v>
      </c>
      <c r="D1695" s="18"/>
      <c r="E1695" s="17" t="s">
        <v>1909</v>
      </c>
      <c r="F1695" s="17" t="s">
        <v>139</v>
      </c>
      <c r="G1695" s="18"/>
      <c r="H1695" s="18"/>
    </row>
    <row r="1696" spans="1:8" ht="13.2">
      <c r="A1696" s="19" t="str">
        <f>HYPERLINK("https://codeforces.com/contest/1237/problem/F","CF1237-D12-F")</f>
        <v>CF1237-D12-F</v>
      </c>
      <c r="B1696" s="20" t="s">
        <v>1913</v>
      </c>
      <c r="C1696" s="21">
        <v>6.5</v>
      </c>
      <c r="D1696" s="18"/>
      <c r="E1696" s="17" t="s">
        <v>1909</v>
      </c>
      <c r="F1696" s="17" t="s">
        <v>139</v>
      </c>
      <c r="G1696" s="18"/>
      <c r="H1696" s="18"/>
    </row>
    <row r="1697" spans="1:8" ht="13.2">
      <c r="A1697" s="19" t="str">
        <f>HYPERLINK("http://codeforces.com/contest/659/problem/G","CF659-D2-G")</f>
        <v>CF659-D2-G</v>
      </c>
      <c r="B1697" s="29" t="s">
        <v>1913</v>
      </c>
      <c r="C1697" s="17">
        <v>6.5</v>
      </c>
      <c r="D1697" s="18"/>
      <c r="E1697" s="17" t="s">
        <v>1909</v>
      </c>
      <c r="F1697" s="17" t="s">
        <v>139</v>
      </c>
      <c r="G1697" s="18"/>
      <c r="H1697" s="18"/>
    </row>
    <row r="1698" spans="1:8" ht="13.2">
      <c r="A1698" s="19" t="str">
        <f>HYPERLINK("http://codeforces.com/contest/129/problem/E","CF129-D12-E")</f>
        <v>CF129-D12-E</v>
      </c>
      <c r="B1698" s="15" t="s">
        <v>1935</v>
      </c>
      <c r="C1698" s="17">
        <v>6.5</v>
      </c>
      <c r="D1698" s="26" t="str">
        <f>HYPERLINK("https://github.com/IbraheemTuffaha/Competitive-Programming/blob/master/Codeforces/2018-Nov-15/CF129-D2-E.cpp","Sol")</f>
        <v>Sol</v>
      </c>
      <c r="E1698" s="17" t="s">
        <v>1909</v>
      </c>
      <c r="F1698" s="17" t="s">
        <v>139</v>
      </c>
      <c r="G1698" s="18"/>
      <c r="H1698" s="18"/>
    </row>
    <row r="1699" spans="1:8" ht="13.2">
      <c r="A1699" s="19" t="str">
        <f>HYPERLINK("https://www.codechef.com/problems/SEAEQ","CODECHEF SEAEQ")</f>
        <v>CODECHEF SEAEQ</v>
      </c>
      <c r="B1699" s="18" t="s">
        <v>1936</v>
      </c>
      <c r="C1699" s="17">
        <v>6.5</v>
      </c>
      <c r="D1699" s="18"/>
      <c r="E1699" s="17" t="s">
        <v>1909</v>
      </c>
      <c r="F1699" s="17" t="s">
        <v>139</v>
      </c>
      <c r="G1699" s="18"/>
      <c r="H1699" s="18"/>
    </row>
    <row r="1700" spans="1:8" ht="13.2">
      <c r="A1700" s="19" t="str">
        <f>HYPERLINK("http://codeforces.com/contest/128/problem/C","CF128-D1-C")</f>
        <v>CF128-D1-C</v>
      </c>
      <c r="B1700" s="18" t="s">
        <v>1937</v>
      </c>
      <c r="C1700" s="17">
        <v>6.5</v>
      </c>
      <c r="D1700" s="26" t="str">
        <f>HYPERLINK("https://github.com/mostafa-saad/MyCompetitiveProgramming/blob/master/Codeforces/CF128-D1-C.txt","Sol")</f>
        <v>Sol</v>
      </c>
      <c r="E1700" s="17" t="s">
        <v>1909</v>
      </c>
      <c r="F1700" s="17" t="s">
        <v>139</v>
      </c>
      <c r="G1700" s="18"/>
      <c r="H1700" s="18"/>
    </row>
    <row r="1701" spans="1:8" ht="13.2">
      <c r="A1701" s="19" t="str">
        <f>HYPERLINK("http://codeforces.com/contest/403/problem/D","CF403-D1-D")</f>
        <v>CF403-D1-D</v>
      </c>
      <c r="B1701" s="29" t="s">
        <v>1913</v>
      </c>
      <c r="C1701" s="17">
        <v>6.5</v>
      </c>
      <c r="D1701" s="18"/>
      <c r="E1701" s="17" t="s">
        <v>1909</v>
      </c>
      <c r="F1701" s="17"/>
      <c r="G1701" s="18"/>
      <c r="H1701" s="18"/>
    </row>
    <row r="1702" spans="1:8" ht="13.2">
      <c r="A1702" s="15" t="s">
        <v>1938</v>
      </c>
      <c r="B1702" s="16" t="s">
        <v>1913</v>
      </c>
      <c r="C1702" s="17">
        <v>6.5</v>
      </c>
      <c r="D1702" s="18"/>
      <c r="E1702" s="17" t="s">
        <v>1909</v>
      </c>
      <c r="F1702" s="17"/>
      <c r="G1702" s="18"/>
      <c r="H1702" s="18"/>
    </row>
    <row r="1703" spans="1:8" ht="13.2">
      <c r="A1703" s="19" t="str">
        <f>HYPERLINK("https://codeforces.com/contest/1279/problem/E","CF1279-D12-E")</f>
        <v>CF1279-D12-E</v>
      </c>
      <c r="B1703" s="15" t="s">
        <v>1913</v>
      </c>
      <c r="C1703" s="17">
        <v>6.3</v>
      </c>
      <c r="D1703" s="18"/>
      <c r="E1703" s="17" t="s">
        <v>1909</v>
      </c>
      <c r="F1703" s="17" t="s">
        <v>139</v>
      </c>
      <c r="G1703" s="18"/>
      <c r="H1703" s="18"/>
    </row>
    <row r="1704" spans="1:8" ht="13.2">
      <c r="A1704" s="19" t="str">
        <f>HYPERLINK("http://codeforces.com/contest/295/problem/C","CF295-D1-C")</f>
        <v>CF295-D1-C</v>
      </c>
      <c r="B1704" s="29" t="s">
        <v>1939</v>
      </c>
      <c r="C1704" s="17">
        <v>6.25</v>
      </c>
      <c r="D1704" s="18"/>
      <c r="E1704" s="17" t="s">
        <v>1909</v>
      </c>
      <c r="F1704" s="17" t="s">
        <v>173</v>
      </c>
      <c r="G1704" s="18"/>
      <c r="H1704" s="18"/>
    </row>
    <row r="1705" spans="1:8" ht="13.2">
      <c r="A1705" s="15" t="s">
        <v>1940</v>
      </c>
      <c r="B1705" s="29" t="s">
        <v>1941</v>
      </c>
      <c r="C1705" s="31">
        <v>6.25</v>
      </c>
      <c r="D1705" s="18"/>
      <c r="E1705" s="17" t="s">
        <v>1909</v>
      </c>
      <c r="F1705" s="17" t="s">
        <v>154</v>
      </c>
      <c r="G1705" s="18"/>
      <c r="H1705" s="18"/>
    </row>
    <row r="1706" spans="1:8" ht="13.2">
      <c r="A1706" s="15" t="s">
        <v>1942</v>
      </c>
      <c r="B1706" s="30" t="s">
        <v>1913</v>
      </c>
      <c r="C1706" s="24">
        <v>6.25</v>
      </c>
      <c r="D1706" s="18"/>
      <c r="E1706" s="17" t="s">
        <v>1909</v>
      </c>
      <c r="F1706" s="17"/>
      <c r="G1706" s="18"/>
      <c r="H1706" s="18"/>
    </row>
    <row r="1707" spans="1:8" ht="13.2">
      <c r="A1707" s="15" t="s">
        <v>1943</v>
      </c>
      <c r="B1707" s="15" t="s">
        <v>1944</v>
      </c>
      <c r="C1707" s="24">
        <v>6.1</v>
      </c>
      <c r="D1707" s="18"/>
      <c r="E1707" s="17" t="s">
        <v>1909</v>
      </c>
      <c r="F1707" s="17" t="s">
        <v>139</v>
      </c>
      <c r="G1707" s="18"/>
      <c r="H1707" s="18"/>
    </row>
    <row r="1708" spans="1:8" ht="13.2">
      <c r="A1708" s="15" t="s">
        <v>1945</v>
      </c>
      <c r="B1708" s="15" t="s">
        <v>1946</v>
      </c>
      <c r="C1708" s="17">
        <v>6</v>
      </c>
      <c r="D1708" s="26" t="str">
        <f>HYPERLINK("https://ideone.com/N44vRX","Sol")</f>
        <v>Sol</v>
      </c>
      <c r="E1708" s="17" t="s">
        <v>1909</v>
      </c>
      <c r="F1708" s="17" t="s">
        <v>154</v>
      </c>
      <c r="G1708" s="18"/>
      <c r="H1708" s="18"/>
    </row>
    <row r="1709" spans="1:8" ht="13.2">
      <c r="A1709" s="15" t="s">
        <v>1947</v>
      </c>
      <c r="B1709" s="15" t="s">
        <v>1913</v>
      </c>
      <c r="C1709" s="17">
        <v>6</v>
      </c>
      <c r="D1709" s="18"/>
      <c r="E1709" s="17" t="s">
        <v>1909</v>
      </c>
      <c r="F1709" s="17" t="s">
        <v>139</v>
      </c>
      <c r="G1709" s="18"/>
      <c r="H1709" s="18"/>
    </row>
    <row r="1710" spans="1:8" ht="13.2">
      <c r="A1710" s="19" t="str">
        <f>HYPERLINK("http://codeforces.com/contest/258/problem/C","CF258-D1-C")</f>
        <v>CF258-D1-C</v>
      </c>
      <c r="B1710" s="15" t="s">
        <v>1948</v>
      </c>
      <c r="C1710" s="17">
        <v>6</v>
      </c>
      <c r="D1710" s="18"/>
      <c r="E1710" s="17" t="s">
        <v>1909</v>
      </c>
      <c r="F1710" s="17" t="s">
        <v>139</v>
      </c>
      <c r="G1710" s="18"/>
      <c r="H1710" s="18"/>
    </row>
    <row r="1711" spans="1:8" ht="13.2">
      <c r="A1711" s="19" t="str">
        <f>HYPERLINK("http://codeforces.com/contest/233/problem/D","CF233-D2-D")</f>
        <v>CF233-D2-D</v>
      </c>
      <c r="B1711" s="15" t="s">
        <v>1949</v>
      </c>
      <c r="C1711" s="24">
        <v>6</v>
      </c>
      <c r="D1711" s="18"/>
      <c r="E1711" s="17" t="s">
        <v>1909</v>
      </c>
      <c r="F1711" s="17" t="s">
        <v>139</v>
      </c>
      <c r="G1711" s="18"/>
      <c r="H1711" s="18"/>
    </row>
    <row r="1712" spans="1:8" ht="13.2">
      <c r="A1712" s="15" t="s">
        <v>1950</v>
      </c>
      <c r="B1712" s="15" t="s">
        <v>1951</v>
      </c>
      <c r="C1712" s="17">
        <v>6</v>
      </c>
      <c r="D1712" s="18"/>
      <c r="E1712" s="17" t="s">
        <v>1909</v>
      </c>
      <c r="F1712" s="17" t="s">
        <v>139</v>
      </c>
      <c r="G1712" s="18"/>
      <c r="H1712" s="18"/>
    </row>
    <row r="1713" spans="1:8" ht="13.2">
      <c r="A1713" s="19" t="str">
        <f>HYPERLINK("https://codeforces.com/contest/1111/problem/D","CF1111-D2-D")</f>
        <v>CF1111-D2-D</v>
      </c>
      <c r="B1713" s="15" t="s">
        <v>1952</v>
      </c>
      <c r="C1713" s="17">
        <v>6</v>
      </c>
      <c r="D1713" s="18"/>
      <c r="E1713" s="17" t="s">
        <v>1909</v>
      </c>
      <c r="F1713" s="17" t="s">
        <v>201</v>
      </c>
      <c r="G1713" s="18"/>
      <c r="H1713" s="18"/>
    </row>
    <row r="1714" spans="1:8" ht="13.2">
      <c r="A1714" s="19" t="str">
        <f>HYPERLINK("https://codeforces.com/contest/1156/problem/F", "CF1156-D12-F")</f>
        <v>CF1156-D12-F</v>
      </c>
      <c r="B1714" s="15" t="s">
        <v>1953</v>
      </c>
      <c r="C1714" s="17">
        <v>6</v>
      </c>
      <c r="D1714" s="18"/>
      <c r="E1714" s="17" t="s">
        <v>1909</v>
      </c>
      <c r="F1714" s="17" t="s">
        <v>201</v>
      </c>
      <c r="G1714" s="18"/>
      <c r="H1714" s="18"/>
    </row>
    <row r="1715" spans="1:8" ht="13.2">
      <c r="A1715" s="19" t="str">
        <f>HYPERLINK("http://codeforces.com/contest/156/problem/C","CF156-D1-C")</f>
        <v>CF156-D1-C</v>
      </c>
      <c r="B1715" s="29" t="s">
        <v>1913</v>
      </c>
      <c r="C1715" s="17">
        <v>6</v>
      </c>
      <c r="D1715" s="18"/>
      <c r="E1715" s="17" t="s">
        <v>1909</v>
      </c>
      <c r="F1715" s="17"/>
      <c r="G1715" s="18"/>
      <c r="H1715" s="18"/>
    </row>
    <row r="1716" spans="1:8" ht="13.2">
      <c r="A1716" s="15" t="s">
        <v>1954</v>
      </c>
      <c r="B1716" s="29" t="s">
        <v>1913</v>
      </c>
      <c r="C1716" s="24">
        <v>6</v>
      </c>
      <c r="D1716" s="18"/>
      <c r="E1716" s="17" t="s">
        <v>1909</v>
      </c>
      <c r="F1716" s="17"/>
      <c r="G1716" s="18"/>
      <c r="H1716" s="18"/>
    </row>
    <row r="1717" spans="1:8" ht="13.2">
      <c r="A1717" s="19" t="str">
        <f>HYPERLINK("http://codeforces.com/contest/489/problem/F","CF489-D2-F")</f>
        <v>CF489-D2-F</v>
      </c>
      <c r="B1717" s="29" t="s">
        <v>1955</v>
      </c>
      <c r="C1717" s="17">
        <v>6</v>
      </c>
      <c r="D1717" s="18"/>
      <c r="E1717" s="17" t="s">
        <v>1909</v>
      </c>
      <c r="F1717" s="17"/>
      <c r="G1717" s="18"/>
      <c r="H1717" s="18"/>
    </row>
    <row r="1718" spans="1:8" ht="13.2">
      <c r="A1718" s="15" t="s">
        <v>1956</v>
      </c>
      <c r="B1718" s="28" t="s">
        <v>1908</v>
      </c>
      <c r="C1718" s="24">
        <v>6</v>
      </c>
      <c r="D1718" s="18"/>
      <c r="E1718" s="17" t="s">
        <v>1909</v>
      </c>
      <c r="F1718" s="17"/>
      <c r="G1718" s="18"/>
      <c r="H1718" s="18"/>
    </row>
    <row r="1719" spans="1:8" ht="13.2">
      <c r="A1719" s="15" t="s">
        <v>1957</v>
      </c>
      <c r="B1719" s="41" t="s">
        <v>1958</v>
      </c>
      <c r="C1719" s="17">
        <v>6</v>
      </c>
      <c r="D1719" s="18"/>
      <c r="E1719" s="17" t="s">
        <v>1909</v>
      </c>
      <c r="F1719" s="17"/>
      <c r="G1719" s="18"/>
      <c r="H1719" s="18"/>
    </row>
    <row r="1720" spans="1:8" ht="13.2">
      <c r="A1720" s="15" t="s">
        <v>1959</v>
      </c>
      <c r="B1720" s="30" t="s">
        <v>1939</v>
      </c>
      <c r="C1720" s="24">
        <v>6</v>
      </c>
      <c r="D1720" s="18"/>
      <c r="E1720" s="17" t="s">
        <v>1909</v>
      </c>
      <c r="F1720" s="17"/>
      <c r="G1720" s="18"/>
      <c r="H1720" s="18"/>
    </row>
    <row r="1721" spans="1:8" ht="13.2">
      <c r="A1721" s="15" t="s">
        <v>1960</v>
      </c>
      <c r="B1721" s="29" t="s">
        <v>1961</v>
      </c>
      <c r="C1721" s="17">
        <v>6</v>
      </c>
      <c r="D1721" s="18"/>
      <c r="E1721" s="17" t="s">
        <v>1909</v>
      </c>
      <c r="F1721" s="17"/>
      <c r="G1721" s="18"/>
      <c r="H1721" s="18"/>
    </row>
    <row r="1722" spans="1:8" ht="13.2">
      <c r="A1722" s="15" t="s">
        <v>1962</v>
      </c>
      <c r="B1722" s="18" t="s">
        <v>1963</v>
      </c>
      <c r="C1722" s="31">
        <v>5.5</v>
      </c>
      <c r="D1722" s="26" t="str">
        <f>HYPERLINK("https://github.com/mostafa-saad/MyCompetitiveProgramming/blob/master/TopCoder/SRM428-D2-1000.txt","Sol")</f>
        <v>Sol</v>
      </c>
      <c r="E1722" s="17" t="s">
        <v>1909</v>
      </c>
      <c r="F1722" s="17" t="s">
        <v>201</v>
      </c>
      <c r="G1722" s="18"/>
      <c r="H1722" s="18"/>
    </row>
    <row r="1723" spans="1:8" ht="13.2">
      <c r="A1723" s="15" t="s">
        <v>1964</v>
      </c>
      <c r="B1723" s="30" t="s">
        <v>1965</v>
      </c>
      <c r="C1723" s="24">
        <v>5.5</v>
      </c>
      <c r="D1723" s="18"/>
      <c r="E1723" s="17" t="s">
        <v>1909</v>
      </c>
      <c r="F1723" s="17"/>
      <c r="G1723" s="18"/>
      <c r="H1723" s="18"/>
    </row>
    <row r="1724" spans="1:8" ht="13.2">
      <c r="A1724" s="19" t="str">
        <f>HYPERLINK("http://codeforces.com/contest/888/problem/D","CF888-D12-D")</f>
        <v>CF888-D12-D</v>
      </c>
      <c r="B1724" s="15" t="s">
        <v>1913</v>
      </c>
      <c r="C1724" s="17">
        <v>5</v>
      </c>
      <c r="D1724" s="18"/>
      <c r="E1724" s="17" t="s">
        <v>1909</v>
      </c>
      <c r="F1724" s="17" t="s">
        <v>229</v>
      </c>
      <c r="G1724" s="18"/>
      <c r="H1724" s="18"/>
    </row>
    <row r="1725" spans="1:8" ht="13.2">
      <c r="A1725" s="15" t="s">
        <v>1966</v>
      </c>
      <c r="B1725" s="15" t="s">
        <v>1967</v>
      </c>
      <c r="C1725" s="17">
        <v>5</v>
      </c>
      <c r="D1725" s="26" t="str">
        <f>HYPERLINK("https://github.com/MonaAhmed810/CompetitiveProgramming/blob/master/SPOJ/DCEPC810.cpp","Sol")</f>
        <v>Sol</v>
      </c>
      <c r="E1725" s="17" t="s">
        <v>1909</v>
      </c>
      <c r="F1725" s="17" t="s">
        <v>139</v>
      </c>
      <c r="G1725" s="18"/>
      <c r="H1725" s="18"/>
    </row>
    <row r="1726" spans="1:8" ht="13.2">
      <c r="A1726" s="19" t="str">
        <f>HYPERLINK("http://codeforces.com/problemset/gymProblem/100531/K","CF100531-gym-K")</f>
        <v>CF100531-gym-K</v>
      </c>
      <c r="B1726" s="29" t="s">
        <v>1913</v>
      </c>
      <c r="C1726" s="17">
        <v>5</v>
      </c>
      <c r="D1726" s="18"/>
      <c r="E1726" s="17" t="s">
        <v>1909</v>
      </c>
      <c r="F1726" s="17"/>
      <c r="G1726" s="18"/>
      <c r="H1726" s="18"/>
    </row>
    <row r="1727" spans="1:8" ht="13.2">
      <c r="A1727" s="19" t="str">
        <f>HYPERLINK("http://codeforces.com/contest/991/problem/E","CF991-D2-E")</f>
        <v>CF991-D2-E</v>
      </c>
      <c r="B1727" s="15" t="s">
        <v>1913</v>
      </c>
      <c r="C1727" s="17">
        <v>5</v>
      </c>
      <c r="D1727" s="18"/>
      <c r="E1727" s="17" t="s">
        <v>1909</v>
      </c>
      <c r="F1727" s="17"/>
      <c r="G1727" s="18"/>
      <c r="H1727" s="18"/>
    </row>
    <row r="1728" spans="1:8" ht="13.2">
      <c r="A1728" s="15" t="s">
        <v>1968</v>
      </c>
      <c r="B1728" s="30" t="s">
        <v>1913</v>
      </c>
      <c r="C1728" s="17">
        <v>5</v>
      </c>
      <c r="D1728" s="18"/>
      <c r="E1728" s="17" t="s">
        <v>1909</v>
      </c>
      <c r="F1728" s="17"/>
      <c r="G1728" s="18"/>
      <c r="H1728" s="18"/>
    </row>
    <row r="1729" spans="1:8" ht="13.2">
      <c r="A1729" s="15" t="s">
        <v>1969</v>
      </c>
      <c r="B1729" s="29" t="s">
        <v>1913</v>
      </c>
      <c r="C1729" s="17">
        <v>5</v>
      </c>
      <c r="D1729" s="18"/>
      <c r="E1729" s="17" t="s">
        <v>1909</v>
      </c>
      <c r="F1729" s="17"/>
      <c r="G1729" s="18"/>
      <c r="H1729" s="18"/>
    </row>
    <row r="1730" spans="1:8" ht="13.2">
      <c r="A1730" s="15" t="s">
        <v>1970</v>
      </c>
      <c r="B1730" s="29" t="s">
        <v>1913</v>
      </c>
      <c r="C1730" s="17">
        <v>5</v>
      </c>
      <c r="D1730" s="18"/>
      <c r="E1730" s="17" t="s">
        <v>1909</v>
      </c>
      <c r="F1730" s="17"/>
      <c r="G1730" s="18"/>
      <c r="H1730" s="18"/>
    </row>
    <row r="1731" spans="1:8" ht="13.2">
      <c r="A1731" s="15" t="s">
        <v>1971</v>
      </c>
      <c r="B1731" s="30" t="s">
        <v>1972</v>
      </c>
      <c r="C1731" s="24">
        <v>5</v>
      </c>
      <c r="D1731" s="18"/>
      <c r="E1731" s="17" t="s">
        <v>1909</v>
      </c>
      <c r="F1731" s="17"/>
      <c r="G1731" s="18"/>
      <c r="H1731" s="18"/>
    </row>
    <row r="1732" spans="1:8" ht="13.2">
      <c r="A1732" s="19" t="str">
        <f>HYPERLINK("https://www.hackerrank.com/challenges/volleyball-match","HACKR volleyball-match")</f>
        <v>HACKR volleyball-match</v>
      </c>
      <c r="B1732" s="29" t="s">
        <v>1908</v>
      </c>
      <c r="C1732" s="33">
        <v>5</v>
      </c>
      <c r="D1732" s="18"/>
      <c r="E1732" s="17" t="s">
        <v>1909</v>
      </c>
      <c r="F1732" s="17"/>
      <c r="G1732" s="18"/>
      <c r="H1732" s="18"/>
    </row>
    <row r="1733" spans="1:8" ht="13.2">
      <c r="A1733" s="15" t="s">
        <v>1973</v>
      </c>
      <c r="B1733" s="28" t="s">
        <v>1939</v>
      </c>
      <c r="C1733" s="17">
        <v>5</v>
      </c>
      <c r="D1733" s="18"/>
      <c r="E1733" s="17" t="s">
        <v>1909</v>
      </c>
      <c r="F1733" s="17"/>
      <c r="G1733" s="18"/>
      <c r="H1733" s="18"/>
    </row>
    <row r="1734" spans="1:8" ht="13.2">
      <c r="A1734" s="19" t="str">
        <f>HYPERLINK("https://codeforces.com/contest/1084/problem/C","CF1084-D2-C")</f>
        <v>CF1084-D2-C</v>
      </c>
      <c r="B1734" s="20" t="s">
        <v>1913</v>
      </c>
      <c r="C1734" s="17">
        <v>4.5</v>
      </c>
      <c r="D1734" s="18"/>
      <c r="E1734" s="17" t="s">
        <v>1909</v>
      </c>
      <c r="F1734" s="17" t="s">
        <v>139</v>
      </c>
      <c r="G1734" s="18"/>
      <c r="H1734" s="18"/>
    </row>
    <row r="1735" spans="1:8" ht="13.2">
      <c r="A1735" s="15" t="s">
        <v>1974</v>
      </c>
      <c r="B1735" s="29" t="s">
        <v>1913</v>
      </c>
      <c r="C1735" s="17">
        <v>4.5</v>
      </c>
      <c r="D1735" s="18"/>
      <c r="E1735" s="17" t="s">
        <v>1909</v>
      </c>
      <c r="F1735" s="17" t="s">
        <v>139</v>
      </c>
      <c r="G1735" s="18"/>
      <c r="H1735" s="18"/>
    </row>
    <row r="1736" spans="1:8" ht="13.2">
      <c r="A1736" s="19" t="str">
        <f>HYPERLINK("http://codeforces.com/contest/474/problem/D","CF474-D2-D")</f>
        <v>CF474-D2-D</v>
      </c>
      <c r="B1736" s="29" t="s">
        <v>1913</v>
      </c>
      <c r="C1736" s="17">
        <v>4.5</v>
      </c>
      <c r="D1736" s="18"/>
      <c r="E1736" s="17" t="s">
        <v>1909</v>
      </c>
      <c r="F1736" s="17" t="s">
        <v>201</v>
      </c>
      <c r="G1736" s="18"/>
      <c r="H1736" s="18"/>
    </row>
    <row r="1737" spans="1:8" ht="13.2">
      <c r="A1737" s="15" t="s">
        <v>1975</v>
      </c>
      <c r="B1737" s="29" t="s">
        <v>1976</v>
      </c>
      <c r="C1737" s="33">
        <v>4.5</v>
      </c>
      <c r="D1737" s="18"/>
      <c r="E1737" s="17" t="s">
        <v>1909</v>
      </c>
      <c r="F1737" s="17"/>
      <c r="G1737" s="18"/>
      <c r="H1737" s="18"/>
    </row>
    <row r="1738" spans="1:8" ht="13.2">
      <c r="A1738" s="15" t="s">
        <v>1977</v>
      </c>
      <c r="B1738" s="29" t="s">
        <v>1978</v>
      </c>
      <c r="C1738" s="24">
        <v>4.5</v>
      </c>
      <c r="D1738" s="18"/>
      <c r="E1738" s="17" t="s">
        <v>1909</v>
      </c>
      <c r="F1738" s="17"/>
      <c r="G1738" s="18"/>
      <c r="H1738" s="18"/>
    </row>
    <row r="1739" spans="1:8" ht="13.2">
      <c r="A1739" s="15" t="s">
        <v>1979</v>
      </c>
      <c r="B1739" s="29" t="s">
        <v>1913</v>
      </c>
      <c r="C1739" s="17">
        <v>4</v>
      </c>
      <c r="D1739" s="18"/>
      <c r="E1739" s="17" t="s">
        <v>1909</v>
      </c>
      <c r="F1739" s="17" t="s">
        <v>201</v>
      </c>
      <c r="G1739" s="18"/>
      <c r="H1739" s="18"/>
    </row>
    <row r="1740" spans="1:8" ht="13.2">
      <c r="A1740" s="19" t="str">
        <f>HYPERLINK("https://www.hackerrank.com/contests/101hack52/challenges/construct-the-array","HACKR construct-the-array")</f>
        <v>HACKR construct-the-array</v>
      </c>
      <c r="B1740" s="18" t="s">
        <v>1980</v>
      </c>
      <c r="C1740" s="17">
        <v>4</v>
      </c>
      <c r="D1740" s="18"/>
      <c r="E1740" s="17" t="s">
        <v>1909</v>
      </c>
      <c r="F1740" s="17"/>
      <c r="G1740" s="18"/>
      <c r="H1740" s="18"/>
    </row>
    <row r="1741" spans="1:8" ht="13.2">
      <c r="A1741" s="19" t="str">
        <f>HYPERLINK("https://uva.onlinejudge.org/index.php?option=com_onlinejudge&amp;Itemid=8&amp;page=show_problem&amp;problem=1139","UVA 10198")</f>
        <v>UVA 10198</v>
      </c>
      <c r="B1741" s="29" t="s">
        <v>1981</v>
      </c>
      <c r="C1741" s="17">
        <v>4</v>
      </c>
      <c r="D1741" s="18"/>
      <c r="E1741" s="17" t="s">
        <v>1909</v>
      </c>
      <c r="F1741" s="17"/>
      <c r="G1741" s="18"/>
      <c r="H1741" s="18"/>
    </row>
    <row r="1742" spans="1:8" ht="13.2">
      <c r="A1742" s="15" t="s">
        <v>1982</v>
      </c>
      <c r="B1742" s="30" t="s">
        <v>1983</v>
      </c>
      <c r="C1742" s="24">
        <v>4</v>
      </c>
      <c r="D1742" s="18"/>
      <c r="E1742" s="17" t="s">
        <v>1909</v>
      </c>
      <c r="F1742" s="17"/>
      <c r="G1742" s="18"/>
      <c r="H1742" s="18"/>
    </row>
    <row r="1743" spans="1:8" ht="13.2">
      <c r="A1743" s="19" t="str">
        <f>HYPERLINK("http://codeforces.com/contest/431/problem/C","CF431-D2-C")</f>
        <v>CF431-D2-C</v>
      </c>
      <c r="B1743" s="29" t="s">
        <v>1984</v>
      </c>
      <c r="C1743" s="17">
        <v>3.5</v>
      </c>
      <c r="D1743" s="18"/>
      <c r="E1743" s="17" t="s">
        <v>1909</v>
      </c>
      <c r="F1743" s="17"/>
      <c r="G1743" s="18"/>
      <c r="H1743" s="18"/>
    </row>
    <row r="1744" spans="1:8" ht="13.2">
      <c r="A1744" s="19" t="str">
        <f>HYPERLINK("http://codeforces.com/contest/118/problem/D","CF118-D2-D")</f>
        <v>CF118-D2-D</v>
      </c>
      <c r="B1744" s="29" t="s">
        <v>1913</v>
      </c>
      <c r="C1744" s="17">
        <v>3</v>
      </c>
      <c r="D1744" s="18"/>
      <c r="E1744" s="17" t="s">
        <v>1909</v>
      </c>
      <c r="F1744" s="17"/>
      <c r="G1744" s="18"/>
      <c r="H1744" s="18"/>
    </row>
    <row r="1745" spans="1:8" ht="13.2">
      <c r="A1745" s="15" t="s">
        <v>1985</v>
      </c>
      <c r="B1745" s="34" t="s">
        <v>1913</v>
      </c>
      <c r="C1745" s="24">
        <v>3</v>
      </c>
      <c r="D1745" s="18"/>
      <c r="E1745" s="17" t="s">
        <v>1909</v>
      </c>
      <c r="F1745" s="17"/>
      <c r="G1745" s="18"/>
      <c r="H1745" s="18"/>
    </row>
    <row r="1746" spans="1:8" ht="13.2">
      <c r="A1746" s="15" t="s">
        <v>1986</v>
      </c>
      <c r="B1746" s="29" t="s">
        <v>1913</v>
      </c>
      <c r="C1746" s="17">
        <v>3</v>
      </c>
      <c r="D1746" s="18"/>
      <c r="E1746" s="17" t="s">
        <v>1909</v>
      </c>
      <c r="F1746" s="17"/>
      <c r="G1746" s="18"/>
      <c r="H1746" s="18"/>
    </row>
    <row r="1747" spans="1:8" ht="13.2">
      <c r="A1747" s="19" t="str">
        <f>HYPERLINK("https://www.hackerrank.com/challenges/lexicographic-steps","HACKR lexicographic-steps")</f>
        <v>HACKR lexicographic-steps</v>
      </c>
      <c r="B1747" s="29" t="s">
        <v>1987</v>
      </c>
      <c r="C1747" s="17">
        <v>3</v>
      </c>
      <c r="D1747" s="18"/>
      <c r="E1747" s="17" t="s">
        <v>1909</v>
      </c>
      <c r="F1747" s="17"/>
      <c r="G1747" s="18"/>
      <c r="H1747" s="18"/>
    </row>
    <row r="1748" spans="1:8" ht="13.2">
      <c r="A1748" s="19" t="str">
        <f>HYPERLINK("http://codeforces.com/contest/382/problem/E","CF382-D2-E")</f>
        <v>CF382-D2-E</v>
      </c>
      <c r="B1748" s="15" t="s">
        <v>1988</v>
      </c>
      <c r="C1748" s="24">
        <v>8</v>
      </c>
      <c r="D1748" s="18"/>
      <c r="E1748" s="17" t="s">
        <v>1989</v>
      </c>
      <c r="F1748" s="17" t="s">
        <v>139</v>
      </c>
      <c r="G1748" s="18"/>
      <c r="H1748" s="18"/>
    </row>
    <row r="1749" spans="1:8" ht="13.2">
      <c r="A1749" s="19" t="str">
        <f>HYPERLINK("http://codeforces.com/contest/317/problem/D","CF317-D1-D")</f>
        <v>CF317-D1-D</v>
      </c>
      <c r="B1749" s="29" t="s">
        <v>1990</v>
      </c>
      <c r="C1749" s="17">
        <v>6.5</v>
      </c>
      <c r="D1749" s="18"/>
      <c r="E1749" s="17" t="s">
        <v>1989</v>
      </c>
      <c r="F1749" s="17" t="s">
        <v>139</v>
      </c>
      <c r="G1749" s="18"/>
      <c r="H1749" s="18"/>
    </row>
    <row r="1750" spans="1:8" ht="13.2">
      <c r="A1750" s="15" t="s">
        <v>1991</v>
      </c>
      <c r="B1750" s="41" t="s">
        <v>1992</v>
      </c>
      <c r="C1750" s="17">
        <v>6.25</v>
      </c>
      <c r="D1750" s="26" t="str">
        <f>HYPERLINK("https://github.com/mostafa-saad/MyCompetitiveProgramming/blob/master/SPOJ/SPOJ_XOINC.txt","Sol")</f>
        <v>Sol</v>
      </c>
      <c r="E1750" s="17" t="s">
        <v>1989</v>
      </c>
      <c r="F1750" s="17" t="s">
        <v>173</v>
      </c>
      <c r="G1750" s="18"/>
      <c r="H1750" s="18"/>
    </row>
    <row r="1751" spans="1:8" ht="13.2">
      <c r="A1751" s="15" t="s">
        <v>1993</v>
      </c>
      <c r="B1751" s="34" t="s">
        <v>1994</v>
      </c>
      <c r="C1751" s="17">
        <v>6.1</v>
      </c>
      <c r="D1751" s="26" t="str">
        <f>HYPERLINK("https://github.com/magdy-hasan/competitive-programming/blob/c9fdde70da7630affa45308221ab8d765a756ae9/Topcoder/SRM526-D1-500.cpp","Sol")</f>
        <v>Sol</v>
      </c>
      <c r="E1751" s="17" t="s">
        <v>1989</v>
      </c>
      <c r="F1751" s="17" t="s">
        <v>196</v>
      </c>
      <c r="G1751" s="18"/>
      <c r="H1751" s="18"/>
    </row>
    <row r="1752" spans="1:8" ht="13.2">
      <c r="A1752" s="19" t="str">
        <f>HYPERLINK("http://codeforces.com/contest/48/problem/E","CF48-D12-E")</f>
        <v>CF48-D12-E</v>
      </c>
      <c r="B1752" s="29" t="s">
        <v>1995</v>
      </c>
      <c r="C1752" s="17">
        <v>6.1</v>
      </c>
      <c r="D1752" s="18"/>
      <c r="E1752" s="17" t="s">
        <v>1989</v>
      </c>
      <c r="F1752" s="17" t="s">
        <v>139</v>
      </c>
      <c r="G1752" s="18"/>
      <c r="H1752" s="18"/>
    </row>
    <row r="1753" spans="1:8" ht="13.2">
      <c r="A1753" s="15" t="s">
        <v>1996</v>
      </c>
      <c r="B1753" s="30" t="s">
        <v>1997</v>
      </c>
      <c r="C1753" s="40">
        <v>6.1</v>
      </c>
      <c r="D1753" s="26" t="str">
        <f>HYPERLINK("https://github.com/arvindr9/CompetitiveProgramming/blob/master/TopCoder/SRM419-D1-500.cpp","Sol")</f>
        <v>Sol</v>
      </c>
      <c r="E1753" s="17" t="s">
        <v>1989</v>
      </c>
      <c r="F1753" s="17" t="s">
        <v>201</v>
      </c>
      <c r="G1753" s="18"/>
      <c r="H1753" s="18"/>
    </row>
    <row r="1754" spans="1:8" ht="13.2">
      <c r="A1754" s="15" t="s">
        <v>1998</v>
      </c>
      <c r="B1754" s="28" t="s">
        <v>1999</v>
      </c>
      <c r="C1754" s="24">
        <v>6</v>
      </c>
      <c r="D1754" s="18"/>
      <c r="E1754" s="17" t="s">
        <v>1989</v>
      </c>
      <c r="F1754" s="17" t="s">
        <v>201</v>
      </c>
      <c r="G1754" s="18"/>
      <c r="H1754" s="18"/>
    </row>
    <row r="1755" spans="1:8" ht="13.2">
      <c r="A1755" s="15" t="s">
        <v>2000</v>
      </c>
      <c r="B1755" s="30" t="s">
        <v>2001</v>
      </c>
      <c r="C1755" s="24">
        <v>6</v>
      </c>
      <c r="D1755" s="18"/>
      <c r="E1755" s="17" t="s">
        <v>1989</v>
      </c>
      <c r="F1755" s="17"/>
      <c r="G1755" s="18"/>
      <c r="H1755" s="18"/>
    </row>
    <row r="1756" spans="1:8" ht="13.2">
      <c r="A1756" s="19" t="str">
        <f>HYPERLINK("https://uva.onlinejudge.org/index.php?option=com_onlinejudge&amp;Itemid=8&amp;page=show_problem&amp;problem=1052","UVA 10111")</f>
        <v>UVA 10111</v>
      </c>
      <c r="B1756" s="29" t="s">
        <v>2002</v>
      </c>
      <c r="C1756" s="17">
        <v>5.5</v>
      </c>
      <c r="D1756" s="26" t="str">
        <f>HYPERLINK("https://github.com/mostafa-saad/MyCompetitiveProgramming/blob/master/UVA/UVA_10111.txt","Sol")</f>
        <v>Sol</v>
      </c>
      <c r="E1756" s="17" t="s">
        <v>1989</v>
      </c>
      <c r="F1756" s="17" t="s">
        <v>139</v>
      </c>
      <c r="G1756" s="18"/>
      <c r="H1756" s="18"/>
    </row>
    <row r="1757" spans="1:8" ht="13.2">
      <c r="A1757" s="15" t="s">
        <v>2003</v>
      </c>
      <c r="B1757" s="41" t="s">
        <v>2004</v>
      </c>
      <c r="C1757" s="17">
        <v>5</v>
      </c>
      <c r="D1757" s="18"/>
      <c r="E1757" s="17" t="s">
        <v>1989</v>
      </c>
      <c r="F1757" s="17" t="s">
        <v>242</v>
      </c>
      <c r="G1757" s="18"/>
      <c r="H1757" s="18"/>
    </row>
    <row r="1758" spans="1:8" ht="13.2">
      <c r="A1758" s="19" t="str">
        <f>HYPERLINK("http://codeforces.com/contest/731/problem/E","CF731-D2-E")</f>
        <v>CF731-D2-E</v>
      </c>
      <c r="B1758" s="18" t="s">
        <v>2004</v>
      </c>
      <c r="C1758" s="17">
        <v>5</v>
      </c>
      <c r="D1758" s="18"/>
      <c r="E1758" s="17" t="s">
        <v>1989</v>
      </c>
      <c r="F1758" s="17"/>
      <c r="G1758" s="18"/>
      <c r="H1758" s="18"/>
    </row>
    <row r="1759" spans="1:8" ht="13.2">
      <c r="A1759" s="15" t="s">
        <v>2005</v>
      </c>
      <c r="B1759" s="29" t="s">
        <v>2004</v>
      </c>
      <c r="C1759" s="24">
        <v>5</v>
      </c>
      <c r="D1759" s="18"/>
      <c r="E1759" s="17" t="s">
        <v>1989</v>
      </c>
      <c r="F1759" s="17"/>
      <c r="G1759" s="18"/>
      <c r="H1759" s="18"/>
    </row>
    <row r="1760" spans="1:8" ht="13.2">
      <c r="A1760" s="15" t="s">
        <v>2006</v>
      </c>
      <c r="B1760" s="28" t="s">
        <v>2004</v>
      </c>
      <c r="C1760" s="17">
        <v>5</v>
      </c>
      <c r="D1760" s="18"/>
      <c r="E1760" s="17" t="s">
        <v>1989</v>
      </c>
      <c r="F1760" s="17"/>
      <c r="G1760" s="18"/>
      <c r="H1760" s="18"/>
    </row>
    <row r="1761" spans="1:8" ht="13.2">
      <c r="A1761" s="19" t="str">
        <f>HYPERLINK("http://codeforces.com/contest/63/problem/E","CF63-D2-E")</f>
        <v>CF63-D2-E</v>
      </c>
      <c r="B1761" s="18" t="s">
        <v>2007</v>
      </c>
      <c r="C1761" s="17">
        <v>5</v>
      </c>
      <c r="D1761" s="18"/>
      <c r="E1761" s="17" t="s">
        <v>1989</v>
      </c>
      <c r="F1761" s="17"/>
      <c r="G1761" s="18"/>
      <c r="H1761" s="18"/>
    </row>
    <row r="1762" spans="1:8" ht="13.2">
      <c r="A1762" s="19" t="str">
        <f>HYPERLINK("http://codeforces.com/contest/917/problem/B","CF917-D1-B")</f>
        <v>CF917-D1-B</v>
      </c>
      <c r="B1762" s="20" t="s">
        <v>2008</v>
      </c>
      <c r="C1762" s="17">
        <v>5</v>
      </c>
      <c r="D1762" s="18"/>
      <c r="E1762" s="17" t="s">
        <v>1989</v>
      </c>
      <c r="F1762" s="17"/>
      <c r="G1762" s="18"/>
      <c r="H1762" s="18"/>
    </row>
    <row r="1763" spans="1:8" ht="13.2">
      <c r="A1763" s="19" t="str">
        <f>HYPERLINK("http://codeforces.com/contest/148/problem/D","CF148-D2-D")</f>
        <v>CF148-D2-D</v>
      </c>
      <c r="B1763" s="29" t="s">
        <v>2009</v>
      </c>
      <c r="C1763" s="17">
        <v>4.5</v>
      </c>
      <c r="D1763" s="18"/>
      <c r="E1763" s="17" t="s">
        <v>1989</v>
      </c>
      <c r="F1763" s="17" t="s">
        <v>139</v>
      </c>
      <c r="G1763" s="18"/>
      <c r="H1763" s="18"/>
    </row>
    <row r="1764" spans="1:8" ht="13.2">
      <c r="A1764" s="19" t="str">
        <f>HYPERLINK("https://uva.onlinejudge.org/index.php?option=com_onlinejudge&amp;Itemid=8&amp;page=show_problem&amp;problem=1519","UVA 10578")</f>
        <v>UVA 10578</v>
      </c>
      <c r="B1764" s="29" t="s">
        <v>2004</v>
      </c>
      <c r="C1764" s="17">
        <v>4.5</v>
      </c>
      <c r="D1764" s="26" t="str">
        <f>HYPERLINK("https://github.com/abdullaAshraf/Problem-Solving/blob/master/UVA/10578.cpp","Sol")</f>
        <v>Sol</v>
      </c>
      <c r="E1764" s="17" t="s">
        <v>1989</v>
      </c>
      <c r="F1764" s="17"/>
      <c r="G1764" s="18"/>
      <c r="H1764" s="18"/>
    </row>
    <row r="1765" spans="1:8" ht="13.2">
      <c r="A1765" s="15" t="s">
        <v>2010</v>
      </c>
      <c r="B1765" s="29" t="s">
        <v>2011</v>
      </c>
      <c r="C1765" s="17">
        <v>4.5</v>
      </c>
      <c r="D1765" s="26" t="str">
        <f>HYPERLINK("https://github.com/SaraElkadi/competitive-programming-/blob/master/UVA/10536.cpp","Sol")</f>
        <v>Sol</v>
      </c>
      <c r="E1765" s="17" t="s">
        <v>1989</v>
      </c>
      <c r="F1765" s="17"/>
      <c r="G1765" s="18"/>
      <c r="H1765" s="18"/>
    </row>
    <row r="1766" spans="1:8" ht="13.2">
      <c r="A1766" s="19" t="str">
        <f>HYPERLINK("https://codeforces.com/contest/1033/problem/C","CF1033-D12-C")</f>
        <v>CF1033-D12-C</v>
      </c>
      <c r="B1766" s="15" t="s">
        <v>2012</v>
      </c>
      <c r="C1766" s="17">
        <v>4</v>
      </c>
      <c r="D1766" s="18"/>
      <c r="E1766" s="17" t="s">
        <v>1989</v>
      </c>
      <c r="F1766" s="17" t="s">
        <v>139</v>
      </c>
      <c r="G1766" s="18"/>
      <c r="H1766" s="18"/>
    </row>
    <row r="1767" spans="1:8" ht="13.2">
      <c r="A1767" s="15" t="s">
        <v>2013</v>
      </c>
      <c r="B1767" s="29" t="s">
        <v>2014</v>
      </c>
      <c r="C1767" s="24">
        <v>4</v>
      </c>
      <c r="D1767" s="18"/>
      <c r="E1767" s="24" t="s">
        <v>1989</v>
      </c>
      <c r="F1767" s="17"/>
      <c r="G1767" s="18"/>
      <c r="H1767" s="18"/>
    </row>
    <row r="1768" spans="1:8" ht="13.2">
      <c r="A1768" s="15" t="s">
        <v>2015</v>
      </c>
      <c r="B1768" s="29" t="s">
        <v>2016</v>
      </c>
      <c r="C1768" s="17">
        <v>4</v>
      </c>
      <c r="D1768" s="18"/>
      <c r="E1768" s="17" t="s">
        <v>1989</v>
      </c>
      <c r="F1768" s="17"/>
      <c r="G1768" s="18"/>
      <c r="H1768" s="18"/>
    </row>
    <row r="1769" spans="1:8" ht="13.2">
      <c r="A1769" s="15" t="s">
        <v>2017</v>
      </c>
      <c r="B1769" s="29" t="s">
        <v>2001</v>
      </c>
      <c r="C1769" s="17">
        <v>3</v>
      </c>
      <c r="D1769" s="18"/>
      <c r="E1769" s="17" t="s">
        <v>1989</v>
      </c>
      <c r="F1769" s="17" t="s">
        <v>139</v>
      </c>
      <c r="G1769" s="18"/>
      <c r="H1769" s="18"/>
    </row>
    <row r="1770" spans="1:8" ht="13.2">
      <c r="A1770" s="19" t="str">
        <f>HYPERLINK("https://uva.onlinejudge.org/index.php?option=com_onlinejudge&amp;Itemid=8&amp;page=show_problem&amp;problem=1345","UVA 10404")</f>
        <v>UVA 10404</v>
      </c>
      <c r="B1770" s="29" t="s">
        <v>2004</v>
      </c>
      <c r="C1770" s="17">
        <v>3</v>
      </c>
      <c r="D1770" s="26" t="str">
        <f>HYPERLINK("https://github.com/VAMPIER000001/CompetitiveProgramming/blob/58946d0dcba06adfc2c5ec0b423546a6a0c6da9c/UVA/V-104/UVA%2010404.Cpp","Sol")</f>
        <v>Sol</v>
      </c>
      <c r="E1770" s="17" t="s">
        <v>1989</v>
      </c>
      <c r="F1770" s="17"/>
      <c r="G1770" s="18"/>
      <c r="H1770" s="18"/>
    </row>
    <row r="1771" spans="1:8" ht="13.2">
      <c r="A1771" s="15" t="s">
        <v>2018</v>
      </c>
      <c r="B1771" s="35" t="s">
        <v>2019</v>
      </c>
      <c r="C1771" s="24">
        <v>3</v>
      </c>
      <c r="D1771" s="18"/>
      <c r="E1771" s="17" t="s">
        <v>1989</v>
      </c>
      <c r="F1771" s="17"/>
      <c r="G1771" s="18"/>
      <c r="H1771" s="18"/>
    </row>
    <row r="1772" spans="1:8" ht="13.2">
      <c r="A1772" s="15" t="s">
        <v>2020</v>
      </c>
      <c r="B1772" s="28" t="s">
        <v>2019</v>
      </c>
      <c r="C1772" s="24">
        <v>3</v>
      </c>
      <c r="D1772" s="26" t="str">
        <f>HYPERLINK("https://github.com/MeGaCrazy/CompetitiveProgramming/blob/fb2f21b7a3300927d3790593246856405b038276/UVA/UVA_12469.cpp","Sol")</f>
        <v>Sol</v>
      </c>
      <c r="E1772" s="17" t="s">
        <v>1989</v>
      </c>
      <c r="F1772" s="17"/>
      <c r="G1772" s="18"/>
      <c r="H1772" s="18"/>
    </row>
    <row r="1773" spans="1:8" ht="13.2">
      <c r="A1773" s="15" t="s">
        <v>2021</v>
      </c>
      <c r="B1773" s="28" t="s">
        <v>2022</v>
      </c>
      <c r="C1773" s="24">
        <v>3</v>
      </c>
      <c r="D1773" s="18"/>
      <c r="E1773" s="17" t="s">
        <v>1989</v>
      </c>
      <c r="F1773" s="17"/>
      <c r="G1773" s="18"/>
      <c r="H1773" s="18"/>
    </row>
    <row r="1774" spans="1:8" ht="13.2">
      <c r="A1774" s="15" t="s">
        <v>2023</v>
      </c>
      <c r="B1774" s="29" t="s">
        <v>2024</v>
      </c>
      <c r="C1774" s="17">
        <v>3</v>
      </c>
      <c r="D1774" s="18"/>
      <c r="E1774" s="17" t="s">
        <v>1989</v>
      </c>
      <c r="F1774" s="17"/>
      <c r="G1774" s="18"/>
      <c r="H1774" s="18"/>
    </row>
    <row r="1775" spans="1:8" ht="13.2">
      <c r="A1775" s="19" t="str">
        <f>HYPERLINK("http://codeforces.com/contest/698/problem/C","CF698-D1-C")</f>
        <v>CF698-D1-C</v>
      </c>
      <c r="B1775" s="15" t="s">
        <v>2025</v>
      </c>
      <c r="C1775" s="24">
        <v>8</v>
      </c>
      <c r="D1775" s="18"/>
      <c r="E1775" s="17" t="s">
        <v>2026</v>
      </c>
      <c r="F1775" s="17" t="s">
        <v>139</v>
      </c>
      <c r="G1775" s="18"/>
      <c r="H1775" s="18"/>
    </row>
    <row r="1776" spans="1:8" ht="13.2">
      <c r="A1776" s="19" t="str">
        <f>HYPERLINK("http://codeforces.com/contest/249/problem/C","CF249-D1-C")</f>
        <v>CF249-D1-C</v>
      </c>
      <c r="B1776" s="29" t="s">
        <v>2025</v>
      </c>
      <c r="C1776" s="17">
        <v>8</v>
      </c>
      <c r="D1776" s="18"/>
      <c r="E1776" s="17" t="s">
        <v>2026</v>
      </c>
      <c r="F1776" s="17"/>
      <c r="G1776" s="18"/>
      <c r="H1776" s="18"/>
    </row>
    <row r="1777" spans="1:8" ht="13.2">
      <c r="A1777" s="19" t="str">
        <f>HYPERLINK("http://codeforces.com/contest/175/problem/D","CF175-D12-D")</f>
        <v>CF175-D12-D</v>
      </c>
      <c r="B1777" s="29" t="s">
        <v>2027</v>
      </c>
      <c r="C1777" s="17">
        <v>8</v>
      </c>
      <c r="D1777" s="18"/>
      <c r="E1777" s="17" t="s">
        <v>2026</v>
      </c>
      <c r="F1777" s="17"/>
      <c r="G1777" s="18"/>
      <c r="H1777" s="18"/>
    </row>
    <row r="1778" spans="1:8" ht="13.2">
      <c r="A1778" s="15" t="s">
        <v>2028</v>
      </c>
      <c r="B1778" s="28" t="s">
        <v>2025</v>
      </c>
      <c r="C1778" s="24">
        <v>7.5</v>
      </c>
      <c r="D1778" s="18"/>
      <c r="E1778" s="17" t="s">
        <v>2026</v>
      </c>
      <c r="F1778" s="17"/>
      <c r="G1778" s="18"/>
      <c r="H1778" s="18"/>
    </row>
    <row r="1779" spans="1:8" ht="13.2">
      <c r="A1779" s="19" t="str">
        <f>HYPERLINK("http://codeforces.com/contest/464/problem/D","CF464-D1-D")</f>
        <v>CF464-D1-D</v>
      </c>
      <c r="B1779" s="15" t="s">
        <v>2029</v>
      </c>
      <c r="C1779" s="24">
        <v>7</v>
      </c>
      <c r="D1779" s="18"/>
      <c r="E1779" s="17" t="s">
        <v>2026</v>
      </c>
      <c r="F1779" s="17" t="s">
        <v>154</v>
      </c>
      <c r="G1779" s="18"/>
      <c r="H1779" s="18"/>
    </row>
    <row r="1780" spans="1:8" ht="13.2">
      <c r="A1780" s="15" t="s">
        <v>2030</v>
      </c>
      <c r="B1780" s="30" t="s">
        <v>2031</v>
      </c>
      <c r="C1780" s="24">
        <v>7</v>
      </c>
      <c r="D1780" s="26" t="str">
        <f>HYPERLINK("https://github.com/omaryasser/Competitive-Programming/blob/master/SPOJ%20solutions/LIM%20-%20Lost%20in%20Madrid.java","Sol")</f>
        <v>Sol</v>
      </c>
      <c r="E1780" s="17" t="s">
        <v>2026</v>
      </c>
      <c r="F1780" s="17"/>
      <c r="G1780" s="18"/>
      <c r="H1780" s="18"/>
    </row>
    <row r="1781" spans="1:8" ht="13.2">
      <c r="A1781" s="15" t="s">
        <v>2032</v>
      </c>
      <c r="B1781" s="34" t="s">
        <v>2033</v>
      </c>
      <c r="C1781" s="33">
        <v>7</v>
      </c>
      <c r="D1781" s="18"/>
      <c r="E1781" s="17" t="s">
        <v>2026</v>
      </c>
      <c r="F1781" s="17"/>
      <c r="G1781" s="18"/>
      <c r="H1781" s="18"/>
    </row>
    <row r="1782" spans="1:8" ht="13.2">
      <c r="A1782" s="19" t="str">
        <f>HYPERLINK("http://codeforces.com/contest/596/problem/D","CF596-D2-D")</f>
        <v>CF596-D2-D</v>
      </c>
      <c r="B1782" s="29" t="s">
        <v>2034</v>
      </c>
      <c r="C1782" s="24">
        <v>7</v>
      </c>
      <c r="D1782" s="18"/>
      <c r="E1782" s="17" t="s">
        <v>2026</v>
      </c>
      <c r="F1782" s="17"/>
      <c r="G1782" s="18"/>
      <c r="H1782" s="18"/>
    </row>
    <row r="1783" spans="1:8" ht="13.2">
      <c r="A1783" s="19" t="str">
        <f>HYPERLINK("http://codeforces.com/contest/867/problem/D","CF867-D12-D")</f>
        <v>CF867-D12-D</v>
      </c>
      <c r="B1783" s="15" t="s">
        <v>2025</v>
      </c>
      <c r="C1783" s="17">
        <v>6.75</v>
      </c>
      <c r="D1783" s="18"/>
      <c r="E1783" s="17" t="s">
        <v>2026</v>
      </c>
      <c r="F1783" s="17" t="s">
        <v>154</v>
      </c>
      <c r="G1783" s="18"/>
      <c r="H1783" s="18"/>
    </row>
    <row r="1784" spans="1:8" ht="13.2">
      <c r="A1784" s="19" t="str">
        <f>HYPERLINK("http://codeforces.com/contest/513/problem/G2","CF513-D12-G2")</f>
        <v>CF513-D12-G2</v>
      </c>
      <c r="B1784" s="29" t="s">
        <v>2025</v>
      </c>
      <c r="C1784" s="17">
        <v>6.75</v>
      </c>
      <c r="D1784" s="18"/>
      <c r="E1784" s="17" t="s">
        <v>2026</v>
      </c>
      <c r="F1784" s="17"/>
      <c r="G1784" s="18"/>
      <c r="H1784" s="18"/>
    </row>
    <row r="1785" spans="1:8" ht="13.2">
      <c r="A1785" s="15" t="s">
        <v>2035</v>
      </c>
      <c r="B1785" s="30" t="s">
        <v>2036</v>
      </c>
      <c r="C1785" s="24">
        <v>6.5</v>
      </c>
      <c r="D1785" s="18"/>
      <c r="E1785" s="17" t="s">
        <v>2026</v>
      </c>
      <c r="F1785" s="17" t="s">
        <v>154</v>
      </c>
      <c r="G1785" s="18"/>
      <c r="H1785" s="18"/>
    </row>
    <row r="1786" spans="1:8" ht="13.2">
      <c r="A1786" s="19" t="str">
        <f>HYPERLINK("https://codeforces.com/contest/1097/problem/D","CF1097-D12-D")</f>
        <v>CF1097-D12-D</v>
      </c>
      <c r="B1786" s="37" t="s">
        <v>2037</v>
      </c>
      <c r="C1786" s="17">
        <v>6.5</v>
      </c>
      <c r="D1786" s="18"/>
      <c r="E1786" s="17" t="s">
        <v>2026</v>
      </c>
      <c r="F1786" s="17" t="s">
        <v>139</v>
      </c>
      <c r="G1786" s="18"/>
      <c r="H1786" s="18"/>
    </row>
    <row r="1787" spans="1:8" ht="13.2">
      <c r="A1787" s="19" t="str">
        <f>HYPERLINK("http://codeforces.com/contest/499/problem/D","CF499-D2-D")</f>
        <v>CF499-D2-D</v>
      </c>
      <c r="B1787" s="23" t="s">
        <v>2025</v>
      </c>
      <c r="C1787" s="24">
        <v>6.5</v>
      </c>
      <c r="D1787" s="18"/>
      <c r="E1787" s="17" t="s">
        <v>2026</v>
      </c>
      <c r="F1787" s="17"/>
      <c r="G1787" s="18"/>
      <c r="H1787" s="18"/>
    </row>
    <row r="1788" spans="1:8" ht="13.2">
      <c r="A1788" s="15" t="s">
        <v>2038</v>
      </c>
      <c r="B1788" s="30" t="s">
        <v>2039</v>
      </c>
      <c r="C1788" s="24">
        <v>6.5</v>
      </c>
      <c r="D1788" s="26" t="str">
        <f>HYPERLINK("https://apps.topcoder.com/wiki/display/tc/SRM+614","Editorial")</f>
        <v>Editorial</v>
      </c>
      <c r="E1788" s="17" t="s">
        <v>2026</v>
      </c>
      <c r="F1788" s="17"/>
      <c r="G1788" s="18"/>
      <c r="H1788" s="18"/>
    </row>
    <row r="1789" spans="1:8" ht="13.2">
      <c r="A1789" s="15" t="s">
        <v>2040</v>
      </c>
      <c r="B1789" s="30" t="s">
        <v>2041</v>
      </c>
      <c r="C1789" s="24">
        <v>6.5</v>
      </c>
      <c r="D1789" s="18"/>
      <c r="E1789" s="17" t="s">
        <v>2026</v>
      </c>
      <c r="F1789" s="17"/>
      <c r="G1789" s="18"/>
      <c r="H1789" s="18"/>
    </row>
    <row r="1790" spans="1:8" ht="13.2">
      <c r="A1790" s="15" t="s">
        <v>2042</v>
      </c>
      <c r="B1790" s="30" t="s">
        <v>2025</v>
      </c>
      <c r="C1790" s="24">
        <v>6.25</v>
      </c>
      <c r="D1790" s="18"/>
      <c r="E1790" s="17" t="s">
        <v>2026</v>
      </c>
      <c r="F1790" s="17"/>
      <c r="G1790" s="18"/>
      <c r="H1790" s="18"/>
    </row>
    <row r="1791" spans="1:8" ht="13.2">
      <c r="A1791" s="15" t="s">
        <v>2043</v>
      </c>
      <c r="B1791" s="15" t="s">
        <v>2044</v>
      </c>
      <c r="C1791" s="24">
        <v>6</v>
      </c>
      <c r="D1791" s="18"/>
      <c r="E1791" s="17" t="s">
        <v>2026</v>
      </c>
      <c r="F1791" s="17" t="s">
        <v>154</v>
      </c>
      <c r="G1791" s="18"/>
      <c r="H1791" s="18"/>
    </row>
    <row r="1792" spans="1:8" ht="13.2">
      <c r="A1792" s="19" t="str">
        <f>HYPERLINK("http://codeforces.com/contest/908/problem/D","CF908-D12-D")</f>
        <v>CF908-D12-D</v>
      </c>
      <c r="B1792" s="18" t="s">
        <v>2025</v>
      </c>
      <c r="C1792" s="17">
        <v>6</v>
      </c>
      <c r="D1792" s="26" t="str">
        <f>HYPERLINK("https://github.com/osamahatem/CompetitiveProgramming/blob/master/Codeforces/908D.%20New%20Year%20and%20Arbitrary%20Arrangement.cpp","Sol")</f>
        <v>Sol</v>
      </c>
      <c r="E1792" s="17" t="s">
        <v>2026</v>
      </c>
      <c r="F1792" s="17" t="s">
        <v>139</v>
      </c>
      <c r="G1792" s="18"/>
      <c r="H1792" s="18"/>
    </row>
    <row r="1793" spans="1:8" ht="13.2">
      <c r="A1793" s="15" t="s">
        <v>2045</v>
      </c>
      <c r="B1793" s="29" t="s">
        <v>2025</v>
      </c>
      <c r="C1793" s="17">
        <v>6</v>
      </c>
      <c r="D1793" s="26" t="str">
        <f>HYPERLINK("https://github.com/mostafa-saad/MyCompetitiveProgramming/blob/master/UVA/UVA_11176.txt","Sol")</f>
        <v>Sol</v>
      </c>
      <c r="E1793" s="17" t="s">
        <v>2026</v>
      </c>
      <c r="F1793" s="17" t="s">
        <v>613</v>
      </c>
      <c r="G1793" s="18"/>
      <c r="H1793" s="18"/>
    </row>
    <row r="1794" spans="1:8" ht="13.2">
      <c r="A1794" s="19" t="str">
        <f>HYPERLINK("http://codeforces.com/contest/68/problem/D","CF68-D12-D")</f>
        <v>CF68-D12-D</v>
      </c>
      <c r="B1794" s="29" t="s">
        <v>2046</v>
      </c>
      <c r="C1794" s="17">
        <v>6</v>
      </c>
      <c r="D1794" s="18"/>
      <c r="E1794" s="17" t="s">
        <v>2026</v>
      </c>
      <c r="F1794" s="17" t="s">
        <v>242</v>
      </c>
      <c r="G1794" s="18"/>
      <c r="H1794" s="18"/>
    </row>
    <row r="1795" spans="1:8" ht="13.2">
      <c r="A1795" s="15" t="s">
        <v>2047</v>
      </c>
      <c r="B1795" s="18" t="s">
        <v>2025</v>
      </c>
      <c r="C1795" s="17">
        <v>6</v>
      </c>
      <c r="D1795" s="18"/>
      <c r="E1795" s="17" t="s">
        <v>2026</v>
      </c>
      <c r="F1795" s="17"/>
      <c r="G1795" s="18"/>
      <c r="H1795" s="18"/>
    </row>
    <row r="1796" spans="1:8" ht="13.2">
      <c r="A1796" s="19" t="str">
        <f>HYPERLINK("http://codeforces.com/contest/236/problem/D","CF236-D2-D")</f>
        <v>CF236-D2-D</v>
      </c>
      <c r="B1796" s="29" t="s">
        <v>2027</v>
      </c>
      <c r="C1796" s="17">
        <v>6</v>
      </c>
      <c r="D1796" s="18"/>
      <c r="E1796" s="17" t="s">
        <v>2026</v>
      </c>
      <c r="F1796" s="17"/>
      <c r="G1796" s="18"/>
      <c r="H1796" s="18"/>
    </row>
    <row r="1797" spans="1:8" ht="13.2">
      <c r="A1797" s="19" t="str">
        <f>HYPERLINK("http://codeforces.com/contest/167/problem/D","CF167-D1-D")</f>
        <v>CF167-D1-D</v>
      </c>
      <c r="B1797" s="15" t="s">
        <v>2048</v>
      </c>
      <c r="C1797" s="24">
        <v>6</v>
      </c>
      <c r="D1797" s="18"/>
      <c r="E1797" s="17" t="s">
        <v>2026</v>
      </c>
      <c r="F1797" s="17"/>
      <c r="G1797" s="18"/>
      <c r="H1797" s="18"/>
    </row>
    <row r="1798" spans="1:8" ht="13.2">
      <c r="A1798" s="15" t="s">
        <v>2049</v>
      </c>
      <c r="B1798" s="30" t="s">
        <v>2050</v>
      </c>
      <c r="C1798" s="24">
        <v>6</v>
      </c>
      <c r="D1798" s="18"/>
      <c r="E1798" s="17" t="s">
        <v>2026</v>
      </c>
      <c r="F1798" s="17"/>
      <c r="G1798" s="18"/>
      <c r="H1798" s="18"/>
    </row>
    <row r="1799" spans="1:8" ht="13.2">
      <c r="A1799" s="19" t="str">
        <f>HYPERLINK("http://codeforces.com/contest/768/problem/D","CF768-D2-D")</f>
        <v>CF768-D2-D</v>
      </c>
      <c r="B1799" s="29" t="s">
        <v>2025</v>
      </c>
      <c r="C1799" s="17">
        <v>5.5</v>
      </c>
      <c r="D1799" s="18"/>
      <c r="E1799" s="17" t="s">
        <v>2026</v>
      </c>
      <c r="F1799" s="17" t="s">
        <v>229</v>
      </c>
      <c r="G1799" s="18"/>
      <c r="H1799" s="18"/>
    </row>
    <row r="1800" spans="1:8" ht="13.2">
      <c r="A1800" s="19" t="str">
        <f>HYPERLINK("https://uva.onlinejudge.org/index.php?option=com_onlinejudge&amp;Itemid=8&amp;page=show_problem&amp;problem=1962","UVA 11021")</f>
        <v>UVA 11021</v>
      </c>
      <c r="B1800" s="29" t="s">
        <v>2051</v>
      </c>
      <c r="C1800" s="17">
        <v>5.5</v>
      </c>
      <c r="D1800" s="26" t="str">
        <f>HYPERLINK("https://github.com/VAMPIER000001/CompetitiveProgramming/blob/master/UVA/V-110/UVA%2011021.cpp","Sol")</f>
        <v>Sol</v>
      </c>
      <c r="E1800" s="17" t="s">
        <v>2026</v>
      </c>
      <c r="F1800" s="17" t="s">
        <v>139</v>
      </c>
      <c r="G1800" s="18"/>
      <c r="H1800" s="18"/>
    </row>
    <row r="1801" spans="1:8" ht="13.2">
      <c r="A1801" s="19" t="str">
        <f>HYPERLINK("http://codeforces.com/contest/28/problem/C","CF28-D12-C")</f>
        <v>CF28-D12-C</v>
      </c>
      <c r="B1801" s="41" t="s">
        <v>2052</v>
      </c>
      <c r="C1801" s="17">
        <v>5.25</v>
      </c>
      <c r="D1801" s="26" t="str">
        <f>HYPERLINK("https://github.com/aabdelzaher/Competitive-Programming/blob/master/Codeforces/CF28-D12-C.java","Sol")</f>
        <v>Sol</v>
      </c>
      <c r="E1801" s="17" t="s">
        <v>2026</v>
      </c>
      <c r="F1801" s="17" t="s">
        <v>1164</v>
      </c>
      <c r="G1801" s="18"/>
      <c r="H1801" s="18"/>
    </row>
    <row r="1802" spans="1:8" ht="13.2">
      <c r="A1802" s="19" t="str">
        <f>HYPERLINK("https://github.com/3agwa/CompetitiveProgramming/blob/master/UVA/UVA%2010169","UVA 10169")</f>
        <v>UVA 10169</v>
      </c>
      <c r="B1802" s="38" t="s">
        <v>2053</v>
      </c>
      <c r="C1802" s="17">
        <v>5</v>
      </c>
      <c r="D1802" s="26" t="str">
        <f>HYPERLINK("https://github.com/AliOsm/CompetitiveProgramming/blob/master/UVA/10169%20-%20Urn-ball%20Probabilities!.cpp","Sol")</f>
        <v>Sol</v>
      </c>
      <c r="E1802" s="17" t="s">
        <v>2026</v>
      </c>
      <c r="F1802" s="17" t="s">
        <v>229</v>
      </c>
      <c r="G1802" s="18"/>
      <c r="H1802" s="18"/>
    </row>
    <row r="1803" spans="1:8" ht="13.2">
      <c r="A1803" s="19" t="str">
        <f>HYPERLINK("http://codeforces.com/contest/678/problem/E","CF678-D12-E")</f>
        <v>CF678-D12-E</v>
      </c>
      <c r="B1803" s="29" t="s">
        <v>2033</v>
      </c>
      <c r="C1803" s="33">
        <v>5</v>
      </c>
      <c r="D1803" s="18"/>
      <c r="E1803" s="17" t="s">
        <v>2026</v>
      </c>
      <c r="F1803" s="17" t="s">
        <v>229</v>
      </c>
      <c r="G1803" s="18"/>
      <c r="H1803" s="18"/>
    </row>
    <row r="1804" spans="1:8" ht="13.2">
      <c r="A1804" s="19" t="str">
        <f>HYPERLINK("http://codeforces.com/contest/859/problem/D","CF859-D12-D")</f>
        <v>CF859-D12-D</v>
      </c>
      <c r="B1804" s="15" t="s">
        <v>2025</v>
      </c>
      <c r="C1804" s="17">
        <v>5</v>
      </c>
      <c r="D1804" s="18"/>
      <c r="E1804" s="17" t="s">
        <v>2026</v>
      </c>
      <c r="F1804" s="17" t="s">
        <v>139</v>
      </c>
      <c r="G1804" s="18"/>
      <c r="H1804" s="18"/>
    </row>
    <row r="1805" spans="1:8" ht="13.2">
      <c r="A1805" s="19" t="str">
        <f>HYPERLINK("http://codeforces.com/contest/16/problem/E","CF16-D2-E")</f>
        <v>CF16-D2-E</v>
      </c>
      <c r="B1805" s="30" t="s">
        <v>2054</v>
      </c>
      <c r="C1805" s="24">
        <v>5</v>
      </c>
      <c r="D1805" s="26" t="str">
        <f>HYPERLINK("https://github.com/3agwa/CompetitiveProgramming/blob/master/CodeForces/CF16-D2-E.cpp","Sol")</f>
        <v>Sol</v>
      </c>
      <c r="E1805" s="17" t="s">
        <v>2026</v>
      </c>
      <c r="F1805" s="17" t="s">
        <v>139</v>
      </c>
      <c r="G1805" s="18"/>
      <c r="H1805" s="18"/>
    </row>
    <row r="1806" spans="1:8" ht="13.2">
      <c r="A1806" s="15" t="s">
        <v>2055</v>
      </c>
      <c r="B1806" s="29" t="s">
        <v>2056</v>
      </c>
      <c r="C1806" s="17">
        <v>5</v>
      </c>
      <c r="D1806" s="26" t="str">
        <f>HYPERLINK("https://github.com/mostafa-saad/MyCompetitiveProgramming/blob/master/UVA/UVA_10218.txt","Sol")</f>
        <v>Sol</v>
      </c>
      <c r="E1806" s="17" t="s">
        <v>2026</v>
      </c>
      <c r="F1806" s="17" t="s">
        <v>201</v>
      </c>
      <c r="G1806" s="18"/>
      <c r="H1806" s="18"/>
    </row>
    <row r="1807" spans="1:8" ht="13.2">
      <c r="A1807" s="15" t="s">
        <v>2057</v>
      </c>
      <c r="B1807" s="28" t="s">
        <v>2058</v>
      </c>
      <c r="C1807" s="31">
        <v>5</v>
      </c>
      <c r="D1807" s="26" t="str">
        <f>HYPERLINK("https://github.com/mostafa-saad/MyCompetitiveProgramming/blob/master/PKU/PKU_3744.txt","Sol")</f>
        <v>Sol</v>
      </c>
      <c r="E1807" s="17" t="s">
        <v>2026</v>
      </c>
      <c r="F1807" s="17" t="s">
        <v>201</v>
      </c>
      <c r="G1807" s="18"/>
      <c r="H1807" s="18"/>
    </row>
    <row r="1808" spans="1:8" ht="13.2">
      <c r="A1808" s="19" t="str">
        <f>HYPERLINK("http://poj.org/problem?id=2151","PKU 2151")</f>
        <v>PKU 2151</v>
      </c>
      <c r="B1808" s="29" t="s">
        <v>2059</v>
      </c>
      <c r="C1808" s="17">
        <v>5</v>
      </c>
      <c r="D1808" s="26" t="str">
        <f>HYPERLINK("https://github.com/mostafa-saad/MyCompetitiveProgramming/blob/master/PKU/PKU_2151.txt","Sol")</f>
        <v>Sol</v>
      </c>
      <c r="E1808" s="17" t="s">
        <v>2026</v>
      </c>
      <c r="F1808" s="17" t="s">
        <v>201</v>
      </c>
      <c r="G1808" s="18"/>
      <c r="H1808" s="18"/>
    </row>
    <row r="1809" spans="1:8" ht="13.2">
      <c r="A1809" s="15" t="s">
        <v>2060</v>
      </c>
      <c r="B1809" s="41" t="s">
        <v>2061</v>
      </c>
      <c r="C1809" s="31">
        <v>5</v>
      </c>
      <c r="D1809" s="26" t="str">
        <f>HYPERLINK("https://github.com/mostafa-saad/MyCompetitiveProgramming/blob/master/UVA/UVA_12179.txt","Sol")</f>
        <v>Sol</v>
      </c>
      <c r="E1809" s="17" t="s">
        <v>2026</v>
      </c>
      <c r="F1809" s="17" t="s">
        <v>242</v>
      </c>
      <c r="G1809" s="18"/>
      <c r="H1809" s="18"/>
    </row>
    <row r="1810" spans="1:8" ht="13.2">
      <c r="A1810" s="15" t="s">
        <v>2062</v>
      </c>
      <c r="B1810" s="30" t="s">
        <v>2025</v>
      </c>
      <c r="C1810" s="24">
        <v>5</v>
      </c>
      <c r="D1810" s="18"/>
      <c r="E1810" s="17" t="s">
        <v>2026</v>
      </c>
      <c r="F1810" s="17"/>
      <c r="G1810" s="18"/>
      <c r="H1810" s="18"/>
    </row>
    <row r="1811" spans="1:8" ht="13.2">
      <c r="A1811" s="15" t="s">
        <v>2063</v>
      </c>
      <c r="B1811" s="29" t="s">
        <v>2025</v>
      </c>
      <c r="C1811" s="24">
        <v>5</v>
      </c>
      <c r="D1811" s="18"/>
      <c r="E1811" s="17" t="s">
        <v>2026</v>
      </c>
      <c r="F1811" s="17"/>
      <c r="G1811" s="18"/>
      <c r="H1811" s="18"/>
    </row>
    <row r="1812" spans="1:8" ht="13.2">
      <c r="A1812" s="19" t="str">
        <f>HYPERLINK("https://uva.onlinejudge.org/index.php?option=onlinejudge&amp;page=show_problem&amp;problem=483","UVA 542")</f>
        <v>UVA 542</v>
      </c>
      <c r="B1812" s="29" t="s">
        <v>2064</v>
      </c>
      <c r="C1812" s="17">
        <v>4.5</v>
      </c>
      <c r="D1812" s="26" t="str">
        <f>HYPERLINK("https://github.com/mostafa-saad/MyCompetitiveProgramming/blob/master/UVA/UVA_542.txt","Sol")</f>
        <v>Sol</v>
      </c>
      <c r="E1812" s="17" t="s">
        <v>2026</v>
      </c>
      <c r="F1812" s="17" t="s">
        <v>139</v>
      </c>
      <c r="G1812" s="18"/>
      <c r="H1812" s="18"/>
    </row>
    <row r="1813" spans="1:8" ht="13.2">
      <c r="A1813" s="19" t="str">
        <f>HYPERLINK("http://codeforces.com/contest/540/problem/D","CF540-D2-D")</f>
        <v>CF540-D2-D</v>
      </c>
      <c r="B1813" s="29" t="s">
        <v>2025</v>
      </c>
      <c r="C1813" s="17">
        <v>4.5</v>
      </c>
      <c r="D1813" s="18"/>
      <c r="E1813" s="17" t="s">
        <v>2026</v>
      </c>
      <c r="F1813" s="17" t="s">
        <v>201</v>
      </c>
      <c r="G1813" s="18"/>
      <c r="H1813" s="18"/>
    </row>
    <row r="1814" spans="1:8" ht="13.2">
      <c r="A1814" s="15" t="s">
        <v>2065</v>
      </c>
      <c r="B1814" s="29" t="s">
        <v>2025</v>
      </c>
      <c r="C1814" s="17">
        <v>4.5</v>
      </c>
      <c r="D1814" s="18"/>
      <c r="E1814" s="17" t="s">
        <v>2026</v>
      </c>
      <c r="F1814" s="17" t="s">
        <v>201</v>
      </c>
      <c r="G1814" s="18"/>
      <c r="H1814" s="18"/>
    </row>
    <row r="1815" spans="1:8" ht="13.2">
      <c r="A1815" s="15" t="s">
        <v>2066</v>
      </c>
      <c r="B1815" s="29" t="s">
        <v>2067</v>
      </c>
      <c r="C1815" s="17">
        <v>4.5</v>
      </c>
      <c r="D1815" s="26" t="str">
        <f>HYPERLINK("https://github.com/AliOsm/CompetitiveProgramming/blob/master/UVA/10759%20-%20Dice%20Throwing.cpp","Sol")</f>
        <v>Sol</v>
      </c>
      <c r="E1815" s="17" t="s">
        <v>2026</v>
      </c>
      <c r="F1815" s="17" t="s">
        <v>201</v>
      </c>
      <c r="G1815" s="18"/>
      <c r="H1815" s="18"/>
    </row>
    <row r="1816" spans="1:8" ht="13.2">
      <c r="A1816" s="15" t="s">
        <v>2068</v>
      </c>
      <c r="B1816" s="29" t="s">
        <v>2069</v>
      </c>
      <c r="C1816" s="24">
        <v>4.5</v>
      </c>
      <c r="D1816" s="26" t="str">
        <f>HYPERLINK("https://github.com/mostafa-saad/MyCompetitiveProgramming/blob/master/PKU/PKU_3071.txt","Sol")</f>
        <v>Sol</v>
      </c>
      <c r="E1816" s="17" t="s">
        <v>2026</v>
      </c>
      <c r="F1816" s="17" t="s">
        <v>242</v>
      </c>
      <c r="G1816" s="18"/>
      <c r="H1816" s="18"/>
    </row>
    <row r="1817" spans="1:8" ht="13.2">
      <c r="A1817" s="19" t="str">
        <f>HYPERLINK("http://codeforces.com/contest/168/problem/D","CF168-D2-D")</f>
        <v>CF168-D2-D</v>
      </c>
      <c r="B1817" s="29" t="s">
        <v>2025</v>
      </c>
      <c r="C1817" s="17">
        <v>4.5</v>
      </c>
      <c r="D1817" s="18"/>
      <c r="E1817" s="17" t="s">
        <v>2026</v>
      </c>
      <c r="F1817" s="17"/>
      <c r="G1817" s="18"/>
      <c r="H1817" s="18"/>
    </row>
    <row r="1818" spans="1:8" ht="13.2">
      <c r="A1818" s="15" t="s">
        <v>2070</v>
      </c>
      <c r="B1818" s="28" t="s">
        <v>2025</v>
      </c>
      <c r="C1818" s="33">
        <v>4</v>
      </c>
      <c r="D1818" s="18"/>
      <c r="E1818" s="17" t="s">
        <v>2026</v>
      </c>
      <c r="F1818" s="17" t="s">
        <v>255</v>
      </c>
      <c r="G1818" s="18"/>
      <c r="H1818" s="18"/>
    </row>
    <row r="1819" spans="1:8" ht="13.2">
      <c r="A1819" s="19" t="str">
        <f>HYPERLINK("http://codeforces.com/gym/101726/problem/B","CF101726-GYM-B")</f>
        <v>CF101726-GYM-B</v>
      </c>
      <c r="B1819" s="15" t="s">
        <v>2025</v>
      </c>
      <c r="C1819" s="17">
        <v>4</v>
      </c>
      <c r="D1819" s="26" t="str">
        <f>HYPERLINK("https://github.com/AliOsm/CompetitiveProgramming/blob/master/CodeForces%20Gyms/2013%20USP%20Try-outs/B.%20Spy%20Duel.cpp","Sol")</f>
        <v>Sol</v>
      </c>
      <c r="E1819" s="17" t="s">
        <v>2026</v>
      </c>
      <c r="F1819" s="17" t="s">
        <v>139</v>
      </c>
      <c r="G1819" s="18"/>
      <c r="H1819" s="18"/>
    </row>
    <row r="1820" spans="1:8" ht="13.2">
      <c r="A1820" s="19" t="str">
        <f>HYPERLINK("http://codeforces.com/contest/54/problem/C","CF54-D12-C")</f>
        <v>CF54-D12-C</v>
      </c>
      <c r="B1820" s="29" t="s">
        <v>2025</v>
      </c>
      <c r="C1820" s="17">
        <v>4</v>
      </c>
      <c r="D1820" s="18"/>
      <c r="E1820" s="17" t="s">
        <v>2026</v>
      </c>
      <c r="F1820" s="17" t="s">
        <v>201</v>
      </c>
      <c r="G1820" s="18"/>
      <c r="H1820" s="18"/>
    </row>
    <row r="1821" spans="1:8" ht="13.2">
      <c r="A1821" s="19" t="str">
        <f>HYPERLINK("https://uva.onlinejudge.org/index.php?option=com_onlinejudge&amp;Itemid=8&amp;page=show_problem&amp;problem=3175","UVA 12024")</f>
        <v>UVA 12024</v>
      </c>
      <c r="B1821" s="29" t="s">
        <v>2025</v>
      </c>
      <c r="C1821" s="17">
        <v>4</v>
      </c>
      <c r="D1821" s="26" t="str">
        <f>HYPERLINK("https://github.com/mostafa-saad/MyCompetitiveProgramming/blob/master/UVA/UVA_12024.txt","Sol")</f>
        <v>Sol</v>
      </c>
      <c r="E1821" s="17" t="s">
        <v>2026</v>
      </c>
      <c r="F1821" s="17"/>
      <c r="G1821" s="18"/>
      <c r="H1821" s="18"/>
    </row>
    <row r="1822" spans="1:8" ht="13.2">
      <c r="A1822" s="15" t="s">
        <v>2071</v>
      </c>
      <c r="B1822" s="51" t="s">
        <v>2025</v>
      </c>
      <c r="C1822" s="24">
        <v>3.5</v>
      </c>
      <c r="D1822" s="18"/>
      <c r="E1822" s="17" t="s">
        <v>2026</v>
      </c>
      <c r="F1822" s="17"/>
      <c r="G1822" s="18"/>
      <c r="H1822" s="18"/>
    </row>
    <row r="1823" spans="1:8" ht="13.2">
      <c r="A1823" s="19" t="str">
        <f>HYPERLINK("https://github.com/3agwa/CompetitiveProgramming/blob/master/UVA/UVA%2012457","UVA 12457")</f>
        <v>UVA 12457</v>
      </c>
      <c r="B1823" s="30" t="s">
        <v>2072</v>
      </c>
      <c r="C1823" s="24">
        <v>3.5</v>
      </c>
      <c r="D1823" s="26" t="str">
        <f>HYPERLINK("https://github.com/3agwa/CompetitiveProgramming/blob/master/UVA/UVA%2012457","Sol")</f>
        <v>Sol</v>
      </c>
      <c r="E1823" s="17" t="s">
        <v>2026</v>
      </c>
      <c r="F1823" s="17"/>
      <c r="G1823" s="18"/>
      <c r="H1823" s="18"/>
    </row>
    <row r="1824" spans="1:8" ht="13.2">
      <c r="A1824" s="19" t="str">
        <f>HYPERLINK("http://acm.tju.edu.cn/toj/showp3051.html","TJU 3051")</f>
        <v>TJU 3051</v>
      </c>
      <c r="B1824" s="29" t="s">
        <v>2025</v>
      </c>
      <c r="C1824" s="17">
        <v>3</v>
      </c>
      <c r="D1824" s="18"/>
      <c r="E1824" s="17" t="s">
        <v>2026</v>
      </c>
      <c r="F1824" s="17" t="s">
        <v>139</v>
      </c>
      <c r="G1824" s="18"/>
      <c r="H1824" s="18"/>
    </row>
    <row r="1825" spans="1:8" ht="13.2">
      <c r="A1825" s="19" t="str">
        <f>HYPERLINK("https://www.hackerrank.com/challenges/colorful-polygon","HACKR colorful-polygon")</f>
        <v>HACKR colorful-polygon</v>
      </c>
      <c r="B1825" s="28" t="s">
        <v>2073</v>
      </c>
      <c r="C1825" s="17">
        <v>9</v>
      </c>
      <c r="D1825" s="18"/>
      <c r="E1825" s="17" t="s">
        <v>2074</v>
      </c>
      <c r="F1825" s="17"/>
      <c r="G1825" s="18"/>
      <c r="H1825" s="18"/>
    </row>
    <row r="1826" spans="1:8" ht="13.2">
      <c r="A1826" s="15" t="s">
        <v>2075</v>
      </c>
      <c r="B1826" s="18" t="s">
        <v>2073</v>
      </c>
      <c r="C1826" s="17">
        <v>9</v>
      </c>
      <c r="D1826" s="18"/>
      <c r="E1826" s="17" t="s">
        <v>2074</v>
      </c>
      <c r="F1826" s="17"/>
      <c r="G1826" s="18"/>
      <c r="H1826" s="18"/>
    </row>
    <row r="1827" spans="1:8" ht="13.2">
      <c r="A1827" s="19" t="str">
        <f>HYPERLINK("https://www.hackerrank.com/challenges/bear-and-dancing","HACKR bear-and-dancing")</f>
        <v>HACKR bear-and-dancing</v>
      </c>
      <c r="B1827" s="37" t="s">
        <v>2073</v>
      </c>
      <c r="C1827" s="17">
        <v>8.5</v>
      </c>
      <c r="D1827" s="18"/>
      <c r="E1827" s="17" t="s">
        <v>2074</v>
      </c>
      <c r="F1827" s="17"/>
      <c r="G1827" s="18"/>
      <c r="H1827" s="18"/>
    </row>
    <row r="1828" spans="1:8" ht="13.2">
      <c r="A1828" s="19" t="str">
        <f>HYPERLINK("http://codeforces.com/contest/138/problem/D","CF138-D1-D")</f>
        <v>CF138-D1-D</v>
      </c>
      <c r="B1828" s="29" t="s">
        <v>2076</v>
      </c>
      <c r="C1828" s="17">
        <v>8.5</v>
      </c>
      <c r="D1828" s="18"/>
      <c r="E1828" s="17" t="s">
        <v>2074</v>
      </c>
      <c r="F1828" s="17"/>
      <c r="G1828" s="18"/>
      <c r="H1828" s="18"/>
    </row>
    <row r="1829" spans="1:8" ht="13.2">
      <c r="A1829" s="19" t="str">
        <f>HYPERLINK("http://codeforces.com/contest/183/problem/D","CF183-D12-D")</f>
        <v>CF183-D12-D</v>
      </c>
      <c r="B1829" s="29" t="s">
        <v>2077</v>
      </c>
      <c r="C1829" s="17">
        <v>8.5</v>
      </c>
      <c r="D1829" s="18"/>
      <c r="E1829" s="17" t="s">
        <v>2074</v>
      </c>
      <c r="F1829" s="17"/>
      <c r="G1829" s="18"/>
      <c r="H1829" s="18"/>
    </row>
    <row r="1830" spans="1:8" ht="13.2">
      <c r="A1830" s="15" t="s">
        <v>2078</v>
      </c>
      <c r="B1830" s="15" t="s">
        <v>2079</v>
      </c>
      <c r="C1830" s="17">
        <v>7.5</v>
      </c>
      <c r="D1830" s="18"/>
      <c r="E1830" s="17" t="s">
        <v>2074</v>
      </c>
      <c r="F1830" s="17" t="s">
        <v>201</v>
      </c>
      <c r="G1830" s="18"/>
      <c r="H1830" s="18"/>
    </row>
    <row r="1831" spans="1:8" ht="13.2">
      <c r="A1831" s="19" t="str">
        <f>HYPERLINK("http://codeforces.com/contest/258/problem/D","CF258-D1-D")</f>
        <v>CF258-D1-D</v>
      </c>
      <c r="B1831" s="29" t="s">
        <v>2080</v>
      </c>
      <c r="C1831" s="17">
        <v>7.1</v>
      </c>
      <c r="D1831" s="18"/>
      <c r="E1831" s="17" t="s">
        <v>2074</v>
      </c>
      <c r="F1831" s="17" t="s">
        <v>1053</v>
      </c>
      <c r="G1831" s="18"/>
      <c r="H1831" s="18"/>
    </row>
    <row r="1832" spans="1:8" ht="13.2">
      <c r="A1832" s="15" t="s">
        <v>2081</v>
      </c>
      <c r="B1832" s="30" t="s">
        <v>2082</v>
      </c>
      <c r="C1832" s="24">
        <v>7</v>
      </c>
      <c r="D1832" s="18"/>
      <c r="E1832" s="17" t="s">
        <v>2074</v>
      </c>
      <c r="F1832" s="17" t="s">
        <v>1053</v>
      </c>
      <c r="G1832" s="18"/>
      <c r="H1832" s="18"/>
    </row>
    <row r="1833" spans="1:8" ht="13.2">
      <c r="A1833" s="15" t="s">
        <v>2083</v>
      </c>
      <c r="B1833" s="34" t="s">
        <v>2084</v>
      </c>
      <c r="C1833" s="33">
        <v>6.75</v>
      </c>
      <c r="D1833" s="18"/>
      <c r="E1833" s="17" t="s">
        <v>2074</v>
      </c>
      <c r="F1833" s="17"/>
      <c r="G1833" s="18"/>
      <c r="H1833" s="18"/>
    </row>
    <row r="1834" spans="1:8" ht="13.2">
      <c r="A1834" s="15" t="s">
        <v>2085</v>
      </c>
      <c r="B1834" s="30" t="s">
        <v>2076</v>
      </c>
      <c r="C1834" s="17">
        <v>6.75</v>
      </c>
      <c r="D1834" s="18"/>
      <c r="E1834" s="17" t="s">
        <v>2074</v>
      </c>
      <c r="F1834" s="17"/>
      <c r="G1834" s="18"/>
      <c r="H1834" s="18"/>
    </row>
    <row r="1835" spans="1:8" ht="13.2">
      <c r="A1835" s="19" t="str">
        <f>HYPERLINK("http://codeforces.com/gym/101808/problem/D","CF101808-gym-D")</f>
        <v>CF101808-gym-D</v>
      </c>
      <c r="B1835" s="20" t="s">
        <v>2086</v>
      </c>
      <c r="C1835" s="17">
        <v>6.6</v>
      </c>
      <c r="D1835" s="26" t="str">
        <f>HYPERLINK("https://github.com/MetalBall887/Competitive-Programming/blob/master/CodeForces/CF101808-gym-D.cpp","Sol")</f>
        <v>Sol</v>
      </c>
      <c r="E1835" s="17" t="s">
        <v>2074</v>
      </c>
      <c r="F1835" s="17" t="s">
        <v>139</v>
      </c>
      <c r="G1835" s="18"/>
      <c r="H1835" s="18"/>
    </row>
    <row r="1836" spans="1:8" ht="13.2">
      <c r="A1836" s="19" t="str">
        <f>HYPERLINK("http://codeforces.com/gym/101620","CF101620-gym-G")</f>
        <v>CF101620-gym-G</v>
      </c>
      <c r="B1836" s="15" t="s">
        <v>2087</v>
      </c>
      <c r="C1836" s="17">
        <v>6.5</v>
      </c>
      <c r="D1836" s="26" t="str">
        <f>HYPERLINK("https://github.com/nya-nya-meow/CompetitiveProgramming/blob/master/CodeForces/CF101620-GYM-G%20-%20Gambling%20guide.cpp","Sol")</f>
        <v>Sol</v>
      </c>
      <c r="E1836" s="17" t="s">
        <v>2074</v>
      </c>
      <c r="F1836" s="17" t="s">
        <v>154</v>
      </c>
      <c r="G1836" s="18"/>
      <c r="H1836" s="18"/>
    </row>
    <row r="1837" spans="1:8" ht="13.2">
      <c r="A1837" s="19" t="str">
        <f>HYPERLINK("http://codeforces.com/contest/602/problem/E","CF602-D2-E")</f>
        <v>CF602-D2-E</v>
      </c>
      <c r="B1837" s="29" t="s">
        <v>2076</v>
      </c>
      <c r="C1837" s="17">
        <v>6.25</v>
      </c>
      <c r="D1837" s="18"/>
      <c r="E1837" s="17" t="s">
        <v>2074</v>
      </c>
      <c r="F1837" s="17" t="s">
        <v>139</v>
      </c>
      <c r="G1837" s="18"/>
      <c r="H1837" s="18"/>
    </row>
    <row r="1838" spans="1:8" ht="13.2">
      <c r="A1838" s="19" t="str">
        <f>HYPERLINK("https://codeforces.com/contest/1278/problem/F","CF1278-D12-F")</f>
        <v>CF1278-D12-F</v>
      </c>
      <c r="B1838" s="20" t="s">
        <v>2073</v>
      </c>
      <c r="C1838" s="21">
        <v>6</v>
      </c>
      <c r="D1838" s="18"/>
      <c r="E1838" s="17" t="s">
        <v>2074</v>
      </c>
      <c r="F1838" s="17" t="s">
        <v>139</v>
      </c>
      <c r="G1838" s="18"/>
      <c r="H1838" s="18"/>
    </row>
    <row r="1839" spans="1:8" ht="13.2">
      <c r="A1839" s="19" t="str">
        <f>HYPERLINK("https://codeforces.com/contest/398/problem/B","CF399-D2-D")</f>
        <v>CF399-D2-D</v>
      </c>
      <c r="B1839" s="15" t="s">
        <v>2073</v>
      </c>
      <c r="C1839" s="21">
        <v>6</v>
      </c>
      <c r="D1839" s="18"/>
      <c r="E1839" s="17" t="s">
        <v>2074</v>
      </c>
      <c r="F1839" s="17" t="s">
        <v>139</v>
      </c>
      <c r="G1839" s="18"/>
      <c r="H1839" s="18"/>
    </row>
    <row r="1840" spans="1:8" ht="13.2">
      <c r="A1840" s="19" t="str">
        <f>HYPERLINK("http://codeforces.com/contest/697/problem/D","CF697-D2-D")</f>
        <v>CF697-D2-D</v>
      </c>
      <c r="B1840" s="28" t="s">
        <v>2088</v>
      </c>
      <c r="C1840" s="21">
        <v>6</v>
      </c>
      <c r="D1840" s="18"/>
      <c r="E1840" s="17" t="s">
        <v>2074</v>
      </c>
      <c r="F1840" s="17" t="s">
        <v>139</v>
      </c>
      <c r="G1840" s="18"/>
      <c r="H1840" s="18"/>
    </row>
    <row r="1841" spans="1:8" ht="13.2">
      <c r="A1841" s="19" t="str">
        <f>HYPERLINK("https://www.hackerrank.com/challenges/connect-the-country","HACKR connect-the-country")</f>
        <v>HACKR connect-the-country</v>
      </c>
      <c r="B1841" s="28" t="s">
        <v>2089</v>
      </c>
      <c r="C1841" s="17">
        <v>6</v>
      </c>
      <c r="D1841" s="26" t="str">
        <f>HYPERLINK("https://github.com/mostafa-saad/MyCompetitiveProgramming/blob/master/Hackerearth/HACKR-connect-the-country.txt","Sol")</f>
        <v>Sol</v>
      </c>
      <c r="E1841" s="17" t="s">
        <v>2074</v>
      </c>
      <c r="F1841" s="17" t="s">
        <v>139</v>
      </c>
      <c r="G1841" s="18"/>
      <c r="H1841" s="18"/>
    </row>
    <row r="1842" spans="1:8" ht="13.2">
      <c r="A1842" s="15" t="s">
        <v>2090</v>
      </c>
      <c r="B1842" s="28" t="s">
        <v>2073</v>
      </c>
      <c r="C1842" s="24">
        <v>6</v>
      </c>
      <c r="D1842" s="18"/>
      <c r="E1842" s="17" t="s">
        <v>2074</v>
      </c>
      <c r="F1842" s="17"/>
      <c r="G1842" s="18"/>
      <c r="H1842" s="18"/>
    </row>
    <row r="1843" spans="1:8" ht="13.2">
      <c r="A1843" s="15" t="s">
        <v>2091</v>
      </c>
      <c r="B1843" s="28" t="s">
        <v>2073</v>
      </c>
      <c r="C1843" s="17">
        <v>6</v>
      </c>
      <c r="D1843" s="18"/>
      <c r="E1843" s="17" t="s">
        <v>2074</v>
      </c>
      <c r="F1843" s="17"/>
      <c r="G1843" s="18"/>
      <c r="H1843" s="18"/>
    </row>
    <row r="1844" spans="1:8" ht="13.2">
      <c r="A1844" s="19" t="str">
        <f>HYPERLINK("https://atcoder.jp/contests/abc144/tasks/abc144_f","AtCoder144-ABC-F")</f>
        <v>AtCoder144-ABC-F</v>
      </c>
      <c r="B1844" s="15" t="s">
        <v>2073</v>
      </c>
      <c r="C1844" s="17">
        <v>5.5</v>
      </c>
      <c r="D1844" s="18"/>
      <c r="E1844" s="17" t="s">
        <v>2074</v>
      </c>
      <c r="F1844" s="17" t="s">
        <v>139</v>
      </c>
      <c r="G1844" s="18"/>
      <c r="H1844" s="18"/>
    </row>
    <row r="1845" spans="1:8" ht="13.2">
      <c r="A1845" s="19" t="str">
        <f>HYPERLINK("https://atcoder.jp/contests/abc149/tasks/abc149_f","AtCoder149-ABC-F")</f>
        <v>AtCoder149-ABC-F</v>
      </c>
      <c r="B1845" s="15" t="s">
        <v>2073</v>
      </c>
      <c r="C1845" s="21">
        <v>5.5</v>
      </c>
      <c r="D1845" s="18"/>
      <c r="E1845" s="17" t="s">
        <v>2074</v>
      </c>
      <c r="F1845" s="17" t="s">
        <v>139</v>
      </c>
      <c r="G1845" s="18"/>
      <c r="H1845" s="18"/>
    </row>
    <row r="1846" spans="1:8" ht="13.2">
      <c r="A1846" s="19" t="str">
        <f>HYPERLINK("http://poj.org/problem?id=2096","PKU 2096")</f>
        <v>PKU 2096</v>
      </c>
      <c r="B1846" s="29" t="s">
        <v>2092</v>
      </c>
      <c r="C1846" s="17">
        <v>5.5</v>
      </c>
      <c r="D1846" s="26" t="str">
        <f>HYPERLINK("https://github.com/mostafa-saad/MyCompetitiveProgramming/blob/master/PKU/PKU_2096.txt","Sol")</f>
        <v>Sol</v>
      </c>
      <c r="E1846" s="17" t="s">
        <v>2074</v>
      </c>
      <c r="F1846" s="17" t="s">
        <v>139</v>
      </c>
      <c r="G1846" s="18"/>
      <c r="H1846" s="18"/>
    </row>
    <row r="1847" spans="1:8" ht="13.2">
      <c r="A1847" s="19" t="str">
        <f>HYPERLINK("https://codeforces.com/contest/1245/problem/E","CF1245-D2-E")</f>
        <v>CF1245-D2-E</v>
      </c>
      <c r="B1847" s="20" t="s">
        <v>2093</v>
      </c>
      <c r="C1847" s="21">
        <v>5.5</v>
      </c>
      <c r="D1847" s="18"/>
      <c r="E1847" s="17" t="s">
        <v>2074</v>
      </c>
      <c r="F1847" s="17" t="s">
        <v>201</v>
      </c>
      <c r="G1847" s="18"/>
      <c r="H1847" s="18"/>
    </row>
    <row r="1848" spans="1:8" ht="13.2">
      <c r="A1848" s="15" t="s">
        <v>2094</v>
      </c>
      <c r="B1848" s="29" t="s">
        <v>2095</v>
      </c>
      <c r="C1848" s="17">
        <v>5</v>
      </c>
      <c r="D1848" s="26" t="str">
        <f>HYPERLINK("https://github.com/racsosabe/CompetitiveProgramming/blob/master/SPOJ/LOOPEXP.cpp","Sol")</f>
        <v>Sol</v>
      </c>
      <c r="E1848" s="17" t="s">
        <v>2074</v>
      </c>
      <c r="F1848" s="17" t="s">
        <v>306</v>
      </c>
      <c r="G1848" s="18"/>
      <c r="H1848" s="18"/>
    </row>
    <row r="1849" spans="1:8" ht="13.2">
      <c r="A1849" s="19" t="str">
        <f>HYPERLINK("https://github.com/3agwa/CompetitiveProgramming/blob/master/TopCoder/SRM420-D1-500","SRM420-D1-500")</f>
        <v>SRM420-D1-500</v>
      </c>
      <c r="B1849" s="30" t="s">
        <v>2096</v>
      </c>
      <c r="C1849" s="33">
        <v>5</v>
      </c>
      <c r="D1849" s="26" t="str">
        <f>HYPERLINK("https://github.com/tanmoy13/CompetitveProgramming/blob/master/Online-Judge-Solutions/TopCoder/SRM420-D1-500.cpp","Sol")</f>
        <v>Sol</v>
      </c>
      <c r="E1849" s="17" t="s">
        <v>2074</v>
      </c>
      <c r="F1849" s="17" t="s">
        <v>613</v>
      </c>
      <c r="G1849" s="18"/>
      <c r="H1849" s="18"/>
    </row>
    <row r="1850" spans="1:8" ht="13.2">
      <c r="A1850" s="15" t="s">
        <v>2097</v>
      </c>
      <c r="B1850" s="29" t="s">
        <v>2098</v>
      </c>
      <c r="C1850" s="17">
        <v>5</v>
      </c>
      <c r="D1850" s="18"/>
      <c r="E1850" s="17" t="s">
        <v>2074</v>
      </c>
      <c r="F1850" s="17" t="s">
        <v>201</v>
      </c>
      <c r="G1850" s="18"/>
      <c r="H1850" s="18"/>
    </row>
    <row r="1851" spans="1:8" ht="13.2">
      <c r="A1851" s="15" t="s">
        <v>2099</v>
      </c>
      <c r="B1851" s="28" t="s">
        <v>2100</v>
      </c>
      <c r="C1851" s="31">
        <v>5</v>
      </c>
      <c r="D1851" s="26" t="str">
        <f>HYPERLINK("https://github.com/racsosabe/CompetitiveProgramming/blob/master/UVA/10288.cpp","Sol")</f>
        <v>Sol</v>
      </c>
      <c r="E1851" s="17" t="s">
        <v>2074</v>
      </c>
      <c r="F1851" s="17" t="s">
        <v>201</v>
      </c>
      <c r="G1851" s="18"/>
      <c r="H1851" s="18"/>
    </row>
    <row r="1852" spans="1:8" ht="13.2">
      <c r="A1852" s="19" t="str">
        <f>HYPERLINK("https://codeforces.com/contest/1265/problem/E","CF1265-D2-E")</f>
        <v>CF1265-D2-E</v>
      </c>
      <c r="B1852" s="15" t="s">
        <v>2073</v>
      </c>
      <c r="C1852" s="17">
        <v>5</v>
      </c>
      <c r="D1852" s="18"/>
      <c r="E1852" s="17" t="s">
        <v>2074</v>
      </c>
      <c r="F1852" s="17"/>
      <c r="G1852" s="18"/>
      <c r="H1852" s="18"/>
    </row>
    <row r="1853" spans="1:8" ht="13.2">
      <c r="A1853" s="15" t="s">
        <v>2101</v>
      </c>
      <c r="B1853" s="28" t="s">
        <v>2073</v>
      </c>
      <c r="C1853" s="17">
        <v>5</v>
      </c>
      <c r="D1853" s="26" t="str">
        <f>HYPERLINK("https://ideone.com/kc7LDA","Sol")</f>
        <v>Sol</v>
      </c>
      <c r="E1853" s="17" t="s">
        <v>2074</v>
      </c>
      <c r="F1853" s="17"/>
      <c r="G1853" s="18"/>
      <c r="H1853" s="18"/>
    </row>
    <row r="1854" spans="1:8" ht="13.2">
      <c r="A1854" s="15" t="s">
        <v>2102</v>
      </c>
      <c r="B1854" s="34" t="s">
        <v>2103</v>
      </c>
      <c r="C1854" s="33">
        <v>5</v>
      </c>
      <c r="D1854" s="26" t="str">
        <f>HYPERLINK("https://github.com/arvindr9/CompetitiveProgramming/blob/master/TopCoder/SRM184-D1-500.cpp","Sol")</f>
        <v>Sol</v>
      </c>
      <c r="E1854" s="17" t="s">
        <v>2074</v>
      </c>
      <c r="F1854" s="17"/>
      <c r="G1854" s="18"/>
      <c r="H1854" s="18"/>
    </row>
    <row r="1855" spans="1:8" ht="13.2">
      <c r="A1855" s="15" t="s">
        <v>2104</v>
      </c>
      <c r="B1855" s="29" t="s">
        <v>2105</v>
      </c>
      <c r="C1855" s="40">
        <v>5</v>
      </c>
      <c r="D1855" s="18"/>
      <c r="E1855" s="17" t="s">
        <v>2074</v>
      </c>
      <c r="F1855" s="17"/>
      <c r="G1855" s="18"/>
      <c r="H1855" s="18"/>
    </row>
    <row r="1856" spans="1:8" ht="13.2">
      <c r="A1856" s="15" t="s">
        <v>2106</v>
      </c>
      <c r="B1856" s="29" t="s">
        <v>2073</v>
      </c>
      <c r="C1856" s="24">
        <v>4.5</v>
      </c>
      <c r="D1856" s="18"/>
      <c r="E1856" s="17" t="s">
        <v>2074</v>
      </c>
      <c r="F1856" s="17" t="s">
        <v>255</v>
      </c>
      <c r="G1856" s="18"/>
      <c r="H1856" s="18"/>
    </row>
    <row r="1857" spans="1:8" ht="13.2">
      <c r="A1857" s="15" t="s">
        <v>2107</v>
      </c>
      <c r="B1857" s="18" t="s">
        <v>2073</v>
      </c>
      <c r="C1857" s="17">
        <v>4.0999999999999996</v>
      </c>
      <c r="D1857" s="18"/>
      <c r="E1857" s="17" t="s">
        <v>2074</v>
      </c>
      <c r="F1857" s="17" t="s">
        <v>255</v>
      </c>
      <c r="G1857" s="18"/>
      <c r="H1857" s="18"/>
    </row>
    <row r="1858" spans="1:8" ht="13.2">
      <c r="A1858" s="15" t="s">
        <v>2108</v>
      </c>
      <c r="B1858" s="28" t="s">
        <v>2109</v>
      </c>
      <c r="C1858" s="24">
        <v>4</v>
      </c>
      <c r="D1858" s="18"/>
      <c r="E1858" s="17" t="s">
        <v>2074</v>
      </c>
      <c r="F1858" s="17" t="s">
        <v>255</v>
      </c>
      <c r="G1858" s="18"/>
      <c r="H1858" s="18"/>
    </row>
    <row r="1859" spans="1:8" ht="13.2">
      <c r="A1859" s="19" t="str">
        <f>HYPERLINK("https://community.topcoder.com/stat?c=problem_statement&amp;pm=10988","TC(BANKLOTTERY)")</f>
        <v>TC(BANKLOTTERY)</v>
      </c>
      <c r="B1859" s="28" t="s">
        <v>2109</v>
      </c>
      <c r="C1859" s="24">
        <v>4</v>
      </c>
      <c r="D1859" s="18"/>
      <c r="E1859" s="17" t="s">
        <v>2074</v>
      </c>
      <c r="F1859" s="17"/>
      <c r="G1859" s="18"/>
      <c r="H1859" s="18"/>
    </row>
    <row r="1860" spans="1:8" ht="13.2">
      <c r="A1860" s="19" t="str">
        <f>HYPERLINK("http://codeforces.com/contest/30/problem/C","CF30-D12-C")</f>
        <v>CF30-D12-C</v>
      </c>
      <c r="B1860" s="29" t="s">
        <v>2077</v>
      </c>
      <c r="C1860" s="17">
        <v>3.5</v>
      </c>
      <c r="D1860" s="18"/>
      <c r="E1860" s="17" t="s">
        <v>2074</v>
      </c>
      <c r="F1860" s="17"/>
      <c r="G1860" s="18"/>
      <c r="H1860" s="18"/>
    </row>
    <row r="1861" spans="1:8" ht="13.2">
      <c r="A1861" s="19" t="str">
        <f>HYPERLINK("http://codeforces.com/contest/518/problem/D","CF518-D2-D")</f>
        <v>CF518-D2-D</v>
      </c>
      <c r="B1861" s="29" t="s">
        <v>2110</v>
      </c>
      <c r="C1861" s="24">
        <v>3</v>
      </c>
      <c r="D1861" s="18"/>
      <c r="E1861" s="17" t="s">
        <v>2074</v>
      </c>
      <c r="F1861" s="17"/>
      <c r="G1861" s="18"/>
      <c r="H1861" s="18"/>
    </row>
    <row r="1862" spans="1:8" ht="13.2">
      <c r="A1862" s="15" t="s">
        <v>2111</v>
      </c>
      <c r="B1862" s="30" t="s">
        <v>2112</v>
      </c>
      <c r="C1862" s="24">
        <v>6.75</v>
      </c>
      <c r="D1862" s="18"/>
      <c r="E1862" s="17" t="s">
        <v>2113</v>
      </c>
      <c r="F1862" s="17"/>
      <c r="G1862" s="18"/>
      <c r="H1862" s="18"/>
    </row>
    <row r="1863" spans="1:8" ht="13.2">
      <c r="A1863" s="19" t="str">
        <f>HYPERLINK("http://codeforces.com/contest/508/problem/E","CF508-D2-E")</f>
        <v>CF508-D2-E</v>
      </c>
      <c r="B1863" s="29" t="s">
        <v>2114</v>
      </c>
      <c r="C1863" s="17">
        <v>6.25</v>
      </c>
      <c r="D1863" s="18"/>
      <c r="E1863" s="17" t="s">
        <v>2113</v>
      </c>
      <c r="F1863" s="17" t="s">
        <v>613</v>
      </c>
      <c r="G1863" s="18"/>
      <c r="H1863" s="18"/>
    </row>
    <row r="1864" spans="1:8" ht="13.2">
      <c r="A1864" s="15" t="s">
        <v>2115</v>
      </c>
      <c r="B1864" s="30" t="s">
        <v>2116</v>
      </c>
      <c r="C1864" s="24">
        <v>6.25</v>
      </c>
      <c r="D1864" s="26" t="str">
        <f>HYPERLINK("https://csacademy.com/code/gAv1x3aG/","Sol")</f>
        <v>Sol</v>
      </c>
      <c r="E1864" s="17" t="s">
        <v>2113</v>
      </c>
      <c r="F1864" s="17" t="s">
        <v>613</v>
      </c>
      <c r="G1864" s="18"/>
      <c r="H1864" s="18"/>
    </row>
    <row r="1865" spans="1:8" ht="13.2">
      <c r="A1865" s="15" t="s">
        <v>2117</v>
      </c>
      <c r="B1865" s="30" t="s">
        <v>2112</v>
      </c>
      <c r="C1865" s="24">
        <v>6.25</v>
      </c>
      <c r="D1865" s="18"/>
      <c r="E1865" s="17" t="s">
        <v>2113</v>
      </c>
      <c r="F1865" s="17"/>
      <c r="G1865" s="18"/>
      <c r="H1865" s="18"/>
    </row>
    <row r="1866" spans="1:8" ht="13.2">
      <c r="A1866" s="15" t="s">
        <v>2118</v>
      </c>
      <c r="B1866" s="30" t="s">
        <v>2112</v>
      </c>
      <c r="C1866" s="24">
        <v>6.25</v>
      </c>
      <c r="D1866" s="18"/>
      <c r="E1866" s="17" t="s">
        <v>2113</v>
      </c>
      <c r="F1866" s="17"/>
      <c r="G1866" s="18"/>
      <c r="H1866" s="18"/>
    </row>
    <row r="1867" spans="1:8" ht="13.2">
      <c r="A1867" s="15" t="s">
        <v>2119</v>
      </c>
      <c r="B1867" s="30" t="s">
        <v>2112</v>
      </c>
      <c r="C1867" s="24">
        <v>6.25</v>
      </c>
      <c r="D1867" s="18"/>
      <c r="E1867" s="17" t="s">
        <v>2113</v>
      </c>
      <c r="F1867" s="17"/>
      <c r="G1867" s="18"/>
      <c r="H1867" s="18"/>
    </row>
    <row r="1868" spans="1:8" ht="13.2">
      <c r="A1868" s="19" t="str">
        <f>HYPERLINK("https://codeforces.com/contest/1107/problem/E","CF1107-D12-E")</f>
        <v>CF1107-D12-E</v>
      </c>
      <c r="B1868" s="15" t="s">
        <v>2112</v>
      </c>
      <c r="C1868" s="17">
        <v>6</v>
      </c>
      <c r="D1868" s="18"/>
      <c r="E1868" s="17" t="s">
        <v>2113</v>
      </c>
      <c r="F1868" s="17" t="s">
        <v>139</v>
      </c>
      <c r="G1868" s="18"/>
      <c r="H1868" s="18"/>
    </row>
    <row r="1869" spans="1:8" ht="13.2">
      <c r="A1869" s="15" t="s">
        <v>2120</v>
      </c>
      <c r="B1869" s="38" t="s">
        <v>2121</v>
      </c>
      <c r="C1869" s="17">
        <v>6</v>
      </c>
      <c r="D1869" s="26" t="str">
        <f>HYPERLINK("https://github.com/Huvok/CompetitiveProgramming/blob/master/UVA/1351.cpp","Sol")</f>
        <v>Sol</v>
      </c>
      <c r="E1869" s="17" t="s">
        <v>2113</v>
      </c>
      <c r="F1869" s="17" t="s">
        <v>139</v>
      </c>
      <c r="G1869" s="18"/>
      <c r="H1869" s="18"/>
    </row>
    <row r="1870" spans="1:8" ht="13.2">
      <c r="A1870" s="15" t="s">
        <v>2122</v>
      </c>
      <c r="B1870" s="29" t="s">
        <v>2123</v>
      </c>
      <c r="C1870" s="17">
        <v>5.75</v>
      </c>
      <c r="D1870" s="18"/>
      <c r="E1870" s="17" t="s">
        <v>2113</v>
      </c>
      <c r="F1870" s="17" t="s">
        <v>201</v>
      </c>
      <c r="G1870" s="18"/>
      <c r="H1870" s="18"/>
    </row>
    <row r="1871" spans="1:8" ht="13.2">
      <c r="A1871" s="15" t="s">
        <v>2124</v>
      </c>
      <c r="B1871" s="30" t="s">
        <v>2125</v>
      </c>
      <c r="C1871" s="17">
        <v>5.5</v>
      </c>
      <c r="D1871" s="18"/>
      <c r="E1871" s="17" t="s">
        <v>2113</v>
      </c>
      <c r="F1871" s="17" t="s">
        <v>196</v>
      </c>
      <c r="G1871" s="18"/>
      <c r="H1871" s="18"/>
    </row>
    <row r="1872" spans="1:8" ht="13.2">
      <c r="A1872" s="19" t="str">
        <f>HYPERLINK("https://uva.onlinejudge.org/index.php?option=com_onlinejudge&amp;Itemid=8&amp;page=show_problem&amp;problem=4501","UVA 1626")</f>
        <v>UVA 1626</v>
      </c>
      <c r="B1872" s="29" t="s">
        <v>2126</v>
      </c>
      <c r="C1872" s="17">
        <v>5.5</v>
      </c>
      <c r="D1872" s="26" t="str">
        <f>HYPERLINK("https://github.com/mostafa-saad/MyCompetitiveProgramming/blob/master/UVA/UVA_1626.txt","Sol")</f>
        <v>Sol</v>
      </c>
      <c r="E1872" s="17" t="s">
        <v>2113</v>
      </c>
      <c r="F1872" s="17" t="s">
        <v>139</v>
      </c>
      <c r="G1872" s="18"/>
      <c r="H1872" s="18"/>
    </row>
    <row r="1873" spans="1:8" ht="13.2">
      <c r="A1873" s="15" t="s">
        <v>2127</v>
      </c>
      <c r="B1873" s="28" t="s">
        <v>2128</v>
      </c>
      <c r="C1873" s="24">
        <v>5.5</v>
      </c>
      <c r="D1873" s="18"/>
      <c r="E1873" s="17" t="s">
        <v>2113</v>
      </c>
      <c r="F1873" s="17" t="s">
        <v>201</v>
      </c>
      <c r="G1873" s="18"/>
      <c r="H1873" s="18"/>
    </row>
    <row r="1874" spans="1:8" ht="13.2">
      <c r="A1874" s="19" t="str">
        <f>HYPERLINK("https://uva.onlinejudge.org/index.php?option=com_onlinejudge&amp;Itemid=8&amp;page=show_problem&amp;problem=4108","UVA 1362")</f>
        <v>UVA 1362</v>
      </c>
      <c r="B1874" s="29" t="s">
        <v>2129</v>
      </c>
      <c r="C1874" s="17">
        <v>5.5</v>
      </c>
      <c r="D1874" s="26" t="str">
        <f>HYPERLINK("https://github.com/abdullaAshraf/Problem-Solving/blob/master/UVA/1362.cpp","Sol")</f>
        <v>Sol</v>
      </c>
      <c r="E1874" s="17" t="s">
        <v>2113</v>
      </c>
      <c r="F1874" s="17" t="s">
        <v>201</v>
      </c>
      <c r="G1874" s="18"/>
      <c r="H1874" s="18"/>
    </row>
    <row r="1875" spans="1:8" ht="13.2">
      <c r="A1875" s="15" t="s">
        <v>2130</v>
      </c>
      <c r="B1875" s="29" t="s">
        <v>2131</v>
      </c>
      <c r="C1875" s="17">
        <v>5.25</v>
      </c>
      <c r="D1875" s="18"/>
      <c r="E1875" s="17" t="s">
        <v>2113</v>
      </c>
      <c r="F1875" s="17" t="s">
        <v>242</v>
      </c>
      <c r="G1875" s="18"/>
      <c r="H1875" s="18"/>
    </row>
    <row r="1876" spans="1:8" ht="13.2">
      <c r="A1876" s="15" t="s">
        <v>2132</v>
      </c>
      <c r="B1876" s="29" t="s">
        <v>2133</v>
      </c>
      <c r="C1876" s="17">
        <v>5.0999999999999996</v>
      </c>
      <c r="D1876" s="18"/>
      <c r="E1876" s="17" t="s">
        <v>2113</v>
      </c>
      <c r="F1876" s="17" t="s">
        <v>139</v>
      </c>
      <c r="G1876" s="18"/>
      <c r="H1876" s="18"/>
    </row>
    <row r="1877" spans="1:8" ht="13.2">
      <c r="A1877" s="15" t="s">
        <v>2134</v>
      </c>
      <c r="B1877" s="29" t="s">
        <v>2135</v>
      </c>
      <c r="C1877" s="17">
        <v>5</v>
      </c>
      <c r="D1877" s="26" t="str">
        <f>HYPERLINK("https://github.com/MichaelMounir12/CompetitiveProgramming/blob/eb1a3bc5b6e5be70605a78b1769b4ce6df81bf89/UVA/UVA_1239.cpp","Sol")</f>
        <v>Sol</v>
      </c>
      <c r="E1877" s="17" t="s">
        <v>2113</v>
      </c>
      <c r="F1877" s="17" t="s">
        <v>139</v>
      </c>
      <c r="G1877" s="18"/>
      <c r="H1877" s="18"/>
    </row>
    <row r="1878" spans="1:8" ht="13.2">
      <c r="A1878" s="15" t="s">
        <v>2136</v>
      </c>
      <c r="B1878" s="29" t="s">
        <v>2137</v>
      </c>
      <c r="C1878" s="17">
        <v>5</v>
      </c>
      <c r="D1878" s="18"/>
      <c r="E1878" s="17" t="s">
        <v>2113</v>
      </c>
      <c r="F1878" s="17" t="s">
        <v>201</v>
      </c>
      <c r="G1878" s="18"/>
      <c r="H1878" s="18"/>
    </row>
    <row r="1879" spans="1:8" ht="13.2">
      <c r="A1879" s="15" t="s">
        <v>2138</v>
      </c>
      <c r="B1879" s="30" t="s">
        <v>2112</v>
      </c>
      <c r="C1879" s="24">
        <v>5</v>
      </c>
      <c r="D1879" s="26" t="str">
        <f>HYPERLINK("https://github.com/yazanKabbany/CompetitiveProgramming/blob/master/UVA/UVA%2012245.cpp","Sol")</f>
        <v>Sol</v>
      </c>
      <c r="E1879" s="17" t="s">
        <v>2113</v>
      </c>
      <c r="F1879" s="17"/>
      <c r="G1879" s="18"/>
      <c r="H1879" s="18"/>
    </row>
    <row r="1880" spans="1:8" ht="13.2">
      <c r="A1880" s="15" t="s">
        <v>2139</v>
      </c>
      <c r="B1880" s="29" t="s">
        <v>2140</v>
      </c>
      <c r="C1880" s="33">
        <v>5</v>
      </c>
      <c r="D1880" s="18"/>
      <c r="E1880" s="24" t="s">
        <v>2113</v>
      </c>
      <c r="F1880" s="17"/>
      <c r="G1880" s="18"/>
      <c r="H1880" s="18"/>
    </row>
    <row r="1881" spans="1:8" ht="13.2">
      <c r="A1881" s="15" t="s">
        <v>2141</v>
      </c>
      <c r="B1881" s="30" t="s">
        <v>2142</v>
      </c>
      <c r="C1881" s="17">
        <v>5</v>
      </c>
      <c r="D1881" s="26" t="str">
        <f>HYPERLINK("https://github.com/AhmedRamadanAbdElghany/CompetitiveProgramming/blob/master/Spoj/GCJ1C09C.cpp","Sol")</f>
        <v>Sol</v>
      </c>
      <c r="E1881" s="17" t="s">
        <v>2113</v>
      </c>
      <c r="F1881" s="17"/>
      <c r="G1881" s="18"/>
      <c r="H1881" s="18"/>
    </row>
    <row r="1882" spans="1:8" ht="13.2">
      <c r="A1882" s="15" t="s">
        <v>2143</v>
      </c>
      <c r="B1882" s="29" t="s">
        <v>2144</v>
      </c>
      <c r="C1882" s="17">
        <v>5</v>
      </c>
      <c r="D1882" s="26" t="str">
        <f>HYPERLINK("https://github.com/MichaelMounir12/CompetitiveProgramming/blob/6968e76a38d600c4a9f0f385050be2100e7f0f9f/UVA/UVA_10688.cpp","Sol")</f>
        <v>Sol</v>
      </c>
      <c r="E1882" s="17" t="s">
        <v>2113</v>
      </c>
      <c r="F1882" s="17"/>
      <c r="G1882" s="18"/>
      <c r="H1882" s="18"/>
    </row>
    <row r="1883" spans="1:8" ht="13.2">
      <c r="A1883" s="15" t="s">
        <v>2145</v>
      </c>
      <c r="B1883" s="29" t="s">
        <v>2112</v>
      </c>
      <c r="C1883" s="24">
        <v>4.5</v>
      </c>
      <c r="D1883" s="18"/>
      <c r="E1883" s="24" t="s">
        <v>2113</v>
      </c>
      <c r="F1883" s="17" t="s">
        <v>255</v>
      </c>
      <c r="G1883" s="18"/>
      <c r="H1883" s="18"/>
    </row>
    <row r="1884" spans="1:8" ht="13.2">
      <c r="A1884" s="19" t="str">
        <f>HYPERLINK("https://uva.onlinejudge.org/index.php?option=com_onlinejudge&amp;Itemid=8&amp;page=show_problem&amp;problem=2853","UVA 11753")</f>
        <v>UVA 11753</v>
      </c>
      <c r="B1884" s="29" t="s">
        <v>2146</v>
      </c>
      <c r="C1884" s="17">
        <v>4.5</v>
      </c>
      <c r="D1884" s="18"/>
      <c r="E1884" s="17" t="s">
        <v>2113</v>
      </c>
      <c r="F1884" s="17" t="s">
        <v>139</v>
      </c>
      <c r="G1884" s="18"/>
      <c r="H1884" s="18"/>
    </row>
    <row r="1885" spans="1:8" ht="13.2">
      <c r="A1885" s="15" t="s">
        <v>2147</v>
      </c>
      <c r="B1885" s="29" t="s">
        <v>2148</v>
      </c>
      <c r="C1885" s="17">
        <v>4.5</v>
      </c>
      <c r="D1885" s="18"/>
      <c r="E1885" s="17" t="s">
        <v>2113</v>
      </c>
      <c r="F1885" s="17"/>
      <c r="G1885" s="18"/>
      <c r="H1885" s="18"/>
    </row>
    <row r="1886" spans="1:8" ht="13.2">
      <c r="A1886" s="15" t="s">
        <v>2149</v>
      </c>
      <c r="B1886" s="29" t="s">
        <v>2112</v>
      </c>
      <c r="C1886" s="33">
        <v>4</v>
      </c>
      <c r="D1886" s="18"/>
      <c r="E1886" s="17" t="s">
        <v>2113</v>
      </c>
      <c r="F1886" s="17"/>
      <c r="G1886" s="18"/>
      <c r="H1886" s="18"/>
    </row>
    <row r="1887" spans="1:8" ht="13.2">
      <c r="A1887" s="15" t="s">
        <v>2150</v>
      </c>
      <c r="B1887" s="29" t="s">
        <v>2114</v>
      </c>
      <c r="C1887" s="24">
        <v>3</v>
      </c>
      <c r="D1887" s="26" t="str">
        <f>HYPERLINK("https://github.com/MichaelMounir12/CompetitiveProgramming/blob/7a8bea8c513222833368c1c475d51b705ced5fbf/Topcoder/SRM367-D2-1000.cpp","Sol")</f>
        <v>Sol</v>
      </c>
      <c r="E1887" s="17" t="s">
        <v>2113</v>
      </c>
      <c r="F1887" s="17" t="s">
        <v>255</v>
      </c>
      <c r="G1887" s="18"/>
      <c r="H1887" s="18"/>
    </row>
    <row r="1888" spans="1:8" ht="13.2">
      <c r="A1888" s="15" t="s">
        <v>2151</v>
      </c>
      <c r="B1888" s="18" t="s">
        <v>2152</v>
      </c>
      <c r="C1888" s="17">
        <v>9.5</v>
      </c>
      <c r="D1888" s="18"/>
      <c r="E1888" s="17" t="s">
        <v>2153</v>
      </c>
      <c r="F1888" s="17"/>
      <c r="G1888" s="18"/>
      <c r="H1888" s="18"/>
    </row>
    <row r="1889" spans="1:8" ht="13.2">
      <c r="A1889" s="19" t="str">
        <f>HYPERLINK("http://codeforces.com/problemset/problem/1054/G", "CF1054-D12-G")</f>
        <v>CF1054-D12-G</v>
      </c>
      <c r="B1889" s="20" t="s">
        <v>2154</v>
      </c>
      <c r="C1889" s="21">
        <v>8</v>
      </c>
      <c r="D1889" s="18"/>
      <c r="E1889" s="17" t="s">
        <v>2153</v>
      </c>
      <c r="F1889" s="17" t="s">
        <v>139</v>
      </c>
      <c r="G1889" s="18"/>
      <c r="H1889" s="18"/>
    </row>
    <row r="1890" spans="1:8" ht="13.2">
      <c r="A1890" s="15" t="s">
        <v>2155</v>
      </c>
      <c r="B1890" s="34" t="s">
        <v>2156</v>
      </c>
      <c r="C1890" s="33">
        <v>8</v>
      </c>
      <c r="D1890" s="18"/>
      <c r="E1890" s="17" t="s">
        <v>2153</v>
      </c>
      <c r="F1890" s="17"/>
      <c r="G1890" s="18"/>
      <c r="H1890" s="18"/>
    </row>
    <row r="1891" spans="1:8" ht="13.2">
      <c r="A1891" s="19" t="str">
        <f>HYPERLINK("http://codeforces.com/contest/249/problem/B","CF249-D1-B")</f>
        <v>CF249-D1-B</v>
      </c>
      <c r="B1891" s="29" t="s">
        <v>2157</v>
      </c>
      <c r="C1891" s="17">
        <v>7.75</v>
      </c>
      <c r="D1891" s="18"/>
      <c r="E1891" s="17" t="s">
        <v>2153</v>
      </c>
      <c r="F1891" s="17"/>
      <c r="G1891" s="18"/>
      <c r="H1891" s="18"/>
    </row>
    <row r="1892" spans="1:8" ht="13.2">
      <c r="A1892" s="19" t="str">
        <f>HYPERLINK("http://codeforces.com/problemset/problem/1012/D", "CF1012-D1-D")</f>
        <v>CF1012-D1-D</v>
      </c>
      <c r="B1892" s="20" t="s">
        <v>2158</v>
      </c>
      <c r="C1892" s="21">
        <v>7.5</v>
      </c>
      <c r="D1892" s="18"/>
      <c r="E1892" s="17" t="s">
        <v>2153</v>
      </c>
      <c r="F1892" s="17"/>
      <c r="G1892" s="18"/>
      <c r="H1892" s="18"/>
    </row>
    <row r="1893" spans="1:8" ht="13.2">
      <c r="A1893" s="19" t="str">
        <f>HYPERLINK("https://www.hackerrank.com/contests/hourrank-30/challenges/diverse-strings/", "HACKR diverse-strings")</f>
        <v>HACKR diverse-strings</v>
      </c>
      <c r="B1893" s="20" t="s">
        <v>2159</v>
      </c>
      <c r="C1893" s="17">
        <v>7.25</v>
      </c>
      <c r="D1893" s="18" t="s">
        <v>2160</v>
      </c>
      <c r="E1893" s="17" t="s">
        <v>2153</v>
      </c>
      <c r="F1893" s="17" t="s">
        <v>154</v>
      </c>
      <c r="G1893" s="18"/>
      <c r="H1893" s="18"/>
    </row>
    <row r="1894" spans="1:8" ht="13.2">
      <c r="A1894" s="19" t="str">
        <f>HYPERLINK("https://codeforces.com/problemset/problem/1147/E", "CF1147-D1-E")</f>
        <v>CF1147-D1-E</v>
      </c>
      <c r="B1894" s="20" t="s">
        <v>2161</v>
      </c>
      <c r="C1894" s="17">
        <v>7.25</v>
      </c>
      <c r="D1894" s="18"/>
      <c r="E1894" s="17" t="s">
        <v>2153</v>
      </c>
      <c r="F1894" s="17" t="s">
        <v>139</v>
      </c>
      <c r="G1894" s="18"/>
      <c r="H1894" s="18"/>
    </row>
    <row r="1895" spans="1:8" ht="13.2">
      <c r="A1895" s="15" t="s">
        <v>2162</v>
      </c>
      <c r="B1895" s="18" t="s">
        <v>2163</v>
      </c>
      <c r="C1895" s="17">
        <v>7.25</v>
      </c>
      <c r="D1895" s="18"/>
      <c r="E1895" s="17" t="s">
        <v>2153</v>
      </c>
      <c r="F1895" s="17"/>
      <c r="G1895" s="18"/>
      <c r="H1895" s="18"/>
    </row>
    <row r="1896" spans="1:8" ht="13.2">
      <c r="A1896" s="19" t="str">
        <f>HYPERLINK("http://codeforces.com/contest/42/problem/D","CF42-D12-D")</f>
        <v>CF42-D12-D</v>
      </c>
      <c r="B1896" s="29" t="s">
        <v>2164</v>
      </c>
      <c r="C1896" s="17">
        <v>7.25</v>
      </c>
      <c r="D1896" s="18"/>
      <c r="E1896" s="17" t="s">
        <v>2153</v>
      </c>
      <c r="F1896" s="17"/>
      <c r="G1896" s="18"/>
      <c r="H1896" s="18"/>
    </row>
    <row r="1897" spans="1:8" ht="13.2">
      <c r="A1897" s="19" t="str">
        <f>HYPERLINK("http://codeforces.com/contest/725/problem/E","CF725-D12-E")</f>
        <v>CF725-D12-E</v>
      </c>
      <c r="B1897" s="25" t="s">
        <v>2165</v>
      </c>
      <c r="C1897" s="24">
        <v>7</v>
      </c>
      <c r="D1897" s="18"/>
      <c r="E1897" s="17" t="s">
        <v>2153</v>
      </c>
      <c r="F1897" s="17" t="s">
        <v>154</v>
      </c>
      <c r="G1897" s="18"/>
      <c r="H1897" s="18"/>
    </row>
    <row r="1898" spans="1:8" ht="13.2">
      <c r="A1898" s="19" t="str">
        <f>HYPERLINK("http://codeforces.com/contest/767/problem/E","CF767-D2-E")</f>
        <v>CF767-D2-E</v>
      </c>
      <c r="B1898" s="15" t="s">
        <v>2163</v>
      </c>
      <c r="C1898" s="17">
        <v>7</v>
      </c>
      <c r="D1898" s="18"/>
      <c r="E1898" s="17" t="s">
        <v>2153</v>
      </c>
      <c r="F1898" s="17" t="s">
        <v>139</v>
      </c>
      <c r="G1898" s="18"/>
      <c r="H1898" s="18"/>
    </row>
    <row r="1899" spans="1:8" ht="13.2">
      <c r="A1899" s="15" t="s">
        <v>2166</v>
      </c>
      <c r="B1899" s="16" t="s">
        <v>2167</v>
      </c>
      <c r="C1899" s="17">
        <v>7</v>
      </c>
      <c r="D1899" s="18" t="s">
        <v>2168</v>
      </c>
      <c r="E1899" s="17" t="s">
        <v>2153</v>
      </c>
      <c r="F1899" s="17"/>
      <c r="G1899" s="18"/>
      <c r="H1899" s="18"/>
    </row>
    <row r="1900" spans="1:8" ht="13.2">
      <c r="A1900" s="19" t="str">
        <f>HYPERLINK("http://codeforces.com/contest/436/problem/E", "CF436-D12-E")</f>
        <v>CF436-D12-E</v>
      </c>
      <c r="B1900" s="20" t="s">
        <v>2169</v>
      </c>
      <c r="C1900" s="21">
        <v>7</v>
      </c>
      <c r="D1900" s="26" t="str">
        <f>HYPERLINK("https://github.com/tmwilliamlin168/CompetitiveProgramming/blob/master/CodeForces/CF436-D12-E.cpp","Check other approaches")</f>
        <v>Check other approaches</v>
      </c>
      <c r="E1900" s="17" t="s">
        <v>2153</v>
      </c>
      <c r="F1900" s="17"/>
      <c r="G1900" s="18"/>
      <c r="H1900" s="18"/>
    </row>
    <row r="1901" spans="1:8" ht="13.2">
      <c r="A1901" s="19" t="str">
        <f>HYPERLINK("http://codeforces.com/contest/922/problem/F","CF922-D2-F")</f>
        <v>CF922-D2-F</v>
      </c>
      <c r="B1901" s="15" t="s">
        <v>2170</v>
      </c>
      <c r="C1901" s="17">
        <v>6.8</v>
      </c>
      <c r="D1901" s="26" t="str">
        <f>HYPERLINK("https://github.com/farmerboy95/CompetitiveProgramming/blob/master/Codeforces/CF922-D2-F.cpp","Sol")</f>
        <v>Sol</v>
      </c>
      <c r="E1901" s="17" t="s">
        <v>2153</v>
      </c>
      <c r="F1901" s="17" t="s">
        <v>154</v>
      </c>
      <c r="G1901" s="18"/>
      <c r="H1901" s="18"/>
    </row>
    <row r="1902" spans="1:8" ht="13.2">
      <c r="A1902" s="19" t="str">
        <f>HYPERLINK("https://atcoder.jp/contests/agc037/tasks/agc037_e", "AtCoder037-AGC-E")</f>
        <v>AtCoder037-AGC-E</v>
      </c>
      <c r="B1902" s="23" t="s">
        <v>2171</v>
      </c>
      <c r="C1902" s="17">
        <v>6.8</v>
      </c>
      <c r="D1902" s="18"/>
      <c r="E1902" s="17" t="s">
        <v>2153</v>
      </c>
      <c r="F1902" s="17" t="s">
        <v>139</v>
      </c>
      <c r="G1902" s="18"/>
      <c r="H1902" s="18"/>
    </row>
    <row r="1903" spans="1:8" ht="13.2">
      <c r="A1903" s="19" t="str">
        <f>HYPERLINK("http://codeforces.com/contest/713/problem/C","CF713-D1-C")</f>
        <v>CF713-D1-C</v>
      </c>
      <c r="B1903" s="15" t="s">
        <v>2172</v>
      </c>
      <c r="C1903" s="17">
        <v>6.75</v>
      </c>
      <c r="D1903" s="26" t="str">
        <f>HYPERLINK("https://github.com/mostafa-saad/MyCompetitiveProgramming/blob/master/Codeforces/CF713-D1-C.txt","Sol")</f>
        <v>Sol</v>
      </c>
      <c r="E1903" s="17" t="s">
        <v>2153</v>
      </c>
      <c r="F1903" s="17" t="s">
        <v>173</v>
      </c>
      <c r="G1903" s="18"/>
      <c r="H1903" s="18"/>
    </row>
    <row r="1904" spans="1:8" ht="13.2">
      <c r="A1904" s="19" t="str">
        <f>HYPERLINK("https://atcoder.jp/contests/agc043/tasks/agc043_d","AtCoder043-AGC-D")</f>
        <v>AtCoder043-AGC-D</v>
      </c>
      <c r="B1904" s="20" t="s">
        <v>2163</v>
      </c>
      <c r="C1904" s="21">
        <v>6.75</v>
      </c>
      <c r="D1904" s="18"/>
      <c r="E1904" s="17" t="s">
        <v>2153</v>
      </c>
      <c r="F1904" s="17" t="s">
        <v>154</v>
      </c>
      <c r="G1904" s="18"/>
      <c r="H1904" s="18"/>
    </row>
    <row r="1905" spans="1:8" ht="13.2">
      <c r="A1905" s="19" t="str">
        <f>HYPERLINK("https://codeforces.com/contest/1091/problem/F","CF1091-D12-F")</f>
        <v>CF1091-D12-F</v>
      </c>
      <c r="B1905" s="15" t="s">
        <v>2163</v>
      </c>
      <c r="C1905" s="17">
        <v>6.75</v>
      </c>
      <c r="D1905" s="18" t="s">
        <v>2173</v>
      </c>
      <c r="E1905" s="17" t="s">
        <v>2153</v>
      </c>
      <c r="F1905" s="17" t="s">
        <v>154</v>
      </c>
      <c r="G1905" s="18"/>
      <c r="H1905" s="18"/>
    </row>
    <row r="1906" spans="1:8" ht="13.2">
      <c r="A1906" s="19" t="str">
        <f>HYPERLINK("http://codeforces.com/contest/203/problem/E","CF203-D2-E")</f>
        <v>CF203-D2-E</v>
      </c>
      <c r="B1906" s="29" t="s">
        <v>2174</v>
      </c>
      <c r="C1906" s="17">
        <v>6.75</v>
      </c>
      <c r="D1906" s="18"/>
      <c r="E1906" s="17" t="s">
        <v>2153</v>
      </c>
      <c r="F1906" s="17"/>
      <c r="G1906" s="18"/>
      <c r="H1906" s="18"/>
    </row>
    <row r="1907" spans="1:8" ht="13.2">
      <c r="A1907" s="19" t="str">
        <f>HYPERLINK("http://agc027.contest.atcoder.jp/tasks/agc027_d","AtCoder027-AGC-D")</f>
        <v>AtCoder027-AGC-D</v>
      </c>
      <c r="B1907" s="15" t="s">
        <v>2175</v>
      </c>
      <c r="C1907" s="17">
        <v>6.6</v>
      </c>
      <c r="D1907" s="18"/>
      <c r="E1907" s="17" t="s">
        <v>2153</v>
      </c>
      <c r="F1907" s="17" t="s">
        <v>201</v>
      </c>
      <c r="G1907" s="18"/>
      <c r="H1907" s="18"/>
    </row>
    <row r="1908" spans="1:8" ht="13.2">
      <c r="A1908" s="19" t="str">
        <f>HYPERLINK("https://beta.atcoder.jp/contests/arc103/tasks/arc103_b","AtCoder103-ARC-D")</f>
        <v>AtCoder103-ARC-D</v>
      </c>
      <c r="B1908" s="20" t="s">
        <v>2176</v>
      </c>
      <c r="C1908" s="21">
        <v>6.5</v>
      </c>
      <c r="D1908" s="18"/>
      <c r="E1908" s="17" t="s">
        <v>2153</v>
      </c>
      <c r="F1908" s="17" t="s">
        <v>154</v>
      </c>
      <c r="G1908" s="18"/>
      <c r="H1908" s="18"/>
    </row>
    <row r="1909" spans="1:8" ht="13.2">
      <c r="A1909" s="19" t="str">
        <f>HYPERLINK("http://codeforces.com/contest/297/problem/C", "CF297-D1-C")</f>
        <v>CF297-D1-C</v>
      </c>
      <c r="B1909" s="20" t="s">
        <v>2177</v>
      </c>
      <c r="C1909" s="21">
        <v>6.5</v>
      </c>
      <c r="D1909" s="18"/>
      <c r="E1909" s="17" t="s">
        <v>2153</v>
      </c>
      <c r="F1909" s="17" t="s">
        <v>139</v>
      </c>
      <c r="G1909" s="18"/>
      <c r="H1909" s="18"/>
    </row>
    <row r="1910" spans="1:8" ht="13.2">
      <c r="A1910" s="19" t="str">
        <f>HYPERLINK("https://atcoder.jp/contests/agc028/tasks/agc028_c","AtCoder028-AGC-C")</f>
        <v>AtCoder028-AGC-C</v>
      </c>
      <c r="B1910" s="20" t="s">
        <v>2178</v>
      </c>
      <c r="C1910" s="21">
        <v>6.5</v>
      </c>
      <c r="D1910" s="18"/>
      <c r="E1910" s="17" t="s">
        <v>2153</v>
      </c>
      <c r="F1910" s="17" t="s">
        <v>139</v>
      </c>
      <c r="G1910" s="18"/>
      <c r="H1910" s="18"/>
    </row>
    <row r="1911" spans="1:8" ht="13.2">
      <c r="A1911" s="19" t="str">
        <f>HYPERLINK("http://codeforces.com/contest/1076/problem/F","CF1076-D12-F")</f>
        <v>CF1076-D12-F</v>
      </c>
      <c r="B1911" s="20" t="s">
        <v>2163</v>
      </c>
      <c r="C1911" s="21">
        <v>6.5</v>
      </c>
      <c r="D1911" s="18"/>
      <c r="E1911" s="17" t="s">
        <v>2153</v>
      </c>
      <c r="F1911" s="17" t="s">
        <v>201</v>
      </c>
      <c r="G1911" s="18"/>
      <c r="H1911" s="18"/>
    </row>
    <row r="1912" spans="1:8" ht="13.2">
      <c r="A1912" s="19" t="str">
        <f>HYPERLINK("https://codeforces.com/problemset/problem/962/E","CF962-D12-E")</f>
        <v>CF962-D12-E</v>
      </c>
      <c r="B1912" s="15" t="s">
        <v>2163</v>
      </c>
      <c r="C1912" s="17">
        <v>6.5</v>
      </c>
      <c r="D1912" s="18"/>
      <c r="E1912" s="17" t="s">
        <v>2153</v>
      </c>
      <c r="F1912" s="17" t="s">
        <v>201</v>
      </c>
      <c r="G1912" s="18"/>
      <c r="H1912" s="18"/>
    </row>
    <row r="1913" spans="1:8" ht="13.2">
      <c r="A1913" s="19" t="str">
        <f>HYPERLINK("http://codeforces.com/contest/144/problem/E","CF144-D2-E")</f>
        <v>CF144-D2-E</v>
      </c>
      <c r="B1913" s="15" t="s">
        <v>2169</v>
      </c>
      <c r="C1913" s="24">
        <v>6.5</v>
      </c>
      <c r="D1913" s="18"/>
      <c r="E1913" s="17" t="s">
        <v>2153</v>
      </c>
      <c r="F1913" s="17"/>
      <c r="G1913" s="18"/>
      <c r="H1913" s="18"/>
    </row>
    <row r="1914" spans="1:8" ht="13.2">
      <c r="A1914" s="15" t="s">
        <v>2179</v>
      </c>
      <c r="B1914" s="30" t="s">
        <v>2180</v>
      </c>
      <c r="C1914" s="40">
        <v>6.5</v>
      </c>
      <c r="D1914" s="18"/>
      <c r="E1914" s="17" t="s">
        <v>2153</v>
      </c>
      <c r="F1914" s="17"/>
      <c r="G1914" s="18"/>
      <c r="H1914" s="18"/>
    </row>
    <row r="1915" spans="1:8" ht="13.2">
      <c r="A1915" s="19" t="str">
        <f>HYPERLINK("http://codeforces.com/contest/273/problem/C","CF273-D1-C")</f>
        <v>CF273-D1-C</v>
      </c>
      <c r="B1915" s="29" t="s">
        <v>2181</v>
      </c>
      <c r="C1915" s="17">
        <v>6.5</v>
      </c>
      <c r="D1915" s="18"/>
      <c r="E1915" s="17" t="s">
        <v>2153</v>
      </c>
      <c r="F1915" s="17"/>
      <c r="G1915" s="18"/>
      <c r="H1915" s="18"/>
    </row>
    <row r="1916" spans="1:8" ht="13.2">
      <c r="A1916" s="19" t="str">
        <f>HYPERLINK("http://codeforces.com/contest/1054/problem/E","CF1054-D12-E")</f>
        <v>CF1054-D12-E</v>
      </c>
      <c r="B1916" s="15" t="s">
        <v>2182</v>
      </c>
      <c r="C1916" s="17">
        <v>6.5</v>
      </c>
      <c r="D1916" s="18"/>
      <c r="E1916" s="17" t="s">
        <v>2153</v>
      </c>
      <c r="F1916" s="17"/>
      <c r="G1916" s="18"/>
      <c r="H1916" s="18"/>
    </row>
    <row r="1917" spans="1:8" ht="13.2">
      <c r="A1917" s="15" t="s">
        <v>2183</v>
      </c>
      <c r="B1917" s="27" t="s">
        <v>2184</v>
      </c>
      <c r="C1917" s="17">
        <v>6.5</v>
      </c>
      <c r="D1917" s="18"/>
      <c r="E1917" s="17" t="s">
        <v>2153</v>
      </c>
      <c r="F1917" s="17"/>
      <c r="G1917" s="18"/>
      <c r="H1917" s="18"/>
    </row>
    <row r="1918" spans="1:8" ht="13.2">
      <c r="A1918" s="15" t="s">
        <v>2185</v>
      </c>
      <c r="B1918" s="16" t="s">
        <v>2186</v>
      </c>
      <c r="C1918" s="17">
        <v>6.5</v>
      </c>
      <c r="D1918" s="18"/>
      <c r="E1918" s="17" t="s">
        <v>2153</v>
      </c>
      <c r="F1918" s="17"/>
      <c r="G1918" s="18"/>
      <c r="H1918" s="18"/>
    </row>
    <row r="1919" spans="1:8" ht="13.2">
      <c r="A1919" s="19" t="str">
        <f>HYPERLINK("https://www.codechef.com/problems/STICKS2/", "CODECHEF STICKS2")</f>
        <v>CODECHEF STICKS2</v>
      </c>
      <c r="B1919" s="20" t="s">
        <v>2187</v>
      </c>
      <c r="C1919" s="21">
        <v>6.3</v>
      </c>
      <c r="D1919" s="18"/>
      <c r="E1919" s="17" t="s">
        <v>2153</v>
      </c>
      <c r="F1919" s="17" t="s">
        <v>201</v>
      </c>
      <c r="G1919" s="18"/>
      <c r="H1919" s="18"/>
    </row>
    <row r="1920" spans="1:8" ht="13.2">
      <c r="A1920" s="19" t="str">
        <f>HYPERLINK("https://agc027.contest.atcoder.jp/tasks/agc027_b", "AtCoder027-AGC-B")</f>
        <v>AtCoder027-AGC-B</v>
      </c>
      <c r="B1920" s="20" t="s">
        <v>2188</v>
      </c>
      <c r="C1920" s="21">
        <v>6.25</v>
      </c>
      <c r="D1920" s="18"/>
      <c r="E1920" s="17" t="s">
        <v>2153</v>
      </c>
      <c r="F1920" s="17" t="s">
        <v>1053</v>
      </c>
      <c r="G1920" s="18"/>
      <c r="H1920" s="18"/>
    </row>
    <row r="1921" spans="1:8" ht="13.2">
      <c r="A1921" s="19" t="str">
        <f>HYPERLINK("http://codeforces.com/contest/1013/problem/D","CF1013-D2-D")</f>
        <v>CF1013-D2-D</v>
      </c>
      <c r="B1921" s="18" t="s">
        <v>2189</v>
      </c>
      <c r="C1921" s="17">
        <v>6.25</v>
      </c>
      <c r="D1921" s="18"/>
      <c r="E1921" s="17" t="s">
        <v>2153</v>
      </c>
      <c r="F1921" s="17" t="s">
        <v>154</v>
      </c>
      <c r="G1921" s="18"/>
      <c r="H1921" s="18"/>
    </row>
    <row r="1922" spans="1:8" ht="13.2">
      <c r="A1922" s="19" t="str">
        <f>HYPERLINK("http://codeforces.com/contest/799/problem/E","CF799-D12-E")</f>
        <v>CF799-D12-E</v>
      </c>
      <c r="B1922" s="15" t="s">
        <v>2163</v>
      </c>
      <c r="C1922" s="17">
        <v>6.25</v>
      </c>
      <c r="D1922" s="18"/>
      <c r="E1922" s="17" t="s">
        <v>2153</v>
      </c>
      <c r="F1922" s="17" t="s">
        <v>139</v>
      </c>
      <c r="G1922" s="18"/>
      <c r="H1922" s="18"/>
    </row>
    <row r="1923" spans="1:8" ht="13.2">
      <c r="A1923" s="19" t="str">
        <f>HYPERLINK("https://codeforces.com/contest/1132/problem/E","CF1132-D12-E")</f>
        <v>CF1132-D12-E</v>
      </c>
      <c r="B1923" s="15" t="s">
        <v>2190</v>
      </c>
      <c r="C1923" s="17">
        <v>6.25</v>
      </c>
      <c r="D1923" s="18" t="s">
        <v>2160</v>
      </c>
      <c r="E1923" s="17" t="s">
        <v>2153</v>
      </c>
      <c r="F1923" s="17" t="s">
        <v>139</v>
      </c>
      <c r="G1923" s="18"/>
      <c r="H1923" s="18"/>
    </row>
    <row r="1924" spans="1:8" ht="13.2">
      <c r="A1924" s="19" t="str">
        <f>HYPERLINK("https://codeforces.com/contest/1059/problem/E","CF1059-D2-E")</f>
        <v>CF1059-D2-E</v>
      </c>
      <c r="B1924" s="15" t="s">
        <v>2191</v>
      </c>
      <c r="C1924" s="17">
        <v>6.25</v>
      </c>
      <c r="D1924" s="18"/>
      <c r="E1924" s="17" t="s">
        <v>2153</v>
      </c>
      <c r="F1924" s="17" t="s">
        <v>139</v>
      </c>
      <c r="G1924" s="18"/>
      <c r="H1924" s="18"/>
    </row>
    <row r="1925" spans="1:8" ht="13.2">
      <c r="A1925" s="19" t="str">
        <f>HYPERLINK("http://codeforces.com/contest/404/problem/E","CF404-D2-E")</f>
        <v>CF404-D2-E</v>
      </c>
      <c r="B1925" s="15" t="s">
        <v>2192</v>
      </c>
      <c r="C1925" s="24">
        <v>6.25</v>
      </c>
      <c r="D1925" s="18"/>
      <c r="E1925" s="17" t="s">
        <v>2153</v>
      </c>
      <c r="F1925" s="17" t="s">
        <v>139</v>
      </c>
      <c r="G1925" s="18"/>
      <c r="H1925" s="18"/>
    </row>
    <row r="1926" spans="1:8" ht="13.2">
      <c r="A1926" s="19" t="str">
        <f>HYPERLINK("https://atcoder.jp/contests/abc143/tasks/abc143_f","AtCoder143-ABC-F")</f>
        <v>AtCoder143-ABC-F</v>
      </c>
      <c r="B1926" s="20" t="s">
        <v>2193</v>
      </c>
      <c r="C1926" s="21">
        <v>6.25</v>
      </c>
      <c r="D1926" s="18" t="s">
        <v>2194</v>
      </c>
      <c r="E1926" s="17" t="s">
        <v>2153</v>
      </c>
      <c r="F1926" s="17" t="s">
        <v>139</v>
      </c>
      <c r="G1926" s="18"/>
      <c r="H1926" s="18"/>
    </row>
    <row r="1927" spans="1:8" ht="13.2">
      <c r="A1927" s="15" t="s">
        <v>2195</v>
      </c>
      <c r="B1927" s="41" t="s">
        <v>2196</v>
      </c>
      <c r="C1927" s="17">
        <v>6.25</v>
      </c>
      <c r="D1927" s="18"/>
      <c r="E1927" s="17" t="s">
        <v>2153</v>
      </c>
      <c r="F1927" s="17" t="s">
        <v>139</v>
      </c>
      <c r="G1927" s="18"/>
      <c r="H1927" s="18"/>
    </row>
    <row r="1928" spans="1:8" ht="13.2">
      <c r="A1928" s="15" t="s">
        <v>2197</v>
      </c>
      <c r="B1928" s="34" t="s">
        <v>2198</v>
      </c>
      <c r="C1928" s="31">
        <v>6.25</v>
      </c>
      <c r="D1928" s="18"/>
      <c r="E1928" s="17" t="s">
        <v>2153</v>
      </c>
      <c r="F1928" s="17" t="s">
        <v>139</v>
      </c>
      <c r="G1928" s="18"/>
      <c r="H1928" s="18"/>
    </row>
    <row r="1929" spans="1:8" ht="13.2">
      <c r="A1929" s="19" t="str">
        <f>HYPERLINK("https://codeforces.com/problemset/problem/996/E","CF996-D2-E")</f>
        <v>CF996-D2-E</v>
      </c>
      <c r="B1929" s="23" t="s">
        <v>2199</v>
      </c>
      <c r="C1929" s="17">
        <v>6.25</v>
      </c>
      <c r="D1929" s="18"/>
      <c r="E1929" s="17" t="s">
        <v>2153</v>
      </c>
      <c r="F1929" s="17" t="s">
        <v>139</v>
      </c>
      <c r="G1929" s="18"/>
      <c r="H1929" s="18"/>
    </row>
    <row r="1930" spans="1:8" ht="13.2">
      <c r="A1930" s="19" t="str">
        <f>HYPERLINK("https://atcoder.jp/contests/agc030/tasks/agc030_b","AtCoder030-AGC-B")</f>
        <v>AtCoder030-AGC-B</v>
      </c>
      <c r="B1930" s="15" t="s">
        <v>2200</v>
      </c>
      <c r="C1930" s="17">
        <v>6.25</v>
      </c>
      <c r="D1930" s="18"/>
      <c r="E1930" s="17" t="s">
        <v>2153</v>
      </c>
      <c r="F1930" s="17" t="s">
        <v>139</v>
      </c>
      <c r="G1930" s="18"/>
      <c r="H1930" s="18"/>
    </row>
    <row r="1931" spans="1:8" ht="13.2">
      <c r="A1931" s="15" t="s">
        <v>2201</v>
      </c>
      <c r="B1931" s="29" t="s">
        <v>2202</v>
      </c>
      <c r="C1931" s="17">
        <v>6.25</v>
      </c>
      <c r="D1931" s="18"/>
      <c r="E1931" s="24" t="s">
        <v>2153</v>
      </c>
      <c r="F1931" s="17" t="s">
        <v>139</v>
      </c>
      <c r="G1931" s="18"/>
      <c r="H1931" s="18"/>
    </row>
    <row r="1932" spans="1:8" ht="13.2">
      <c r="A1932" s="19" t="str">
        <f>HYPERLINK("https://agc001.contest.atcoder.jp/tasks/agc001_d","AtCoder001-AGC-D")</f>
        <v>AtCoder001-AGC-D</v>
      </c>
      <c r="B1932" s="15" t="s">
        <v>2203</v>
      </c>
      <c r="C1932" s="17">
        <v>6.25</v>
      </c>
      <c r="D1932" s="18"/>
      <c r="E1932" s="17" t="s">
        <v>2153</v>
      </c>
      <c r="F1932" s="17" t="s">
        <v>201</v>
      </c>
      <c r="G1932" s="18"/>
      <c r="H1932" s="18"/>
    </row>
    <row r="1933" spans="1:8" ht="13.2">
      <c r="A1933" s="19" t="str">
        <f>HYPERLINK("http://codeforces.com/problemset/gymProblem/101498/G","CF101498-GYM-G")</f>
        <v>CF101498-GYM-G</v>
      </c>
      <c r="B1933" s="15" t="s">
        <v>2163</v>
      </c>
      <c r="C1933" s="17">
        <v>6.25</v>
      </c>
      <c r="D1933" s="26" t="str">
        <f>HYPERLINK("https://github.com/MedoN11/CompetitiveProgramming/blob/master/CodeForces/GYM/CF10149-GYM-G.cpp","Sol")</f>
        <v>Sol</v>
      </c>
      <c r="E1933" s="17" t="s">
        <v>2153</v>
      </c>
      <c r="F1933" s="17"/>
      <c r="G1933" s="18"/>
      <c r="H1933" s="18"/>
    </row>
    <row r="1934" spans="1:8" ht="13.2">
      <c r="A1934" s="15" t="s">
        <v>2204</v>
      </c>
      <c r="B1934" s="34" t="s">
        <v>2200</v>
      </c>
      <c r="C1934" s="17">
        <v>6.25</v>
      </c>
      <c r="D1934" s="18"/>
      <c r="E1934" s="17" t="s">
        <v>2153</v>
      </c>
      <c r="F1934" s="17"/>
      <c r="G1934" s="18"/>
      <c r="H1934" s="18"/>
    </row>
    <row r="1935" spans="1:8" ht="13.2">
      <c r="A1935" s="15" t="s">
        <v>2205</v>
      </c>
      <c r="B1935" s="29" t="s">
        <v>2184</v>
      </c>
      <c r="C1935" s="17">
        <v>6.25</v>
      </c>
      <c r="D1935" s="18"/>
      <c r="E1935" s="24" t="s">
        <v>2153</v>
      </c>
      <c r="F1935" s="17"/>
      <c r="G1935" s="18"/>
      <c r="H1935" s="18"/>
    </row>
    <row r="1936" spans="1:8" ht="13.2">
      <c r="A1936" s="15" t="s">
        <v>2206</v>
      </c>
      <c r="B1936" s="18" t="s">
        <v>2207</v>
      </c>
      <c r="C1936" s="17">
        <v>6</v>
      </c>
      <c r="D1936" s="18"/>
      <c r="E1936" s="17" t="s">
        <v>2153</v>
      </c>
      <c r="F1936" s="17" t="s">
        <v>173</v>
      </c>
      <c r="G1936" s="18"/>
      <c r="H1936" s="18"/>
    </row>
    <row r="1937" spans="1:8" ht="13.2">
      <c r="A1937" s="19" t="str">
        <f>HYPERLINK("http://codeforces.com/contest/980/problem/E","CF980-D2-E")</f>
        <v>CF980-D2-E</v>
      </c>
      <c r="B1937" s="15" t="s">
        <v>2208</v>
      </c>
      <c r="C1937" s="17">
        <v>6</v>
      </c>
      <c r="D1937" s="18"/>
      <c r="E1937" s="17" t="s">
        <v>2153</v>
      </c>
      <c r="F1937" s="17" t="s">
        <v>1053</v>
      </c>
      <c r="G1937" s="18"/>
      <c r="H1937" s="18"/>
    </row>
    <row r="1938" spans="1:8" ht="13.2">
      <c r="A1938" s="19" t="str">
        <f>HYPERLINK("https://codeforces.com/contest/867/problem/E","CF867-D12-E")</f>
        <v>CF867-D12-E</v>
      </c>
      <c r="B1938" s="18" t="s">
        <v>2152</v>
      </c>
      <c r="C1938" s="17">
        <v>6</v>
      </c>
      <c r="D1938" s="18"/>
      <c r="E1938" s="17" t="s">
        <v>2153</v>
      </c>
      <c r="F1938" s="17" t="s">
        <v>154</v>
      </c>
      <c r="G1938" s="18"/>
      <c r="H1938" s="18"/>
    </row>
    <row r="1939" spans="1:8" ht="13.2">
      <c r="A1939" s="15" t="s">
        <v>2209</v>
      </c>
      <c r="B1939" s="20" t="s">
        <v>2163</v>
      </c>
      <c r="C1939" s="21">
        <v>6</v>
      </c>
      <c r="D1939" s="18"/>
      <c r="E1939" s="17" t="s">
        <v>2153</v>
      </c>
      <c r="F1939" s="17" t="s">
        <v>139</v>
      </c>
      <c r="G1939" s="18"/>
      <c r="H1939" s="18"/>
    </row>
    <row r="1940" spans="1:8" ht="13.2">
      <c r="A1940" s="19" t="str">
        <f>HYPERLINK("http://codeforces.com/contest/467/problem/E","CF467-D2-E")</f>
        <v>CF467-D2-E</v>
      </c>
      <c r="B1940" s="18" t="s">
        <v>2163</v>
      </c>
      <c r="C1940" s="17">
        <v>6</v>
      </c>
      <c r="D1940" s="18"/>
      <c r="E1940" s="17" t="s">
        <v>2153</v>
      </c>
      <c r="F1940" s="17" t="s">
        <v>139</v>
      </c>
      <c r="G1940" s="18"/>
      <c r="H1940" s="18"/>
    </row>
    <row r="1941" spans="1:8" ht="13.2">
      <c r="A1941" s="19" t="str">
        <f>HYPERLINK("http://codeforces.com/contest/807/problem/E","CF807-D2-E")</f>
        <v>CF807-D2-E</v>
      </c>
      <c r="B1941" s="15" t="s">
        <v>2163</v>
      </c>
      <c r="C1941" s="17">
        <v>6</v>
      </c>
      <c r="D1941" s="18"/>
      <c r="E1941" s="17" t="s">
        <v>2153</v>
      </c>
      <c r="F1941" s="17" t="s">
        <v>139</v>
      </c>
      <c r="G1941" s="18"/>
      <c r="H1941" s="18"/>
    </row>
    <row r="1942" spans="1:8" ht="13.2">
      <c r="A1942" s="19" t="str">
        <f>HYPERLINK("http://codeforces.com/contest/946/problem/E","CF946-D12-E")</f>
        <v>CF946-D12-E</v>
      </c>
      <c r="B1942" s="20" t="s">
        <v>2163</v>
      </c>
      <c r="C1942" s="17">
        <v>6</v>
      </c>
      <c r="D1942" s="26" t="str">
        <f>HYPERLINK("https://github.com/MedoN11/CompetitiveProgramming/blob/master/CodeForces/CF946-D12-E.cpp","Sol")</f>
        <v>Sol</v>
      </c>
      <c r="E1942" s="17" t="s">
        <v>2153</v>
      </c>
      <c r="F1942" s="17" t="s">
        <v>139</v>
      </c>
      <c r="G1942" s="18"/>
      <c r="H1942" s="18"/>
    </row>
    <row r="1943" spans="1:8" ht="13.2">
      <c r="A1943" s="19" t="str">
        <f>HYPERLINK("https://codeforces.com/contest/1054/problem/D","CF1054-D12-D")</f>
        <v>CF1054-D12-D</v>
      </c>
      <c r="B1943" s="20" t="s">
        <v>2203</v>
      </c>
      <c r="C1943" s="17">
        <v>6</v>
      </c>
      <c r="D1943" s="18" t="s">
        <v>2160</v>
      </c>
      <c r="E1943" s="17" t="s">
        <v>2153</v>
      </c>
      <c r="F1943" s="17" t="s">
        <v>139</v>
      </c>
      <c r="G1943" s="18"/>
      <c r="H1943" s="18"/>
    </row>
    <row r="1944" spans="1:8" ht="13.2">
      <c r="A1944" s="19" t="str">
        <f>HYPERLINK("http://codeforces.com/contest/908/problem/F","CF908-D12-F")</f>
        <v>CF908-D12-F</v>
      </c>
      <c r="B1944" s="18" t="s">
        <v>2210</v>
      </c>
      <c r="C1944" s="17">
        <v>6</v>
      </c>
      <c r="D1944" s="26" t="str">
        <f>HYPERLINK("https://github.com/osamahatem/CompetitiveProgramming/blob/master/Codeforces/908F.%20New%20Year%20and%20Rainbow%20Roads.cpp","Sol")</f>
        <v>Sol</v>
      </c>
      <c r="E1944" s="17" t="s">
        <v>2153</v>
      </c>
      <c r="F1944" s="17" t="s">
        <v>139</v>
      </c>
      <c r="G1944" s="18"/>
      <c r="H1944" s="18"/>
    </row>
    <row r="1945" spans="1:8" ht="13.2">
      <c r="A1945" s="19" t="str">
        <f>HYPERLINK("http://codeforces.com/contest/1166/problem/D","CF1166-D2-D")</f>
        <v>CF1166-D2-D</v>
      </c>
      <c r="B1945" s="20" t="s">
        <v>2200</v>
      </c>
      <c r="C1945" s="17">
        <v>6</v>
      </c>
      <c r="D1945" s="18"/>
      <c r="E1945" s="17" t="s">
        <v>2153</v>
      </c>
      <c r="F1945" s="17" t="s">
        <v>139</v>
      </c>
      <c r="G1945" s="18"/>
      <c r="H1945" s="18"/>
    </row>
    <row r="1946" spans="1:8" ht="13.2">
      <c r="A1946" s="15" t="s">
        <v>2211</v>
      </c>
      <c r="B1946" s="29" t="s">
        <v>2212</v>
      </c>
      <c r="C1946" s="31">
        <v>6</v>
      </c>
      <c r="D1946" s="26" t="str">
        <f>HYPERLINK("https://github.com/aboodJAD/CompetitiveProgramming/blob/master/TopCoder/SRM378-D2-1000.cpp","Sol")</f>
        <v>Sol</v>
      </c>
      <c r="E1946" s="24" t="s">
        <v>2153</v>
      </c>
      <c r="F1946" s="17" t="s">
        <v>139</v>
      </c>
      <c r="G1946" s="18"/>
      <c r="H1946" s="18"/>
    </row>
    <row r="1947" spans="1:8" ht="13.2">
      <c r="A1947" s="15" t="s">
        <v>2213</v>
      </c>
      <c r="B1947" s="29" t="s">
        <v>2214</v>
      </c>
      <c r="C1947" s="31">
        <v>6</v>
      </c>
      <c r="D1947" s="26" t="str">
        <f>HYPERLINK("https://github.com/thackerhelik/Topcoder/blob/master/SRM612-D2-1000.cpp","Sol")</f>
        <v>Sol</v>
      </c>
      <c r="E1947" s="24" t="s">
        <v>2153</v>
      </c>
      <c r="F1947" s="17" t="s">
        <v>139</v>
      </c>
      <c r="G1947" s="18"/>
      <c r="H1947" s="18"/>
    </row>
    <row r="1948" spans="1:8" ht="13.2">
      <c r="A1948" s="19" t="str">
        <f>HYPERLINK("https://agc025.contest.atcoder.jp/tasks/agc025_c", "AtCoder025-AGC-C")</f>
        <v>AtCoder025-AGC-C</v>
      </c>
      <c r="B1948" s="23" t="s">
        <v>2215</v>
      </c>
      <c r="C1948" s="17">
        <v>6</v>
      </c>
      <c r="D1948" s="26" t="str">
        <f>HYPERLINK("https://github.com/MetalBall887/Competitive-Programming/blob/master/AtCoder/AtCoder025-AGC-C.cpp","Try to prove")</f>
        <v>Try to prove</v>
      </c>
      <c r="E1948" s="17" t="s">
        <v>2153</v>
      </c>
      <c r="F1948" s="17" t="s">
        <v>139</v>
      </c>
      <c r="G1948" s="18"/>
      <c r="H1948" s="18"/>
    </row>
    <row r="1949" spans="1:8" ht="13.2">
      <c r="A1949" s="19" t="str">
        <f>HYPERLINK("https://codeforces.com/contest/1178/problem/E","CF1178-D12-E")</f>
        <v>CF1178-D12-E</v>
      </c>
      <c r="B1949" s="37" t="s">
        <v>2216</v>
      </c>
      <c r="C1949" s="17">
        <v>6</v>
      </c>
      <c r="D1949" s="18"/>
      <c r="E1949" s="17" t="s">
        <v>2153</v>
      </c>
      <c r="F1949" s="17" t="s">
        <v>139</v>
      </c>
      <c r="G1949" s="18"/>
      <c r="H1949" s="18"/>
    </row>
    <row r="1950" spans="1:8" ht="13.2">
      <c r="A1950" s="15" t="s">
        <v>2217</v>
      </c>
      <c r="B1950" s="34" t="s">
        <v>2218</v>
      </c>
      <c r="C1950" s="33">
        <v>6</v>
      </c>
      <c r="D1950" s="26" t="str">
        <f>HYPERLINK("https://github.com/MedoN11/CompetitiveProgramming/blob/master/TopCoder/SRM345-D1-500.java","Sol")</f>
        <v>Sol</v>
      </c>
      <c r="E1950" s="17" t="s">
        <v>2153</v>
      </c>
      <c r="F1950" s="17" t="s">
        <v>613</v>
      </c>
      <c r="G1950" s="18"/>
      <c r="H1950" s="18"/>
    </row>
    <row r="1951" spans="1:8" ht="13.2">
      <c r="A1951" s="15" t="s">
        <v>2219</v>
      </c>
      <c r="B1951" s="29" t="s">
        <v>2220</v>
      </c>
      <c r="C1951" s="31">
        <v>6</v>
      </c>
      <c r="D1951" s="18"/>
      <c r="E1951" s="24" t="s">
        <v>2153</v>
      </c>
      <c r="F1951" s="17" t="s">
        <v>613</v>
      </c>
      <c r="G1951" s="18"/>
      <c r="H1951" s="18"/>
    </row>
    <row r="1952" spans="1:8" ht="13.2">
      <c r="A1952" s="15" t="s">
        <v>2221</v>
      </c>
      <c r="B1952" s="30" t="s">
        <v>2222</v>
      </c>
      <c r="C1952" s="17">
        <v>6</v>
      </c>
      <c r="D1952" s="18" t="s">
        <v>2223</v>
      </c>
      <c r="E1952" s="17" t="s">
        <v>2153</v>
      </c>
      <c r="F1952" s="17" t="s">
        <v>201</v>
      </c>
      <c r="G1952" s="18"/>
      <c r="H1952" s="18"/>
    </row>
    <row r="1953" spans="1:8" ht="13.2">
      <c r="A1953" s="19" t="str">
        <f>HYPERLINK("https://www.codechef.com/problems/GHMC", "CODECHEF GHMC")</f>
        <v>CODECHEF GHMC</v>
      </c>
      <c r="B1953" s="20" t="s">
        <v>2224</v>
      </c>
      <c r="C1953" s="21">
        <v>6</v>
      </c>
      <c r="D1953" s="18"/>
      <c r="E1953" s="17" t="s">
        <v>2153</v>
      </c>
      <c r="F1953" s="17" t="s">
        <v>201</v>
      </c>
      <c r="G1953" s="18"/>
      <c r="H1953" s="18"/>
    </row>
    <row r="1954" spans="1:8" ht="13.2">
      <c r="A1954" s="19" t="str">
        <f>HYPERLINK("https://atcoder.jp/contests/abc140/tasks/abc140_f","AtCoder140-ABC-F")</f>
        <v>AtCoder140-ABC-F</v>
      </c>
      <c r="B1954" s="20" t="s">
        <v>2169</v>
      </c>
      <c r="C1954" s="17">
        <v>6</v>
      </c>
      <c r="D1954" s="26" t="str">
        <f>HYPERLINK("https://github.com/farmerboy95/CompetitiveProgramming/blob/master/AtCoder/AtCoder140-ABC-F.cpp","Sol")</f>
        <v>Sol</v>
      </c>
      <c r="E1954" s="17" t="s">
        <v>2153</v>
      </c>
      <c r="F1954" s="17" t="s">
        <v>201</v>
      </c>
      <c r="G1954" s="18"/>
      <c r="H1954" s="18"/>
    </row>
    <row r="1955" spans="1:8" ht="13.2">
      <c r="A1955" s="19" t="str">
        <f>HYPERLINK("http://codeforces.com/contest/550/problem/E","CF550-D2-E")</f>
        <v>CF550-D2-E</v>
      </c>
      <c r="B1955" s="29" t="s">
        <v>2225</v>
      </c>
      <c r="C1955" s="17">
        <v>6</v>
      </c>
      <c r="D1955" s="18"/>
      <c r="E1955" s="17" t="s">
        <v>2153</v>
      </c>
      <c r="F1955" s="17" t="s">
        <v>201</v>
      </c>
      <c r="G1955" s="18"/>
      <c r="H1955" s="18"/>
    </row>
    <row r="1956" spans="1:8" ht="13.2">
      <c r="A1956" s="15" t="s">
        <v>2226</v>
      </c>
      <c r="B1956" s="28" t="s">
        <v>2227</v>
      </c>
      <c r="C1956" s="24">
        <v>6</v>
      </c>
      <c r="D1956" s="18"/>
      <c r="E1956" s="17" t="s">
        <v>2153</v>
      </c>
      <c r="F1956" s="17" t="s">
        <v>201</v>
      </c>
      <c r="G1956" s="18"/>
      <c r="H1956" s="18"/>
    </row>
    <row r="1957" spans="1:8" ht="13.2">
      <c r="A1957" s="19" t="str">
        <f>HYPERLINK("http://codeforces.com/contest/432/problem/E","CF432-D2-E")</f>
        <v>CF432-D2-E</v>
      </c>
      <c r="B1957" s="15" t="s">
        <v>2163</v>
      </c>
      <c r="C1957" s="24">
        <v>6</v>
      </c>
      <c r="D1957" s="18"/>
      <c r="E1957" s="17" t="s">
        <v>2153</v>
      </c>
      <c r="F1957" s="17"/>
      <c r="G1957" s="18"/>
      <c r="H1957" s="18"/>
    </row>
    <row r="1958" spans="1:8" ht="13.2">
      <c r="A1958" s="19" t="str">
        <f>HYPERLINK("http://codeforces.com/contest/627/problem/C","CF627-D12-C")</f>
        <v>CF627-D12-C</v>
      </c>
      <c r="B1958" s="15" t="s">
        <v>2163</v>
      </c>
      <c r="C1958" s="24">
        <v>6</v>
      </c>
      <c r="D1958" s="18"/>
      <c r="E1958" s="17" t="s">
        <v>2153</v>
      </c>
      <c r="F1958" s="17"/>
      <c r="G1958" s="18"/>
      <c r="H1958" s="18"/>
    </row>
    <row r="1959" spans="1:8" ht="13.2">
      <c r="A1959" s="19" t="str">
        <f>HYPERLINK("http://codeforces.com/problemset/problem/884/D","CF884-D12-D")</f>
        <v>CF884-D12-D</v>
      </c>
      <c r="B1959" s="18" t="s">
        <v>2163</v>
      </c>
      <c r="C1959" s="17">
        <v>6</v>
      </c>
      <c r="D1959" s="18"/>
      <c r="E1959" s="17" t="s">
        <v>2153</v>
      </c>
      <c r="F1959" s="17"/>
      <c r="G1959" s="18"/>
      <c r="H1959" s="18"/>
    </row>
    <row r="1960" spans="1:8" ht="13.2">
      <c r="A1960" s="19" t="str">
        <f>HYPERLINK("https://www.codechef.com/problems/CENTREE","CODECHEF CENTREE")</f>
        <v>CODECHEF CENTREE</v>
      </c>
      <c r="B1960" s="18" t="s">
        <v>2163</v>
      </c>
      <c r="C1960" s="24">
        <v>6</v>
      </c>
      <c r="D1960" s="18"/>
      <c r="E1960" s="17" t="s">
        <v>2153</v>
      </c>
      <c r="F1960" s="17"/>
      <c r="G1960" s="18"/>
      <c r="H1960" s="18"/>
    </row>
    <row r="1961" spans="1:8" ht="13.2">
      <c r="A1961" s="15" t="s">
        <v>2228</v>
      </c>
      <c r="B1961" s="30" t="s">
        <v>2163</v>
      </c>
      <c r="C1961" s="40">
        <v>6</v>
      </c>
      <c r="D1961" s="18"/>
      <c r="E1961" s="17" t="s">
        <v>2153</v>
      </c>
      <c r="F1961" s="17"/>
      <c r="G1961" s="18"/>
      <c r="H1961" s="18"/>
    </row>
    <row r="1962" spans="1:8" ht="13.2">
      <c r="A1962" s="15" t="s">
        <v>2229</v>
      </c>
      <c r="B1962" s="29" t="s">
        <v>2163</v>
      </c>
      <c r="C1962" s="31">
        <v>6</v>
      </c>
      <c r="D1962" s="18"/>
      <c r="E1962" s="24" t="s">
        <v>2153</v>
      </c>
      <c r="F1962" s="17"/>
      <c r="G1962" s="18"/>
      <c r="H1962" s="18"/>
    </row>
    <row r="1963" spans="1:8" ht="13.2">
      <c r="A1963" s="15" t="s">
        <v>2230</v>
      </c>
      <c r="B1963" s="30" t="s">
        <v>2163</v>
      </c>
      <c r="C1963" s="40">
        <v>6</v>
      </c>
      <c r="D1963" s="18"/>
      <c r="E1963" s="17" t="s">
        <v>2153</v>
      </c>
      <c r="F1963" s="17"/>
      <c r="G1963" s="18"/>
      <c r="H1963" s="18"/>
    </row>
    <row r="1964" spans="1:8" ht="13.2">
      <c r="A1964" s="15" t="s">
        <v>2231</v>
      </c>
      <c r="B1964" s="30" t="s">
        <v>2163</v>
      </c>
      <c r="C1964" s="24">
        <v>6</v>
      </c>
      <c r="D1964" s="18"/>
      <c r="E1964" s="17" t="s">
        <v>2153</v>
      </c>
      <c r="F1964" s="17"/>
      <c r="G1964" s="18"/>
      <c r="H1964" s="18"/>
    </row>
    <row r="1965" spans="1:8" ht="13.2">
      <c r="A1965" s="19" t="str">
        <f>HYPERLINK("http://codeforces.com/contest/679/problem/B","CF679-D1-B")</f>
        <v>CF679-D1-B</v>
      </c>
      <c r="B1965" s="29" t="s">
        <v>2232</v>
      </c>
      <c r="C1965" s="17">
        <v>6</v>
      </c>
      <c r="D1965" s="18"/>
      <c r="E1965" s="17" t="s">
        <v>2153</v>
      </c>
      <c r="F1965" s="17"/>
      <c r="G1965" s="18"/>
      <c r="H1965" s="18"/>
    </row>
    <row r="1966" spans="1:8" ht="13.2">
      <c r="A1966" s="19" t="str">
        <f>HYPERLINK("http://codeforces.com/contest/518/problem/E","CF518-D2-E")</f>
        <v>CF518-D2-E</v>
      </c>
      <c r="B1966" s="20" t="s">
        <v>2233</v>
      </c>
      <c r="C1966" s="21">
        <v>6</v>
      </c>
      <c r="D1966" s="18"/>
      <c r="E1966" s="17" t="s">
        <v>2153</v>
      </c>
      <c r="F1966" s="17"/>
      <c r="G1966" s="18"/>
      <c r="H1966" s="18"/>
    </row>
    <row r="1967" spans="1:8" ht="13.2">
      <c r="A1967" s="19" t="str">
        <f>HYPERLINK("http://codeforces.com/problemset/problem/463/E","CF463-D2-E")</f>
        <v>CF463-D2-E</v>
      </c>
      <c r="B1967" s="29" t="s">
        <v>2234</v>
      </c>
      <c r="C1967" s="17">
        <v>6</v>
      </c>
      <c r="D1967" s="18"/>
      <c r="E1967" s="17" t="s">
        <v>2153</v>
      </c>
      <c r="F1967" s="17"/>
      <c r="G1967" s="18"/>
      <c r="H1967" s="18"/>
    </row>
    <row r="1968" spans="1:8" ht="13.2">
      <c r="A1968" s="19" t="str">
        <f>HYPERLINK("http://codeforces.com/contest/748/problem/E","CF748-D12-E")</f>
        <v>CF748-D12-E</v>
      </c>
      <c r="B1968" s="29" t="s">
        <v>2157</v>
      </c>
      <c r="C1968" s="17">
        <v>6</v>
      </c>
      <c r="D1968" s="18"/>
      <c r="E1968" s="17" t="s">
        <v>2153</v>
      </c>
      <c r="F1968" s="17"/>
      <c r="G1968" s="18"/>
      <c r="H1968" s="18"/>
    </row>
    <row r="1969" spans="1:8" ht="13.2">
      <c r="A1969" s="19" t="str">
        <f>HYPERLINK("http://codeforces.com/contest/416/problem/D","CF416-D2-D")</f>
        <v>CF416-D2-D</v>
      </c>
      <c r="B1969" s="29" t="s">
        <v>2235</v>
      </c>
      <c r="C1969" s="33">
        <v>6</v>
      </c>
      <c r="D1969" s="18"/>
      <c r="E1969" s="17" t="s">
        <v>2153</v>
      </c>
      <c r="F1969" s="17"/>
      <c r="G1969" s="18"/>
      <c r="H1969" s="18"/>
    </row>
    <row r="1970" spans="1:8" ht="13.2">
      <c r="A1970" s="15" t="s">
        <v>2236</v>
      </c>
      <c r="B1970" s="28" t="s">
        <v>2237</v>
      </c>
      <c r="C1970" s="17">
        <v>6</v>
      </c>
      <c r="D1970" s="18"/>
      <c r="E1970" s="17" t="s">
        <v>2153</v>
      </c>
      <c r="F1970" s="17"/>
      <c r="G1970" s="18"/>
      <c r="H1970" s="18"/>
    </row>
    <row r="1971" spans="1:8" ht="13.2">
      <c r="A1971" s="15" t="s">
        <v>2238</v>
      </c>
      <c r="B1971" s="28" t="s">
        <v>2239</v>
      </c>
      <c r="C1971" s="24">
        <v>6</v>
      </c>
      <c r="D1971" s="18"/>
      <c r="E1971" s="24" t="s">
        <v>2153</v>
      </c>
      <c r="F1971" s="17"/>
      <c r="G1971" s="18"/>
      <c r="H1971" s="18"/>
    </row>
    <row r="1972" spans="1:8" ht="13.2">
      <c r="A1972" s="15" t="s">
        <v>2240</v>
      </c>
      <c r="B1972" s="30" t="s">
        <v>2181</v>
      </c>
      <c r="C1972" s="40">
        <v>6</v>
      </c>
      <c r="D1972" s="18"/>
      <c r="E1972" s="17" t="s">
        <v>2153</v>
      </c>
      <c r="F1972" s="17"/>
      <c r="G1972" s="18"/>
      <c r="H1972" s="18"/>
    </row>
    <row r="1973" spans="1:8" ht="13.2">
      <c r="A1973" s="19" t="str">
        <f>HYPERLINK("http://codeforces.com/contest/86/problem/B","CF86-D12-B")</f>
        <v>CF86-D12-B</v>
      </c>
      <c r="B1973" s="15" t="s">
        <v>2241</v>
      </c>
      <c r="C1973" s="24">
        <v>6</v>
      </c>
      <c r="D1973" s="18"/>
      <c r="E1973" s="17" t="s">
        <v>2153</v>
      </c>
      <c r="F1973" s="17"/>
      <c r="G1973" s="18"/>
      <c r="H1973" s="18"/>
    </row>
    <row r="1974" spans="1:8" ht="13.2">
      <c r="A1974" s="19" t="str">
        <f>HYPERLINK("http://codeforces.com/contest/746/problem/E","CF746-D2-E")</f>
        <v>CF746-D2-E</v>
      </c>
      <c r="B1974" s="29" t="s">
        <v>2225</v>
      </c>
      <c r="C1974" s="24">
        <v>6</v>
      </c>
      <c r="D1974" s="18"/>
      <c r="E1974" s="17" t="s">
        <v>2153</v>
      </c>
      <c r="F1974" s="17"/>
      <c r="G1974" s="18"/>
      <c r="H1974" s="18"/>
    </row>
    <row r="1975" spans="1:8" ht="13.2">
      <c r="A1975" s="15" t="s">
        <v>2242</v>
      </c>
      <c r="B1975" s="34" t="s">
        <v>2200</v>
      </c>
      <c r="C1975" s="31">
        <v>6</v>
      </c>
      <c r="D1975" s="18"/>
      <c r="E1975" s="17" t="s">
        <v>2153</v>
      </c>
      <c r="F1975" s="17"/>
      <c r="G1975" s="18"/>
      <c r="H1975" s="18"/>
    </row>
    <row r="1976" spans="1:8" ht="13.2">
      <c r="A1976" s="15" t="s">
        <v>2243</v>
      </c>
      <c r="B1976" s="34" t="s">
        <v>2244</v>
      </c>
      <c r="C1976" s="17">
        <v>6</v>
      </c>
      <c r="D1976" s="18"/>
      <c r="E1976" s="17" t="s">
        <v>2153</v>
      </c>
      <c r="F1976" s="17"/>
      <c r="G1976" s="18"/>
      <c r="H1976" s="18"/>
    </row>
    <row r="1977" spans="1:8" ht="13.2">
      <c r="A1977" s="19" t="str">
        <f>HYPERLINK("https://www.codechef.com/problems/XTGR", "CODECHEF XTGR")</f>
        <v>CODECHEF XTGR</v>
      </c>
      <c r="B1977" s="20" t="s">
        <v>2245</v>
      </c>
      <c r="C1977" s="21">
        <v>6</v>
      </c>
      <c r="D1977" s="18"/>
      <c r="E1977" s="17" t="s">
        <v>2153</v>
      </c>
      <c r="F1977" s="17"/>
      <c r="G1977" s="18"/>
      <c r="H1977" s="18"/>
    </row>
    <row r="1978" spans="1:8" ht="13.2">
      <c r="A1978" s="15" t="s">
        <v>2246</v>
      </c>
      <c r="B1978" s="29" t="s">
        <v>2247</v>
      </c>
      <c r="C1978" s="31">
        <v>6</v>
      </c>
      <c r="D1978" s="18"/>
      <c r="E1978" s="24" t="s">
        <v>2153</v>
      </c>
      <c r="F1978" s="17"/>
      <c r="G1978" s="18"/>
      <c r="H1978" s="18"/>
    </row>
    <row r="1979" spans="1:8" ht="13.2">
      <c r="A1979" s="19" t="str">
        <f>HYPERLINK("http://codeforces.com/contest/976/problem/E", "CF976-D2-E")</f>
        <v>CF976-D2-E</v>
      </c>
      <c r="B1979" s="52" t="s">
        <v>2248</v>
      </c>
      <c r="C1979" s="17">
        <v>6</v>
      </c>
      <c r="D1979" s="18"/>
      <c r="E1979" s="17" t="s">
        <v>2153</v>
      </c>
      <c r="F1979" s="17"/>
      <c r="G1979" s="18"/>
      <c r="H1979" s="18"/>
    </row>
    <row r="1980" spans="1:8" ht="13.2">
      <c r="A1980" s="19" t="str">
        <f>HYPERLINK("http://codeforces.com/gym/100956/attachments","CF100956-GYM-D")</f>
        <v>CF100956-GYM-D</v>
      </c>
      <c r="B1980" s="38" t="s">
        <v>2163</v>
      </c>
      <c r="C1980" s="17">
        <v>5.75</v>
      </c>
      <c r="D1980" s="26" t="str">
        <f>HYPERLINK("https://github.com/mostafa-saad/MyCompetitiveProgramming/blob/master/Codeforces/CF100956-GYM-D.txt","Sol")</f>
        <v>Sol</v>
      </c>
      <c r="E1980" s="17" t="s">
        <v>2153</v>
      </c>
      <c r="F1980" s="17" t="s">
        <v>196</v>
      </c>
      <c r="G1980" s="18"/>
      <c r="H1980" s="18"/>
    </row>
    <row r="1981" spans="1:8" ht="13.2">
      <c r="A1981" s="19" t="str">
        <f>HYPERLINK("http://codeforces.com/contest/427/problem/E","CF427-D2-E")</f>
        <v>CF427-D2-E</v>
      </c>
      <c r="B1981" s="29" t="s">
        <v>2249</v>
      </c>
      <c r="C1981" s="17">
        <v>5.75</v>
      </c>
      <c r="D1981" s="18"/>
      <c r="E1981" s="17" t="s">
        <v>2153</v>
      </c>
      <c r="F1981" s="17" t="s">
        <v>139</v>
      </c>
      <c r="G1981" s="18"/>
      <c r="H1981" s="18"/>
    </row>
    <row r="1982" spans="1:8" ht="13.2">
      <c r="A1982" s="19" t="str">
        <f>HYPERLINK("https://codeforces.com/contest/965/problem/D","CF965-D2-D")</f>
        <v>CF965-D2-D</v>
      </c>
      <c r="B1982" s="15" t="s">
        <v>2250</v>
      </c>
      <c r="C1982" s="17">
        <v>5.75</v>
      </c>
      <c r="D1982" s="18"/>
      <c r="E1982" s="17" t="s">
        <v>2153</v>
      </c>
      <c r="F1982" s="17" t="s">
        <v>139</v>
      </c>
      <c r="G1982" s="18"/>
      <c r="H1982" s="18"/>
    </row>
    <row r="1983" spans="1:8" ht="13.2">
      <c r="A1983" s="19" t="str">
        <f>HYPERLINK("http://codeforces.com/contest/981/problem/D", "CF981-D12-D")</f>
        <v>CF981-D12-D</v>
      </c>
      <c r="B1983" s="20" t="s">
        <v>2251</v>
      </c>
      <c r="C1983" s="21">
        <v>5.75</v>
      </c>
      <c r="D1983" s="18"/>
      <c r="E1983" s="17" t="s">
        <v>2153</v>
      </c>
      <c r="F1983" s="17" t="s">
        <v>139</v>
      </c>
      <c r="G1983" s="18"/>
      <c r="H1983" s="18"/>
    </row>
    <row r="1984" spans="1:8" ht="13.2">
      <c r="A1984" s="19" t="str">
        <f>HYPERLINK("http://codeforces.com/contest/794/problem/C","CF794-D12-C")</f>
        <v>CF794-D12-C</v>
      </c>
      <c r="B1984" s="15" t="s">
        <v>2252</v>
      </c>
      <c r="C1984" s="17">
        <v>5.75</v>
      </c>
      <c r="D1984" s="18"/>
      <c r="E1984" s="17" t="s">
        <v>2153</v>
      </c>
      <c r="F1984" s="17" t="s">
        <v>201</v>
      </c>
      <c r="G1984" s="18"/>
      <c r="H1984" s="18"/>
    </row>
    <row r="1985" spans="1:8" ht="13.2">
      <c r="A1985" s="15" t="s">
        <v>2253</v>
      </c>
      <c r="B1985" s="29" t="s">
        <v>2254</v>
      </c>
      <c r="C1985" s="17">
        <v>5.5</v>
      </c>
      <c r="D1985" s="26" t="str">
        <f>HYPERLINK("https://github.com/WaleedAbdelhakim/Competitive-Programming/blob/master/TopCoder/SRM392-D1-1000.cpp","Sol - not in editorial")</f>
        <v>Sol - not in editorial</v>
      </c>
      <c r="E1985" s="17" t="s">
        <v>2153</v>
      </c>
      <c r="F1985" s="17" t="s">
        <v>139</v>
      </c>
      <c r="G1985" s="18"/>
      <c r="H1985" s="18"/>
    </row>
    <row r="1986" spans="1:8" ht="13.2">
      <c r="A1986" s="19" t="str">
        <f>HYPERLINK("https://codeforces.com/contest/1099/problem/D","CF1099-D2-D")</f>
        <v>CF1099-D2-D</v>
      </c>
      <c r="B1986" s="15" t="s">
        <v>2203</v>
      </c>
      <c r="C1986" s="17">
        <v>5.5</v>
      </c>
      <c r="D1986" s="18"/>
      <c r="E1986" s="17" t="s">
        <v>2153</v>
      </c>
      <c r="F1986" s="17" t="s">
        <v>139</v>
      </c>
      <c r="G1986" s="18"/>
      <c r="H1986" s="18"/>
    </row>
    <row r="1987" spans="1:8" ht="13.2">
      <c r="A1987" s="19" t="str">
        <f>HYPERLINK("https://www.codechef.com/LTIME64B/problems/BJUDGE","CODECHEF BJUDGE")</f>
        <v>CODECHEF BJUDGE</v>
      </c>
      <c r="B1987" s="20" t="s">
        <v>2255</v>
      </c>
      <c r="C1987" s="17">
        <v>5.5</v>
      </c>
      <c r="D1987" s="18"/>
      <c r="E1987" s="17" t="s">
        <v>2153</v>
      </c>
      <c r="F1987" s="17" t="s">
        <v>139</v>
      </c>
      <c r="G1987" s="18"/>
      <c r="H1987" s="18"/>
    </row>
    <row r="1988" spans="1:8" ht="13.2">
      <c r="A1988" s="19" t="str">
        <f>HYPERLINK("https://agc008.contest.atcoder.jp/tasks/agc008_d","AtCoder008-AGC-D")</f>
        <v>AtCoder008-AGC-D</v>
      </c>
      <c r="B1988" s="15" t="s">
        <v>2169</v>
      </c>
      <c r="C1988" s="17">
        <v>5.5</v>
      </c>
      <c r="D1988" s="18"/>
      <c r="E1988" s="17" t="s">
        <v>2153</v>
      </c>
      <c r="F1988" s="17" t="s">
        <v>139</v>
      </c>
      <c r="G1988" s="18"/>
      <c r="H1988" s="18"/>
    </row>
    <row r="1989" spans="1:8" ht="13.2">
      <c r="A1989" s="19" t="str">
        <f>HYPERLINK("https://codeforces.com/contest/1061/problem/A","CF1061-D2-D")</f>
        <v>CF1061-D2-D</v>
      </c>
      <c r="B1989" s="20" t="s">
        <v>2256</v>
      </c>
      <c r="C1989" s="17">
        <v>5.5</v>
      </c>
      <c r="D1989" s="18"/>
      <c r="E1989" s="17" t="s">
        <v>2153</v>
      </c>
      <c r="F1989" s="17" t="s">
        <v>139</v>
      </c>
      <c r="G1989" s="18"/>
      <c r="H1989" s="18"/>
    </row>
    <row r="1990" spans="1:8" ht="13.2">
      <c r="A1990" s="19" t="str">
        <f>HYPERLINK("http://codeforces.com/contest/549/problem/B","CF549-D12-B")</f>
        <v>CF549-D12-B</v>
      </c>
      <c r="B1990" s="15" t="s">
        <v>2257</v>
      </c>
      <c r="C1990" s="24">
        <v>5.5</v>
      </c>
      <c r="D1990" s="18"/>
      <c r="E1990" s="17" t="s">
        <v>2153</v>
      </c>
      <c r="F1990" s="17" t="s">
        <v>139</v>
      </c>
      <c r="G1990" s="18"/>
      <c r="H1990" s="18"/>
    </row>
    <row r="1991" spans="1:8" ht="13.2">
      <c r="A1991" s="19" t="str">
        <f>HYPERLINK("http://codeforces.com/contest/1023/problem/E","CF1023-D12-E")</f>
        <v>CF1023-D12-E</v>
      </c>
      <c r="B1991" s="15" t="s">
        <v>2258</v>
      </c>
      <c r="C1991" s="17">
        <v>5.5</v>
      </c>
      <c r="D1991" s="18"/>
      <c r="E1991" s="17" t="s">
        <v>2153</v>
      </c>
      <c r="F1991" s="17" t="s">
        <v>139</v>
      </c>
      <c r="G1991" s="18"/>
      <c r="H1991" s="18"/>
    </row>
    <row r="1992" spans="1:8" ht="13.2">
      <c r="A1992" s="19" t="str">
        <f>HYPERLINK("http://codeforces.com/contest/104/problem/D","CF104-D2-D")</f>
        <v>CF104-D2-D</v>
      </c>
      <c r="B1992" s="29" t="s">
        <v>2259</v>
      </c>
      <c r="C1992" s="17">
        <v>5.5</v>
      </c>
      <c r="D1992" s="18"/>
      <c r="E1992" s="17" t="s">
        <v>2153</v>
      </c>
      <c r="F1992" s="17" t="s">
        <v>139</v>
      </c>
      <c r="G1992" s="18"/>
      <c r="H1992" s="18"/>
    </row>
    <row r="1993" spans="1:8" ht="13.2">
      <c r="A1993" s="19" t="str">
        <f>HYPERLINK("http://codeforces.com/contest/1043/problem/E","CF1043-D12-E")</f>
        <v>CF1043-D12-E</v>
      </c>
      <c r="B1993" s="15" t="s">
        <v>2260</v>
      </c>
      <c r="C1993" s="17">
        <v>5.5</v>
      </c>
      <c r="D1993" s="18"/>
      <c r="E1993" s="17" t="s">
        <v>2153</v>
      </c>
      <c r="F1993" s="17" t="s">
        <v>139</v>
      </c>
      <c r="G1993" s="18"/>
      <c r="H1993" s="18"/>
    </row>
    <row r="1994" spans="1:8" ht="13.2">
      <c r="A1994" s="19" t="str">
        <f>HYPERLINK("http://codeforces.com/contest/447/problem/D","CF447-D2-D")</f>
        <v>CF447-D2-D</v>
      </c>
      <c r="B1994" s="29" t="s">
        <v>2261</v>
      </c>
      <c r="C1994" s="17">
        <v>5.5</v>
      </c>
      <c r="D1994" s="18" t="s">
        <v>2160</v>
      </c>
      <c r="E1994" s="17" t="s">
        <v>2153</v>
      </c>
      <c r="F1994" s="17" t="s">
        <v>227</v>
      </c>
      <c r="G1994" s="18"/>
      <c r="H1994" s="18"/>
    </row>
    <row r="1995" spans="1:8" ht="13.2">
      <c r="A1995" s="19" t="str">
        <f>HYPERLINK("http://codeforces.com/contest/402/problem/D","CF402-D2-D")</f>
        <v>CF402-D2-D</v>
      </c>
      <c r="B1995" s="29" t="s">
        <v>2262</v>
      </c>
      <c r="C1995" s="17">
        <v>5.5</v>
      </c>
      <c r="D1995" s="18"/>
      <c r="E1995" s="17" t="s">
        <v>2153</v>
      </c>
      <c r="F1995" s="17" t="s">
        <v>613</v>
      </c>
      <c r="G1995" s="18"/>
      <c r="H1995" s="18"/>
    </row>
    <row r="1996" spans="1:8" ht="13.2">
      <c r="A1996" s="19" t="str">
        <f>HYPERLINK("http://codeforces.com/contest/496/problem/D","CF496-D2-D")</f>
        <v>CF496-D2-D</v>
      </c>
      <c r="B1996" s="29" t="s">
        <v>2263</v>
      </c>
      <c r="C1996" s="53">
        <v>5.5</v>
      </c>
      <c r="D1996" s="18"/>
      <c r="E1996" s="17" t="s">
        <v>2153</v>
      </c>
      <c r="F1996" s="17" t="s">
        <v>201</v>
      </c>
      <c r="G1996" s="18"/>
      <c r="H1996" s="18"/>
    </row>
    <row r="1997" spans="1:8" ht="13.2">
      <c r="A1997" s="19" t="str">
        <f>HYPERLINK("http://codeforces.com/contest/672/problem/D","CF672-D2-D")</f>
        <v>CF672-D2-D</v>
      </c>
      <c r="B1997" s="29" t="s">
        <v>2264</v>
      </c>
      <c r="C1997" s="17">
        <v>5.5</v>
      </c>
      <c r="D1997" s="18"/>
      <c r="E1997" s="17" t="s">
        <v>2153</v>
      </c>
      <c r="F1997" s="17" t="s">
        <v>201</v>
      </c>
      <c r="G1997" s="18"/>
      <c r="H1997" s="18"/>
    </row>
    <row r="1998" spans="1:8" ht="13.2">
      <c r="A1998" s="19" t="str">
        <f>HYPERLINK("https://codeforces.com/problemset/problem/128/D", "CF128-D12-D")</f>
        <v>CF128-D12-D</v>
      </c>
      <c r="B1998" s="23" t="s">
        <v>2265</v>
      </c>
      <c r="C1998" s="21">
        <v>5.5</v>
      </c>
      <c r="D1998" s="18"/>
      <c r="E1998" s="17" t="s">
        <v>2153</v>
      </c>
      <c r="F1998" s="17" t="s">
        <v>201</v>
      </c>
      <c r="G1998" s="18"/>
      <c r="H1998" s="18"/>
    </row>
    <row r="1999" spans="1:8" ht="13.2">
      <c r="A1999" s="19" t="str">
        <f>HYPERLINK("https://codingcompetitions.withgoogle.com/codejam/round/0000000000007707/000000000004b7fe","CODEJAM 18-R3-A")</f>
        <v>CODEJAM 18-R3-A</v>
      </c>
      <c r="B1999" s="20" t="s">
        <v>2266</v>
      </c>
      <c r="C1999" s="17">
        <v>5.5</v>
      </c>
      <c r="D1999" s="26" t="str">
        <f>HYPERLINK("https://github.com/tmwilliamlin168/CompetitiveProgramming/blob/master/GoogleCodeJam/18-R3-A.java", "Prove your sol")</f>
        <v>Prove your sol</v>
      </c>
      <c r="E1999" s="17" t="s">
        <v>2153</v>
      </c>
      <c r="F1999" s="17" t="s">
        <v>201</v>
      </c>
      <c r="G1999" s="18"/>
      <c r="H1999" s="18"/>
    </row>
    <row r="2000" spans="1:8" ht="13.2">
      <c r="A2000" s="19" t="str">
        <f>HYPERLINK("https://codeforces.com/contest/1082/problem/E","CF1082-D12-E")</f>
        <v>CF1082-D12-E</v>
      </c>
      <c r="B2000" s="20" t="s">
        <v>2267</v>
      </c>
      <c r="C2000" s="21">
        <v>5.5</v>
      </c>
      <c r="D2000" s="18"/>
      <c r="E2000" s="17" t="s">
        <v>2153</v>
      </c>
      <c r="F2000" s="17" t="s">
        <v>201</v>
      </c>
      <c r="G2000" s="18"/>
      <c r="H2000" s="18"/>
    </row>
    <row r="2001" spans="1:8" ht="13.2">
      <c r="A2001" s="19" t="str">
        <f>HYPERLINK("http://codeforces.com/contest/76/problem/B","CF76-D12-B")</f>
        <v>CF76-D12-B</v>
      </c>
      <c r="B2001" s="15" t="s">
        <v>2268</v>
      </c>
      <c r="C2001" s="17">
        <v>5.5</v>
      </c>
      <c r="D2001" s="18"/>
      <c r="E2001" s="17" t="s">
        <v>2153</v>
      </c>
      <c r="F2001" s="17" t="s">
        <v>201</v>
      </c>
      <c r="G2001" s="18"/>
      <c r="H2001" s="18"/>
    </row>
    <row r="2002" spans="1:8" ht="13.2">
      <c r="A2002" s="19" t="str">
        <f>HYPERLINK("http://codeforces.com/contest/897/problem/D","CF897-D2-D")</f>
        <v>CF897-D2-D</v>
      </c>
      <c r="B2002" s="18" t="s">
        <v>2161</v>
      </c>
      <c r="C2002" s="17">
        <v>5.5</v>
      </c>
      <c r="D2002" s="18"/>
      <c r="E2002" s="17" t="s">
        <v>2153</v>
      </c>
      <c r="F2002" s="17" t="s">
        <v>242</v>
      </c>
      <c r="G2002" s="18"/>
      <c r="H2002" s="18"/>
    </row>
    <row r="2003" spans="1:8" ht="13.2">
      <c r="A2003" s="19" t="str">
        <f>HYPERLINK("http://codeforces.com/contest/135/problem/C","CF135-D1-C")</f>
        <v>CF135-D1-C</v>
      </c>
      <c r="B2003" s="20" t="s">
        <v>2163</v>
      </c>
      <c r="C2003" s="17">
        <v>5.5</v>
      </c>
      <c r="D2003" s="18"/>
      <c r="E2003" s="17" t="s">
        <v>2153</v>
      </c>
      <c r="F2003" s="17"/>
      <c r="G2003" s="18"/>
      <c r="H2003" s="18"/>
    </row>
    <row r="2004" spans="1:8" ht="13.2">
      <c r="A2004" s="19" t="str">
        <f>HYPERLINK("https://codeforces.com/contest/159/problem/E","CF159-D2-E")</f>
        <v>CF159-D2-E</v>
      </c>
      <c r="B2004" s="23" t="s">
        <v>2163</v>
      </c>
      <c r="C2004" s="17">
        <v>5.5</v>
      </c>
      <c r="D2004" s="18"/>
      <c r="E2004" s="17" t="s">
        <v>2153</v>
      </c>
      <c r="F2004" s="17"/>
      <c r="G2004" s="18"/>
      <c r="H2004" s="18"/>
    </row>
    <row r="2005" spans="1:8" ht="13.2">
      <c r="A2005" s="19" t="str">
        <f>HYPERLINK("http://codeforces.com/contest/794/problem/C","CF414-D2-C")</f>
        <v>CF414-D2-C</v>
      </c>
      <c r="B2005" s="18" t="s">
        <v>2163</v>
      </c>
      <c r="C2005" s="17">
        <v>5.5</v>
      </c>
      <c r="D2005" s="18" t="s">
        <v>2160</v>
      </c>
      <c r="E2005" s="17" t="s">
        <v>2153</v>
      </c>
      <c r="F2005" s="17"/>
      <c r="G2005" s="18"/>
      <c r="H2005" s="18"/>
    </row>
    <row r="2006" spans="1:8" ht="13.2">
      <c r="A2006" s="19" t="str">
        <f>HYPERLINK("http://codeforces.com/contest/515/problem/D","CF515-D2-D")</f>
        <v>CF515-D2-D</v>
      </c>
      <c r="B2006" s="29" t="s">
        <v>2163</v>
      </c>
      <c r="C2006" s="17">
        <v>5.5</v>
      </c>
      <c r="D2006" s="18"/>
      <c r="E2006" s="17" t="s">
        <v>2153</v>
      </c>
      <c r="F2006" s="17"/>
      <c r="G2006" s="18"/>
      <c r="H2006" s="18"/>
    </row>
    <row r="2007" spans="1:8" ht="13.2">
      <c r="A2007" s="19" t="str">
        <f>HYPERLINK("http://codeforces.com/problemset/problem/893/D","CF893-D2-D")</f>
        <v>CF893-D2-D</v>
      </c>
      <c r="B2007" s="18" t="s">
        <v>2163</v>
      </c>
      <c r="C2007" s="17">
        <v>5.5</v>
      </c>
      <c r="D2007" s="18"/>
      <c r="E2007" s="17" t="s">
        <v>2153</v>
      </c>
      <c r="F2007" s="17"/>
      <c r="G2007" s="18"/>
      <c r="H2007" s="18"/>
    </row>
    <row r="2008" spans="1:8" ht="13.2">
      <c r="A2008" s="15" t="s">
        <v>2269</v>
      </c>
      <c r="B2008" s="34" t="s">
        <v>2200</v>
      </c>
      <c r="C2008" s="31">
        <v>5.5</v>
      </c>
      <c r="D2008" s="18"/>
      <c r="E2008" s="17" t="s">
        <v>2153</v>
      </c>
      <c r="F2008" s="17"/>
      <c r="G2008" s="18"/>
      <c r="H2008" s="18"/>
    </row>
    <row r="2009" spans="1:8" ht="13.2">
      <c r="A2009" s="19" t="str">
        <f>HYPERLINK("https://agc003.contest.atcoder.jp/tasks/agc003_b","AtCoder003-AGC-B")</f>
        <v>AtCoder003-AGC-B</v>
      </c>
      <c r="B2009" s="15" t="s">
        <v>2270</v>
      </c>
      <c r="C2009" s="17">
        <v>5.5</v>
      </c>
      <c r="D2009" s="18"/>
      <c r="E2009" s="17" t="s">
        <v>2153</v>
      </c>
      <c r="F2009" s="17"/>
      <c r="G2009" s="18"/>
      <c r="H2009" s="18"/>
    </row>
    <row r="2010" spans="1:8" ht="13.2">
      <c r="A2010" s="19" t="str">
        <f>HYPERLINK("https://codeforces.com/gym/102215/problem/I","CF102215-GYM-I")</f>
        <v>CF102215-GYM-I</v>
      </c>
      <c r="B2010" s="20" t="s">
        <v>2200</v>
      </c>
      <c r="C2010" s="17">
        <v>5.25</v>
      </c>
      <c r="D2010" s="18"/>
      <c r="E2010" s="17" t="s">
        <v>2153</v>
      </c>
      <c r="F2010" s="17" t="s">
        <v>139</v>
      </c>
      <c r="G2010" s="18"/>
      <c r="H2010" s="18"/>
    </row>
    <row r="2011" spans="1:8" ht="13.2">
      <c r="A2011" s="15" t="s">
        <v>2271</v>
      </c>
      <c r="B2011" s="30" t="s">
        <v>2163</v>
      </c>
      <c r="C2011" s="40">
        <v>5</v>
      </c>
      <c r="D2011" s="18"/>
      <c r="E2011" s="17" t="s">
        <v>2153</v>
      </c>
      <c r="F2011" s="17" t="s">
        <v>255</v>
      </c>
      <c r="G2011" s="18"/>
      <c r="H2011" s="18"/>
    </row>
    <row r="2012" spans="1:8" ht="13.2">
      <c r="A2012" s="19" t="str">
        <f>HYPERLINK("http://codeforces.com/contest/670/problem/F","CF670-D2-F")</f>
        <v>CF670-D2-F</v>
      </c>
      <c r="B2012" s="18" t="s">
        <v>2171</v>
      </c>
      <c r="C2012" s="17">
        <v>5</v>
      </c>
      <c r="D2012" s="18"/>
      <c r="E2012" s="17" t="s">
        <v>2153</v>
      </c>
      <c r="F2012" s="17" t="s">
        <v>255</v>
      </c>
      <c r="G2012" s="18"/>
      <c r="H2012" s="18"/>
    </row>
    <row r="2013" spans="1:8" ht="13.2">
      <c r="A2013" s="19" t="str">
        <f>HYPERLINK("http://codeforces.com/contest/238/problem/B","CF238-D1-B")</f>
        <v>CF238-D1-B</v>
      </c>
      <c r="B2013" s="29" t="s">
        <v>2163</v>
      </c>
      <c r="C2013" s="17">
        <v>5</v>
      </c>
      <c r="D2013" s="18"/>
      <c r="E2013" s="17" t="s">
        <v>2153</v>
      </c>
      <c r="F2013" s="17" t="s">
        <v>229</v>
      </c>
      <c r="G2013" s="18"/>
      <c r="H2013" s="18"/>
    </row>
    <row r="2014" spans="1:8" ht="13.2">
      <c r="A2014" s="15" t="s">
        <v>2272</v>
      </c>
      <c r="B2014" s="29" t="s">
        <v>2163</v>
      </c>
      <c r="C2014" s="17">
        <v>5</v>
      </c>
      <c r="D2014" s="18"/>
      <c r="E2014" s="24" t="s">
        <v>2153</v>
      </c>
      <c r="F2014" s="17" t="s">
        <v>229</v>
      </c>
      <c r="G2014" s="18"/>
      <c r="H2014" s="18"/>
    </row>
    <row r="2015" spans="1:8" ht="13.2">
      <c r="A2015" s="19" t="str">
        <f>HYPERLINK("http://codeforces.com/gym/101341/problem/E","CF101341-GYM-E")</f>
        <v>CF101341-GYM-E</v>
      </c>
      <c r="B2015" s="15" t="s">
        <v>2157</v>
      </c>
      <c r="C2015" s="17">
        <v>5</v>
      </c>
      <c r="D2015" s="26" t="str">
        <f>HYPERLINK("https://ideone.com/AwNNMM","Sol")</f>
        <v>Sol</v>
      </c>
      <c r="E2015" s="17" t="s">
        <v>2153</v>
      </c>
      <c r="F2015" s="17" t="s">
        <v>229</v>
      </c>
      <c r="G2015" s="18"/>
      <c r="H2015" s="18"/>
    </row>
    <row r="2016" spans="1:8" ht="13.2">
      <c r="A2016" s="19" t="str">
        <f>HYPERLINK("http://codeforces.com/contest/922/problem/D","CF922-D2-D")</f>
        <v>CF922-D2-D</v>
      </c>
      <c r="B2016" s="15" t="s">
        <v>2273</v>
      </c>
      <c r="C2016" s="17">
        <v>5</v>
      </c>
      <c r="D2016" s="18"/>
      <c r="E2016" s="17" t="s">
        <v>2153</v>
      </c>
      <c r="F2016" s="17" t="s">
        <v>306</v>
      </c>
      <c r="G2016" s="18"/>
      <c r="H2016" s="18"/>
    </row>
    <row r="2017" spans="1:8" ht="13.2">
      <c r="A2017" s="19" t="str">
        <f>HYPERLINK("https://beta.atcoder.jp/contests/abc009/tasks/abc009_3","AtCoder009-ABC-C")</f>
        <v>AtCoder009-ABC-C</v>
      </c>
      <c r="B2017" s="15" t="s">
        <v>2274</v>
      </c>
      <c r="C2017" s="17">
        <v>5</v>
      </c>
      <c r="D2017" s="18"/>
      <c r="E2017" s="17" t="s">
        <v>2153</v>
      </c>
      <c r="F2017" s="17" t="s">
        <v>173</v>
      </c>
      <c r="G2017" s="18"/>
      <c r="H2017" s="18"/>
    </row>
    <row r="2018" spans="1:8" ht="13.2">
      <c r="A2018" s="15" t="s">
        <v>2275</v>
      </c>
      <c r="B2018" s="15" t="s">
        <v>2169</v>
      </c>
      <c r="C2018" s="17">
        <v>5</v>
      </c>
      <c r="D2018" s="26" t="str">
        <f>HYPERLINK("https://github.com/Ownography/CP/blob/master/SPOJ%20ROADTRIP","Sol")</f>
        <v>Sol</v>
      </c>
      <c r="E2018" s="17" t="s">
        <v>2153</v>
      </c>
      <c r="F2018" s="17" t="s">
        <v>154</v>
      </c>
      <c r="G2018" s="18"/>
      <c r="H2018" s="18"/>
    </row>
    <row r="2019" spans="1:8" ht="13.2">
      <c r="A2019" s="19" t="str">
        <f>HYPERLINK("http://codeforces.com/contest/709/problem/D","CF709-D2-D")</f>
        <v>CF709-D2-D</v>
      </c>
      <c r="B2019" s="29" t="s">
        <v>2276</v>
      </c>
      <c r="C2019" s="17">
        <v>5</v>
      </c>
      <c r="D2019" s="18"/>
      <c r="E2019" s="17" t="s">
        <v>2153</v>
      </c>
      <c r="F2019" s="17" t="s">
        <v>196</v>
      </c>
      <c r="G2019" s="18"/>
      <c r="H2019" s="18"/>
    </row>
    <row r="2020" spans="1:8" ht="13.2">
      <c r="A2020" s="19" t="str">
        <f>HYPERLINK("http://codeforces.com/contest/141/problem/C","CF141-D2-C")</f>
        <v>CF141-D2-C</v>
      </c>
      <c r="B2020" s="29" t="s">
        <v>2203</v>
      </c>
      <c r="C2020" s="17">
        <v>5</v>
      </c>
      <c r="D2020" s="18"/>
      <c r="E2020" s="17" t="s">
        <v>2153</v>
      </c>
      <c r="F2020" s="17" t="s">
        <v>139</v>
      </c>
      <c r="G2020" s="18"/>
      <c r="H2020" s="18"/>
    </row>
    <row r="2021" spans="1:8" ht="13.2">
      <c r="A2021" s="19" t="str">
        <f>HYPERLINK("https://codeforces.com/gym/101917/problem/B", "CF101917-gym-B")</f>
        <v>CF101917-gym-B</v>
      </c>
      <c r="B2021" s="15" t="s">
        <v>2277</v>
      </c>
      <c r="C2021" s="17">
        <v>5</v>
      </c>
      <c r="D2021" s="26" t="str">
        <f>HYPERLINK("https://github.com/Huvok/CompetitiveProgramming/blob/master/Codeforces/CF101917-D12-B.cpp", "Sol")</f>
        <v>Sol</v>
      </c>
      <c r="E2021" s="17" t="s">
        <v>2153</v>
      </c>
      <c r="F2021" s="17" t="s">
        <v>139</v>
      </c>
      <c r="G2021" s="18"/>
      <c r="H2021" s="18"/>
    </row>
    <row r="2022" spans="1:8" ht="13.2">
      <c r="A2022" s="19" t="str">
        <f>HYPERLINK("https://codeforces.com/contest/1256/problem/F","CF1256-D3-F")</f>
        <v>CF1256-D3-F</v>
      </c>
      <c r="B2022" s="20" t="s">
        <v>2278</v>
      </c>
      <c r="C2022" s="21">
        <v>5</v>
      </c>
      <c r="D2022" s="18"/>
      <c r="E2022" s="17" t="s">
        <v>2153</v>
      </c>
      <c r="F2022" s="17" t="s">
        <v>139</v>
      </c>
      <c r="G2022" s="18"/>
      <c r="H2022" s="18"/>
    </row>
    <row r="2023" spans="1:8" ht="13.2">
      <c r="A2023" s="19" t="str">
        <f>HYPERLINK("http://codeforces.com/contest/94/problem/D","CF94-D2-D")</f>
        <v>CF94-D2-D</v>
      </c>
      <c r="B2023" s="29" t="s">
        <v>2279</v>
      </c>
      <c r="C2023" s="17">
        <v>5</v>
      </c>
      <c r="D2023" s="18"/>
      <c r="E2023" s="17" t="s">
        <v>2153</v>
      </c>
      <c r="F2023" s="17" t="s">
        <v>139</v>
      </c>
      <c r="G2023" s="18"/>
      <c r="H2023" s="18"/>
    </row>
    <row r="2024" spans="1:8" ht="13.2">
      <c r="A2024" s="19" t="str">
        <f>HYPERLINK("https://codeforces.com/contest/1183/problem/G","CF1183-D3-G")</f>
        <v>CF1183-D3-G</v>
      </c>
      <c r="B2024" s="15" t="s">
        <v>2248</v>
      </c>
      <c r="C2024" s="17">
        <v>5</v>
      </c>
      <c r="D2024" s="18"/>
      <c r="E2024" s="17" t="s">
        <v>2153</v>
      </c>
      <c r="F2024" s="17" t="s">
        <v>139</v>
      </c>
      <c r="G2024" s="18"/>
      <c r="H2024" s="18"/>
    </row>
    <row r="2025" spans="1:8" ht="13.2">
      <c r="A2025" s="19" t="str">
        <f>HYPERLINK("https://codeforces.com/contest/1175/problem/D","CF1175-D12-D")</f>
        <v>CF1175-D12-D</v>
      </c>
      <c r="B2025" s="20" t="s">
        <v>2280</v>
      </c>
      <c r="C2025" s="21">
        <v>5</v>
      </c>
      <c r="D2025" s="18"/>
      <c r="E2025" s="17" t="s">
        <v>2153</v>
      </c>
      <c r="F2025" s="17" t="s">
        <v>139</v>
      </c>
      <c r="G2025" s="18"/>
      <c r="H2025" s="18"/>
    </row>
    <row r="2026" spans="1:8" ht="13.2">
      <c r="A2026" s="19" t="str">
        <f>HYPERLINK("http://codeforces.com/contest/313/problem/C","CF313-D2-C")</f>
        <v>CF313-D2-C</v>
      </c>
      <c r="B2026" s="29" t="s">
        <v>2203</v>
      </c>
      <c r="C2026" s="17">
        <v>5</v>
      </c>
      <c r="D2026" s="18"/>
      <c r="E2026" s="17" t="s">
        <v>2153</v>
      </c>
      <c r="F2026" s="17" t="s">
        <v>227</v>
      </c>
      <c r="G2026" s="18"/>
      <c r="H2026" s="18"/>
    </row>
    <row r="2027" spans="1:8" ht="13.2">
      <c r="A2027" s="19" t="str">
        <f>HYPERLINK("https://codeforces.com/gym/101917/problem/D", "CF101917-D12-D")</f>
        <v>CF101917-D12-D</v>
      </c>
      <c r="B2027" s="15" t="s">
        <v>2163</v>
      </c>
      <c r="C2027" s="17">
        <v>5</v>
      </c>
      <c r="D2027" s="26" t="str">
        <f>HYPERLINK("https://github.com/Huvok/CompetitiveProgramming/blob/master/Codeforces/CF101917-D12-D.cpp", "Sol")</f>
        <v>Sol</v>
      </c>
      <c r="E2027" s="17" t="s">
        <v>2153</v>
      </c>
      <c r="F2027" s="17" t="s">
        <v>201</v>
      </c>
      <c r="G2027" s="18"/>
      <c r="H2027" s="18"/>
    </row>
    <row r="2028" spans="1:8" ht="13.2">
      <c r="A2028" s="19" t="str">
        <f>HYPERLINK("https://codeforces.com/contest/1153/problem/D","CF1153-D2-D")</f>
        <v>CF1153-D2-D</v>
      </c>
      <c r="B2028" s="20" t="s">
        <v>2163</v>
      </c>
      <c r="C2028" s="17">
        <v>5</v>
      </c>
      <c r="D2028" s="18"/>
      <c r="E2028" s="17" t="s">
        <v>2153</v>
      </c>
      <c r="F2028" s="17" t="s">
        <v>201</v>
      </c>
      <c r="G2028" s="18"/>
      <c r="H2028" s="18"/>
    </row>
    <row r="2029" spans="1:8" ht="13.2">
      <c r="A2029" s="19" t="str">
        <f>HYPERLINK("http://codeforces.com/contest/737/problem/C","CF737-D1-C")</f>
        <v>CF737-D1-C</v>
      </c>
      <c r="B2029" s="29" t="s">
        <v>2163</v>
      </c>
      <c r="C2029" s="24">
        <v>5</v>
      </c>
      <c r="D2029" s="18"/>
      <c r="E2029" s="17" t="s">
        <v>2153</v>
      </c>
      <c r="F2029" s="17" t="s">
        <v>201</v>
      </c>
      <c r="G2029" s="18"/>
      <c r="H2029" s="18"/>
    </row>
    <row r="2030" spans="1:8" ht="13.2">
      <c r="A2030" s="19" t="str">
        <f>HYPERLINK("http://codeforces.com/contest/465/problem/C","CF465-D2-C")</f>
        <v>CF465-D2-C</v>
      </c>
      <c r="B2030" s="29" t="s">
        <v>2281</v>
      </c>
      <c r="C2030" s="17">
        <v>5</v>
      </c>
      <c r="D2030" s="18"/>
      <c r="E2030" s="17" t="s">
        <v>2153</v>
      </c>
      <c r="F2030" s="17" t="s">
        <v>201</v>
      </c>
      <c r="G2030" s="18"/>
      <c r="H2030" s="18"/>
    </row>
    <row r="2031" spans="1:8" ht="13.2">
      <c r="A2031" s="19" t="str">
        <f>HYPERLINK("http://codeforces.com/problemset/gymProblem/101149/G","CF101149-GYM-G")</f>
        <v>CF101149-GYM-G</v>
      </c>
      <c r="B2031" s="29" t="s">
        <v>2282</v>
      </c>
      <c r="C2031" s="17">
        <v>5</v>
      </c>
      <c r="D2031" s="26" t="str">
        <f>HYPERLINK("https://github.com/BRAINOOOO/CompetitiveProgramming/blob/3057480d3a311cc86a6d64546655a9bb4017cbd6/CF/CF101149-GYM-G.Cpp","Sol")</f>
        <v>Sol</v>
      </c>
      <c r="E2031" s="17" t="s">
        <v>2153</v>
      </c>
      <c r="F2031" s="17" t="s">
        <v>201</v>
      </c>
      <c r="G2031" s="18"/>
      <c r="H2031" s="18"/>
    </row>
    <row r="2032" spans="1:8" ht="13.2">
      <c r="A2032" s="19" t="str">
        <f>HYPERLINK("http://codeforces.com/contest/1012/problem/A","CF1012-D1-A")</f>
        <v>CF1012-D1-A</v>
      </c>
      <c r="B2032" s="29" t="s">
        <v>2283</v>
      </c>
      <c r="C2032" s="21">
        <v>5</v>
      </c>
      <c r="D2032" s="18"/>
      <c r="E2032" s="17" t="s">
        <v>2153</v>
      </c>
      <c r="F2032" s="17" t="s">
        <v>201</v>
      </c>
      <c r="G2032" s="18"/>
      <c r="H2032" s="18"/>
    </row>
    <row r="2033" spans="1:8" ht="13.2">
      <c r="A2033" s="19" t="str">
        <f>HYPERLINK("https://agc002.contest.atcoder.jp/tasks/agc002_c","AtCoder002-AGC-C")</f>
        <v>AtCoder002-AGC-C</v>
      </c>
      <c r="B2033" s="15" t="s">
        <v>2284</v>
      </c>
      <c r="C2033" s="17">
        <v>5</v>
      </c>
      <c r="D2033" s="26" t="str">
        <f>HYPERLINK("https://github.com/Triplem5ds/Competitve-Programming/blob/master/atcoder/AtCoder002-AGC-C.cpp","Sol")</f>
        <v>Sol</v>
      </c>
      <c r="E2033" s="17" t="s">
        <v>2153</v>
      </c>
      <c r="F2033" s="17" t="s">
        <v>201</v>
      </c>
      <c r="G2033" s="18"/>
      <c r="H2033" s="18"/>
    </row>
    <row r="2034" spans="1:8" ht="13.2">
      <c r="A2034" s="19" t="str">
        <f>HYPERLINK("http://codeforces.com/problemsets/acmsguru/problem/99999/321","SGU 321")</f>
        <v>SGU 321</v>
      </c>
      <c r="B2034" s="29" t="s">
        <v>2285</v>
      </c>
      <c r="C2034" s="17">
        <v>5</v>
      </c>
      <c r="D2034" s="26" t="str">
        <f>HYPERLINK("https://github.com/mostafa-saad/MyCompetitiveProgramming/blob/master/SGU/SGU_321.txt","Sol")</f>
        <v>Sol</v>
      </c>
      <c r="E2034" s="17" t="s">
        <v>2153</v>
      </c>
      <c r="F2034" s="17" t="s">
        <v>201</v>
      </c>
      <c r="G2034" s="18"/>
      <c r="H2034" s="18"/>
    </row>
    <row r="2035" spans="1:8" ht="13.2">
      <c r="A2035" s="19" t="str">
        <f>HYPERLINK("http://codeforces.com/contest/242/problem/D","CF242-D2-D")</f>
        <v>CF242-D2-D</v>
      </c>
      <c r="B2035" s="29" t="s">
        <v>2286</v>
      </c>
      <c r="C2035" s="17">
        <v>5</v>
      </c>
      <c r="D2035" s="18"/>
      <c r="E2035" s="17" t="s">
        <v>2153</v>
      </c>
      <c r="F2035" s="17" t="s">
        <v>201</v>
      </c>
      <c r="G2035" s="18"/>
      <c r="H2035" s="18"/>
    </row>
    <row r="2036" spans="1:8" ht="13.2">
      <c r="A2036" s="15" t="s">
        <v>2287</v>
      </c>
      <c r="B2036" s="35" t="s">
        <v>2181</v>
      </c>
      <c r="C2036" s="40">
        <v>5</v>
      </c>
      <c r="D2036" s="18" t="s">
        <v>2288</v>
      </c>
      <c r="E2036" s="17" t="s">
        <v>2153</v>
      </c>
      <c r="F2036" s="17" t="s">
        <v>201</v>
      </c>
      <c r="G2036" s="18"/>
      <c r="H2036" s="18"/>
    </row>
    <row r="2037" spans="1:8" ht="13.2">
      <c r="A2037" s="19" t="str">
        <f>HYPERLINK("http://codeforces.com/contest/1038/problem/D","CF1038-D2-D")</f>
        <v>CF1038-D2-D</v>
      </c>
      <c r="B2037" s="23" t="s">
        <v>2225</v>
      </c>
      <c r="C2037" s="17">
        <v>5</v>
      </c>
      <c r="D2037" s="18"/>
      <c r="E2037" s="17" t="s">
        <v>2153</v>
      </c>
      <c r="F2037" s="17" t="s">
        <v>201</v>
      </c>
      <c r="G2037" s="18"/>
      <c r="H2037" s="18"/>
    </row>
    <row r="2038" spans="1:8" ht="13.2">
      <c r="A2038" s="15" t="s">
        <v>2289</v>
      </c>
      <c r="B2038" s="29" t="s">
        <v>2290</v>
      </c>
      <c r="C2038" s="33">
        <v>5</v>
      </c>
      <c r="D2038" s="26" t="str">
        <f>HYPERLINK("https://github.com/yazanKabbany/CompetitiveProgramming/blob/master/UVA/UVA%2012325.cpp","Prove your Solution")</f>
        <v>Prove your Solution</v>
      </c>
      <c r="E2038" s="17" t="s">
        <v>2153</v>
      </c>
      <c r="F2038" s="17" t="s">
        <v>201</v>
      </c>
      <c r="G2038" s="18"/>
      <c r="H2038" s="18"/>
    </row>
    <row r="2039" spans="1:8" ht="13.2">
      <c r="A2039" s="15" t="s">
        <v>2291</v>
      </c>
      <c r="B2039" s="16" t="s">
        <v>2292</v>
      </c>
      <c r="C2039" s="17">
        <v>5</v>
      </c>
      <c r="D2039" s="18"/>
      <c r="E2039" s="17" t="s">
        <v>2153</v>
      </c>
      <c r="F2039" s="17" t="s">
        <v>201</v>
      </c>
      <c r="G2039" s="18"/>
      <c r="H2039" s="18"/>
    </row>
    <row r="2040" spans="1:8" ht="13.2">
      <c r="A2040" s="15" t="s">
        <v>2293</v>
      </c>
      <c r="B2040" s="29" t="s">
        <v>2294</v>
      </c>
      <c r="C2040" s="31">
        <v>5</v>
      </c>
      <c r="D2040" s="18"/>
      <c r="E2040" s="24" t="s">
        <v>2153</v>
      </c>
      <c r="F2040" s="17" t="s">
        <v>201</v>
      </c>
      <c r="G2040" s="18"/>
      <c r="H2040" s="18"/>
    </row>
    <row r="2041" spans="1:8" ht="13.2">
      <c r="A2041" s="19" t="str">
        <f>HYPERLINK("https://www.facebook.com/hackercup/problem/2448144345414246/","FbHkrCup 19-R1-B")</f>
        <v>FbHkrCup 19-R1-B</v>
      </c>
      <c r="B2041" s="20" t="s">
        <v>2295</v>
      </c>
      <c r="C2041" s="17">
        <v>5</v>
      </c>
      <c r="D2041" s="18"/>
      <c r="E2041" s="17" t="s">
        <v>2153</v>
      </c>
      <c r="F2041" s="17" t="s">
        <v>201</v>
      </c>
      <c r="G2041" s="18"/>
      <c r="H2041" s="18"/>
    </row>
    <row r="2042" spans="1:8" ht="13.2">
      <c r="A2042" s="19" t="str">
        <f>HYPERLINK("http://codeforces.com/contest/239/problem/D","CF239-D2-D")</f>
        <v>CF239-D2-D</v>
      </c>
      <c r="B2042" s="29" t="s">
        <v>2296</v>
      </c>
      <c r="C2042" s="17">
        <v>5</v>
      </c>
      <c r="D2042" s="26" t="str">
        <f>HYPERLINK("https://github.com/MedoN11/CompetitiveProgramming/blob/master/CodeForces/CF239-D2-D.java","Sol. Find proof (See editorial comments)")</f>
        <v>Sol. Find proof (See editorial comments)</v>
      </c>
      <c r="E2042" s="17" t="s">
        <v>2153</v>
      </c>
      <c r="F2042" s="17" t="s">
        <v>201</v>
      </c>
      <c r="G2042" s="18"/>
      <c r="H2042" s="18"/>
    </row>
    <row r="2043" spans="1:8" ht="13.2">
      <c r="A2043" s="15" t="s">
        <v>2297</v>
      </c>
      <c r="B2043" s="29" t="s">
        <v>2203</v>
      </c>
      <c r="C2043" s="33">
        <v>5</v>
      </c>
      <c r="D2043" s="18"/>
      <c r="E2043" s="17" t="s">
        <v>2153</v>
      </c>
      <c r="F2043" s="17" t="s">
        <v>358</v>
      </c>
      <c r="G2043" s="18"/>
      <c r="H2043" s="18"/>
    </row>
    <row r="2044" spans="1:8" ht="13.2">
      <c r="A2044" s="15" t="s">
        <v>2298</v>
      </c>
      <c r="B2044" s="29" t="s">
        <v>2299</v>
      </c>
      <c r="C2044" s="17">
        <v>5</v>
      </c>
      <c r="D2044" s="18"/>
      <c r="E2044" s="24" t="s">
        <v>2153</v>
      </c>
      <c r="F2044" s="17" t="s">
        <v>436</v>
      </c>
      <c r="G2044" s="18"/>
      <c r="H2044" s="18"/>
    </row>
    <row r="2045" spans="1:8" ht="13.2">
      <c r="A2045" s="15" t="s">
        <v>2300</v>
      </c>
      <c r="B2045" s="41" t="s">
        <v>2301</v>
      </c>
      <c r="C2045" s="31">
        <v>5</v>
      </c>
      <c r="D2045" s="26" t="str">
        <f>HYPERLINK("https://github.com/mostafa-saad/MyCompetitiveProgramming/blob/master/SPOJ/SPOJ_SAM.txt","Sol")</f>
        <v>Sol</v>
      </c>
      <c r="E2045" s="17" t="s">
        <v>2153</v>
      </c>
      <c r="F2045" s="17" t="s">
        <v>242</v>
      </c>
      <c r="G2045" s="18"/>
      <c r="H2045" s="18"/>
    </row>
    <row r="2046" spans="1:8" ht="13.2">
      <c r="A2046" s="19" t="str">
        <f>HYPERLINK("http://codeforces.com/contest/954/problem/E","CF954-D2-E")</f>
        <v>CF954-D2-E</v>
      </c>
      <c r="B2046" s="20" t="s">
        <v>2302</v>
      </c>
      <c r="C2046" s="17">
        <v>5</v>
      </c>
      <c r="D2046" s="18"/>
      <c r="E2046" s="17" t="s">
        <v>2153</v>
      </c>
      <c r="F2046" s="17" t="s">
        <v>242</v>
      </c>
      <c r="G2046" s="18"/>
      <c r="H2046" s="18"/>
    </row>
    <row r="2047" spans="1:8" ht="13.2">
      <c r="A2047" s="19" t="str">
        <f>HYPERLINK("http://codeforces.com/contest/227/problem/D","CF227-D2-D")</f>
        <v>CF227-D2-D</v>
      </c>
      <c r="B2047" s="29" t="s">
        <v>2303</v>
      </c>
      <c r="C2047" s="17">
        <v>5</v>
      </c>
      <c r="D2047" s="18"/>
      <c r="E2047" s="17" t="s">
        <v>2153</v>
      </c>
      <c r="F2047" s="17" t="s">
        <v>242</v>
      </c>
      <c r="G2047" s="18"/>
      <c r="H2047" s="18"/>
    </row>
    <row r="2048" spans="1:8" ht="13.2">
      <c r="A2048" s="19" t="str">
        <f>HYPERLINK("http://codeforces.com/gym/100883/problem/h?mobile=true","CF100883-GYM-C")</f>
        <v>CF100883-GYM-C</v>
      </c>
      <c r="B2048" s="30" t="s">
        <v>2163</v>
      </c>
      <c r="C2048" s="54">
        <v>5</v>
      </c>
      <c r="D2048" s="26" t="str">
        <f>HYPERLINK("https://github.com/aviroop123/CompetitiveProgramming/blob/master/CodeForces/CF100883-GYM-C.cpp","Sol")</f>
        <v>Sol</v>
      </c>
      <c r="E2048" s="17" t="s">
        <v>2153</v>
      </c>
      <c r="F2048" s="17"/>
      <c r="G2048" s="18"/>
      <c r="H2048" s="18"/>
    </row>
    <row r="2049" spans="1:8" ht="13.2">
      <c r="A2049" s="19" t="str">
        <f>HYPERLINK("http://codeforces.com/problemset/gymProblem/101498/F","CF10149-GYM-F")</f>
        <v>CF10149-GYM-F</v>
      </c>
      <c r="B2049" s="15" t="s">
        <v>2163</v>
      </c>
      <c r="C2049" s="17">
        <v>5</v>
      </c>
      <c r="D2049" s="26" t="str">
        <f>HYPERLINK("https://github.com/goswami-rahul/competitive-coding/blob/master/CompetitiveProgramming/codeforces/CF10149-GYM-F.cpp","Sol")</f>
        <v>Sol</v>
      </c>
      <c r="E2049" s="17" t="s">
        <v>2153</v>
      </c>
      <c r="F2049" s="17"/>
      <c r="G2049" s="18"/>
      <c r="H2049" s="18"/>
    </row>
    <row r="2050" spans="1:8" ht="13.2">
      <c r="A2050" s="19" t="str">
        <f>HYPERLINK("http://codeforces.com/gym/101492/problem/E","CF101492-GYM-E")</f>
        <v>CF101492-GYM-E</v>
      </c>
      <c r="B2050" s="18" t="s">
        <v>2163</v>
      </c>
      <c r="C2050" s="40">
        <v>5</v>
      </c>
      <c r="D2050" s="26" t="str">
        <f>HYPERLINK("https://github.com/Mahmoud3ali/CompetitiveProgramming/blob/master/CodeForces/CF101492-GYM-E.cpp","Sol")</f>
        <v>Sol</v>
      </c>
      <c r="E2050" s="17" t="s">
        <v>2153</v>
      </c>
      <c r="F2050" s="17"/>
      <c r="G2050" s="18"/>
      <c r="H2050" s="18"/>
    </row>
    <row r="2051" spans="1:8" ht="13.2">
      <c r="A2051" s="19" t="str">
        <f>HYPERLINK("http://codeforces.com/contest/215/problem/D","CF215-D2-D")</f>
        <v>CF215-D2-D</v>
      </c>
      <c r="B2051" s="18" t="s">
        <v>2163</v>
      </c>
      <c r="C2051" s="17">
        <v>5</v>
      </c>
      <c r="D2051" s="18"/>
      <c r="E2051" s="17" t="s">
        <v>2153</v>
      </c>
      <c r="F2051" s="17"/>
      <c r="G2051" s="18"/>
      <c r="H2051" s="18"/>
    </row>
    <row r="2052" spans="1:8" ht="13.2">
      <c r="A2052" s="19" t="str">
        <f>HYPERLINK("http://codeforces.com/contest/738/problem/E","CF738-D2-E")</f>
        <v>CF738-D2-E</v>
      </c>
      <c r="B2052" s="29" t="s">
        <v>2163</v>
      </c>
      <c r="C2052" s="17">
        <v>5</v>
      </c>
      <c r="D2052" s="18"/>
      <c r="E2052" s="17" t="s">
        <v>2153</v>
      </c>
      <c r="F2052" s="17"/>
      <c r="G2052" s="18"/>
      <c r="H2052" s="18"/>
    </row>
    <row r="2053" spans="1:8" ht="13.2">
      <c r="A2053" s="19" t="str">
        <f>HYPERLINK("http://codeforces.com/contest/898/problem/E","CF898-D2-E")</f>
        <v>CF898-D2-E</v>
      </c>
      <c r="B2053" s="18" t="s">
        <v>2163</v>
      </c>
      <c r="C2053" s="17">
        <v>5</v>
      </c>
      <c r="D2053" s="18"/>
      <c r="E2053" s="17" t="s">
        <v>2153</v>
      </c>
      <c r="F2053" s="17"/>
      <c r="G2053" s="18"/>
      <c r="H2053" s="18"/>
    </row>
    <row r="2054" spans="1:8" ht="13.2">
      <c r="A2054" s="19" t="str">
        <f>HYPERLINK("http://codeforces.com/contest/950/problem/C","CF950-D2-C")</f>
        <v>CF950-D2-C</v>
      </c>
      <c r="B2054" s="18" t="s">
        <v>2163</v>
      </c>
      <c r="C2054" s="17">
        <v>5</v>
      </c>
      <c r="D2054" s="18"/>
      <c r="E2054" s="17" t="s">
        <v>2153</v>
      </c>
      <c r="F2054" s="17"/>
      <c r="G2054" s="18"/>
      <c r="H2054" s="18"/>
    </row>
    <row r="2055" spans="1:8" ht="13.2">
      <c r="A2055" s="19" t="str">
        <f>HYPERLINK("http://codeforces.com/contest/978/problem/G","CF978-D3-G")</f>
        <v>CF978-D3-G</v>
      </c>
      <c r="B2055" s="20" t="s">
        <v>2163</v>
      </c>
      <c r="C2055" s="21">
        <v>5</v>
      </c>
      <c r="D2055" s="18"/>
      <c r="E2055" s="17" t="s">
        <v>2153</v>
      </c>
      <c r="F2055" s="17"/>
      <c r="G2055" s="18"/>
      <c r="H2055" s="18"/>
    </row>
    <row r="2056" spans="1:8" ht="13.2">
      <c r="A2056" s="19" t="str">
        <f>HYPERLINK("https://csacademy.com/contest/round-34/task/minimize-max-diff/","CSA34-D")</f>
        <v>CSA34-D</v>
      </c>
      <c r="B2056" s="18" t="s">
        <v>2163</v>
      </c>
      <c r="C2056" s="17">
        <v>5</v>
      </c>
      <c r="D2056" s="18"/>
      <c r="E2056" s="17" t="s">
        <v>2153</v>
      </c>
      <c r="F2056" s="17"/>
      <c r="G2056" s="18"/>
      <c r="H2056" s="18"/>
    </row>
    <row r="2057" spans="1:8" ht="13.2">
      <c r="A2057" s="15" t="s">
        <v>2304</v>
      </c>
      <c r="B2057" s="30" t="s">
        <v>2163</v>
      </c>
      <c r="C2057" s="40">
        <v>5</v>
      </c>
      <c r="D2057" s="18"/>
      <c r="E2057" s="17" t="s">
        <v>2153</v>
      </c>
      <c r="F2057" s="17"/>
      <c r="G2057" s="18"/>
      <c r="H2057" s="18"/>
    </row>
    <row r="2058" spans="1:8" ht="13.2">
      <c r="A2058" s="15" t="s">
        <v>2305</v>
      </c>
      <c r="B2058" s="15" t="s">
        <v>2163</v>
      </c>
      <c r="C2058" s="17">
        <v>5</v>
      </c>
      <c r="D2058" s="18"/>
      <c r="E2058" s="17" t="s">
        <v>2153</v>
      </c>
      <c r="F2058" s="17"/>
      <c r="G2058" s="18"/>
      <c r="H2058" s="18"/>
    </row>
    <row r="2059" spans="1:8" ht="13.2">
      <c r="A2059" s="15" t="s">
        <v>2306</v>
      </c>
      <c r="B2059" s="18" t="s">
        <v>2163</v>
      </c>
      <c r="C2059" s="17">
        <v>5</v>
      </c>
      <c r="D2059" s="26" t="str">
        <f>HYPERLINK("https://github.com/AliOsm/CompetitiveProgramming/blob/master/Timus/1515.%20Cashmaster.cpp","Sol")</f>
        <v>Sol</v>
      </c>
      <c r="E2059" s="17" t="s">
        <v>2153</v>
      </c>
      <c r="F2059" s="17"/>
      <c r="G2059" s="18"/>
      <c r="H2059" s="18"/>
    </row>
    <row r="2060" spans="1:8" ht="13.2">
      <c r="A2060" s="19" t="str">
        <f>HYPERLINK("http://codeforces.com/contest/131/problem/E","CF131-D2-E")</f>
        <v>CF131-D2-E</v>
      </c>
      <c r="B2060" s="29" t="s">
        <v>2157</v>
      </c>
      <c r="C2060" s="17">
        <v>5</v>
      </c>
      <c r="D2060" s="18"/>
      <c r="E2060" s="17" t="s">
        <v>2153</v>
      </c>
      <c r="F2060" s="17"/>
      <c r="G2060" s="18"/>
      <c r="H2060" s="18"/>
    </row>
    <row r="2061" spans="1:8" ht="13.2">
      <c r="A2061" s="19" t="str">
        <f>HYPERLINK("http://codeforces.com/contest/551/problem/C","CF551-D2-C")</f>
        <v>CF551-D2-C</v>
      </c>
      <c r="B2061" s="29" t="s">
        <v>2157</v>
      </c>
      <c r="C2061" s="24">
        <v>5</v>
      </c>
      <c r="D2061" s="18"/>
      <c r="E2061" s="17" t="s">
        <v>2153</v>
      </c>
      <c r="F2061" s="17"/>
      <c r="G2061" s="18"/>
      <c r="H2061" s="18"/>
    </row>
    <row r="2062" spans="1:8" ht="13.2">
      <c r="A2062" s="19" t="str">
        <f>HYPERLINK("http://codeforces.com/contest/286/problem/C","CF286-D1-C")</f>
        <v>CF286-D1-C</v>
      </c>
      <c r="B2062" s="29" t="s">
        <v>2169</v>
      </c>
      <c r="C2062" s="17">
        <v>5</v>
      </c>
      <c r="D2062" s="18"/>
      <c r="E2062" s="17" t="s">
        <v>2153</v>
      </c>
      <c r="F2062" s="17"/>
      <c r="G2062" s="18"/>
      <c r="H2062" s="18"/>
    </row>
    <row r="2063" spans="1:8" ht="13.2">
      <c r="A2063" s="19" t="str">
        <f>HYPERLINK("https://uva.onlinejudge.org/index.php?option=com_onlinejudge&amp;Itemid=8&amp;page=show_problem&amp;problem=4470","UVA 1595")</f>
        <v>UVA 1595</v>
      </c>
      <c r="B2063" s="18" t="s">
        <v>2169</v>
      </c>
      <c r="C2063" s="17">
        <v>5</v>
      </c>
      <c r="D2063" s="18"/>
      <c r="E2063" s="17" t="s">
        <v>2153</v>
      </c>
      <c r="F2063" s="17"/>
      <c r="G2063" s="18"/>
      <c r="H2063" s="18"/>
    </row>
    <row r="2064" spans="1:8" ht="13.2">
      <c r="A2064" s="15" t="s">
        <v>2307</v>
      </c>
      <c r="B2064" s="30" t="s">
        <v>2181</v>
      </c>
      <c r="C2064" s="17">
        <v>5</v>
      </c>
      <c r="D2064" s="18"/>
      <c r="E2064" s="17" t="s">
        <v>2153</v>
      </c>
      <c r="F2064" s="17"/>
      <c r="G2064" s="18"/>
      <c r="H2064" s="18"/>
    </row>
    <row r="2065" spans="1:8" ht="13.2">
      <c r="A2065" s="19" t="str">
        <f>HYPERLINK("http://codeforces.com/contest/358/problem/C","CF358-D2-C")</f>
        <v>CF358-D2-C</v>
      </c>
      <c r="B2065" s="29" t="s">
        <v>2225</v>
      </c>
      <c r="C2065" s="17">
        <v>5</v>
      </c>
      <c r="D2065" s="18"/>
      <c r="E2065" s="17" t="s">
        <v>2153</v>
      </c>
      <c r="F2065" s="17"/>
      <c r="G2065" s="18"/>
      <c r="H2065" s="18"/>
    </row>
    <row r="2066" spans="1:8" ht="13.2">
      <c r="A2066" s="19" t="str">
        <f>HYPERLINK("http://codeforces.com/contest/917/problem/A","CF917-D1-A")</f>
        <v>CF917-D1-A</v>
      </c>
      <c r="B2066" s="20" t="s">
        <v>2225</v>
      </c>
      <c r="C2066" s="17">
        <v>5</v>
      </c>
      <c r="D2066" s="18"/>
      <c r="E2066" s="17" t="s">
        <v>2153</v>
      </c>
      <c r="F2066" s="17"/>
      <c r="G2066" s="18"/>
      <c r="H2066" s="18"/>
    </row>
    <row r="2067" spans="1:8" ht="13.2">
      <c r="A2067" s="19" t="str">
        <f>HYPERLINK("http://codeforces.com/contest/1062/problem/C", "CF1062-D2-C")</f>
        <v>CF1062-D2-C</v>
      </c>
      <c r="B2067" s="20" t="s">
        <v>2200</v>
      </c>
      <c r="C2067" s="21">
        <v>5</v>
      </c>
      <c r="D2067" s="18"/>
      <c r="E2067" s="17" t="s">
        <v>2153</v>
      </c>
      <c r="F2067" s="17"/>
      <c r="G2067" s="18"/>
      <c r="H2067" s="18"/>
    </row>
    <row r="2068" spans="1:8" ht="13.2">
      <c r="A2068" s="19" t="str">
        <f>HYPERLINK("http://codeforces.com/contest/476/problem/D","CF476-D2-D")</f>
        <v>CF476-D2-D</v>
      </c>
      <c r="B2068" s="18" t="s">
        <v>2200</v>
      </c>
      <c r="C2068" s="17">
        <v>5</v>
      </c>
      <c r="D2068" s="18"/>
      <c r="E2068" s="17" t="s">
        <v>2153</v>
      </c>
      <c r="F2068" s="17"/>
      <c r="G2068" s="18"/>
      <c r="H2068" s="18"/>
    </row>
    <row r="2069" spans="1:8" ht="13.2">
      <c r="A2069" s="15" t="s">
        <v>2308</v>
      </c>
      <c r="B2069" s="34" t="s">
        <v>2200</v>
      </c>
      <c r="C2069" s="31">
        <v>5</v>
      </c>
      <c r="D2069" s="18"/>
      <c r="E2069" s="17" t="s">
        <v>2153</v>
      </c>
      <c r="F2069" s="17"/>
      <c r="G2069" s="18"/>
      <c r="H2069" s="18"/>
    </row>
    <row r="2070" spans="1:8" ht="13.2">
      <c r="A2070" s="15" t="s">
        <v>2309</v>
      </c>
      <c r="B2070" s="29" t="s">
        <v>2200</v>
      </c>
      <c r="C2070" s="17">
        <v>5</v>
      </c>
      <c r="D2070" s="26" t="str">
        <f>HYPERLINK("https://github.com/AliOsm/CompetitiveProgramming/blob/master/UVA/13032%20-%20Marbles%20in%20Jars.cpp","Sol to read")</f>
        <v>Sol to read</v>
      </c>
      <c r="E2070" s="17" t="s">
        <v>2153</v>
      </c>
      <c r="F2070" s="17"/>
      <c r="G2070" s="18"/>
      <c r="H2070" s="18"/>
    </row>
    <row r="2071" spans="1:8" ht="13.2">
      <c r="A2071" s="15" t="s">
        <v>2310</v>
      </c>
      <c r="B2071" s="16" t="s">
        <v>2311</v>
      </c>
      <c r="C2071" s="17">
        <v>5</v>
      </c>
      <c r="D2071" s="18"/>
      <c r="E2071" s="17" t="s">
        <v>2153</v>
      </c>
      <c r="F2071" s="17"/>
      <c r="G2071" s="18"/>
      <c r="H2071" s="18"/>
    </row>
    <row r="2072" spans="1:8" ht="13.2">
      <c r="A2072" s="19" t="str">
        <f>HYPERLINK("http://codeforces.com/contest/546/problem/D","CF546-D2-D")</f>
        <v>CF546-D2-D</v>
      </c>
      <c r="B2072" s="18" t="s">
        <v>2245</v>
      </c>
      <c r="C2072" s="17">
        <v>5</v>
      </c>
      <c r="D2072" s="18"/>
      <c r="E2072" s="17" t="s">
        <v>2153</v>
      </c>
      <c r="F2072" s="17"/>
      <c r="G2072" s="18"/>
      <c r="H2072" s="18"/>
    </row>
    <row r="2073" spans="1:8" ht="13.2">
      <c r="A2073" s="15" t="s">
        <v>2312</v>
      </c>
      <c r="B2073" s="30" t="s">
        <v>2313</v>
      </c>
      <c r="C2073" s="17">
        <v>5</v>
      </c>
      <c r="D2073" s="18"/>
      <c r="E2073" s="17" t="s">
        <v>2153</v>
      </c>
      <c r="F2073" s="17"/>
      <c r="G2073" s="18"/>
      <c r="H2073" s="18"/>
    </row>
    <row r="2074" spans="1:8" ht="13.2">
      <c r="A2074" s="15" t="s">
        <v>2314</v>
      </c>
      <c r="B2074" s="34" t="s">
        <v>2315</v>
      </c>
      <c r="C2074" s="31">
        <v>5</v>
      </c>
      <c r="D2074" s="18"/>
      <c r="E2074" s="17" t="s">
        <v>2153</v>
      </c>
      <c r="F2074" s="17"/>
      <c r="G2074" s="18"/>
      <c r="H2074" s="18"/>
    </row>
    <row r="2075" spans="1:8" ht="13.2">
      <c r="A2075" s="19" t="str">
        <f>HYPERLINK("http://codeforces.com/contest/732/problem/E","CF732-D2-E")</f>
        <v>CF732-D2-E</v>
      </c>
      <c r="B2075" s="29" t="s">
        <v>2316</v>
      </c>
      <c r="C2075" s="31">
        <v>5</v>
      </c>
      <c r="D2075" s="18"/>
      <c r="E2075" s="17" t="s">
        <v>2153</v>
      </c>
      <c r="F2075" s="17"/>
      <c r="G2075" s="18"/>
      <c r="H2075" s="18"/>
    </row>
    <row r="2076" spans="1:8" ht="13.2">
      <c r="A2076" s="19" t="str">
        <f>HYPERLINK("https://agc003.contest.atcoder.jp/tasks/agc003_c","AtCoder003-AGC-C")</f>
        <v>AtCoder003-AGC-C</v>
      </c>
      <c r="B2076" s="15" t="s">
        <v>2248</v>
      </c>
      <c r="C2076" s="17">
        <v>5</v>
      </c>
      <c r="D2076" s="18"/>
      <c r="E2076" s="17" t="s">
        <v>2153</v>
      </c>
      <c r="F2076" s="17"/>
      <c r="G2076" s="18"/>
      <c r="H2076" s="18"/>
    </row>
    <row r="2077" spans="1:8" ht="13.2">
      <c r="A2077" s="19" t="str">
        <f>HYPERLINK("http://codeforces.com/contest/779/problem/C","CF779-D2-C")</f>
        <v>CF779-D2-C</v>
      </c>
      <c r="B2077" s="18" t="s">
        <v>2248</v>
      </c>
      <c r="C2077" s="17">
        <v>5</v>
      </c>
      <c r="D2077" s="18"/>
      <c r="E2077" s="17" t="s">
        <v>2153</v>
      </c>
      <c r="F2077" s="17"/>
      <c r="G2077" s="18"/>
      <c r="H2077" s="18"/>
    </row>
    <row r="2078" spans="1:8" ht="13.2">
      <c r="A2078" s="15" t="s">
        <v>2317</v>
      </c>
      <c r="B2078" s="35" t="s">
        <v>2248</v>
      </c>
      <c r="C2078" s="17">
        <v>5</v>
      </c>
      <c r="D2078" s="18"/>
      <c r="E2078" s="17" t="s">
        <v>2153</v>
      </c>
      <c r="F2078" s="17"/>
      <c r="G2078" s="18"/>
      <c r="H2078" s="18"/>
    </row>
    <row r="2079" spans="1:8" ht="13.2">
      <c r="A2079" s="15" t="s">
        <v>2318</v>
      </c>
      <c r="B2079" s="29" t="s">
        <v>2248</v>
      </c>
      <c r="C2079" s="17">
        <v>5</v>
      </c>
      <c r="D2079" s="18"/>
      <c r="E2079" s="24" t="s">
        <v>2153</v>
      </c>
      <c r="F2079" s="17"/>
      <c r="G2079" s="18"/>
      <c r="H2079" s="18"/>
    </row>
    <row r="2080" spans="1:8" ht="13.2">
      <c r="A2080" s="15" t="s">
        <v>2319</v>
      </c>
      <c r="B2080" s="30" t="s">
        <v>2248</v>
      </c>
      <c r="C2080" s="17">
        <v>5</v>
      </c>
      <c r="D2080" s="18"/>
      <c r="E2080" s="17" t="s">
        <v>2153</v>
      </c>
      <c r="F2080" s="17"/>
      <c r="G2080" s="18"/>
      <c r="H2080" s="18"/>
    </row>
    <row r="2081" spans="1:8" ht="13.2">
      <c r="A2081" s="15" t="s">
        <v>2320</v>
      </c>
      <c r="B2081" s="30" t="s">
        <v>2248</v>
      </c>
      <c r="C2081" s="17">
        <v>5</v>
      </c>
      <c r="D2081" s="18"/>
      <c r="E2081" s="17" t="s">
        <v>2153</v>
      </c>
      <c r="F2081" s="17"/>
      <c r="G2081" s="18"/>
      <c r="H2081" s="18"/>
    </row>
    <row r="2082" spans="1:8" ht="13.2">
      <c r="A2082" s="19" t="str">
        <f>HYPERLINK("http://codeforces.com/contest/222/problem/D","CF222-D2-D")</f>
        <v>CF222-D2-D</v>
      </c>
      <c r="B2082" s="18" t="s">
        <v>2321</v>
      </c>
      <c r="C2082" s="17">
        <v>5</v>
      </c>
      <c r="D2082" s="18"/>
      <c r="E2082" s="17" t="s">
        <v>2153</v>
      </c>
      <c r="F2082" s="17"/>
      <c r="G2082" s="18"/>
      <c r="H2082" s="18"/>
    </row>
    <row r="2083" spans="1:8" ht="13.2">
      <c r="A2083" s="19" t="str">
        <f>HYPERLINK("http://codeforces.com/contest/529/problem/B","CF529-D1-B")</f>
        <v>CF529-D1-B</v>
      </c>
      <c r="B2083" s="29" t="s">
        <v>2322</v>
      </c>
      <c r="C2083" s="31">
        <v>5</v>
      </c>
      <c r="D2083" s="18"/>
      <c r="E2083" s="17" t="s">
        <v>2153</v>
      </c>
      <c r="F2083" s="17"/>
      <c r="G2083" s="18"/>
      <c r="H2083" s="18"/>
    </row>
    <row r="2084" spans="1:8" ht="13.2">
      <c r="A2084" s="19" t="str">
        <f>HYPERLINK("http://codeforces.com/contest/797/problem/C","CF797-D12-C")</f>
        <v>CF797-D12-C</v>
      </c>
      <c r="B2084" s="18" t="s">
        <v>2323</v>
      </c>
      <c r="C2084" s="17">
        <v>5</v>
      </c>
      <c r="D2084" s="18"/>
      <c r="E2084" s="17" t="s">
        <v>2153</v>
      </c>
      <c r="F2084" s="17"/>
      <c r="G2084" s="18"/>
      <c r="H2084" s="18"/>
    </row>
    <row r="2085" spans="1:8" ht="13.2">
      <c r="A2085" s="15" t="s">
        <v>2324</v>
      </c>
      <c r="B2085" s="29" t="s">
        <v>2325</v>
      </c>
      <c r="C2085" s="17">
        <v>5</v>
      </c>
      <c r="D2085" s="18"/>
      <c r="E2085" s="24" t="s">
        <v>2153</v>
      </c>
      <c r="F2085" s="17"/>
      <c r="G2085" s="18"/>
      <c r="H2085" s="18"/>
    </row>
    <row r="2086" spans="1:8" ht="13.2">
      <c r="A2086" s="19" t="str">
        <f>HYPERLINK("https://codeforces.com/contest/1087/problem/D","CF1087-D2-D")</f>
        <v>CF1087-D2-D</v>
      </c>
      <c r="B2086" s="15" t="s">
        <v>2163</v>
      </c>
      <c r="C2086" s="17">
        <v>4.5</v>
      </c>
      <c r="D2086" s="18"/>
      <c r="E2086" s="17" t="s">
        <v>2153</v>
      </c>
      <c r="F2086" s="17" t="s">
        <v>139</v>
      </c>
      <c r="G2086" s="18"/>
      <c r="H2086" s="18"/>
    </row>
    <row r="2087" spans="1:8" ht="13.2">
      <c r="A2087" s="15" t="s">
        <v>2326</v>
      </c>
      <c r="B2087" s="29" t="s">
        <v>2327</v>
      </c>
      <c r="C2087" s="24">
        <v>4.5</v>
      </c>
      <c r="D2087" s="26" t="str">
        <f>HYPERLINK("https://github.com/thackerhelik/ZOJ/blob/master/1200.cpp","Sol")</f>
        <v>Sol</v>
      </c>
      <c r="E2087" s="17" t="s">
        <v>2153</v>
      </c>
      <c r="F2087" s="17" t="s">
        <v>139</v>
      </c>
      <c r="G2087" s="18"/>
      <c r="H2087" s="18"/>
    </row>
    <row r="2088" spans="1:8" ht="13.2">
      <c r="A2088" s="15" t="s">
        <v>2328</v>
      </c>
      <c r="B2088" s="25" t="s">
        <v>2329</v>
      </c>
      <c r="C2088" s="17">
        <v>4.5</v>
      </c>
      <c r="D2088" s="18"/>
      <c r="E2088" s="17" t="s">
        <v>2153</v>
      </c>
      <c r="F2088" s="17" t="s">
        <v>139</v>
      </c>
      <c r="G2088" s="18"/>
      <c r="H2088" s="18"/>
    </row>
    <row r="2089" spans="1:8" ht="13.2">
      <c r="A2089" s="19" t="str">
        <f>HYPERLINK("http://codeforces.com/contest/729/problem/D","CF729-D12-D")</f>
        <v>CF729-D12-D</v>
      </c>
      <c r="B2089" s="29" t="s">
        <v>2330</v>
      </c>
      <c r="C2089" s="24">
        <v>4.5</v>
      </c>
      <c r="D2089" s="18"/>
      <c r="E2089" s="17" t="s">
        <v>2153</v>
      </c>
      <c r="F2089" s="17" t="s">
        <v>201</v>
      </c>
      <c r="G2089" s="18"/>
      <c r="H2089" s="18"/>
    </row>
    <row r="2090" spans="1:8" ht="13.2">
      <c r="A2090" s="19" t="str">
        <f>HYPERLINK("http://codeforces.com/contest/519/problem/D","CF519-D2-D")</f>
        <v>CF519-D2-D</v>
      </c>
      <c r="B2090" s="29" t="s">
        <v>2331</v>
      </c>
      <c r="C2090" s="17">
        <v>4.5</v>
      </c>
      <c r="D2090" s="18"/>
      <c r="E2090" s="17" t="s">
        <v>2153</v>
      </c>
      <c r="F2090" s="17" t="s">
        <v>201</v>
      </c>
      <c r="G2090" s="18"/>
      <c r="H2090" s="18"/>
    </row>
    <row r="2091" spans="1:8" ht="13.2">
      <c r="A2091" s="19" t="str">
        <f>HYPERLINK("http://codeforces.com/contest/486/problem/C","CF486-D2-C")</f>
        <v>CF486-D2-C</v>
      </c>
      <c r="B2091" s="29" t="s">
        <v>2332</v>
      </c>
      <c r="C2091" s="17">
        <v>4.5</v>
      </c>
      <c r="D2091" s="18"/>
      <c r="E2091" s="17" t="s">
        <v>2153</v>
      </c>
      <c r="F2091" s="17" t="s">
        <v>201</v>
      </c>
      <c r="G2091" s="18"/>
      <c r="H2091" s="18"/>
    </row>
    <row r="2092" spans="1:8" ht="13.2">
      <c r="A2092" s="15" t="s">
        <v>2333</v>
      </c>
      <c r="B2092" s="29" t="s">
        <v>2334</v>
      </c>
      <c r="C2092" s="31">
        <v>4.5</v>
      </c>
      <c r="D2092" s="18"/>
      <c r="E2092" s="17" t="s">
        <v>2153</v>
      </c>
      <c r="F2092" s="17" t="s">
        <v>201</v>
      </c>
      <c r="G2092" s="18"/>
      <c r="H2092" s="18"/>
    </row>
    <row r="2093" spans="1:8" ht="13.2">
      <c r="A2093" s="15" t="s">
        <v>2335</v>
      </c>
      <c r="B2093" s="25" t="s">
        <v>2336</v>
      </c>
      <c r="C2093" s="17">
        <v>4.5</v>
      </c>
      <c r="D2093" s="26" t="str">
        <f>HYPERLINK("https://github.com/ahmedsamir221/CompetitiveProgramming/blob/master/SPOJ/SPOJ%20KAOS.cpp","Sol")</f>
        <v>Sol</v>
      </c>
      <c r="E2093" s="17" t="s">
        <v>2153</v>
      </c>
      <c r="F2093" s="17" t="s">
        <v>201</v>
      </c>
      <c r="G2093" s="18"/>
      <c r="H2093" s="18"/>
    </row>
    <row r="2094" spans="1:8" ht="13.2">
      <c r="A2094" s="19" t="str">
        <f>HYPERLINK("http://codeforces.com/contest/584/problem/C","CF584-D2-C")</f>
        <v>CF584-D2-C</v>
      </c>
      <c r="B2094" s="29" t="s">
        <v>2337</v>
      </c>
      <c r="C2094" s="17">
        <v>4.5</v>
      </c>
      <c r="D2094" s="18"/>
      <c r="E2094" s="17" t="s">
        <v>2153</v>
      </c>
      <c r="F2094" s="17" t="s">
        <v>242</v>
      </c>
      <c r="G2094" s="18"/>
      <c r="H2094" s="18"/>
    </row>
    <row r="2095" spans="1:8" ht="13.2">
      <c r="A2095" s="19" t="str">
        <f>HYPERLINK("http://codeforces.com/contest/735/problem/C","CF735-D2-C")</f>
        <v>CF735-D2-C</v>
      </c>
      <c r="B2095" s="29" t="s">
        <v>2338</v>
      </c>
      <c r="C2095" s="17">
        <v>4.5</v>
      </c>
      <c r="D2095" s="18"/>
      <c r="E2095" s="17" t="s">
        <v>2153</v>
      </c>
      <c r="F2095" s="17" t="s">
        <v>242</v>
      </c>
      <c r="G2095" s="18"/>
      <c r="H2095" s="18"/>
    </row>
    <row r="2096" spans="1:8" ht="13.2">
      <c r="A2096" s="19" t="str">
        <f>HYPERLINK("http://codeforces.com/contest/230/problem/C","CF230-D2-C")</f>
        <v>CF230-D2-C</v>
      </c>
      <c r="B2096" s="18" t="s">
        <v>2163</v>
      </c>
      <c r="C2096" s="17">
        <v>4.5</v>
      </c>
      <c r="D2096" s="18"/>
      <c r="E2096" s="17" t="s">
        <v>2153</v>
      </c>
      <c r="F2096" s="17"/>
      <c r="G2096" s="18"/>
      <c r="H2096" s="18"/>
    </row>
    <row r="2097" spans="1:8" ht="13.2">
      <c r="A2097" s="19" t="str">
        <f>HYPERLINK("http://codeforces.com/contest/234/problem/H","CF234-D2-H")</f>
        <v>CF234-D2-H</v>
      </c>
      <c r="B2097" s="29" t="s">
        <v>2163</v>
      </c>
      <c r="C2097" s="24">
        <v>4.5</v>
      </c>
      <c r="D2097" s="18"/>
      <c r="E2097" s="17" t="s">
        <v>2153</v>
      </c>
      <c r="F2097" s="17"/>
      <c r="G2097" s="18"/>
      <c r="H2097" s="18"/>
    </row>
    <row r="2098" spans="1:8" ht="13.2">
      <c r="A2098" s="19" t="str">
        <f>HYPERLINK("http://codeforces.com/contest/384/problem/C","CF384-D2-C")</f>
        <v>CF384-D2-C</v>
      </c>
      <c r="B2098" s="18" t="s">
        <v>2163</v>
      </c>
      <c r="C2098" s="17">
        <v>4.5</v>
      </c>
      <c r="D2098" s="18"/>
      <c r="E2098" s="17" t="s">
        <v>2153</v>
      </c>
      <c r="F2098" s="17"/>
      <c r="G2098" s="18"/>
      <c r="H2098" s="18"/>
    </row>
    <row r="2099" spans="1:8" ht="13.2">
      <c r="A2099" s="19" t="str">
        <f>HYPERLINK("http://codeforces.com/contest/508/problem/C","CF508-D2-C")</f>
        <v>CF508-D2-C</v>
      </c>
      <c r="B2099" s="29" t="s">
        <v>2163</v>
      </c>
      <c r="C2099" s="17">
        <v>4.5</v>
      </c>
      <c r="D2099" s="18"/>
      <c r="E2099" s="17" t="s">
        <v>2153</v>
      </c>
      <c r="F2099" s="17"/>
      <c r="G2099" s="18"/>
      <c r="H2099" s="18"/>
    </row>
    <row r="2100" spans="1:8" ht="13.2">
      <c r="A2100" s="19" t="str">
        <f>HYPERLINK("http://codeforces.com/contest/720/problem/A","CF720-D1-A")</f>
        <v>CF720-D1-A</v>
      </c>
      <c r="B2100" s="18" t="s">
        <v>2163</v>
      </c>
      <c r="C2100" s="17">
        <v>4.5</v>
      </c>
      <c r="D2100" s="18"/>
      <c r="E2100" s="17" t="s">
        <v>2153</v>
      </c>
      <c r="F2100" s="17"/>
      <c r="G2100" s="18"/>
      <c r="H2100" s="18"/>
    </row>
    <row r="2101" spans="1:8" ht="13.2">
      <c r="A2101" s="19" t="str">
        <f>HYPERLINK("http://codeforces.com/contest/721/problem/D","CF721-D2-D")</f>
        <v>CF721-D2-D</v>
      </c>
      <c r="B2101" s="18" t="s">
        <v>2163</v>
      </c>
      <c r="C2101" s="17">
        <v>4.5</v>
      </c>
      <c r="D2101" s="18"/>
      <c r="E2101" s="17" t="s">
        <v>2153</v>
      </c>
      <c r="F2101" s="17"/>
      <c r="G2101" s="18"/>
      <c r="H2101" s="18"/>
    </row>
    <row r="2102" spans="1:8" ht="13.2">
      <c r="A2102" s="19" t="str">
        <f>HYPERLINK("http://codeforces.com/contest/723/problem/C","CF723-D2-C")</f>
        <v>CF723-D2-C</v>
      </c>
      <c r="B2102" s="18" t="s">
        <v>2163</v>
      </c>
      <c r="C2102" s="17">
        <v>4.5</v>
      </c>
      <c r="D2102" s="18"/>
      <c r="E2102" s="17" t="s">
        <v>2153</v>
      </c>
      <c r="F2102" s="17"/>
      <c r="G2102" s="18"/>
      <c r="H2102" s="18"/>
    </row>
    <row r="2103" spans="1:8" ht="13.2">
      <c r="A2103" s="19" t="str">
        <f>HYPERLINK("http://codeforces.com/contest/898/problem/D","CF898-D2-D")</f>
        <v>CF898-D2-D</v>
      </c>
      <c r="B2103" s="18" t="s">
        <v>2163</v>
      </c>
      <c r="C2103" s="17">
        <v>4.5</v>
      </c>
      <c r="D2103" s="18"/>
      <c r="E2103" s="17" t="s">
        <v>2153</v>
      </c>
      <c r="F2103" s="17"/>
      <c r="G2103" s="18"/>
      <c r="H2103" s="18"/>
    </row>
    <row r="2104" spans="1:8" ht="13.2">
      <c r="A2104" s="19" t="str">
        <f>HYPERLINK("http://codeforces.com/contest/92/problem/C","CF92-D2-C")</f>
        <v>CF92-D2-C</v>
      </c>
      <c r="B2104" s="18" t="s">
        <v>2163</v>
      </c>
      <c r="C2104" s="17">
        <v>4.5</v>
      </c>
      <c r="D2104" s="18"/>
      <c r="E2104" s="17" t="s">
        <v>2153</v>
      </c>
      <c r="F2104" s="17"/>
      <c r="G2104" s="18"/>
      <c r="H2104" s="18"/>
    </row>
    <row r="2105" spans="1:8" ht="13.2">
      <c r="A2105" s="19" t="str">
        <f>HYPERLINK("http://codeforces.com/contest/985/problem/C","CF985-D12-C")</f>
        <v>CF985-D12-C</v>
      </c>
      <c r="B2105" s="15" t="s">
        <v>2163</v>
      </c>
      <c r="C2105" s="17">
        <v>4.5</v>
      </c>
      <c r="D2105" s="18"/>
      <c r="E2105" s="17" t="s">
        <v>2153</v>
      </c>
      <c r="F2105" s="17"/>
      <c r="G2105" s="18"/>
      <c r="H2105" s="18"/>
    </row>
    <row r="2106" spans="1:8" ht="13.2">
      <c r="A2106" s="15" t="s">
        <v>2339</v>
      </c>
      <c r="B2106" s="16" t="s">
        <v>2232</v>
      </c>
      <c r="C2106" s="24">
        <v>4.5</v>
      </c>
      <c r="D2106" s="18"/>
      <c r="E2106" s="17" t="s">
        <v>2153</v>
      </c>
      <c r="F2106" s="17"/>
      <c r="G2106" s="18"/>
      <c r="H2106" s="18"/>
    </row>
    <row r="2107" spans="1:8" ht="13.2">
      <c r="A2107" s="15" t="s">
        <v>2340</v>
      </c>
      <c r="B2107" s="28" t="s">
        <v>2341</v>
      </c>
      <c r="C2107" s="24">
        <v>4.5</v>
      </c>
      <c r="D2107" s="18"/>
      <c r="E2107" s="17" t="s">
        <v>2153</v>
      </c>
      <c r="F2107" s="17"/>
      <c r="G2107" s="18"/>
      <c r="H2107" s="18"/>
    </row>
    <row r="2108" spans="1:8" ht="13.2">
      <c r="A2108" s="19" t="str">
        <f>HYPERLINK("http://codeforces.com/contest/148/problem/C","CF148-D2-C")</f>
        <v>CF148-D2-C</v>
      </c>
      <c r="B2108" s="29" t="s">
        <v>2203</v>
      </c>
      <c r="C2108" s="17">
        <v>4.5</v>
      </c>
      <c r="D2108" s="18"/>
      <c r="E2108" s="17" t="s">
        <v>2153</v>
      </c>
      <c r="F2108" s="17"/>
      <c r="G2108" s="18"/>
      <c r="H2108" s="18"/>
    </row>
    <row r="2109" spans="1:8" ht="13.2">
      <c r="A2109" s="19" t="str">
        <f>HYPERLINK("http://codeforces.com/contest/287/problem/C","CF287-D2-C")</f>
        <v>CF287-D2-C</v>
      </c>
      <c r="B2109" s="29" t="s">
        <v>2203</v>
      </c>
      <c r="C2109" s="17">
        <v>4.5</v>
      </c>
      <c r="D2109" s="18"/>
      <c r="E2109" s="17" t="s">
        <v>2153</v>
      </c>
      <c r="F2109" s="17"/>
      <c r="G2109" s="18"/>
      <c r="H2109" s="18"/>
    </row>
    <row r="2110" spans="1:8" ht="13.2">
      <c r="A2110" s="15" t="s">
        <v>2342</v>
      </c>
      <c r="B2110" s="30" t="s">
        <v>2181</v>
      </c>
      <c r="C2110" s="24">
        <v>4.5</v>
      </c>
      <c r="D2110" s="18"/>
      <c r="E2110" s="17" t="s">
        <v>2153</v>
      </c>
      <c r="F2110" s="17"/>
      <c r="G2110" s="18"/>
      <c r="H2110" s="18"/>
    </row>
    <row r="2111" spans="1:8" ht="13.2">
      <c r="A2111" s="19" t="str">
        <f>HYPERLINK("http://codeforces.com/contest/371/problem/D","CF371-D2-D")</f>
        <v>CF371-D2-D</v>
      </c>
      <c r="B2111" s="18" t="s">
        <v>2343</v>
      </c>
      <c r="C2111" s="17">
        <v>4.5</v>
      </c>
      <c r="D2111" s="18"/>
      <c r="E2111" s="17" t="s">
        <v>2153</v>
      </c>
      <c r="F2111" s="17"/>
      <c r="G2111" s="18"/>
      <c r="H2111" s="18"/>
    </row>
    <row r="2112" spans="1:8" ht="13.2">
      <c r="A2112" s="19" t="str">
        <f>HYPERLINK("http://codeforces.com/contest/260/problem/C","CF260-D2-C")</f>
        <v>CF260-D2-C</v>
      </c>
      <c r="B2112" s="29" t="s">
        <v>2225</v>
      </c>
      <c r="C2112" s="17">
        <v>4.5</v>
      </c>
      <c r="D2112" s="18"/>
      <c r="E2112" s="17" t="s">
        <v>2153</v>
      </c>
      <c r="F2112" s="17"/>
      <c r="G2112" s="18"/>
      <c r="H2112" s="18"/>
    </row>
    <row r="2113" spans="1:8" ht="13.2">
      <c r="A2113" s="19" t="str">
        <f>HYPERLINK("http://codeforces.com/contest/387/problem/C","CF387-D2-C")</f>
        <v>CF387-D2-C</v>
      </c>
      <c r="B2113" s="18" t="s">
        <v>2225</v>
      </c>
      <c r="C2113" s="17">
        <v>4.5</v>
      </c>
      <c r="D2113" s="18"/>
      <c r="E2113" s="17" t="s">
        <v>2153</v>
      </c>
      <c r="F2113" s="17"/>
      <c r="G2113" s="18"/>
      <c r="H2113" s="18"/>
    </row>
    <row r="2114" spans="1:8" ht="13.2">
      <c r="A2114" s="19" t="str">
        <f>HYPERLINK("http://codeforces.com/contest/405/problem/D","CF405-D2-D")</f>
        <v>CF405-D2-D</v>
      </c>
      <c r="B2114" s="18" t="s">
        <v>2344</v>
      </c>
      <c r="C2114" s="17">
        <v>4.5</v>
      </c>
      <c r="D2114" s="18"/>
      <c r="E2114" s="17" t="s">
        <v>2153</v>
      </c>
      <c r="F2114" s="17"/>
      <c r="G2114" s="18"/>
      <c r="H2114" s="18"/>
    </row>
    <row r="2115" spans="1:8" ht="13.2">
      <c r="A2115" s="19" t="str">
        <f>HYPERLINK("http://codeforces.com/contest/266/problem/C","CF266-D2-C")</f>
        <v>CF266-D2-C</v>
      </c>
      <c r="B2115" s="29" t="s">
        <v>2200</v>
      </c>
      <c r="C2115" s="24">
        <v>4.5</v>
      </c>
      <c r="D2115" s="18"/>
      <c r="E2115" s="17" t="s">
        <v>2153</v>
      </c>
      <c r="F2115" s="17"/>
      <c r="G2115" s="18"/>
      <c r="H2115" s="18"/>
    </row>
    <row r="2116" spans="1:8" ht="13.2">
      <c r="A2116" s="15" t="s">
        <v>2345</v>
      </c>
      <c r="B2116" s="16" t="s">
        <v>2313</v>
      </c>
      <c r="C2116" s="31">
        <v>4.5</v>
      </c>
      <c r="D2116" s="18"/>
      <c r="E2116" s="17" t="s">
        <v>2153</v>
      </c>
      <c r="F2116" s="17"/>
      <c r="G2116" s="18"/>
      <c r="H2116" s="18"/>
    </row>
    <row r="2117" spans="1:8" ht="13.2">
      <c r="A2117" s="15" t="s">
        <v>2346</v>
      </c>
      <c r="B2117" s="29" t="s">
        <v>2248</v>
      </c>
      <c r="C2117" s="24">
        <v>4.5</v>
      </c>
      <c r="D2117" s="26" t="str">
        <f>HYPERLINK("http://ideone.com/J4ZSf4","Sol")</f>
        <v>Sol</v>
      </c>
      <c r="E2117" s="17" t="s">
        <v>2153</v>
      </c>
      <c r="F2117" s="17"/>
      <c r="G2117" s="18"/>
      <c r="H2117" s="18"/>
    </row>
    <row r="2118" spans="1:8" ht="13.2">
      <c r="A2118" s="19" t="str">
        <f>HYPERLINK("http://codeforces.com/contest/747/problem/D","CF747-D2-D")</f>
        <v>CF747-D2-D</v>
      </c>
      <c r="B2118" s="29" t="s">
        <v>2296</v>
      </c>
      <c r="C2118" s="24">
        <v>4.5</v>
      </c>
      <c r="D2118" s="18"/>
      <c r="E2118" s="17" t="s">
        <v>2153</v>
      </c>
      <c r="F2118" s="17"/>
      <c r="G2118" s="18"/>
      <c r="H2118" s="18"/>
    </row>
    <row r="2119" spans="1:8" ht="13.2">
      <c r="A2119" s="19" t="str">
        <f>HYPERLINK("http://codeforces.com/contest/58/problem/D","CF58-D2-D")</f>
        <v>CF58-D2-D</v>
      </c>
      <c r="B2119" s="18" t="s">
        <v>2171</v>
      </c>
      <c r="C2119" s="17">
        <v>4.5</v>
      </c>
      <c r="D2119" s="18"/>
      <c r="E2119" s="17" t="s">
        <v>2153</v>
      </c>
      <c r="F2119" s="17"/>
      <c r="G2119" s="18"/>
      <c r="H2119" s="18"/>
    </row>
    <row r="2120" spans="1:8" ht="13.2">
      <c r="A2120" s="19" t="str">
        <f>HYPERLINK("http://codeforces.com/contest/883/problem/K","CF883-D12-K")</f>
        <v>CF883-D12-K</v>
      </c>
      <c r="B2120" s="15" t="s">
        <v>2163</v>
      </c>
      <c r="C2120" s="17">
        <v>4.25</v>
      </c>
      <c r="D2120" s="18"/>
      <c r="E2120" s="17" t="s">
        <v>2153</v>
      </c>
      <c r="F2120" s="17" t="s">
        <v>139</v>
      </c>
      <c r="G2120" s="18"/>
      <c r="H2120" s="18"/>
    </row>
    <row r="2121" spans="1:8" ht="13.2">
      <c r="A2121" s="15" t="s">
        <v>2347</v>
      </c>
      <c r="B2121" s="38" t="s">
        <v>2247</v>
      </c>
      <c r="C2121" s="17">
        <v>4</v>
      </c>
      <c r="D2121" s="18"/>
      <c r="E2121" s="17" t="s">
        <v>2153</v>
      </c>
      <c r="F2121" s="17" t="s">
        <v>255</v>
      </c>
      <c r="G2121" s="18"/>
      <c r="H2121" s="18"/>
    </row>
    <row r="2122" spans="1:8" ht="13.2">
      <c r="A2122" s="15" t="s">
        <v>2348</v>
      </c>
      <c r="B2122" s="16" t="s">
        <v>2163</v>
      </c>
      <c r="C2122" s="17">
        <v>4</v>
      </c>
      <c r="D2122" s="18"/>
      <c r="E2122" s="17" t="s">
        <v>2153</v>
      </c>
      <c r="F2122" s="17" t="s">
        <v>229</v>
      </c>
      <c r="G2122" s="18"/>
      <c r="H2122" s="18"/>
    </row>
    <row r="2123" spans="1:8" ht="13.2">
      <c r="A2123" s="19" t="str">
        <f>HYPERLINK("https://uva.onlinejudge.org/index.php?option=onlinejudge&amp;page=show_problem&amp;problem=3276","UVA 12124")</f>
        <v>UVA 12124</v>
      </c>
      <c r="B2123" s="29" t="s">
        <v>2349</v>
      </c>
      <c r="C2123" s="17">
        <v>4</v>
      </c>
      <c r="D2123" s="26" t="str">
        <f>HYPERLINK("https://github.com/mostafa-saad/MyCompetitiveProgramming/blob/master/UVA/UVA_12124.txt","Sol")</f>
        <v>Sol</v>
      </c>
      <c r="E2123" s="17" t="s">
        <v>2153</v>
      </c>
      <c r="F2123" s="17" t="s">
        <v>229</v>
      </c>
      <c r="G2123" s="18"/>
      <c r="H2123" s="18"/>
    </row>
    <row r="2124" spans="1:8" ht="13.2">
      <c r="A2124" s="19" t="str">
        <f>HYPERLINK("https://www.codechef.com/problems/KSUM","CODECHEF KSUM")</f>
        <v>CODECHEF KSUM</v>
      </c>
      <c r="B2124" s="29" t="s">
        <v>2350</v>
      </c>
      <c r="C2124" s="24">
        <v>4</v>
      </c>
      <c r="D2124" s="26" t="str">
        <f>HYPERLINK("https://www.codechef.com/viewsolution/18635981","Sol")</f>
        <v>Sol</v>
      </c>
      <c r="E2124" s="17" t="s">
        <v>2153</v>
      </c>
      <c r="F2124" s="17" t="s">
        <v>1112</v>
      </c>
      <c r="G2124" s="18"/>
      <c r="H2124" s="18"/>
    </row>
    <row r="2125" spans="1:8" ht="13.2">
      <c r="A2125" s="19" t="str">
        <f>HYPERLINK("https://codeforces.com/contest/1151/problem/D","CF1151-D2-D")</f>
        <v>CF1151-D2-D</v>
      </c>
      <c r="B2125" s="20" t="s">
        <v>2163</v>
      </c>
      <c r="C2125" s="17">
        <v>4</v>
      </c>
      <c r="D2125" s="18"/>
      <c r="E2125" s="17" t="s">
        <v>2153</v>
      </c>
      <c r="F2125" s="17" t="s">
        <v>139</v>
      </c>
      <c r="G2125" s="18"/>
      <c r="H2125" s="18"/>
    </row>
    <row r="2126" spans="1:8" ht="13.2">
      <c r="A2126" s="15" t="s">
        <v>2351</v>
      </c>
      <c r="B2126" s="15" t="s">
        <v>2352</v>
      </c>
      <c r="C2126" s="17">
        <v>4</v>
      </c>
      <c r="D2126" s="18"/>
      <c r="E2126" s="17" t="s">
        <v>2153</v>
      </c>
      <c r="F2126" s="17" t="s">
        <v>139</v>
      </c>
      <c r="G2126" s="18"/>
      <c r="H2126" s="18"/>
    </row>
    <row r="2127" spans="1:8" ht="13.2">
      <c r="A2127" s="19" t="str">
        <f>HYPERLINK("https://codeforces.com/contest/1064/problem/C","CF1064-D2-C")</f>
        <v>CF1064-D2-C</v>
      </c>
      <c r="B2127" s="15" t="s">
        <v>2353</v>
      </c>
      <c r="C2127" s="17">
        <v>4</v>
      </c>
      <c r="D2127" s="18" t="s">
        <v>2354</v>
      </c>
      <c r="E2127" s="17" t="s">
        <v>2153</v>
      </c>
      <c r="F2127" s="17" t="s">
        <v>139</v>
      </c>
      <c r="G2127" s="18"/>
      <c r="H2127" s="18"/>
    </row>
    <row r="2128" spans="1:8" ht="13.2">
      <c r="A2128" s="19" t="str">
        <f>HYPERLINK("http://codeforces.com/gym/101597/problem/J","CF101597-gym-J")</f>
        <v>CF101597-gym-J</v>
      </c>
      <c r="B2128" s="15" t="s">
        <v>2355</v>
      </c>
      <c r="C2128" s="17">
        <v>4</v>
      </c>
      <c r="D2128" s="18"/>
      <c r="E2128" s="17" t="s">
        <v>2153</v>
      </c>
      <c r="F2128" s="17" t="s">
        <v>139</v>
      </c>
      <c r="G2128" s="18"/>
      <c r="H2128" s="18"/>
    </row>
    <row r="2129" spans="1:8" ht="13.2">
      <c r="A2129" s="19" t="str">
        <f>HYPERLINK("http://codeforces.com/contest/534/problem/D","CF534-D2-D")</f>
        <v>CF534-D2-D</v>
      </c>
      <c r="B2129" s="28" t="s">
        <v>2356</v>
      </c>
      <c r="C2129" s="17">
        <v>4</v>
      </c>
      <c r="D2129" s="18"/>
      <c r="E2129" s="17" t="s">
        <v>2153</v>
      </c>
      <c r="F2129" s="17" t="s">
        <v>613</v>
      </c>
      <c r="G2129" s="18"/>
      <c r="H2129" s="18"/>
    </row>
    <row r="2130" spans="1:8" ht="13.2">
      <c r="A2130" s="19" t="str">
        <f>HYPERLINK("http://codeforces.com/contest/1065/problem/C","CF1065-D12-C")</f>
        <v>CF1065-D12-C</v>
      </c>
      <c r="B2130" s="15" t="s">
        <v>2163</v>
      </c>
      <c r="C2130" s="17">
        <v>4</v>
      </c>
      <c r="D2130" s="18"/>
      <c r="E2130" s="17" t="s">
        <v>2153</v>
      </c>
      <c r="F2130" s="17" t="s">
        <v>201</v>
      </c>
      <c r="G2130" s="18"/>
      <c r="H2130" s="18"/>
    </row>
    <row r="2131" spans="1:8" ht="13.2">
      <c r="A2131" s="19" t="str">
        <f>HYPERLINK("http://codeforces.com/contest/445/problem/C","CF445-D2-C")</f>
        <v>CF445-D2-C</v>
      </c>
      <c r="B2131" s="29" t="s">
        <v>2163</v>
      </c>
      <c r="C2131" s="17">
        <v>4</v>
      </c>
      <c r="D2131" s="18"/>
      <c r="E2131" s="17" t="s">
        <v>2153</v>
      </c>
      <c r="F2131" s="17" t="s">
        <v>201</v>
      </c>
      <c r="G2131" s="18"/>
      <c r="H2131" s="18"/>
    </row>
    <row r="2132" spans="1:8" ht="13.2">
      <c r="A2132" s="19" t="str">
        <f>HYPERLINK("http://codeforces.com/contest/567/problem/C","CF567-D2-C")</f>
        <v>CF567-D2-C</v>
      </c>
      <c r="B2132" s="29" t="s">
        <v>2163</v>
      </c>
      <c r="C2132" s="17">
        <v>4</v>
      </c>
      <c r="D2132" s="18"/>
      <c r="E2132" s="17" t="s">
        <v>2153</v>
      </c>
      <c r="F2132" s="17" t="s">
        <v>201</v>
      </c>
      <c r="G2132" s="18"/>
      <c r="H2132" s="18"/>
    </row>
    <row r="2133" spans="1:8" ht="13.2">
      <c r="A2133" s="19" t="str">
        <f>HYPERLINK("https://codeforces.com/contest/1056/problem/C","CF1056-D12-C")</f>
        <v>CF1056-D12-C</v>
      </c>
      <c r="B2133" s="15" t="s">
        <v>2357</v>
      </c>
      <c r="C2133" s="17">
        <v>4</v>
      </c>
      <c r="D2133" s="18"/>
      <c r="E2133" s="17" t="s">
        <v>2153</v>
      </c>
      <c r="F2133" s="17" t="s">
        <v>201</v>
      </c>
      <c r="G2133" s="18"/>
      <c r="H2133" s="18"/>
    </row>
    <row r="2134" spans="1:8" ht="13.2">
      <c r="A2134" s="15" t="s">
        <v>2358</v>
      </c>
      <c r="B2134" s="29" t="s">
        <v>2200</v>
      </c>
      <c r="C2134" s="17">
        <v>4</v>
      </c>
      <c r="D2134" s="18"/>
      <c r="E2134" s="17" t="s">
        <v>2153</v>
      </c>
      <c r="F2134" s="17" t="s">
        <v>201</v>
      </c>
      <c r="G2134" s="18"/>
      <c r="H2134" s="18"/>
    </row>
    <row r="2135" spans="1:8" ht="13.2">
      <c r="A2135" s="19" t="str">
        <f>HYPERLINK("https://cses.fi/problemset/task/1084/","CSES 1084")</f>
        <v>CSES 1084</v>
      </c>
      <c r="B2135" s="20" t="s">
        <v>2359</v>
      </c>
      <c r="C2135" s="21">
        <v>4</v>
      </c>
      <c r="D2135" s="26" t="str">
        <f>HYPERLINK("https://github.com/MedoN11/CompetitiveProgramming/blob/master/CSES%20ProblemSet/apartmen.cpp","Sol")</f>
        <v>Sol</v>
      </c>
      <c r="E2135" s="17" t="s">
        <v>2153</v>
      </c>
      <c r="F2135" s="17" t="s">
        <v>242</v>
      </c>
      <c r="G2135" s="18"/>
      <c r="H2135" s="18"/>
    </row>
    <row r="2136" spans="1:8" ht="13.2">
      <c r="A2136" s="19" t="str">
        <f>HYPERLINK("https://cses.fi/problemset/task/1090/","CSES 1090")</f>
        <v>CSES 1090</v>
      </c>
      <c r="B2136" s="20" t="s">
        <v>2360</v>
      </c>
      <c r="C2136" s="21">
        <v>4</v>
      </c>
      <c r="D2136" s="26" t="str">
        <f>HYPERLINK("https://github.com/MedoN11/CompetitiveProgramming/blob/master/CSES%20ProblemSet/main.cpp","Sol")</f>
        <v>Sol</v>
      </c>
      <c r="E2136" s="17" t="s">
        <v>2153</v>
      </c>
      <c r="F2136" s="17" t="s">
        <v>242</v>
      </c>
      <c r="G2136" s="18"/>
      <c r="H2136" s="18"/>
    </row>
    <row r="2137" spans="1:8" ht="13.2">
      <c r="A2137" s="19" t="str">
        <f>HYPERLINK("http://codeforces.com/problemset/problem/899/C","CF899-D2-C")</f>
        <v>CF899-D2-C</v>
      </c>
      <c r="B2137" s="18" t="s">
        <v>2361</v>
      </c>
      <c r="C2137" s="17">
        <v>4</v>
      </c>
      <c r="D2137" s="18" t="s">
        <v>2362</v>
      </c>
      <c r="E2137" s="17" t="s">
        <v>2153</v>
      </c>
      <c r="F2137" s="17" t="s">
        <v>242</v>
      </c>
      <c r="G2137" s="18"/>
      <c r="H2137" s="18"/>
    </row>
    <row r="2138" spans="1:8" ht="13.2">
      <c r="A2138" s="19" t="str">
        <f>HYPERLINK("http://codeforces.com/contest/376/problem/D","CF376-D2-D")</f>
        <v>CF376-D2-D</v>
      </c>
      <c r="B2138" s="29" t="s">
        <v>2363</v>
      </c>
      <c r="C2138" s="17">
        <v>4</v>
      </c>
      <c r="D2138" s="18"/>
      <c r="E2138" s="17" t="s">
        <v>2153</v>
      </c>
      <c r="F2138" s="17" t="s">
        <v>242</v>
      </c>
      <c r="G2138" s="18"/>
      <c r="H2138" s="18"/>
    </row>
    <row r="2139" spans="1:8" ht="13.2">
      <c r="A2139" s="19" t="str">
        <f>HYPERLINK("http://codeforces.com/contest/103/problem/C","CF103-D1-C")</f>
        <v>CF103-D1-C</v>
      </c>
      <c r="B2139" s="15" t="s">
        <v>2163</v>
      </c>
      <c r="C2139" s="33">
        <v>4</v>
      </c>
      <c r="D2139" s="18"/>
      <c r="E2139" s="17" t="s">
        <v>2153</v>
      </c>
      <c r="F2139" s="17"/>
      <c r="G2139" s="18"/>
      <c r="H2139" s="18"/>
    </row>
    <row r="2140" spans="1:8" ht="13.2">
      <c r="A2140" s="19" t="str">
        <f>HYPERLINK("http://codeforces.com/contest/116/problem/D","CF116-D2-D")</f>
        <v>CF116-D2-D</v>
      </c>
      <c r="B2140" s="18" t="s">
        <v>2163</v>
      </c>
      <c r="C2140" s="17">
        <v>4</v>
      </c>
      <c r="D2140" s="18"/>
      <c r="E2140" s="17" t="s">
        <v>2153</v>
      </c>
      <c r="F2140" s="17"/>
      <c r="G2140" s="18"/>
      <c r="H2140" s="18"/>
    </row>
    <row r="2141" spans="1:8" ht="13.2">
      <c r="A2141" s="19" t="str">
        <f>HYPERLINK("https://codeforces.com/contest/1180/problem/D","CF1180-D2-D")</f>
        <v>CF1180-D2-D</v>
      </c>
      <c r="B2141" s="15" t="s">
        <v>2163</v>
      </c>
      <c r="C2141" s="17">
        <v>4</v>
      </c>
      <c r="D2141" s="18"/>
      <c r="E2141" s="17" t="s">
        <v>2153</v>
      </c>
      <c r="F2141" s="17"/>
      <c r="G2141" s="18"/>
      <c r="H2141" s="18"/>
    </row>
    <row r="2142" spans="1:8" ht="13.2">
      <c r="A2142" s="19" t="str">
        <f>HYPERLINK("http://codeforces.com/contest/216/problem/C","CF216-D2-C")</f>
        <v>CF216-D2-C</v>
      </c>
      <c r="B2142" s="29" t="s">
        <v>2163</v>
      </c>
      <c r="C2142" s="17">
        <v>4</v>
      </c>
      <c r="D2142" s="18"/>
      <c r="E2142" s="17" t="s">
        <v>2153</v>
      </c>
      <c r="F2142" s="17"/>
      <c r="G2142" s="18"/>
      <c r="H2142" s="18"/>
    </row>
    <row r="2143" spans="1:8" ht="13.2">
      <c r="A2143" s="19" t="str">
        <f>HYPERLINK("http://codeforces.com/contest/240/problem/D","CF240-D1-D")</f>
        <v>CF240-D1-D</v>
      </c>
      <c r="B2143" s="29" t="s">
        <v>2163</v>
      </c>
      <c r="C2143" s="17">
        <v>4</v>
      </c>
      <c r="D2143" s="18"/>
      <c r="E2143" s="17" t="s">
        <v>2153</v>
      </c>
      <c r="F2143" s="17"/>
      <c r="G2143" s="18"/>
      <c r="H2143" s="18"/>
    </row>
    <row r="2144" spans="1:8" ht="13.2">
      <c r="A2144" s="19" t="str">
        <f>HYPERLINK("http://codeforces.com/contest/545/problem/D","CF545-D2-D")</f>
        <v>CF545-D2-D</v>
      </c>
      <c r="B2144" s="18" t="s">
        <v>2163</v>
      </c>
      <c r="C2144" s="17">
        <v>4</v>
      </c>
      <c r="D2144" s="18"/>
      <c r="E2144" s="17" t="s">
        <v>2153</v>
      </c>
      <c r="F2144" s="17"/>
      <c r="G2144" s="18"/>
      <c r="H2144" s="18"/>
    </row>
    <row r="2145" spans="1:8" ht="13.2">
      <c r="A2145" s="19" t="str">
        <f>HYPERLINK("http://codeforces.com/contest/81/problem/D","CF81-D12-D")</f>
        <v>CF81-D12-D</v>
      </c>
      <c r="B2145" s="29" t="s">
        <v>2163</v>
      </c>
      <c r="C2145" s="17">
        <v>4</v>
      </c>
      <c r="D2145" s="18"/>
      <c r="E2145" s="17" t="s">
        <v>2153</v>
      </c>
      <c r="F2145" s="17"/>
      <c r="G2145" s="18"/>
      <c r="H2145" s="18"/>
    </row>
    <row r="2146" spans="1:8" ht="13.2">
      <c r="A2146" s="19" t="str">
        <f>HYPERLINK("http://codeforces.com/contest/920/problem/C","CF920-D2-C")</f>
        <v>CF920-D2-C</v>
      </c>
      <c r="B2146" s="18" t="s">
        <v>2163</v>
      </c>
      <c r="C2146" s="17">
        <v>4</v>
      </c>
      <c r="D2146" s="18"/>
      <c r="E2146" s="17" t="s">
        <v>2153</v>
      </c>
      <c r="F2146" s="17"/>
      <c r="G2146" s="18"/>
      <c r="H2146" s="18"/>
    </row>
    <row r="2147" spans="1:8" ht="13.2">
      <c r="A2147" s="19" t="str">
        <f>HYPERLINK("http://codeforces.com/contest/980/problem/C","CF980-D2-C")</f>
        <v>CF980-D2-C</v>
      </c>
      <c r="B2147" s="15" t="s">
        <v>2163</v>
      </c>
      <c r="C2147" s="17">
        <v>4</v>
      </c>
      <c r="D2147" s="18"/>
      <c r="E2147" s="17" t="s">
        <v>2153</v>
      </c>
      <c r="F2147" s="17"/>
      <c r="G2147" s="18"/>
      <c r="H2147" s="18"/>
    </row>
    <row r="2148" spans="1:8" ht="13.2">
      <c r="A2148" s="15" t="s">
        <v>2364</v>
      </c>
      <c r="B2148" s="16" t="s">
        <v>2163</v>
      </c>
      <c r="C2148" s="33">
        <v>4</v>
      </c>
      <c r="D2148" s="18"/>
      <c r="E2148" s="17" t="s">
        <v>2153</v>
      </c>
      <c r="F2148" s="17"/>
      <c r="G2148" s="18"/>
      <c r="H2148" s="18"/>
    </row>
    <row r="2149" spans="1:8" ht="13.2">
      <c r="A2149" s="15" t="s">
        <v>2365</v>
      </c>
      <c r="B2149" s="34" t="s">
        <v>2163</v>
      </c>
      <c r="C2149" s="33">
        <v>4</v>
      </c>
      <c r="D2149" s="18"/>
      <c r="E2149" s="17" t="s">
        <v>2153</v>
      </c>
      <c r="F2149" s="17"/>
      <c r="G2149" s="18"/>
      <c r="H2149" s="18"/>
    </row>
    <row r="2150" spans="1:8" ht="13.2">
      <c r="A2150" s="15" t="s">
        <v>2366</v>
      </c>
      <c r="B2150" s="29" t="s">
        <v>2163</v>
      </c>
      <c r="C2150" s="17">
        <v>4</v>
      </c>
      <c r="D2150" s="18"/>
      <c r="E2150" s="17" t="s">
        <v>2153</v>
      </c>
      <c r="F2150" s="17"/>
      <c r="G2150" s="18"/>
      <c r="H2150" s="18"/>
    </row>
    <row r="2151" spans="1:8" ht="13.2">
      <c r="A2151" s="19" t="str">
        <f>HYPERLINK("http://codeforces.com/contest/754/problem/C","CF754-D2-C")</f>
        <v>CF754-D2-C</v>
      </c>
      <c r="B2151" s="18" t="s">
        <v>2281</v>
      </c>
      <c r="C2151" s="17">
        <v>4</v>
      </c>
      <c r="D2151" s="18"/>
      <c r="E2151" s="17" t="s">
        <v>2153</v>
      </c>
      <c r="F2151" s="17"/>
      <c r="G2151" s="18"/>
      <c r="H2151" s="18"/>
    </row>
    <row r="2152" spans="1:8" ht="13.2">
      <c r="A2152" s="15" t="s">
        <v>2367</v>
      </c>
      <c r="B2152" s="29" t="s">
        <v>2368</v>
      </c>
      <c r="C2152" s="33">
        <v>4</v>
      </c>
      <c r="D2152" s="18"/>
      <c r="E2152" s="17" t="s">
        <v>2153</v>
      </c>
      <c r="F2152" s="17"/>
      <c r="G2152" s="18"/>
      <c r="H2152" s="18"/>
    </row>
    <row r="2153" spans="1:8" ht="13.2">
      <c r="A2153" s="19" t="str">
        <f>HYPERLINK("http://codeforces.com/contest/909/problem/E","CF909-D2-E")</f>
        <v>CF909-D2-E</v>
      </c>
      <c r="B2153" s="18" t="s">
        <v>2369</v>
      </c>
      <c r="C2153" s="33">
        <v>4</v>
      </c>
      <c r="D2153" s="18"/>
      <c r="E2153" s="17" t="s">
        <v>2153</v>
      </c>
      <c r="F2153" s="17"/>
      <c r="G2153" s="18"/>
      <c r="H2153" s="18"/>
    </row>
    <row r="2154" spans="1:8" ht="13.2">
      <c r="A2154" s="19" t="str">
        <f>HYPERLINK("http://codeforces.com/contest/370/problem/C","CF370-D2-C")</f>
        <v>CF370-D2-C</v>
      </c>
      <c r="B2154" s="18" t="s">
        <v>2203</v>
      </c>
      <c r="C2154" s="17">
        <v>4</v>
      </c>
      <c r="D2154" s="18"/>
      <c r="E2154" s="17" t="s">
        <v>2153</v>
      </c>
      <c r="F2154" s="17"/>
      <c r="G2154" s="18"/>
      <c r="H2154" s="18"/>
    </row>
    <row r="2155" spans="1:8" ht="13.2">
      <c r="A2155" s="19" t="str">
        <f>HYPERLINK("http://codeforces.com/contest/401/problem/C","CF401-D2-C")</f>
        <v>CF401-D2-C</v>
      </c>
      <c r="B2155" s="29" t="s">
        <v>2203</v>
      </c>
      <c r="C2155" s="17">
        <v>4</v>
      </c>
      <c r="D2155" s="18"/>
      <c r="E2155" s="17" t="s">
        <v>2153</v>
      </c>
      <c r="F2155" s="17"/>
      <c r="G2155" s="18"/>
      <c r="H2155" s="18"/>
    </row>
    <row r="2156" spans="1:8" ht="13.2">
      <c r="A2156" s="15" t="s">
        <v>2370</v>
      </c>
      <c r="B2156" s="38" t="s">
        <v>2371</v>
      </c>
      <c r="C2156" s="17">
        <v>4</v>
      </c>
      <c r="D2156" s="26" t="str">
        <f>HYPERLINK("https://github.com/ilyesG/Competitive-Programming/blob/master/UVA/UVA%201623.cpp","Sol")</f>
        <v>Sol</v>
      </c>
      <c r="E2156" s="17" t="s">
        <v>2153</v>
      </c>
      <c r="F2156" s="17"/>
      <c r="G2156" s="18"/>
      <c r="H2156" s="18"/>
    </row>
    <row r="2157" spans="1:8" ht="13.2">
      <c r="A2157" s="19" t="str">
        <f>HYPERLINK("http://codeforces.com/contest/59/problem/D","CF59-D2-D")</f>
        <v>CF59-D2-D</v>
      </c>
      <c r="B2157" s="29" t="s">
        <v>2372</v>
      </c>
      <c r="C2157" s="24">
        <v>4</v>
      </c>
      <c r="D2157" s="18"/>
      <c r="E2157" s="17" t="s">
        <v>2153</v>
      </c>
      <c r="F2157" s="17"/>
      <c r="G2157" s="18"/>
      <c r="H2157" s="18"/>
    </row>
    <row r="2158" spans="1:8" ht="13.2">
      <c r="A2158" s="19" t="str">
        <f>HYPERLINK("http://codeforces.com/contest/166/problem/C","CF166-D2-C")</f>
        <v>CF166-D2-C</v>
      </c>
      <c r="B2158" s="18" t="s">
        <v>2200</v>
      </c>
      <c r="C2158" s="17">
        <v>4</v>
      </c>
      <c r="D2158" s="18"/>
      <c r="E2158" s="17" t="s">
        <v>2153</v>
      </c>
      <c r="F2158" s="17"/>
      <c r="G2158" s="18"/>
      <c r="H2158" s="18"/>
    </row>
    <row r="2159" spans="1:8" ht="13.2">
      <c r="A2159" s="19" t="str">
        <f>HYPERLINK("http://codeforces.com/contest/515/problem/C","CF515-D2-C")</f>
        <v>CF515-D2-C</v>
      </c>
      <c r="B2159" s="29" t="s">
        <v>2200</v>
      </c>
      <c r="C2159" s="17">
        <v>4</v>
      </c>
      <c r="D2159" s="18"/>
      <c r="E2159" s="17" t="s">
        <v>2153</v>
      </c>
      <c r="F2159" s="17"/>
      <c r="G2159" s="18"/>
      <c r="H2159" s="18"/>
    </row>
    <row r="2160" spans="1:8" ht="13.2">
      <c r="A2160" s="15" t="s">
        <v>2373</v>
      </c>
      <c r="B2160" s="29" t="s">
        <v>2374</v>
      </c>
      <c r="C2160" s="24">
        <v>4</v>
      </c>
      <c r="D2160" s="18"/>
      <c r="E2160" s="17" t="s">
        <v>2153</v>
      </c>
      <c r="F2160" s="17"/>
      <c r="G2160" s="18"/>
      <c r="H2160" s="18"/>
    </row>
    <row r="2161" spans="1:8" ht="13.2">
      <c r="A2161" s="15" t="s">
        <v>2375</v>
      </c>
      <c r="B2161" s="16" t="s">
        <v>2313</v>
      </c>
      <c r="C2161" s="31">
        <v>4</v>
      </c>
      <c r="D2161" s="18"/>
      <c r="E2161" s="17" t="s">
        <v>2153</v>
      </c>
      <c r="F2161" s="17"/>
      <c r="G2161" s="18"/>
      <c r="H2161" s="18"/>
    </row>
    <row r="2162" spans="1:8" ht="13.2">
      <c r="A2162" s="15" t="s">
        <v>2376</v>
      </c>
      <c r="B2162" s="34" t="s">
        <v>2377</v>
      </c>
      <c r="C2162" s="31">
        <v>4</v>
      </c>
      <c r="D2162" s="18"/>
      <c r="E2162" s="17" t="s">
        <v>2153</v>
      </c>
      <c r="F2162" s="17"/>
      <c r="G2162" s="18"/>
      <c r="H2162" s="18"/>
    </row>
    <row r="2163" spans="1:8" ht="13.2">
      <c r="A2163" s="19" t="str">
        <f>HYPERLINK("http://codeforces.com/contest/137/problem/C","CF137-D2-C")</f>
        <v>CF137-D2-C</v>
      </c>
      <c r="B2163" s="18" t="s">
        <v>2248</v>
      </c>
      <c r="C2163" s="17">
        <v>4</v>
      </c>
      <c r="D2163" s="18"/>
      <c r="E2163" s="17" t="s">
        <v>2153</v>
      </c>
      <c r="F2163" s="17"/>
      <c r="G2163" s="18"/>
      <c r="H2163" s="18"/>
    </row>
    <row r="2164" spans="1:8" ht="13.2">
      <c r="A2164" s="19" t="str">
        <f>HYPERLINK("http://codeforces.com/contest/432/problem/C","CF432-D2-C")</f>
        <v>CF432-D2-C</v>
      </c>
      <c r="B2164" s="18" t="s">
        <v>2248</v>
      </c>
      <c r="C2164" s="17">
        <v>4</v>
      </c>
      <c r="D2164" s="18"/>
      <c r="E2164" s="17" t="s">
        <v>2153</v>
      </c>
      <c r="F2164" s="17"/>
      <c r="G2164" s="18"/>
      <c r="H2164" s="18"/>
    </row>
    <row r="2165" spans="1:8" ht="13.2">
      <c r="A2165" s="19" t="str">
        <f>HYPERLINK("http://codeforces.com/contest/492/problem/C","CF492-D2-C")</f>
        <v>CF492-D2-C</v>
      </c>
      <c r="B2165" s="18" t="s">
        <v>2248</v>
      </c>
      <c r="C2165" s="17">
        <v>4</v>
      </c>
      <c r="D2165" s="18"/>
      <c r="E2165" s="17" t="s">
        <v>2153</v>
      </c>
      <c r="F2165" s="17"/>
      <c r="G2165" s="18"/>
      <c r="H2165" s="18"/>
    </row>
    <row r="2166" spans="1:8" ht="13.2">
      <c r="A2166" s="15" t="s">
        <v>2378</v>
      </c>
      <c r="B2166" s="15" t="s">
        <v>2379</v>
      </c>
      <c r="C2166" s="24">
        <v>4</v>
      </c>
      <c r="D2166" s="18"/>
      <c r="E2166" s="17" t="s">
        <v>2153</v>
      </c>
      <c r="F2166" s="17"/>
      <c r="G2166" s="18"/>
      <c r="H2166" s="18"/>
    </row>
    <row r="2167" spans="1:8" ht="13.2">
      <c r="A2167" s="15" t="s">
        <v>2380</v>
      </c>
      <c r="B2167" s="34" t="s">
        <v>2171</v>
      </c>
      <c r="C2167" s="17">
        <v>4</v>
      </c>
      <c r="D2167" s="18"/>
      <c r="E2167" s="17" t="s">
        <v>2153</v>
      </c>
      <c r="F2167" s="17"/>
      <c r="G2167" s="18"/>
      <c r="H2167" s="18"/>
    </row>
    <row r="2168" spans="1:8" ht="13.2">
      <c r="A2168" s="19" t="str">
        <f>HYPERLINK("https://codeforces.com/contest/1104/problem/C","CF1104-D2-C")</f>
        <v>CF1104-D2-C</v>
      </c>
      <c r="B2168" s="20" t="s">
        <v>2163</v>
      </c>
      <c r="C2168" s="21">
        <v>3.5</v>
      </c>
      <c r="D2168" s="18"/>
      <c r="E2168" s="17" t="s">
        <v>2153</v>
      </c>
      <c r="F2168" s="17" t="s">
        <v>139</v>
      </c>
      <c r="G2168" s="18"/>
      <c r="H2168" s="18"/>
    </row>
    <row r="2169" spans="1:8" ht="13.2">
      <c r="A2169" s="19" t="str">
        <f>HYPERLINK("http://codeforces.com/contest/416/problem/C","CF416-D2-C")</f>
        <v>CF416-D2-C</v>
      </c>
      <c r="B2169" s="29" t="s">
        <v>2363</v>
      </c>
      <c r="C2169" s="17">
        <v>3.5</v>
      </c>
      <c r="D2169" s="18"/>
      <c r="E2169" s="17" t="s">
        <v>2153</v>
      </c>
      <c r="F2169" s="17" t="s">
        <v>139</v>
      </c>
      <c r="G2169" s="18"/>
      <c r="H2169" s="18"/>
    </row>
    <row r="2170" spans="1:8" ht="13.2">
      <c r="A2170" s="19" t="str">
        <f>HYPERLINK("http://codeforces.com/contest/979/problem/B","CF979-D2-B")</f>
        <v>CF979-D2-B</v>
      </c>
      <c r="B2170" s="29" t="s">
        <v>2187</v>
      </c>
      <c r="C2170" s="21">
        <v>3.5</v>
      </c>
      <c r="D2170" s="18"/>
      <c r="E2170" s="17" t="s">
        <v>2153</v>
      </c>
      <c r="F2170" s="17" t="s">
        <v>242</v>
      </c>
      <c r="G2170" s="18"/>
      <c r="H2170" s="18"/>
    </row>
    <row r="2171" spans="1:8" ht="13.2">
      <c r="A2171" s="19" t="str">
        <f>HYPERLINK("http://www.spoj.com/problems/CHOCOLA/","SPOJ CHOCOLA")</f>
        <v>SPOJ CHOCOLA</v>
      </c>
      <c r="B2171" s="18" t="s">
        <v>2163</v>
      </c>
      <c r="C2171" s="17">
        <v>3.5</v>
      </c>
      <c r="D2171" s="18"/>
      <c r="E2171" s="17" t="s">
        <v>2153</v>
      </c>
      <c r="F2171" s="17"/>
      <c r="G2171" s="18"/>
      <c r="H2171" s="18"/>
    </row>
    <row r="2172" spans="1:8" ht="13.2">
      <c r="A2172" s="19" t="str">
        <f>HYPERLINK("http://codeforces.com/contest/234/problem/G","CF234-D2-G")</f>
        <v>CF234-D2-G</v>
      </c>
      <c r="B2172" s="29" t="s">
        <v>2381</v>
      </c>
      <c r="C2172" s="17">
        <v>3.5</v>
      </c>
      <c r="D2172" s="18"/>
      <c r="E2172" s="17" t="s">
        <v>2153</v>
      </c>
      <c r="F2172" s="17"/>
      <c r="G2172" s="18"/>
      <c r="H2172" s="18"/>
    </row>
    <row r="2173" spans="1:8" ht="13.2">
      <c r="A2173" s="19" t="str">
        <f>HYPERLINK("https://codeforces.com/contest/1102/problem/E","CF1102-D3-E")</f>
        <v>CF1102-D3-E</v>
      </c>
      <c r="B2173" s="15" t="s">
        <v>2163</v>
      </c>
      <c r="C2173" s="21">
        <v>3</v>
      </c>
      <c r="D2173" s="18"/>
      <c r="E2173" s="17" t="s">
        <v>2153</v>
      </c>
      <c r="F2173" s="17" t="s">
        <v>201</v>
      </c>
      <c r="G2173" s="18"/>
      <c r="H2173" s="18"/>
    </row>
    <row r="2174" spans="1:8" ht="13.2">
      <c r="A2174" s="19" t="str">
        <f>HYPERLINK("http://codeforces.com/contest/597/problem/B","CF597-D12-B")</f>
        <v>CF597-D12-B</v>
      </c>
      <c r="B2174" s="15" t="s">
        <v>2163</v>
      </c>
      <c r="C2174" s="17">
        <v>3</v>
      </c>
      <c r="D2174" s="18"/>
      <c r="E2174" s="17" t="s">
        <v>2153</v>
      </c>
      <c r="F2174" s="17" t="s">
        <v>201</v>
      </c>
      <c r="G2174" s="18"/>
      <c r="H2174" s="18"/>
    </row>
    <row r="2175" spans="1:8" ht="13.2">
      <c r="A2175" s="19" t="str">
        <f>HYPERLINK("http://codeforces.com/contest/637/problem/B","CF637-D12-B")</f>
        <v>CF637-D12-B</v>
      </c>
      <c r="B2175" s="15" t="s">
        <v>2163</v>
      </c>
      <c r="C2175" s="17">
        <v>3</v>
      </c>
      <c r="D2175" s="18"/>
      <c r="E2175" s="17" t="s">
        <v>2153</v>
      </c>
      <c r="F2175" s="17" t="s">
        <v>201</v>
      </c>
      <c r="G2175" s="18"/>
      <c r="H2175" s="18"/>
    </row>
    <row r="2176" spans="1:8" ht="13.2">
      <c r="A2176" s="19" t="str">
        <f>HYPERLINK("http://codeforces.com/contest/51/problem/C","CF51-D12-C")</f>
        <v>CF51-D12-C</v>
      </c>
      <c r="B2176" s="15" t="s">
        <v>2382</v>
      </c>
      <c r="C2176" s="17">
        <v>3</v>
      </c>
      <c r="D2176" s="18"/>
      <c r="E2176" s="17" t="s">
        <v>2153</v>
      </c>
      <c r="F2176" s="17" t="s">
        <v>201</v>
      </c>
      <c r="G2176" s="18"/>
      <c r="H2176" s="18"/>
    </row>
    <row r="2177" spans="1:8" ht="13.2">
      <c r="A2177" s="19" t="str">
        <f>HYPERLINK("http://codeforces.com/contest/847/problem/K","CF847-D12-K")</f>
        <v>CF847-D12-K</v>
      </c>
      <c r="B2177" s="15" t="s">
        <v>2331</v>
      </c>
      <c r="C2177" s="17">
        <v>3</v>
      </c>
      <c r="D2177" s="18"/>
      <c r="E2177" s="17" t="s">
        <v>2153</v>
      </c>
      <c r="F2177" s="17" t="s">
        <v>201</v>
      </c>
      <c r="G2177" s="18"/>
      <c r="H2177" s="18"/>
    </row>
    <row r="2178" spans="1:8" ht="13.2">
      <c r="A2178" s="15" t="s">
        <v>2383</v>
      </c>
      <c r="B2178" s="29" t="s">
        <v>2163</v>
      </c>
      <c r="C2178" s="24">
        <v>3</v>
      </c>
      <c r="D2178" s="18"/>
      <c r="E2178" s="17" t="s">
        <v>2153</v>
      </c>
      <c r="F2178" s="17"/>
      <c r="G2178" s="18"/>
      <c r="H2178" s="18"/>
    </row>
    <row r="2179" spans="1:8" ht="13.2">
      <c r="A2179" s="15" t="s">
        <v>2384</v>
      </c>
      <c r="B2179" s="28" t="s">
        <v>2385</v>
      </c>
      <c r="C2179" s="24">
        <v>3</v>
      </c>
      <c r="D2179" s="18"/>
      <c r="E2179" s="17" t="s">
        <v>2153</v>
      </c>
      <c r="F2179" s="17"/>
      <c r="G2179" s="18"/>
      <c r="H2179" s="18"/>
    </row>
    <row r="2180" spans="1:8" ht="13.2">
      <c r="A2180" s="15" t="s">
        <v>2386</v>
      </c>
      <c r="B2180" s="28" t="s">
        <v>2387</v>
      </c>
      <c r="C2180" s="24">
        <v>3</v>
      </c>
      <c r="D2180" s="18"/>
      <c r="E2180" s="17" t="s">
        <v>2153</v>
      </c>
      <c r="F2180" s="17"/>
      <c r="G2180" s="18"/>
      <c r="H2180" s="18"/>
    </row>
    <row r="2181" spans="1:8" ht="13.2">
      <c r="A2181" s="15" t="s">
        <v>2388</v>
      </c>
      <c r="B2181" s="18" t="s">
        <v>2232</v>
      </c>
      <c r="C2181" s="33">
        <v>3</v>
      </c>
      <c r="D2181" s="18"/>
      <c r="E2181" s="17" t="s">
        <v>2153</v>
      </c>
      <c r="F2181" s="17"/>
      <c r="G2181" s="18"/>
      <c r="H2181" s="18"/>
    </row>
    <row r="2182" spans="1:8" ht="13.2">
      <c r="A2182" s="19" t="str">
        <f>HYPERLINK("http://codeforces.com/contest/140/problem/C","CF140-D12-C")</f>
        <v>CF140-D12-C</v>
      </c>
      <c r="B2182" s="15" t="s">
        <v>2157</v>
      </c>
      <c r="C2182" s="17">
        <v>3</v>
      </c>
      <c r="D2182" s="18"/>
      <c r="E2182" s="17" t="s">
        <v>2153</v>
      </c>
      <c r="F2182" s="17"/>
      <c r="G2182" s="18"/>
      <c r="H2182" s="18"/>
    </row>
    <row r="2183" spans="1:8" ht="13.2">
      <c r="A2183" s="19" t="str">
        <f>HYPERLINK("http://codeforces.com/contest/265/problem/C","CF265-D2-C")</f>
        <v>CF265-D2-C</v>
      </c>
      <c r="B2183" s="29" t="s">
        <v>2225</v>
      </c>
      <c r="C2183" s="17">
        <v>3</v>
      </c>
      <c r="D2183" s="18"/>
      <c r="E2183" s="17" t="s">
        <v>2153</v>
      </c>
      <c r="F2183" s="17"/>
      <c r="G2183" s="18"/>
      <c r="H2183" s="18"/>
    </row>
    <row r="2184" spans="1:8" ht="13.2">
      <c r="A2184" s="19" t="str">
        <f>HYPERLINK("http://codeforces.com/contest/350/problem/C","CF350-D2-C")</f>
        <v>CF350-D2-C</v>
      </c>
      <c r="B2184" s="18" t="s">
        <v>2225</v>
      </c>
      <c r="C2184" s="17">
        <v>3</v>
      </c>
      <c r="D2184" s="18"/>
      <c r="E2184" s="17" t="s">
        <v>2153</v>
      </c>
      <c r="F2184" s="17"/>
      <c r="G2184" s="18"/>
      <c r="H2184" s="18"/>
    </row>
    <row r="2185" spans="1:8" ht="13.2">
      <c r="A2185" s="19" t="str">
        <f>HYPERLINK("http://codeforces.com/contest/363/problem/C","CF363-D2-C")</f>
        <v>CF363-D2-C</v>
      </c>
      <c r="B2185" s="29" t="s">
        <v>2225</v>
      </c>
      <c r="C2185" s="17">
        <v>3</v>
      </c>
      <c r="D2185" s="18"/>
      <c r="E2185" s="17" t="s">
        <v>2153</v>
      </c>
      <c r="F2185" s="17"/>
      <c r="G2185" s="18"/>
      <c r="H2185" s="18"/>
    </row>
    <row r="2186" spans="1:8" ht="13.2">
      <c r="A2186" s="19" t="str">
        <f>HYPERLINK("http://codeforces.com/contest/659/problem/C","CF659-D2-C")</f>
        <v>CF659-D2-C</v>
      </c>
      <c r="B2186" s="18" t="s">
        <v>2225</v>
      </c>
      <c r="C2186" s="17">
        <v>3</v>
      </c>
      <c r="D2186" s="18"/>
      <c r="E2186" s="17" t="s">
        <v>2153</v>
      </c>
      <c r="F2186" s="17"/>
      <c r="G2186" s="18"/>
      <c r="H2186" s="18"/>
    </row>
    <row r="2187" spans="1:8" ht="13.2">
      <c r="A2187" s="19" t="str">
        <f>HYPERLINK("http://codeforces.com/contest/112/problem/C","CF112-D2-C")</f>
        <v>CF112-D2-C</v>
      </c>
      <c r="B2187" s="18" t="s">
        <v>2200</v>
      </c>
      <c r="C2187" s="17">
        <v>3</v>
      </c>
      <c r="D2187" s="18"/>
      <c r="E2187" s="17" t="s">
        <v>2153</v>
      </c>
      <c r="F2187" s="17"/>
      <c r="G2187" s="18"/>
      <c r="H2187" s="18"/>
    </row>
    <row r="2188" spans="1:8" ht="13.2">
      <c r="A2188" s="15" t="s">
        <v>2389</v>
      </c>
      <c r="B2188" s="16" t="s">
        <v>2390</v>
      </c>
      <c r="C2188" s="17">
        <v>3</v>
      </c>
      <c r="D2188" s="18"/>
      <c r="E2188" s="17" t="s">
        <v>2153</v>
      </c>
      <c r="F2188" s="17"/>
      <c r="G2188" s="18"/>
      <c r="H2188" s="18"/>
    </row>
    <row r="2189" spans="1:8" ht="13.2">
      <c r="A2189" s="19" t="str">
        <f>HYPERLINK("http://codeforces.com/contest/203/problem/C","CF203-D2-C")</f>
        <v>CF203-D2-C</v>
      </c>
      <c r="B2189" s="29" t="s">
        <v>2248</v>
      </c>
      <c r="C2189" s="17">
        <v>3</v>
      </c>
      <c r="D2189" s="18"/>
      <c r="E2189" s="17" t="s">
        <v>2153</v>
      </c>
      <c r="F2189" s="17"/>
      <c r="G2189" s="18"/>
      <c r="H2189" s="18"/>
    </row>
    <row r="2190" spans="1:8" ht="13.2">
      <c r="A2190" s="15" t="s">
        <v>2391</v>
      </c>
      <c r="B2190" s="35" t="s">
        <v>2248</v>
      </c>
      <c r="C2190" s="24">
        <v>3</v>
      </c>
      <c r="D2190" s="18"/>
      <c r="E2190" s="17" t="s">
        <v>2153</v>
      </c>
      <c r="F2190" s="17"/>
      <c r="G2190" s="18"/>
      <c r="H2190" s="18"/>
    </row>
    <row r="2191" spans="1:8" ht="13.2">
      <c r="A2191" s="15" t="s">
        <v>2392</v>
      </c>
      <c r="B2191" s="15" t="s">
        <v>2248</v>
      </c>
      <c r="C2191" s="24">
        <v>3</v>
      </c>
      <c r="D2191" s="18"/>
      <c r="E2191" s="17" t="s">
        <v>2153</v>
      </c>
      <c r="F2191" s="17"/>
      <c r="G2191" s="18"/>
      <c r="H2191" s="18"/>
    </row>
    <row r="2192" spans="1:8" ht="13.2">
      <c r="A2192" s="19" t="str">
        <f>HYPERLINK("https://agc001.contest.atcoder.jp/tasks/agc001_a","AtCoder001-AGC-A")</f>
        <v>AtCoder001-AGC-A</v>
      </c>
      <c r="B2192" s="15" t="s">
        <v>2248</v>
      </c>
      <c r="C2192" s="17">
        <v>2</v>
      </c>
      <c r="D2192" s="18"/>
      <c r="E2192" s="17" t="s">
        <v>2153</v>
      </c>
      <c r="F2192" s="17"/>
      <c r="G2192" s="18"/>
      <c r="H2192" s="18"/>
    </row>
    <row r="2193" spans="1:8" ht="13.2">
      <c r="A2193" s="19" t="str">
        <f>HYPERLINK("https://agc005.contest.atcoder.jp/tasks/agc005_e","AtCoder005-AGC-E")</f>
        <v>AtCoder005-AGC-E</v>
      </c>
      <c r="B2193" s="15" t="s">
        <v>2393</v>
      </c>
      <c r="C2193" s="17">
        <v>7.75</v>
      </c>
      <c r="D2193" s="18"/>
      <c r="E2193" s="17" t="s">
        <v>2394</v>
      </c>
      <c r="F2193" s="17" t="s">
        <v>139</v>
      </c>
      <c r="G2193" s="18"/>
      <c r="H2193" s="18"/>
    </row>
    <row r="2194" spans="1:8" ht="13.2">
      <c r="A2194" s="19" t="str">
        <f>HYPERLINK("https://agc002.contest.atcoder.jp/tasks/agc002_e","AtCoder002-AGC-E")</f>
        <v>AtCoder002-AGC-E</v>
      </c>
      <c r="B2194" s="15" t="s">
        <v>2395</v>
      </c>
      <c r="C2194" s="17">
        <v>7.5</v>
      </c>
      <c r="D2194" s="18"/>
      <c r="E2194" s="17" t="s">
        <v>2394</v>
      </c>
      <c r="F2194" s="17" t="s">
        <v>139</v>
      </c>
      <c r="G2194" s="18"/>
      <c r="H2194" s="18"/>
    </row>
    <row r="2195" spans="1:8" ht="13.2">
      <c r="A2195" s="19" t="str">
        <f>HYPERLINK("http://codeforces.com/contest/154/problem/D","CF154-D1-D")</f>
        <v>CF154-D1-D</v>
      </c>
      <c r="B2195" s="29" t="s">
        <v>2396</v>
      </c>
      <c r="C2195" s="17">
        <v>7.5</v>
      </c>
      <c r="D2195" s="18"/>
      <c r="E2195" s="17" t="s">
        <v>2394</v>
      </c>
      <c r="F2195" s="17"/>
      <c r="G2195" s="18"/>
      <c r="H2195" s="18"/>
    </row>
    <row r="2196" spans="1:8" ht="13.2">
      <c r="A2196" s="15" t="s">
        <v>2397</v>
      </c>
      <c r="B2196" s="43" t="s">
        <v>2398</v>
      </c>
      <c r="C2196" s="24">
        <v>7.3</v>
      </c>
      <c r="D2196" s="26" t="str">
        <f>HYPERLINK("https://www.topcoder.com/tc?module=Static&amp;d1=match_editorials&amp;d2=srm338","Editorial")</f>
        <v>Editorial</v>
      </c>
      <c r="E2196" s="17" t="s">
        <v>2394</v>
      </c>
      <c r="F2196" s="17" t="s">
        <v>139</v>
      </c>
      <c r="G2196" s="18"/>
      <c r="H2196" s="18"/>
    </row>
    <row r="2197" spans="1:8" ht="13.2">
      <c r="A2197" s="15" t="s">
        <v>2399</v>
      </c>
      <c r="B2197" s="30" t="s">
        <v>2400</v>
      </c>
      <c r="C2197" s="24">
        <v>7.3</v>
      </c>
      <c r="D2197" s="18" t="s">
        <v>2401</v>
      </c>
      <c r="E2197" s="17" t="s">
        <v>2394</v>
      </c>
      <c r="F2197" s="17"/>
      <c r="G2197" s="18"/>
      <c r="H2197" s="18"/>
    </row>
    <row r="2198" spans="1:8" ht="13.2">
      <c r="A2198" s="19" t="str">
        <f>HYPERLINK("http://codeforces.com/contest/794/problem/E","CF794-D12-E")</f>
        <v>CF794-D12-E</v>
      </c>
      <c r="B2198" s="15" t="s">
        <v>2402</v>
      </c>
      <c r="C2198" s="17">
        <v>7.1</v>
      </c>
      <c r="D2198" s="26" t="str">
        <f>HYPERLINK("https://github.com/MetalBall887/Competitive-Programming/blob/master/CodeForces/CF794-D12-E.cpp","Sol")</f>
        <v>Sol</v>
      </c>
      <c r="E2198" s="17" t="s">
        <v>2394</v>
      </c>
      <c r="F2198" s="17" t="s">
        <v>154</v>
      </c>
      <c r="G2198" s="18"/>
      <c r="H2198" s="18"/>
    </row>
    <row r="2199" spans="1:8" ht="13.2">
      <c r="A2199" s="15" t="s">
        <v>2403</v>
      </c>
      <c r="B2199" s="29" t="s">
        <v>2404</v>
      </c>
      <c r="C2199" s="24">
        <v>7</v>
      </c>
      <c r="D2199" s="26" t="str">
        <f>HYPERLINK("https://github.com/Andres-Unt/problem_solving/blob/master/TopCoder/SRM423-D1-500.cpp","Sol")</f>
        <v>Sol</v>
      </c>
      <c r="E2199" s="17" t="s">
        <v>2394</v>
      </c>
      <c r="F2199" s="17"/>
      <c r="G2199" s="18"/>
      <c r="H2199" s="18"/>
    </row>
    <row r="2200" spans="1:8" ht="13.2">
      <c r="A2200" s="19" t="str">
        <f>HYPERLINK("https://onlinejudge.org/index.php?option=com_onlinejudge&amp;Itemid=8&amp;page=show_problem&amp;problem=4235","UVA 1489")</f>
        <v>UVA 1489</v>
      </c>
      <c r="B2200" s="28" t="s">
        <v>2405</v>
      </c>
      <c r="C2200" s="24">
        <v>6.75</v>
      </c>
      <c r="D2200" s="18"/>
      <c r="E2200" s="17" t="s">
        <v>2394</v>
      </c>
      <c r="F2200" s="17"/>
      <c r="G2200" s="18"/>
      <c r="H2200" s="18"/>
    </row>
    <row r="2201" spans="1:8" ht="13.2">
      <c r="A2201" s="19" t="str">
        <f>HYPERLINK("https://agc010.contest.atcoder.jp/tasks/agc010_d","AtCoder010-AGC-D")</f>
        <v>AtCoder010-AGC-D</v>
      </c>
      <c r="B2201" s="15" t="s">
        <v>2406</v>
      </c>
      <c r="C2201" s="17">
        <v>6.6</v>
      </c>
      <c r="D2201" s="18"/>
      <c r="E2201" s="17" t="s">
        <v>2394</v>
      </c>
      <c r="F2201" s="17" t="s">
        <v>139</v>
      </c>
      <c r="G2201" s="18"/>
      <c r="H2201" s="18"/>
    </row>
    <row r="2202" spans="1:8" ht="13.2">
      <c r="A2202" s="15" t="s">
        <v>2407</v>
      </c>
      <c r="B2202" s="15" t="s">
        <v>2408</v>
      </c>
      <c r="C2202" s="17">
        <v>6.5</v>
      </c>
      <c r="D2202" s="26" t="str">
        <f>HYPERLINK("https://github.com/aviroop123/CompetitiveProgramming/blob/master/SPOJ/SPOJ%20GAME2.cpp","Sol")</f>
        <v>Sol</v>
      </c>
      <c r="E2202" s="17" t="s">
        <v>2394</v>
      </c>
      <c r="F2202" s="17" t="s">
        <v>154</v>
      </c>
      <c r="G2202" s="18"/>
      <c r="H2202" s="18"/>
    </row>
    <row r="2203" spans="1:8" ht="13.2">
      <c r="A2203" s="19" t="str">
        <f>HYPERLINK("https://www.hackerrank.com/challenges/the-white-lotus-and-caterpillar-game","HACKR the-white-lotus-and-caterpillar-game")</f>
        <v>HACKR the-white-lotus-and-caterpillar-game</v>
      </c>
      <c r="B2203" s="29" t="s">
        <v>2409</v>
      </c>
      <c r="C2203" s="17">
        <v>6.5</v>
      </c>
      <c r="D2203" s="26" t="str">
        <f>HYPERLINK("https://github.com/MetalBall887/Competitive-Programming/blob/master/HACKERRANK/HACKR%20the-white-lotus-and-caterpillar-game.cpp","Sol")</f>
        <v>Sol</v>
      </c>
      <c r="E2203" s="17" t="s">
        <v>2394</v>
      </c>
      <c r="F2203" s="17" t="s">
        <v>139</v>
      </c>
      <c r="G2203" s="18"/>
      <c r="H2203" s="18"/>
    </row>
    <row r="2204" spans="1:8" ht="13.2">
      <c r="A2204" s="19" t="str">
        <f>HYPERLINK("http://codeforces.com/contest/919/problem/F","CF919-D2-F")</f>
        <v>CF919-D2-F</v>
      </c>
      <c r="B2204" s="15" t="s">
        <v>2410</v>
      </c>
      <c r="C2204" s="17">
        <v>6.4</v>
      </c>
      <c r="D2204" s="26" t="str">
        <f>HYPERLINK("https://github.com/MetalBall887/Competitive-Programming/blob/master/CodeForces/CF919-D2-F.cpp","Sol")</f>
        <v>Sol</v>
      </c>
      <c r="E2204" s="17" t="s">
        <v>2394</v>
      </c>
      <c r="F2204" s="17" t="s">
        <v>173</v>
      </c>
      <c r="G2204" s="18"/>
      <c r="H2204" s="18"/>
    </row>
    <row r="2205" spans="1:8" ht="13.2">
      <c r="A2205" s="19" t="str">
        <f>HYPERLINK("http://codeforces.com/contest/181/problem/E","CF181-D2-E")</f>
        <v>CF181-D2-E</v>
      </c>
      <c r="B2205" s="29" t="s">
        <v>2411</v>
      </c>
      <c r="C2205" s="17">
        <v>6.4</v>
      </c>
      <c r="D2205" s="18"/>
      <c r="E2205" s="17" t="s">
        <v>2394</v>
      </c>
      <c r="F2205" s="17" t="s">
        <v>201</v>
      </c>
      <c r="G2205" s="18"/>
      <c r="H2205" s="18"/>
    </row>
    <row r="2206" spans="1:8" ht="13.2">
      <c r="A2206" s="19" t="str">
        <f>HYPERLINK("https://atcoder.jp/contests/arc064/tasks/arc064_b","AtCoder064-ARC-D")</f>
        <v>AtCoder064-ARC-D</v>
      </c>
      <c r="B2206" s="15" t="s">
        <v>2412</v>
      </c>
      <c r="C2206" s="17">
        <v>6.25</v>
      </c>
      <c r="D2206" s="18"/>
      <c r="E2206" s="17" t="s">
        <v>2394</v>
      </c>
      <c r="F2206" s="17" t="s">
        <v>154</v>
      </c>
      <c r="G2206" s="18"/>
      <c r="H2206" s="18"/>
    </row>
    <row r="2207" spans="1:8" ht="13.2">
      <c r="A2207" s="19" t="str">
        <f>HYPERLINK("https://codeforces.com/gym/101808/problem/I","CF101808-GYM-I")</f>
        <v>CF101808-GYM-I</v>
      </c>
      <c r="B2207" s="15" t="s">
        <v>2413</v>
      </c>
      <c r="C2207" s="17">
        <v>6</v>
      </c>
      <c r="D2207" s="26" t="str">
        <f>HYPERLINK("https://github.com/MetalBall887/Competitive-Programming/blob/master/CodeForces/CF101808-GYM-I.cpp","Sol")</f>
        <v>Sol</v>
      </c>
      <c r="E2207" s="17" t="s">
        <v>2394</v>
      </c>
      <c r="F2207" s="17" t="s">
        <v>139</v>
      </c>
      <c r="G2207" s="18"/>
      <c r="H2207" s="18"/>
    </row>
    <row r="2208" spans="1:8" ht="13.2">
      <c r="A2208" s="19" t="str">
        <f>HYPERLINK("http://codeforces.com/contest/549/problem/C","CF549-D12-C")</f>
        <v>CF549-D12-C</v>
      </c>
      <c r="B2208" s="32" t="s">
        <v>2414</v>
      </c>
      <c r="C2208" s="17">
        <v>6</v>
      </c>
      <c r="D2208" s="18"/>
      <c r="E2208" s="17" t="s">
        <v>2394</v>
      </c>
      <c r="F2208" s="17" t="s">
        <v>201</v>
      </c>
      <c r="G2208" s="18"/>
      <c r="H2208" s="18"/>
    </row>
    <row r="2209" spans="1:8" ht="13.2">
      <c r="A2209" s="19" t="str">
        <f>HYPERLINK("http://codeforces.com/contest/136/problem/E","CF136-D2-E")</f>
        <v>CF136-D2-E</v>
      </c>
      <c r="B2209" s="18" t="s">
        <v>2415</v>
      </c>
      <c r="C2209" s="17">
        <v>5.75</v>
      </c>
      <c r="D2209" s="18"/>
      <c r="E2209" s="17" t="s">
        <v>2394</v>
      </c>
      <c r="F2209" s="17"/>
      <c r="G2209" s="18"/>
      <c r="H2209" s="18"/>
    </row>
    <row r="2210" spans="1:8" ht="13.2">
      <c r="A2210" s="19" t="str">
        <f>HYPERLINK("http://codeforces.com/contest/279/problem/E","CF279-D2-E")</f>
        <v>CF279-D2-E</v>
      </c>
      <c r="B2210" s="29" t="s">
        <v>2416</v>
      </c>
      <c r="C2210" s="17">
        <v>5.5</v>
      </c>
      <c r="D2210" s="18" t="s">
        <v>2417</v>
      </c>
      <c r="E2210" s="17" t="s">
        <v>2394</v>
      </c>
      <c r="F2210" s="17" t="s">
        <v>227</v>
      </c>
      <c r="G2210" s="18"/>
      <c r="H2210" s="18"/>
    </row>
    <row r="2211" spans="1:8" ht="13.2">
      <c r="A2211" s="19" t="str">
        <f>HYPERLINK("https://codeforces.com/contest/1147/problem/C", "CF1147-D1-C")</f>
        <v>CF1147-D1-C</v>
      </c>
      <c r="B2211" s="15" t="s">
        <v>2400</v>
      </c>
      <c r="C2211" s="17">
        <v>5.25</v>
      </c>
      <c r="D2211" s="18"/>
      <c r="E2211" s="17" t="s">
        <v>2394</v>
      </c>
      <c r="F2211" s="17" t="s">
        <v>201</v>
      </c>
      <c r="G2211" s="18"/>
      <c r="H2211" s="18"/>
    </row>
    <row r="2212" spans="1:8" ht="13.2">
      <c r="A2212" s="15" t="s">
        <v>2418</v>
      </c>
      <c r="B2212" s="18" t="s">
        <v>2419</v>
      </c>
      <c r="C2212" s="17">
        <v>5</v>
      </c>
      <c r="D2212" s="26" t="str">
        <f>HYPERLINK("https://github.com/AliOsm/CompetitiveProgramming/blob/master/Timus/1051.%20Simple%20Game%20on%20a%20Grid.cpp","Sol")</f>
        <v>Sol</v>
      </c>
      <c r="E2212" s="17" t="s">
        <v>2394</v>
      </c>
      <c r="F2212" s="17" t="s">
        <v>229</v>
      </c>
      <c r="G2212" s="18"/>
      <c r="H2212" s="18"/>
    </row>
    <row r="2213" spans="1:8" ht="13.2">
      <c r="A2213" s="19" t="str">
        <f>HYPERLINK("http://codeforces.com/problemset/problem/120/E","CF120-D12-E")</f>
        <v>CF120-D12-E</v>
      </c>
      <c r="B2213" s="43" t="s">
        <v>2400</v>
      </c>
      <c r="C2213" s="17">
        <v>5</v>
      </c>
      <c r="D2213" s="18"/>
      <c r="E2213" s="17" t="s">
        <v>2394</v>
      </c>
      <c r="F2213" s="17" t="s">
        <v>139</v>
      </c>
      <c r="G2213" s="18"/>
      <c r="H2213" s="18"/>
    </row>
    <row r="2214" spans="1:8" ht="13.2">
      <c r="A2214" s="19" t="str">
        <f>HYPERLINK("https://www.codechef.com/COOK105B/problems/RANDGAME", "CODECHEF RANDGAME")</f>
        <v>CODECHEF RANDGAME</v>
      </c>
      <c r="B2214" s="15" t="s">
        <v>2400</v>
      </c>
      <c r="C2214" s="17">
        <v>5</v>
      </c>
      <c r="D2214" s="18"/>
      <c r="E2214" s="17" t="s">
        <v>2394</v>
      </c>
      <c r="F2214" s="17" t="s">
        <v>139</v>
      </c>
      <c r="G2214" s="18"/>
      <c r="H2214" s="18"/>
    </row>
    <row r="2215" spans="1:8" ht="13.2">
      <c r="A2215" s="19" t="str">
        <f>HYPERLINK("http://codeforces.com/contest/936/problem/B","CF936-D1-B")</f>
        <v>CF936-D1-B</v>
      </c>
      <c r="B2215" s="20" t="s">
        <v>2420</v>
      </c>
      <c r="C2215" s="17">
        <v>5</v>
      </c>
      <c r="D2215" s="18"/>
      <c r="E2215" s="17" t="s">
        <v>2394</v>
      </c>
      <c r="F2215" s="17" t="s">
        <v>139</v>
      </c>
      <c r="G2215" s="18"/>
      <c r="H2215" s="18"/>
    </row>
    <row r="2216" spans="1:8" ht="13.2">
      <c r="A2216" s="15" t="s">
        <v>2421</v>
      </c>
      <c r="B2216" s="28" t="s">
        <v>2422</v>
      </c>
      <c r="C2216" s="24">
        <v>5</v>
      </c>
      <c r="D2216" s="26" t="str">
        <f>HYPERLINK("https://pastebin.com/udLvZbc9","Sol")</f>
        <v>Sol</v>
      </c>
      <c r="E2216" s="17" t="s">
        <v>2394</v>
      </c>
      <c r="F2216" s="17" t="s">
        <v>242</v>
      </c>
      <c r="G2216" s="18"/>
      <c r="H2216" s="18"/>
    </row>
    <row r="2217" spans="1:8" ht="13.2">
      <c r="A2217" s="19" t="str">
        <f>HYPERLINK("https://csacademy.com/contest/round-63/task/graph-game/","CSA63-D")</f>
        <v>CSA63-D</v>
      </c>
      <c r="B2217" s="15" t="s">
        <v>2400</v>
      </c>
      <c r="C2217" s="31">
        <v>5</v>
      </c>
      <c r="D2217" s="18"/>
      <c r="E2217" s="17" t="s">
        <v>2394</v>
      </c>
      <c r="F2217" s="17"/>
      <c r="G2217" s="18"/>
      <c r="H2217" s="18"/>
    </row>
    <row r="2218" spans="1:8" ht="13.2">
      <c r="A2218" s="19" t="str">
        <f>HYPERLINK("http://codeforces.com/contest/594/problem/A","CF594-D1-A")</f>
        <v>CF594-D1-A</v>
      </c>
      <c r="B2218" s="29" t="s">
        <v>2415</v>
      </c>
      <c r="C2218" s="17">
        <v>5</v>
      </c>
      <c r="D2218" s="18"/>
      <c r="E2218" s="17" t="s">
        <v>2394</v>
      </c>
      <c r="F2218" s="17"/>
      <c r="G2218" s="18"/>
      <c r="H2218" s="18"/>
    </row>
    <row r="2219" spans="1:8" ht="13.2">
      <c r="A2219" s="15" t="s">
        <v>2423</v>
      </c>
      <c r="B2219" s="15" t="s">
        <v>2419</v>
      </c>
      <c r="C2219" s="17">
        <v>4.5</v>
      </c>
      <c r="D2219" s="18"/>
      <c r="E2219" s="17" t="s">
        <v>2394</v>
      </c>
      <c r="F2219" s="17" t="s">
        <v>154</v>
      </c>
      <c r="G2219" s="18"/>
      <c r="H2219" s="18"/>
    </row>
    <row r="2220" spans="1:8" ht="13.2">
      <c r="A2220" s="15" t="s">
        <v>2424</v>
      </c>
      <c r="B2220" s="15" t="s">
        <v>2425</v>
      </c>
      <c r="C2220" s="17">
        <v>4.5</v>
      </c>
      <c r="D2220" s="18"/>
      <c r="E2220" s="17" t="s">
        <v>2394</v>
      </c>
      <c r="F2220" s="17" t="s">
        <v>139</v>
      </c>
      <c r="G2220" s="18"/>
      <c r="H2220" s="18"/>
    </row>
    <row r="2221" spans="1:8" ht="13.2">
      <c r="A2221" s="15" t="s">
        <v>2426</v>
      </c>
      <c r="B2221" s="15" t="s">
        <v>2427</v>
      </c>
      <c r="C2221" s="17">
        <v>4.5</v>
      </c>
      <c r="D2221" s="18"/>
      <c r="E2221" s="17" t="s">
        <v>2394</v>
      </c>
      <c r="F2221" s="17" t="s">
        <v>139</v>
      </c>
      <c r="G2221" s="18"/>
      <c r="H2221" s="18"/>
    </row>
    <row r="2222" spans="1:8" ht="13.2">
      <c r="A2222" s="19" t="str">
        <f>HYPERLINK("https://codeforces.com/contest/1191/problem/D","CF1191-D2-D")</f>
        <v>CF1191-D2-D</v>
      </c>
      <c r="B2222" s="20" t="s">
        <v>2400</v>
      </c>
      <c r="C2222" s="17">
        <v>4.5</v>
      </c>
      <c r="D2222" s="18"/>
      <c r="E2222" s="17" t="s">
        <v>2394</v>
      </c>
      <c r="F2222" s="17" t="s">
        <v>201</v>
      </c>
      <c r="G2222" s="18"/>
      <c r="H2222" s="18"/>
    </row>
    <row r="2223" spans="1:8" ht="13.2">
      <c r="A2223" s="19" t="str">
        <f>HYPERLINK("http://codeforces.com/contest/36/problem/D","CF36-D12-D")</f>
        <v>CF36-D12-D</v>
      </c>
      <c r="B2223" s="32" t="s">
        <v>2400</v>
      </c>
      <c r="C2223" s="17">
        <v>4.5</v>
      </c>
      <c r="D2223" s="18"/>
      <c r="E2223" s="17" t="s">
        <v>2394</v>
      </c>
      <c r="F2223" s="17"/>
      <c r="G2223" s="18"/>
      <c r="H2223" s="18"/>
    </row>
    <row r="2224" spans="1:8" ht="13.2">
      <c r="A2224" s="19" t="str">
        <f>HYPERLINK("https://onlinejudge.org/index.php?option=onlinejudge&amp;page=show_problem&amp;problem=4796","UVA 12917")</f>
        <v>UVA 12917</v>
      </c>
      <c r="B2224" s="30" t="s">
        <v>2400</v>
      </c>
      <c r="C2224" s="24">
        <v>4.5</v>
      </c>
      <c r="D2224" s="26" t="str">
        <f>HYPERLINK("https://github.com/morris821028/UVa/blob/master/temp/UVaDate/12917%20-%20Prop%20hunt!.cpp","Sol (no editorial)")</f>
        <v>Sol (no editorial)</v>
      </c>
      <c r="E2224" s="17" t="s">
        <v>2394</v>
      </c>
      <c r="F2224" s="17"/>
      <c r="G2224" s="18"/>
      <c r="H2224" s="18"/>
    </row>
    <row r="2225" spans="1:8" ht="13.2">
      <c r="A2225" s="15" t="s">
        <v>2428</v>
      </c>
      <c r="B2225" s="29" t="s">
        <v>2400</v>
      </c>
      <c r="C2225" s="24">
        <v>4</v>
      </c>
      <c r="D2225" s="18"/>
      <c r="E2225" s="17" t="s">
        <v>2394</v>
      </c>
      <c r="F2225" s="17" t="s">
        <v>229</v>
      </c>
      <c r="G2225" s="18"/>
      <c r="H2225" s="18"/>
    </row>
    <row r="2226" spans="1:8" ht="13.2">
      <c r="A2226" s="15" t="s">
        <v>2429</v>
      </c>
      <c r="B2226" s="34" t="s">
        <v>2430</v>
      </c>
      <c r="C2226" s="17">
        <v>4</v>
      </c>
      <c r="D2226" s="18"/>
      <c r="E2226" s="17" t="s">
        <v>2394</v>
      </c>
      <c r="F2226" s="17" t="s">
        <v>229</v>
      </c>
      <c r="G2226" s="18"/>
      <c r="H2226" s="18"/>
    </row>
    <row r="2227" spans="1:8" ht="13.2">
      <c r="A2227" s="19" t="str">
        <f>HYPERLINK("http://codeforces.com/problemset/gymProblem/100090/H","CF100090-gym-H")</f>
        <v>CF100090-gym-H</v>
      </c>
      <c r="B2227" s="18" t="s">
        <v>2400</v>
      </c>
      <c r="C2227" s="17">
        <v>4</v>
      </c>
      <c r="D2227" s="26" t="str">
        <f>HYPERLINK("https://github.com/Mahmoud3ali/CompetitiveProgramming/blob/master/CodeForces/CF100090-GYM-H.cpp","Sol")</f>
        <v>Sol</v>
      </c>
      <c r="E2227" s="17" t="s">
        <v>2394</v>
      </c>
      <c r="F2227" s="17" t="s">
        <v>306</v>
      </c>
      <c r="G2227" s="18"/>
      <c r="H2227" s="18"/>
    </row>
    <row r="2228" spans="1:8" ht="13.2">
      <c r="A2228" s="19" t="str">
        <f>HYPERLINK("https://codeforces.com/gym/101979/problem/A","CF101979-GYM-A")</f>
        <v>CF101979-GYM-A</v>
      </c>
      <c r="B2228" s="20" t="s">
        <v>2431</v>
      </c>
      <c r="C2228" s="21">
        <v>4</v>
      </c>
      <c r="D2228" s="18"/>
      <c r="E2228" s="17" t="s">
        <v>2394</v>
      </c>
      <c r="F2228" s="17" t="s">
        <v>139</v>
      </c>
      <c r="G2228" s="18"/>
      <c r="H2228" s="18"/>
    </row>
    <row r="2229" spans="1:8" ht="13.2">
      <c r="A2229" s="19" t="str">
        <f>HYPERLINK("http://codeforces.com/contest/151/problem/C","CF151-D2-C")</f>
        <v>CF151-D2-C</v>
      </c>
      <c r="B2229" s="29" t="s">
        <v>2432</v>
      </c>
      <c r="C2229" s="17">
        <v>4</v>
      </c>
      <c r="D2229" s="18"/>
      <c r="E2229" s="17" t="s">
        <v>2394</v>
      </c>
      <c r="F2229" s="17" t="s">
        <v>201</v>
      </c>
      <c r="G2229" s="18"/>
      <c r="H2229" s="18"/>
    </row>
    <row r="2230" spans="1:8" ht="13.2">
      <c r="A2230" s="19" t="str">
        <f>HYPERLINK("http://codeforces.com/contest/347/problem/C","CF347-D2-C")</f>
        <v>CF347-D2-C</v>
      </c>
      <c r="B2230" s="29" t="s">
        <v>2406</v>
      </c>
      <c r="C2230" s="17">
        <v>4</v>
      </c>
      <c r="D2230" s="18"/>
      <c r="E2230" s="17" t="s">
        <v>2394</v>
      </c>
      <c r="F2230" s="17" t="s">
        <v>201</v>
      </c>
      <c r="G2230" s="18"/>
      <c r="H2230" s="18"/>
    </row>
    <row r="2231" spans="1:8" ht="13.2">
      <c r="A2231" s="19" t="str">
        <f>HYPERLINK("http://codeforces.com/problemset/gymProblem/101498/I","CF101489-GYM-I")</f>
        <v>CF101489-GYM-I</v>
      </c>
      <c r="B2231" s="15" t="s">
        <v>2400</v>
      </c>
      <c r="C2231" s="33">
        <v>4</v>
      </c>
      <c r="D2231" s="26" t="str">
        <f>HYPERLINK("https://github.com/MedoN11/CompetitiveProgramming/blob/master/CodeForces/GYM/CF10149-GYM-I.cpp","Sol")</f>
        <v>Sol</v>
      </c>
      <c r="E2231" s="17" t="s">
        <v>2394</v>
      </c>
      <c r="F2231" s="17"/>
      <c r="G2231" s="18"/>
      <c r="H2231" s="18"/>
    </row>
    <row r="2232" spans="1:8" ht="13.2">
      <c r="A2232" s="19" t="str">
        <f>HYPERLINK("http://codeforces.com/gym/100500/attachments","CF100500-GYM-A")</f>
        <v>CF100500-GYM-A</v>
      </c>
      <c r="B2232" s="15" t="s">
        <v>2415</v>
      </c>
      <c r="C2232" s="17">
        <v>4</v>
      </c>
      <c r="D2232" s="18"/>
      <c r="E2232" s="17" t="s">
        <v>2394</v>
      </c>
      <c r="F2232" s="17"/>
      <c r="G2232" s="18"/>
      <c r="H2232" s="18"/>
    </row>
    <row r="2233" spans="1:8" ht="13.2">
      <c r="A2233" s="19" t="str">
        <f>HYPERLINK("http://codeforces.com/contest/78/problem/C","CF78-D2-C")</f>
        <v>CF78-D2-C</v>
      </c>
      <c r="B2233" s="29" t="s">
        <v>2433</v>
      </c>
      <c r="C2233" s="17">
        <v>3.5</v>
      </c>
      <c r="D2233" s="18"/>
      <c r="E2233" s="17" t="s">
        <v>2394</v>
      </c>
      <c r="F2233" s="17" t="s">
        <v>306</v>
      </c>
      <c r="G2233" s="18"/>
      <c r="H2233" s="18"/>
    </row>
    <row r="2234" spans="1:8" ht="13.2">
      <c r="A2234" s="19" t="str">
        <f>HYPERLINK("https://uva.onlinejudge.org/index.php?option=onlinejudge&amp;page=show_problem&amp;problem=1309","UVA 10368")</f>
        <v>UVA 10368</v>
      </c>
      <c r="B2234" s="29" t="s">
        <v>2434</v>
      </c>
      <c r="C2234" s="17">
        <v>3.5</v>
      </c>
      <c r="D2234" s="26" t="str">
        <f>HYPERLINK("https://github.com/mostafa-saad/MyCompetitiveProgramming/blob/master/UVA/UVA_10368.txt","Sol")</f>
        <v>Sol</v>
      </c>
      <c r="E2234" s="17" t="s">
        <v>2394</v>
      </c>
      <c r="F2234" s="17" t="s">
        <v>201</v>
      </c>
      <c r="G2234" s="18"/>
      <c r="H2234" s="18"/>
    </row>
    <row r="2235" spans="1:8" ht="13.2">
      <c r="A2235" s="19" t="str">
        <f>HYPERLINK("http://codeforces.com/contest/914/problem/B","CF914-D2-B")</f>
        <v>CF914-D2-B</v>
      </c>
      <c r="B2235" s="20" t="s">
        <v>2400</v>
      </c>
      <c r="C2235" s="17">
        <v>3</v>
      </c>
      <c r="D2235" s="18"/>
      <c r="E2235" s="17" t="s">
        <v>2394</v>
      </c>
      <c r="F2235" s="17"/>
      <c r="G2235" s="18"/>
      <c r="H2235" s="18"/>
    </row>
    <row r="2236" spans="1:8" ht="13.2">
      <c r="A2236" s="19" t="str">
        <f>HYPERLINK("https://www.codechef.com/problems/NUMGAME","CODECHEF NUMGAME")</f>
        <v>CODECHEF NUMGAME</v>
      </c>
      <c r="B2236" s="15" t="s">
        <v>2400</v>
      </c>
      <c r="C2236" s="17">
        <v>3</v>
      </c>
      <c r="D2236" s="18"/>
      <c r="E2236" s="17" t="s">
        <v>2394</v>
      </c>
      <c r="F2236" s="17"/>
      <c r="G2236" s="18"/>
      <c r="H2236" s="18"/>
    </row>
    <row r="2237" spans="1:8" ht="13.2">
      <c r="A2237" s="19" t="str">
        <f>HYPERLINK("https://www.codechef.com/problems/NUMGAME2","CODECHEF NUMGAME2")</f>
        <v>CODECHEF NUMGAME2</v>
      </c>
      <c r="B2237" s="15" t="s">
        <v>2400</v>
      </c>
      <c r="C2237" s="17">
        <v>3</v>
      </c>
      <c r="D2237" s="18"/>
      <c r="E2237" s="17" t="s">
        <v>2394</v>
      </c>
      <c r="F2237" s="17"/>
      <c r="G2237" s="18"/>
      <c r="H2237" s="18"/>
    </row>
    <row r="2238" spans="1:8" ht="13.2">
      <c r="A2238" s="15" t="s">
        <v>2435</v>
      </c>
      <c r="B2238" s="30" t="s">
        <v>2400</v>
      </c>
      <c r="C2238" s="17">
        <v>3</v>
      </c>
      <c r="D2238" s="18"/>
      <c r="E2238" s="17" t="s">
        <v>2394</v>
      </c>
      <c r="F2238" s="17"/>
      <c r="G2238" s="18"/>
      <c r="H2238" s="18"/>
    </row>
    <row r="2239" spans="1:8" ht="13.2">
      <c r="A2239" s="15" t="s">
        <v>2436</v>
      </c>
      <c r="B2239" s="28" t="s">
        <v>2400</v>
      </c>
      <c r="C2239" s="24">
        <v>3</v>
      </c>
      <c r="D2239" s="18"/>
      <c r="E2239" s="17" t="s">
        <v>2394</v>
      </c>
      <c r="F2239" s="17"/>
      <c r="G2239" s="18"/>
      <c r="H2239" s="18"/>
    </row>
    <row r="2240" spans="1:8" ht="13.2">
      <c r="A2240" s="15" t="s">
        <v>2437</v>
      </c>
      <c r="B2240" s="43" t="s">
        <v>2400</v>
      </c>
      <c r="C2240" s="24">
        <v>3</v>
      </c>
      <c r="D2240" s="18"/>
      <c r="E2240" s="17" t="s">
        <v>2394</v>
      </c>
      <c r="F2240" s="17"/>
      <c r="G2240" s="18"/>
      <c r="H2240" s="18"/>
    </row>
    <row r="2241" spans="1:8" ht="13.2">
      <c r="A2241" s="19" t="str">
        <f>HYPERLINK("http://codeforces.com/contest/55/problem/C","CF55-D12-C")</f>
        <v>CF55-D12-C</v>
      </c>
      <c r="B2241" s="29" t="s">
        <v>2412</v>
      </c>
      <c r="C2241" s="24">
        <v>3</v>
      </c>
      <c r="D2241" s="18"/>
      <c r="E2241" s="17" t="s">
        <v>2394</v>
      </c>
      <c r="F2241" s="17"/>
      <c r="G2241" s="18"/>
      <c r="H2241" s="18"/>
    </row>
    <row r="2242" spans="1:8" ht="13.2">
      <c r="A2242" s="15" t="s">
        <v>2438</v>
      </c>
      <c r="B2242" s="29" t="s">
        <v>2439</v>
      </c>
      <c r="C2242" s="17">
        <v>2</v>
      </c>
      <c r="D2242" s="18" t="s">
        <v>2440</v>
      </c>
      <c r="E2242" s="17" t="s">
        <v>2394</v>
      </c>
      <c r="F2242" s="17"/>
      <c r="G2242" s="18"/>
      <c r="H2242" s="18"/>
    </row>
    <row r="2243" spans="1:8" ht="13.2">
      <c r="A2243" s="19" t="str">
        <f>HYPERLINK("https://ipsc.ksp.sk/2010/real/problems/k.html","IPSC10-K")</f>
        <v>IPSC10-K</v>
      </c>
      <c r="B2243" s="28" t="s">
        <v>2441</v>
      </c>
      <c r="C2243" s="24">
        <v>7.5</v>
      </c>
      <c r="D2243" s="26" t="str">
        <f>HYPERLINK("https://ipsc.ksp.sk/2010/real/solutions/booklet.pdf","Sol")</f>
        <v>Sol</v>
      </c>
      <c r="E2243" s="17" t="s">
        <v>2442</v>
      </c>
      <c r="F2243" s="17"/>
      <c r="G2243" s="18"/>
      <c r="H2243" s="18"/>
    </row>
    <row r="2244" spans="1:8" ht="13.2">
      <c r="A2244" s="15" t="s">
        <v>2443</v>
      </c>
      <c r="B2244" s="29" t="s">
        <v>2444</v>
      </c>
      <c r="C2244" s="24">
        <v>7.3</v>
      </c>
      <c r="D2244" s="18"/>
      <c r="E2244" s="17" t="s">
        <v>2442</v>
      </c>
      <c r="F2244" s="17"/>
      <c r="G2244" s="18"/>
      <c r="H2244" s="18"/>
    </row>
    <row r="2245" spans="1:8" ht="13.2">
      <c r="A2245" s="15" t="s">
        <v>2445</v>
      </c>
      <c r="B2245" s="28" t="s">
        <v>2446</v>
      </c>
      <c r="C2245" s="17">
        <v>7.25</v>
      </c>
      <c r="D2245" s="26" t="str">
        <f>HYPERLINK("http://codeforces.com/blog/entry/50572?&amp;mobile=true#comment-348227","Editorial")</f>
        <v>Editorial</v>
      </c>
      <c r="E2245" s="17" t="s">
        <v>2442</v>
      </c>
      <c r="F2245" s="17" t="s">
        <v>139</v>
      </c>
      <c r="G2245" s="18"/>
      <c r="H2245" s="18"/>
    </row>
    <row r="2246" spans="1:8" ht="13.2">
      <c r="A2246" s="19" t="str">
        <f>HYPERLINK("https://www.spoj.com/problems/ADAXMAS/","SPOJ ADAXMAS")</f>
        <v>SPOJ ADAXMAS</v>
      </c>
      <c r="B2246" s="15" t="s">
        <v>2447</v>
      </c>
      <c r="C2246" s="17">
        <v>7</v>
      </c>
      <c r="D2246" s="18"/>
      <c r="E2246" s="17" t="s">
        <v>2442</v>
      </c>
      <c r="F2246" s="17"/>
      <c r="G2246" s="18"/>
      <c r="H2246" s="18"/>
    </row>
    <row r="2247" spans="1:8" ht="13.2">
      <c r="A2247" s="15" t="s">
        <v>2448</v>
      </c>
      <c r="B2247" s="28" t="s">
        <v>2441</v>
      </c>
      <c r="C2247" s="24">
        <v>6.75</v>
      </c>
      <c r="D2247" s="26" t="str">
        <f>HYPERLINK("https://github.com/MetalBall887/Competitive-Programming/blob/master/TopCoder/SRM309-D1-1000.cpp","Sol")</f>
        <v>Sol</v>
      </c>
      <c r="E2247" s="17" t="s">
        <v>2442</v>
      </c>
      <c r="F2247" s="17" t="s">
        <v>139</v>
      </c>
      <c r="G2247" s="18"/>
      <c r="H2247" s="18"/>
    </row>
    <row r="2248" spans="1:8" ht="13.2">
      <c r="A2248" s="19" t="str">
        <f>HYPERLINK("http://codeforces.com/contest/142/problem/D","CF142-D1-D")</f>
        <v>CF142-D1-D</v>
      </c>
      <c r="B2248" s="28" t="s">
        <v>2449</v>
      </c>
      <c r="C2248" s="31">
        <v>6.5</v>
      </c>
      <c r="D2248" s="18"/>
      <c r="E2248" s="17" t="s">
        <v>2442</v>
      </c>
      <c r="F2248" s="17" t="s">
        <v>154</v>
      </c>
      <c r="G2248" s="18"/>
      <c r="H2248" s="18"/>
    </row>
    <row r="2249" spans="1:8" ht="13.2">
      <c r="A2249" s="15" t="s">
        <v>2450</v>
      </c>
      <c r="B2249" s="28" t="s">
        <v>2451</v>
      </c>
      <c r="C2249" s="24">
        <v>6.5</v>
      </c>
      <c r="D2249" s="26" t="str">
        <f>HYPERLINK("https://github.com/Youssef-Abdel-Meguid/CompetitiveProgramming/blob/master/Topcoder/SRM396-D1-1000.cpp?fbclid=IwAR0ggSPkrogLh1kS7cdvOn5z5f0eut0qqhV-NkpByMHezdlRTI94eAKiIc4","Sol")</f>
        <v>Sol</v>
      </c>
      <c r="E2249" s="17" t="s">
        <v>2442</v>
      </c>
      <c r="F2249" s="17" t="s">
        <v>1164</v>
      </c>
      <c r="G2249" s="18"/>
      <c r="H2249" s="18"/>
    </row>
    <row r="2250" spans="1:8" ht="13.2">
      <c r="A2250" s="19" t="str">
        <f>HYPERLINK("https://www.hackerrank.com/contests/world-codesprint-april/challenges/move-the-coins","HACKR MOVE-THE-COINS")</f>
        <v>HACKR MOVE-THE-COINS</v>
      </c>
      <c r="B2250" s="28" t="s">
        <v>2452</v>
      </c>
      <c r="C2250" s="24">
        <v>6.5</v>
      </c>
      <c r="D2250" s="18"/>
      <c r="E2250" s="17" t="s">
        <v>2442</v>
      </c>
      <c r="F2250" s="17" t="s">
        <v>139</v>
      </c>
      <c r="G2250" s="18"/>
      <c r="H2250" s="18"/>
    </row>
    <row r="2251" spans="1:8" ht="13.2">
      <c r="A2251" s="15" t="s">
        <v>2453</v>
      </c>
      <c r="B2251" s="28" t="s">
        <v>2454</v>
      </c>
      <c r="C2251" s="24">
        <v>4</v>
      </c>
      <c r="D2251" s="26" t="str">
        <f>HYPERLINK("https://github.com/ahmedcpbl/CompetitiveProgramming/blob/master/PKU/1704.cpp","Sol")</f>
        <v>Sol</v>
      </c>
      <c r="E2251" s="17" t="s">
        <v>2442</v>
      </c>
      <c r="F2251" s="17" t="s">
        <v>255</v>
      </c>
      <c r="G2251" s="18"/>
      <c r="H2251" s="18"/>
    </row>
    <row r="2252" spans="1:8" ht="13.2">
      <c r="A2252" s="19" t="str">
        <f>HYPERLINK("https://www.codechef.com/problems/ABGAME", "CODECHEF ABGAME")</f>
        <v>CODECHEF ABGAME</v>
      </c>
      <c r="B2252" s="15" t="s">
        <v>2441</v>
      </c>
      <c r="C2252" s="17">
        <v>4</v>
      </c>
      <c r="D2252" s="18"/>
      <c r="E2252" s="17" t="s">
        <v>2442</v>
      </c>
      <c r="F2252" s="17" t="s">
        <v>201</v>
      </c>
      <c r="G2252" s="18"/>
      <c r="H2252" s="18"/>
    </row>
    <row r="2253" spans="1:8" ht="13.2">
      <c r="A2253" s="19" t="str">
        <f>HYPERLINK("https://www.codechef.com/problems/QCJ6","CODECHEF QCJ6")</f>
        <v>CODECHEF QCJ6</v>
      </c>
      <c r="B2253" s="28" t="s">
        <v>2441</v>
      </c>
      <c r="C2253" s="24">
        <v>4</v>
      </c>
      <c r="D2253" s="18"/>
      <c r="E2253" s="17" t="s">
        <v>2442</v>
      </c>
      <c r="F2253" s="17"/>
      <c r="G2253" s="18"/>
      <c r="H2253" s="18"/>
    </row>
    <row r="2254" spans="1:8" ht="13.2">
      <c r="A2254" s="15" t="s">
        <v>2455</v>
      </c>
      <c r="B2254" s="28" t="s">
        <v>2441</v>
      </c>
      <c r="C2254" s="17">
        <v>3</v>
      </c>
      <c r="D2254" s="26" t="str">
        <f>HYPERLINK("https://github.com/AmrMorsySuperVision/-CompetitiveProgramming/blob/master/SRM558-D2-1000.cpp","Sol")</f>
        <v>Sol</v>
      </c>
      <c r="E2254" s="24" t="s">
        <v>2442</v>
      </c>
      <c r="F2254" s="17" t="s">
        <v>306</v>
      </c>
      <c r="G2254" s="18"/>
      <c r="H2254" s="18"/>
    </row>
    <row r="2255" spans="1:8" ht="13.2">
      <c r="A2255" s="15" t="s">
        <v>2456</v>
      </c>
      <c r="B2255" s="28" t="s">
        <v>2457</v>
      </c>
      <c r="C2255" s="17">
        <v>3</v>
      </c>
      <c r="D2255" s="18"/>
      <c r="E2255" s="17" t="s">
        <v>2442</v>
      </c>
      <c r="F2255" s="17" t="s">
        <v>139</v>
      </c>
      <c r="G2255" s="18"/>
      <c r="H2255" s="18"/>
    </row>
    <row r="2256" spans="1:8" ht="13.2">
      <c r="A2256" s="15" t="s">
        <v>2458</v>
      </c>
      <c r="B2256" s="30" t="s">
        <v>2441</v>
      </c>
      <c r="C2256" s="24">
        <v>3</v>
      </c>
      <c r="D2256" s="18"/>
      <c r="E2256" s="17" t="s">
        <v>2442</v>
      </c>
      <c r="F2256" s="17"/>
      <c r="G2256" s="18"/>
      <c r="H2256" s="18"/>
    </row>
    <row r="2257" spans="1:8" ht="13.2">
      <c r="A2257" s="15" t="s">
        <v>2459</v>
      </c>
      <c r="B2257" s="28" t="s">
        <v>2460</v>
      </c>
      <c r="C2257" s="17">
        <v>3</v>
      </c>
      <c r="D2257" s="26" t="str">
        <f>HYPERLINK("https://www.quora.com/what-is-the-intuition-behind-this-spoj-com-problem-hubullu","Notes to read")</f>
        <v>Notes to read</v>
      </c>
      <c r="E2257" s="17" t="s">
        <v>2442</v>
      </c>
      <c r="F2257" s="17"/>
      <c r="G2257" s="18"/>
      <c r="H2257" s="18"/>
    </row>
    <row r="2258" spans="1:8" ht="13.2">
      <c r="A2258" s="15" t="s">
        <v>2461</v>
      </c>
      <c r="B2258" s="28" t="s">
        <v>2441</v>
      </c>
      <c r="C2258" s="24">
        <v>2</v>
      </c>
      <c r="D2258" s="18"/>
      <c r="E2258" s="17" t="s">
        <v>2442</v>
      </c>
      <c r="F2258" s="17"/>
      <c r="G2258" s="18"/>
      <c r="H2258" s="18"/>
    </row>
    <row r="2259" spans="1:8" ht="13.2">
      <c r="A2259" s="15" t="s">
        <v>2462</v>
      </c>
      <c r="B2259" s="28" t="s">
        <v>2463</v>
      </c>
      <c r="C2259" s="24">
        <v>2</v>
      </c>
      <c r="D2259" s="18"/>
      <c r="E2259" s="17" t="s">
        <v>2442</v>
      </c>
      <c r="F2259" s="17"/>
      <c r="G2259" s="18"/>
      <c r="H2259" s="18"/>
    </row>
    <row r="2260" spans="1:8" ht="13.2">
      <c r="A2260" s="19" t="s">
        <v>2464</v>
      </c>
      <c r="B2260" s="25" t="s">
        <v>2465</v>
      </c>
      <c r="C2260" s="17"/>
      <c r="D2260" s="26" t="str">
        <f>HYPERLINK("https://github.com/taow-com-prog/problemsolving/blob/master/CodeForces/CF102394-G.cpp","Sol")</f>
        <v>Sol</v>
      </c>
      <c r="E2260" s="17" t="s">
        <v>2442</v>
      </c>
      <c r="F2260" s="17" t="s">
        <v>139</v>
      </c>
      <c r="G2260" s="18"/>
      <c r="H2260" s="18"/>
    </row>
    <row r="2261" spans="1:8" ht="13.2">
      <c r="A2261" s="19" t="str">
        <f>HYPERLINK("https://www.codechef.com/problems/KNIGHT01","CODECHEF KNIGHT01")</f>
        <v>CODECHEF KNIGHT01</v>
      </c>
      <c r="B2261" s="28" t="s">
        <v>2466</v>
      </c>
      <c r="C2261" s="24">
        <v>9.5</v>
      </c>
      <c r="D2261" s="18"/>
      <c r="E2261" s="17" t="s">
        <v>2467</v>
      </c>
      <c r="F2261" s="17"/>
      <c r="G2261" s="18"/>
      <c r="H2261" s="18"/>
    </row>
    <row r="2262" spans="1:8" ht="13.2">
      <c r="A2262" s="19" t="str">
        <f>HYPERLINK("https://www.codechef.com/problems/G3","CODECHEF G3")</f>
        <v>CODECHEF G3</v>
      </c>
      <c r="B2262" s="28" t="s">
        <v>2468</v>
      </c>
      <c r="C2262" s="24">
        <v>9</v>
      </c>
      <c r="D2262" s="18"/>
      <c r="E2262" s="17" t="s">
        <v>2467</v>
      </c>
      <c r="F2262" s="17"/>
      <c r="G2262" s="18"/>
      <c r="H2262" s="18"/>
    </row>
    <row r="2263" spans="1:8" ht="13.2">
      <c r="A2263" s="19" t="str">
        <f>HYPERLINK("https://www.codechef.com/problems/GTH","CODECHEF GTH")</f>
        <v>CODECHEF GTH</v>
      </c>
      <c r="B2263" s="28" t="s">
        <v>2468</v>
      </c>
      <c r="C2263" s="24">
        <v>9</v>
      </c>
      <c r="D2263" s="18"/>
      <c r="E2263" s="17" t="s">
        <v>2467</v>
      </c>
      <c r="F2263" s="17"/>
      <c r="G2263" s="18"/>
      <c r="H2263" s="18"/>
    </row>
    <row r="2264" spans="1:8" ht="13.2">
      <c r="A2264" s="19" t="str">
        <f>HYPERLINK("https://www.codechef.com/problems/WPLAY","CODECHEF WPLAY")</f>
        <v>CODECHEF WPLAY</v>
      </c>
      <c r="B2264" s="28" t="s">
        <v>2468</v>
      </c>
      <c r="C2264" s="24">
        <v>8.5</v>
      </c>
      <c r="D2264" s="18"/>
      <c r="E2264" s="17" t="s">
        <v>2467</v>
      </c>
      <c r="F2264" s="17"/>
      <c r="G2264" s="18"/>
      <c r="H2264" s="18"/>
    </row>
    <row r="2265" spans="1:8" ht="13.2">
      <c r="A2265" s="15" t="s">
        <v>2469</v>
      </c>
      <c r="B2265" s="28" t="s">
        <v>2470</v>
      </c>
      <c r="C2265" s="24">
        <v>8.5</v>
      </c>
      <c r="D2265" s="18"/>
      <c r="E2265" s="17" t="s">
        <v>2467</v>
      </c>
      <c r="F2265" s="17"/>
      <c r="G2265" s="18"/>
      <c r="H2265" s="18"/>
    </row>
    <row r="2266" spans="1:8" ht="13.2">
      <c r="A2266" s="19" t="str">
        <f>HYPERLINK("https://www.codechef.com/problems/ASTRGAME","CODECHEF ASTRGAME")</f>
        <v>CODECHEF ASTRGAME</v>
      </c>
      <c r="B2266" s="28" t="s">
        <v>2468</v>
      </c>
      <c r="C2266" s="24">
        <v>8</v>
      </c>
      <c r="D2266" s="18"/>
      <c r="E2266" s="17" t="s">
        <v>2467</v>
      </c>
      <c r="F2266" s="17"/>
      <c r="G2266" s="18"/>
      <c r="H2266" s="18"/>
    </row>
    <row r="2267" spans="1:8" ht="13.2">
      <c r="A2267" s="19" t="str">
        <f>HYPERLINK("https://www.codechef.com/problems/BIGPIZA","CODECHEF BIGPIZA")</f>
        <v>CODECHEF BIGPIZA</v>
      </c>
      <c r="B2267" s="28" t="s">
        <v>2468</v>
      </c>
      <c r="C2267" s="24">
        <v>8</v>
      </c>
      <c r="D2267" s="18"/>
      <c r="E2267" s="17" t="s">
        <v>2467</v>
      </c>
      <c r="F2267" s="17"/>
      <c r="G2267" s="18"/>
      <c r="H2267" s="18"/>
    </row>
    <row r="2268" spans="1:8" ht="13.2">
      <c r="A2268" s="19" t="str">
        <f>HYPERLINK("https://www.codechef.com/problems/CHEFBRO","CODECHEF CHEFBRO")</f>
        <v>CODECHEF CHEFBRO</v>
      </c>
      <c r="B2268" s="28" t="s">
        <v>2468</v>
      </c>
      <c r="C2268" s="24">
        <v>8</v>
      </c>
      <c r="D2268" s="18"/>
      <c r="E2268" s="17" t="s">
        <v>2467</v>
      </c>
      <c r="F2268" s="17"/>
      <c r="G2268" s="18"/>
      <c r="H2268" s="18"/>
    </row>
    <row r="2269" spans="1:8" ht="13.2">
      <c r="A2269" s="19" t="str">
        <f>HYPERLINK("https://www.codechef.com/problems/TUZGMBR","CODECHEF TUZGMBR")</f>
        <v>CODECHEF TUZGMBR</v>
      </c>
      <c r="B2269" s="28" t="s">
        <v>2468</v>
      </c>
      <c r="C2269" s="24">
        <v>8</v>
      </c>
      <c r="D2269" s="18"/>
      <c r="E2269" s="17" t="s">
        <v>2467</v>
      </c>
      <c r="F2269" s="17"/>
      <c r="G2269" s="18"/>
      <c r="H2269" s="18"/>
    </row>
    <row r="2270" spans="1:8" ht="13.2">
      <c r="A2270" s="19" t="str">
        <f>HYPERLINK("https://coj.uci.cu/24h/problem.xhtml?pid=1822&amp;lang=en","COJ 1822")</f>
        <v>COJ 1822</v>
      </c>
      <c r="B2270" s="28" t="s">
        <v>2471</v>
      </c>
      <c r="C2270" s="24">
        <v>8</v>
      </c>
      <c r="D2270" s="18"/>
      <c r="E2270" s="17" t="s">
        <v>2467</v>
      </c>
      <c r="F2270" s="17"/>
      <c r="G2270" s="18"/>
      <c r="H2270" s="18"/>
    </row>
    <row r="2271" spans="1:8" ht="13.2">
      <c r="A2271" s="19" t="str">
        <f>HYPERLINK("http://codeforces.com/problemset/problem/1037/G", "CF1037-D12-G")</f>
        <v>CF1037-D12-G</v>
      </c>
      <c r="B2271" s="20" t="s">
        <v>2472</v>
      </c>
      <c r="C2271" s="21">
        <v>7.75</v>
      </c>
      <c r="D2271" s="26" t="str">
        <f>HYPERLINK("https://github.com/tmwilliamlin168/CompetitiveProgramming/blob/master/CodeForces/CF1037-D12-G.cpp", "Sol")</f>
        <v>Sol</v>
      </c>
      <c r="E2271" s="17" t="s">
        <v>2467</v>
      </c>
      <c r="F2271" s="17" t="s">
        <v>173</v>
      </c>
      <c r="G2271" s="18"/>
      <c r="H2271" s="18"/>
    </row>
    <row r="2272" spans="1:8" ht="13.2">
      <c r="A2272" s="19" t="str">
        <f>HYPERLINK("https://arc087.contest.atcoder.jp/tasks/arc087_c","Atcoder087-ARC-C")</f>
        <v>Atcoder087-ARC-C</v>
      </c>
      <c r="B2272" s="29" t="s">
        <v>2473</v>
      </c>
      <c r="C2272" s="17">
        <v>6.8</v>
      </c>
      <c r="D2272" s="26" t="str">
        <f>HYPERLINK("https://github.com/racsosabe/CompetitiveProgramming/blob/master/AtCoder/AtCoder087-ARC-C.cpp","Sol")</f>
        <v>Sol</v>
      </c>
      <c r="E2272" s="17" t="s">
        <v>2467</v>
      </c>
      <c r="F2272" s="17" t="s">
        <v>154</v>
      </c>
      <c r="G2272" s="18"/>
      <c r="H2272" s="18"/>
    </row>
    <row r="2273" spans="1:8" ht="13.2">
      <c r="A2273" s="15" t="s">
        <v>2474</v>
      </c>
      <c r="B2273" s="34" t="s">
        <v>2475</v>
      </c>
      <c r="C2273" s="31">
        <v>6.75</v>
      </c>
      <c r="D2273" s="26" t="str">
        <f>HYPERLINK("https://github.com/MetalBall887/Competitive-Programming/blob/master/TopCoder/SRM561-D1-500.cpp","Sol")</f>
        <v>Sol</v>
      </c>
      <c r="E2273" s="17" t="s">
        <v>2467</v>
      </c>
      <c r="F2273" s="17" t="s">
        <v>201</v>
      </c>
      <c r="G2273" s="18"/>
      <c r="H2273" s="18"/>
    </row>
    <row r="2274" spans="1:8" ht="13.2">
      <c r="A2274" s="19" t="str">
        <f>HYPERLINK("https://atcoder.jp/contests/agc043/tasks/agc043_c","AtCoder043-AGC-C")</f>
        <v>AtCoder043-AGC-C</v>
      </c>
      <c r="B2274" s="20" t="s">
        <v>2468</v>
      </c>
      <c r="C2274" s="21">
        <v>6.5</v>
      </c>
      <c r="D2274" s="18"/>
      <c r="E2274" s="17" t="s">
        <v>2467</v>
      </c>
      <c r="F2274" s="17" t="s">
        <v>154</v>
      </c>
      <c r="G2274" s="18"/>
      <c r="H2274" s="18"/>
    </row>
    <row r="2275" spans="1:8" ht="13.2">
      <c r="A2275" s="19" t="str">
        <f>HYPERLINK("https://codeforces.com/gym/101908/problem/B","CF101908-GYM-B")</f>
        <v>CF101908-GYM-B</v>
      </c>
      <c r="B2275" s="20" t="s">
        <v>2468</v>
      </c>
      <c r="C2275" s="21">
        <v>6.5</v>
      </c>
      <c r="D2275" s="26" t="str">
        <f>HYPERLINK("https://github.com/mostafa-saad/MyCompetitiveProgramming/blob/master/Codeforces/CF101908-GYM-B.txt","Sol")</f>
        <v>Sol</v>
      </c>
      <c r="E2275" s="17" t="s">
        <v>2467</v>
      </c>
      <c r="F2275" s="17" t="s">
        <v>154</v>
      </c>
      <c r="G2275" s="18"/>
      <c r="H2275" s="18"/>
    </row>
    <row r="2276" spans="1:8" ht="13.2">
      <c r="A2276" s="19" t="str">
        <f>HYPERLINK("https://www.codechef.com/COOK98A/problems/GHVSSI", "CODECHEF GHVSSI")</f>
        <v>CODECHEF GHVSSI</v>
      </c>
      <c r="B2276" s="15" t="s">
        <v>2476</v>
      </c>
      <c r="C2276" s="17">
        <v>6.5</v>
      </c>
      <c r="D2276" s="26" t="str">
        <f>HYPERLINK("https://github.com/mostafa-saad/MyCompetitiveProgramming/blob/master/CodeChef/CODECHEF-GHVSSI.txt","Sol")</f>
        <v>Sol</v>
      </c>
      <c r="E2276" s="17" t="s">
        <v>2467</v>
      </c>
      <c r="F2276" s="17" t="s">
        <v>154</v>
      </c>
      <c r="G2276" s="18"/>
      <c r="H2276" s="18"/>
    </row>
    <row r="2277" spans="1:8" ht="13.2">
      <c r="A2277" s="19" t="str">
        <f>HYPERLINK("http://agc017.contest.atcoder.jp/tasks/agc017_d","AtCoder017-AGC-D")</f>
        <v>AtCoder017-AGC-D</v>
      </c>
      <c r="B2277" s="15" t="s">
        <v>2477</v>
      </c>
      <c r="C2277" s="17">
        <v>6.5</v>
      </c>
      <c r="D2277" s="18"/>
      <c r="E2277" s="17" t="s">
        <v>2467</v>
      </c>
      <c r="F2277" s="17" t="s">
        <v>154</v>
      </c>
      <c r="G2277" s="18"/>
      <c r="H2277" s="18"/>
    </row>
    <row r="2278" spans="1:8" ht="13.2">
      <c r="A2278" s="19" t="str">
        <f>HYPERLINK("http://codeforces.com/contest/305/problem/E","CF305-D2-E")</f>
        <v>CF305-D2-E</v>
      </c>
      <c r="B2278" s="32" t="s">
        <v>2468</v>
      </c>
      <c r="C2278" s="17">
        <v>6.5</v>
      </c>
      <c r="D2278" s="18"/>
      <c r="E2278" s="17" t="s">
        <v>2467</v>
      </c>
      <c r="F2278" s="17" t="s">
        <v>139</v>
      </c>
      <c r="G2278" s="18"/>
      <c r="H2278" s="18"/>
    </row>
    <row r="2279" spans="1:8" ht="13.2">
      <c r="A2279" s="19" t="str">
        <f>HYPERLINK("https://onlinejudge.org/index.php?option=com_onlinejudge&amp;Itemid=8&amp;page=show_problem&amp;problem=4124","UVA 1378")</f>
        <v>UVA 1378</v>
      </c>
      <c r="B2279" s="38" t="s">
        <v>2478</v>
      </c>
      <c r="C2279" s="24">
        <v>6.5</v>
      </c>
      <c r="D2279" s="26" t="str">
        <f>HYPERLINK("https://blog.csdn.net/y1196645376/article/details/52150885","Sol")</f>
        <v>Sol</v>
      </c>
      <c r="E2279" s="17" t="s">
        <v>2467</v>
      </c>
      <c r="F2279" s="17" t="s">
        <v>139</v>
      </c>
      <c r="G2279" s="18"/>
      <c r="H2279" s="18"/>
    </row>
    <row r="2280" spans="1:8" ht="13.2">
      <c r="A2280" s="15" t="s">
        <v>2479</v>
      </c>
      <c r="B2280" s="29" t="s">
        <v>2480</v>
      </c>
      <c r="C2280" s="17">
        <v>6.25</v>
      </c>
      <c r="D2280" s="26" t="str">
        <f>HYPERLINK("https://github.com/mostafa-saad/MyCompetitiveProgramming/blob/master/UVA/UVA_11840.txt","Sol")</f>
        <v>Sol</v>
      </c>
      <c r="E2280" s="17" t="s">
        <v>2467</v>
      </c>
      <c r="F2280" s="17" t="s">
        <v>139</v>
      </c>
      <c r="G2280" s="18"/>
      <c r="H2280" s="18"/>
    </row>
    <row r="2281" spans="1:8" ht="13.2">
      <c r="A2281" s="15" t="s">
        <v>2481</v>
      </c>
      <c r="B2281" s="39" t="s">
        <v>2482</v>
      </c>
      <c r="C2281" s="17">
        <v>6.25</v>
      </c>
      <c r="D2281" s="26" t="str">
        <f>HYPERLINK("https://github.com/arvindr9/CompetitiveProgramming/blob/master/TopCoder/SRM389-D1-1000.cpp","Sol")</f>
        <v>Sol</v>
      </c>
      <c r="E2281" s="17" t="s">
        <v>2467</v>
      </c>
      <c r="F2281" s="17" t="s">
        <v>139</v>
      </c>
      <c r="G2281" s="18"/>
      <c r="H2281" s="18"/>
    </row>
    <row r="2282" spans="1:8" ht="13.2">
      <c r="A2282" s="19" t="str">
        <f>HYPERLINK("https://codingcompetitions.withgoogle.com/codejam/round/00000000000516b9/0000000000134cdf","CODEJAM 19-R1C-C")</f>
        <v>CODEJAM 19-R1C-C</v>
      </c>
      <c r="B2282" s="20" t="s">
        <v>2483</v>
      </c>
      <c r="C2282" s="17">
        <v>6.25</v>
      </c>
      <c r="D2282" s="18"/>
      <c r="E2282" s="17" t="s">
        <v>2467</v>
      </c>
      <c r="F2282" s="17" t="s">
        <v>201</v>
      </c>
      <c r="G2282" s="18"/>
      <c r="H2282" s="18"/>
    </row>
    <row r="2283" spans="1:8" ht="13.2">
      <c r="A2283" s="19" t="str">
        <f>HYPERLINK("http://codeforces.com/contest/851/problem/E","CF851-D2-E")</f>
        <v>CF851-D2-E</v>
      </c>
      <c r="B2283" s="15" t="s">
        <v>2484</v>
      </c>
      <c r="C2283" s="17">
        <v>6.1</v>
      </c>
      <c r="D2283" s="18"/>
      <c r="E2283" s="17" t="s">
        <v>2467</v>
      </c>
      <c r="F2283" s="17" t="s">
        <v>139</v>
      </c>
      <c r="G2283" s="18"/>
      <c r="H2283" s="18"/>
    </row>
    <row r="2284" spans="1:8" ht="13.2">
      <c r="A2284" s="19" t="str">
        <f>HYPERLINK("http://codeforces.com/contest/256/problem/C","CF256-D1-C")</f>
        <v>CF256-D1-C</v>
      </c>
      <c r="B2284" s="29" t="s">
        <v>2485</v>
      </c>
      <c r="C2284" s="24">
        <v>6</v>
      </c>
      <c r="D2284" s="18"/>
      <c r="E2284" s="17" t="s">
        <v>2467</v>
      </c>
      <c r="F2284" s="17" t="s">
        <v>154</v>
      </c>
      <c r="G2284" s="18"/>
      <c r="H2284" s="18"/>
    </row>
    <row r="2285" spans="1:8" ht="13.2">
      <c r="A2285" s="19" t="str">
        <f>HYPERLINK("http://codeforces.com/contest/604/problem/E","CF604-D2-E")</f>
        <v>CF604-D2-E</v>
      </c>
      <c r="B2285" s="15" t="s">
        <v>2468</v>
      </c>
      <c r="C2285" s="24">
        <v>6</v>
      </c>
      <c r="D2285" s="18"/>
      <c r="E2285" s="17" t="s">
        <v>2467</v>
      </c>
      <c r="F2285" s="17" t="s">
        <v>139</v>
      </c>
      <c r="G2285" s="18"/>
      <c r="H2285" s="18"/>
    </row>
    <row r="2286" spans="1:8" ht="13.2">
      <c r="A2286" s="19" t="str">
        <f>HYPERLINK("http://codeforces.com/contest/87/problem/C","CF87-D1-C")</f>
        <v>CF87-D1-C</v>
      </c>
      <c r="B2286" s="29" t="s">
        <v>2468</v>
      </c>
      <c r="C2286" s="17">
        <v>6</v>
      </c>
      <c r="D2286" s="26" t="str">
        <f>HYPERLINK("https://github.com/arvindr9/CompetitiveProgramming/blob/master/CodeForces/CF87-D1-C.cpp","Sol")</f>
        <v>Sol</v>
      </c>
      <c r="E2286" s="17" t="s">
        <v>2467</v>
      </c>
      <c r="F2286" s="17" t="s">
        <v>139</v>
      </c>
      <c r="G2286" s="18"/>
      <c r="H2286" s="18"/>
    </row>
    <row r="2287" spans="1:8" ht="13.2">
      <c r="A2287" s="15" t="s">
        <v>2486</v>
      </c>
      <c r="B2287" s="28" t="s">
        <v>2468</v>
      </c>
      <c r="C2287" s="17">
        <v>6</v>
      </c>
      <c r="D2287" s="26" t="str">
        <f>HYPERLINK("https://github.com/goswami-rahul/competitive-coding/blob/master/CompetitiveProgramming/timus/1540.cpp","Sol")</f>
        <v>Sol</v>
      </c>
      <c r="E2287" s="17" t="s">
        <v>2467</v>
      </c>
      <c r="F2287" s="17" t="s">
        <v>139</v>
      </c>
      <c r="G2287" s="18"/>
      <c r="H2287" s="18"/>
    </row>
    <row r="2288" spans="1:8" ht="13.2">
      <c r="A2288" s="19" t="str">
        <f>HYPERLINK("https://codeforces.com/gym/102058/problem/F","CF102058-GYM-F")</f>
        <v>CF102058-GYM-F</v>
      </c>
      <c r="B2288" s="15" t="s">
        <v>2487</v>
      </c>
      <c r="C2288" s="17">
        <v>6</v>
      </c>
      <c r="D2288" s="26" t="str">
        <f>HYPERLINK("https://github.com/MetalBall887/Competitive-Programming/blob/master/CodeForces/CF102058-GYM-F.cpp","Sl")</f>
        <v>Sl</v>
      </c>
      <c r="E2288" s="17" t="s">
        <v>2467</v>
      </c>
      <c r="F2288" s="17" t="s">
        <v>139</v>
      </c>
      <c r="G2288" s="18"/>
      <c r="H2288" s="18"/>
    </row>
    <row r="2289" spans="1:8" ht="13.2">
      <c r="A2289" s="15" t="s">
        <v>2488</v>
      </c>
      <c r="B2289" s="28" t="s">
        <v>2489</v>
      </c>
      <c r="C2289" s="24">
        <v>6</v>
      </c>
      <c r="D2289" s="26" t="str">
        <f>HYPERLINK("https://github.com/mostafa-saad/MyCompetitiveProgramming/blob/master/SPOJ/SPOJ_TRIOMINO.txt","Sol")</f>
        <v>Sol</v>
      </c>
      <c r="E2289" s="17" t="s">
        <v>2467</v>
      </c>
      <c r="F2289" s="17" t="s">
        <v>139</v>
      </c>
      <c r="G2289" s="18"/>
      <c r="H2289" s="18"/>
    </row>
    <row r="2290" spans="1:8" ht="13.2">
      <c r="A2290" s="19" t="str">
        <f>HYPERLINK("https://www.codechef.com/COOK102B/problems/ADAPWNS","CODECHEF ADAPWNS")</f>
        <v>CODECHEF ADAPWNS</v>
      </c>
      <c r="B2290" s="15" t="s">
        <v>2490</v>
      </c>
      <c r="C2290" s="17">
        <v>6</v>
      </c>
      <c r="D2290" s="18"/>
      <c r="E2290" s="17" t="s">
        <v>2467</v>
      </c>
      <c r="F2290" s="17" t="s">
        <v>139</v>
      </c>
      <c r="G2290" s="18"/>
      <c r="H2290" s="18"/>
    </row>
    <row r="2291" spans="1:8" ht="13.2">
      <c r="A2291" s="19" t="str">
        <f>HYPERLINK("https://www.hackerrank.com/challenges/digits-square-board-1","HACKR digits-square-board-1")</f>
        <v>HACKR digits-square-board-1</v>
      </c>
      <c r="B2291" s="28" t="s">
        <v>2491</v>
      </c>
      <c r="C2291" s="17">
        <v>5.75</v>
      </c>
      <c r="D2291" s="18"/>
      <c r="E2291" s="17" t="s">
        <v>2467</v>
      </c>
      <c r="F2291" s="17" t="s">
        <v>201</v>
      </c>
      <c r="G2291" s="18"/>
      <c r="H2291" s="18"/>
    </row>
    <row r="2292" spans="1:8" ht="13.2">
      <c r="A2292" s="19" t="str">
        <f>HYPERLINK("http://codeforces.com/contest/88/problem/E","CF88-D2-E")</f>
        <v>CF88-D2-E</v>
      </c>
      <c r="B2292" s="18" t="s">
        <v>2485</v>
      </c>
      <c r="C2292" s="17">
        <v>5.5</v>
      </c>
      <c r="D2292" s="18"/>
      <c r="E2292" s="17" t="s">
        <v>2467</v>
      </c>
      <c r="F2292" s="17" t="s">
        <v>139</v>
      </c>
      <c r="G2292" s="18"/>
      <c r="H2292" s="18"/>
    </row>
    <row r="2293" spans="1:8" ht="13.2">
      <c r="A2293" s="19" t="str">
        <f>HYPERLINK("http://codeforces.com/contest/15/problem/C","CF15-D12-C")</f>
        <v>CF15-D12-C</v>
      </c>
      <c r="B2293" s="29" t="s">
        <v>2492</v>
      </c>
      <c r="C2293" s="17">
        <v>5.5</v>
      </c>
      <c r="D2293" s="18"/>
      <c r="E2293" s="17" t="s">
        <v>2467</v>
      </c>
      <c r="F2293" s="17" t="s">
        <v>139</v>
      </c>
      <c r="G2293" s="18"/>
      <c r="H2293" s="18"/>
    </row>
    <row r="2294" spans="1:8" ht="13.2">
      <c r="A2294" s="19" t="str">
        <f>HYPERLINK("https://onlinejudge.org/index.php?option=com_onlinejudge&amp;Itemid=8&amp;category=229&amp;page=show_problem&amp;problem=3078","UVA 11927")</f>
        <v>UVA 11927</v>
      </c>
      <c r="B2294" s="29" t="s">
        <v>2477</v>
      </c>
      <c r="C2294" s="17">
        <v>5.5</v>
      </c>
      <c r="D2294" s="26" t="str">
        <f>HYPERLINK("https://blog.csdn.net/accelerator_/article/details/37881301","Sol")</f>
        <v>Sol</v>
      </c>
      <c r="E2294" s="17" t="s">
        <v>2467</v>
      </c>
      <c r="F2294" s="17"/>
      <c r="G2294" s="18"/>
      <c r="H2294" s="18"/>
    </row>
    <row r="2295" spans="1:8" ht="13.2">
      <c r="A2295" s="19" t="str">
        <f>HYPERLINK("https://www.codechef.com/problems/PSHTBRTH","CODECHEF PSHTBRTH")</f>
        <v>CODECHEF PSHTBRTH</v>
      </c>
      <c r="B2295" s="18" t="s">
        <v>2493</v>
      </c>
      <c r="C2295" s="17">
        <v>5</v>
      </c>
      <c r="D2295" s="18"/>
      <c r="E2295" s="17" t="s">
        <v>2467</v>
      </c>
      <c r="F2295" s="17" t="s">
        <v>173</v>
      </c>
      <c r="G2295" s="18"/>
      <c r="H2295" s="18"/>
    </row>
    <row r="2296" spans="1:8" ht="13.2">
      <c r="A2296" s="19" t="str">
        <f>HYPERLINK("https://www.hackerearth.com/fr/practice/algorithms/dynamic-programming/2-dimensional/practice-problems/algorithm/prime-game-1-2604365b/","HACKER prime-game-1")</f>
        <v>HACKER prime-game-1</v>
      </c>
      <c r="B2296" s="15" t="s">
        <v>2494</v>
      </c>
      <c r="C2296" s="17">
        <v>5</v>
      </c>
      <c r="D2296" s="18"/>
      <c r="E2296" s="17" t="s">
        <v>2467</v>
      </c>
      <c r="F2296" s="17" t="s">
        <v>242</v>
      </c>
      <c r="G2296" s="18"/>
      <c r="H2296" s="18"/>
    </row>
    <row r="2297" spans="1:8" ht="13.2">
      <c r="A2297" s="15" t="s">
        <v>2495</v>
      </c>
      <c r="B2297" s="28" t="s">
        <v>2496</v>
      </c>
      <c r="C2297" s="17">
        <v>4.5</v>
      </c>
      <c r="D2297" s="18"/>
      <c r="E2297" s="17" t="s">
        <v>2467</v>
      </c>
      <c r="F2297" s="17"/>
      <c r="G2297" s="18"/>
      <c r="H2297" s="18"/>
    </row>
    <row r="2298" spans="1:8" ht="13.2">
      <c r="A2298" s="15" t="s">
        <v>2497</v>
      </c>
      <c r="B2298" s="28" t="s">
        <v>2498</v>
      </c>
      <c r="C2298" s="17">
        <v>4</v>
      </c>
      <c r="D2298" s="18"/>
      <c r="E2298" s="17" t="s">
        <v>2467</v>
      </c>
      <c r="F2298" s="17" t="s">
        <v>229</v>
      </c>
      <c r="G2298" s="18"/>
      <c r="H2298" s="18"/>
    </row>
    <row r="2299" spans="1:8" ht="13.2">
      <c r="A2299" s="19" t="str">
        <f>HYPERLINK("http://codeforces.com/contest/768/problem/E","CF768-D12-E")</f>
        <v>CF768-D12-E</v>
      </c>
      <c r="B2299" s="28" t="s">
        <v>2499</v>
      </c>
      <c r="C2299" s="24">
        <v>4</v>
      </c>
      <c r="D2299" s="18"/>
      <c r="E2299" s="17" t="s">
        <v>2467</v>
      </c>
      <c r="F2299" s="17"/>
      <c r="G2299" s="18"/>
      <c r="H2299" s="18"/>
    </row>
    <row r="2300" spans="1:8" ht="13.2">
      <c r="A2300" s="15" t="s">
        <v>2500</v>
      </c>
      <c r="B2300" s="28" t="s">
        <v>2501</v>
      </c>
      <c r="C2300" s="24">
        <v>4</v>
      </c>
      <c r="D2300" s="18"/>
      <c r="E2300" s="17" t="s">
        <v>2467</v>
      </c>
      <c r="F2300" s="17"/>
      <c r="G2300" s="18"/>
      <c r="H2300" s="18"/>
    </row>
    <row r="2301" spans="1:8" ht="13.2">
      <c r="A2301" s="15" t="s">
        <v>2502</v>
      </c>
      <c r="B2301" s="18" t="s">
        <v>2503</v>
      </c>
      <c r="C2301" s="24">
        <v>3</v>
      </c>
      <c r="D2301" s="18"/>
      <c r="E2301" s="17" t="s">
        <v>2467</v>
      </c>
      <c r="F2301" s="17" t="s">
        <v>306</v>
      </c>
      <c r="G2301" s="18"/>
      <c r="H2301" s="18"/>
    </row>
    <row r="2302" spans="1:8" ht="13.2">
      <c r="A2302" s="15" t="s">
        <v>2504</v>
      </c>
      <c r="B2302" s="28" t="s">
        <v>2468</v>
      </c>
      <c r="C2302" s="17">
        <v>3</v>
      </c>
      <c r="D2302" s="18"/>
      <c r="E2302" s="17" t="s">
        <v>2467</v>
      </c>
      <c r="F2302" s="17" t="s">
        <v>139</v>
      </c>
      <c r="G2302" s="18"/>
      <c r="H2302" s="18"/>
    </row>
    <row r="2303" spans="1:8" ht="13.2">
      <c r="A2303" s="19" t="str">
        <f>HYPERLINK("http://codeforces.com/gym/100500/","CF100500-GYM-E")</f>
        <v>CF100500-GYM-E</v>
      </c>
      <c r="B2303" s="28" t="s">
        <v>2468</v>
      </c>
      <c r="C2303" s="24">
        <v>3</v>
      </c>
      <c r="D2303" s="18"/>
      <c r="E2303" s="17" t="s">
        <v>2467</v>
      </c>
      <c r="F2303" s="17"/>
      <c r="G2303" s="18"/>
      <c r="H2303" s="18"/>
    </row>
    <row r="2304" spans="1:8" ht="13.2">
      <c r="A2304" s="19" t="str">
        <f>HYPERLINK("https://www.codechef.com/problems/LAMQUGAM","CODECHEF LAMQUGAM")</f>
        <v>CODECHEF LAMQUGAM</v>
      </c>
      <c r="B2304" s="28" t="s">
        <v>2505</v>
      </c>
      <c r="C2304" s="24">
        <v>9.5</v>
      </c>
      <c r="D2304" s="18"/>
      <c r="E2304" s="17" t="s">
        <v>2506</v>
      </c>
      <c r="F2304" s="17"/>
      <c r="G2304" s="18"/>
      <c r="H2304" s="18"/>
    </row>
    <row r="2305" spans="1:8" ht="13.2">
      <c r="A2305" s="19" t="str">
        <f>HYPERLINK("http://codeforces.com/gym/100379/","CF100379-GYM-G")</f>
        <v>CF100379-GYM-G</v>
      </c>
      <c r="B2305" s="28" t="s">
        <v>2505</v>
      </c>
      <c r="C2305" s="24">
        <v>9</v>
      </c>
      <c r="D2305" s="18"/>
      <c r="E2305" s="17" t="s">
        <v>2506</v>
      </c>
      <c r="F2305" s="17"/>
      <c r="G2305" s="18"/>
      <c r="H2305" s="18"/>
    </row>
    <row r="2306" spans="1:8" ht="13.2">
      <c r="A2306" s="19" t="str">
        <f>HYPERLINK("http://codeforces.com/contest/282/problem/D","CF282-D2-D")</f>
        <v>CF282-D2-D</v>
      </c>
      <c r="B2306" s="29" t="s">
        <v>2507</v>
      </c>
      <c r="C2306" s="24">
        <v>6</v>
      </c>
      <c r="D2306" s="18"/>
      <c r="E2306" s="17" t="s">
        <v>2506</v>
      </c>
      <c r="F2306" s="17"/>
      <c r="G2306" s="18"/>
      <c r="H2306" s="18"/>
    </row>
    <row r="2307" spans="1:8" ht="13.2">
      <c r="A2307" s="19" t="str">
        <f>HYPERLINK("http://acm.hdu.edu.cn/showproblem.php?pid=2177","HDU 2177")</f>
        <v>HDU 2177</v>
      </c>
      <c r="B2307" s="28" t="s">
        <v>2508</v>
      </c>
      <c r="C2307" s="24">
        <v>5.5</v>
      </c>
      <c r="D2307" s="18"/>
      <c r="E2307" s="17" t="s">
        <v>2506</v>
      </c>
      <c r="F2307" s="17"/>
      <c r="G2307" s="18"/>
      <c r="H2307" s="18"/>
    </row>
    <row r="2308" spans="1:8" ht="13.2">
      <c r="A2308" s="19" t="str">
        <f>HYPERLINK("http://codeforces.com/contest/98/problem/C","CF98-D1-C")</f>
        <v>CF98-D1-C</v>
      </c>
      <c r="B2308" s="15" t="s">
        <v>2509</v>
      </c>
      <c r="C2308" s="17">
        <v>9</v>
      </c>
      <c r="D2308" s="18"/>
      <c r="E2308" s="17" t="s">
        <v>2510</v>
      </c>
      <c r="F2308" s="17"/>
      <c r="G2308" s="18"/>
      <c r="H2308" s="18"/>
    </row>
    <row r="2309" spans="1:8" ht="13.2">
      <c r="A2309" s="19" t="str">
        <f>HYPERLINK("https://www.hackerrank.com/challenges/hard-homework","HACKR hard-homework")</f>
        <v>HACKR hard-homework</v>
      </c>
      <c r="B2309" s="38" t="s">
        <v>2511</v>
      </c>
      <c r="C2309" s="17">
        <v>9</v>
      </c>
      <c r="D2309" s="18"/>
      <c r="E2309" s="17" t="s">
        <v>2510</v>
      </c>
      <c r="F2309" s="17"/>
      <c r="G2309" s="18"/>
      <c r="H2309" s="18"/>
    </row>
    <row r="2310" spans="1:8" ht="13.2">
      <c r="A2310" s="19" t="str">
        <f>HYPERLINK("https://www.hackerrank.com/challenges/n-letter","HACKR n-letter")</f>
        <v>HACKR n-letter</v>
      </c>
      <c r="B2310" s="38" t="s">
        <v>2512</v>
      </c>
      <c r="C2310" s="17">
        <v>9</v>
      </c>
      <c r="D2310" s="18"/>
      <c r="E2310" s="17" t="s">
        <v>2510</v>
      </c>
      <c r="F2310" s="17"/>
      <c r="G2310" s="18"/>
      <c r="H2310" s="18"/>
    </row>
    <row r="2311" spans="1:8" ht="13.2">
      <c r="A2311" s="15" t="s">
        <v>2513</v>
      </c>
      <c r="B2311" s="16" t="s">
        <v>2514</v>
      </c>
      <c r="C2311" s="17">
        <v>8.75</v>
      </c>
      <c r="D2311" s="18"/>
      <c r="E2311" s="17" t="s">
        <v>2510</v>
      </c>
      <c r="F2311" s="17"/>
      <c r="G2311" s="18"/>
      <c r="H2311" s="18"/>
    </row>
    <row r="2312" spans="1:8" ht="13.2">
      <c r="A2312" s="15" t="s">
        <v>2515</v>
      </c>
      <c r="B2312" s="20" t="s">
        <v>2509</v>
      </c>
      <c r="C2312" s="21">
        <v>8.5</v>
      </c>
      <c r="D2312" s="18"/>
      <c r="E2312" s="17" t="s">
        <v>2510</v>
      </c>
      <c r="F2312" s="17"/>
      <c r="G2312" s="18"/>
      <c r="H2312" s="18"/>
    </row>
    <row r="2313" spans="1:8" ht="13.2">
      <c r="A2313" s="15" t="s">
        <v>2516</v>
      </c>
      <c r="B2313" s="28" t="s">
        <v>2509</v>
      </c>
      <c r="C2313" s="24">
        <v>8.5</v>
      </c>
      <c r="D2313" s="18"/>
      <c r="E2313" s="17" t="s">
        <v>2510</v>
      </c>
      <c r="F2313" s="17"/>
      <c r="G2313" s="18"/>
      <c r="H2313" s="18"/>
    </row>
    <row r="2314" spans="1:8" ht="13.2">
      <c r="A2314" s="15" t="s">
        <v>2517</v>
      </c>
      <c r="B2314" s="16" t="s">
        <v>2518</v>
      </c>
      <c r="C2314" s="17">
        <v>8.5</v>
      </c>
      <c r="D2314" s="18" t="s">
        <v>2519</v>
      </c>
      <c r="E2314" s="17" t="s">
        <v>2510</v>
      </c>
      <c r="F2314" s="17"/>
      <c r="G2314" s="18"/>
      <c r="H2314" s="18"/>
    </row>
    <row r="2315" spans="1:8" ht="13.2">
      <c r="A2315" s="15" t="s">
        <v>2520</v>
      </c>
      <c r="B2315" s="16" t="s">
        <v>2521</v>
      </c>
      <c r="C2315" s="17">
        <v>8.5</v>
      </c>
      <c r="D2315" s="18"/>
      <c r="E2315" s="17" t="s">
        <v>2510</v>
      </c>
      <c r="F2315" s="17"/>
      <c r="G2315" s="18"/>
      <c r="H2315" s="18"/>
    </row>
    <row r="2316" spans="1:8" ht="13.2">
      <c r="A2316" s="19" t="str">
        <f>HYPERLINK("https://www.hackerrank.com/challenges/count-triangles","HACKR count-triangles")</f>
        <v>HACKR count-triangles</v>
      </c>
      <c r="B2316" s="38" t="s">
        <v>2522</v>
      </c>
      <c r="C2316" s="17">
        <v>8.5</v>
      </c>
      <c r="D2316" s="18"/>
      <c r="E2316" s="17" t="s">
        <v>2510</v>
      </c>
      <c r="F2316" s="17"/>
      <c r="G2316" s="18"/>
      <c r="H2316" s="18"/>
    </row>
    <row r="2317" spans="1:8" ht="13.2">
      <c r="A2317" s="19" t="str">
        <f>HYPERLINK("http://codeforces.com/contest/420/problem/E","CF420-D1-E")</f>
        <v>CF420-D1-E</v>
      </c>
      <c r="B2317" s="20" t="s">
        <v>2509</v>
      </c>
      <c r="C2317" s="17">
        <v>8</v>
      </c>
      <c r="D2317" s="18"/>
      <c r="E2317" s="17" t="s">
        <v>2510</v>
      </c>
      <c r="F2317" s="17" t="s">
        <v>139</v>
      </c>
      <c r="G2317" s="18"/>
      <c r="H2317" s="18"/>
    </row>
    <row r="2318" spans="1:8" ht="13.2">
      <c r="A2318" s="19" t="str">
        <f>HYPERLINK("http://codeforces.com/contest/213/problem/D","CF213-D1-D")</f>
        <v>CF213-D1-D</v>
      </c>
      <c r="B2318" s="29" t="s">
        <v>2509</v>
      </c>
      <c r="C2318" s="17">
        <v>8</v>
      </c>
      <c r="D2318" s="18"/>
      <c r="E2318" s="17" t="s">
        <v>2510</v>
      </c>
      <c r="F2318" s="17"/>
      <c r="G2318" s="18"/>
      <c r="H2318" s="18"/>
    </row>
    <row r="2319" spans="1:8" ht="13.2">
      <c r="A2319" s="15" t="s">
        <v>2523</v>
      </c>
      <c r="B2319" s="28" t="s">
        <v>2509</v>
      </c>
      <c r="C2319" s="17">
        <v>8</v>
      </c>
      <c r="D2319" s="18"/>
      <c r="E2319" s="17" t="s">
        <v>2510</v>
      </c>
      <c r="F2319" s="17"/>
      <c r="G2319" s="18"/>
      <c r="H2319" s="18"/>
    </row>
    <row r="2320" spans="1:8" ht="13.2">
      <c r="A2320" s="15" t="s">
        <v>2524</v>
      </c>
      <c r="B2320" s="16" t="s">
        <v>2525</v>
      </c>
      <c r="C2320" s="17">
        <v>8</v>
      </c>
      <c r="D2320" s="18"/>
      <c r="E2320" s="17" t="s">
        <v>2510</v>
      </c>
      <c r="F2320" s="17"/>
      <c r="G2320" s="18"/>
      <c r="H2320" s="18"/>
    </row>
    <row r="2321" spans="1:8" ht="13.2">
      <c r="A2321" s="19" t="str">
        <f>HYPERLINK("http://codeforces.com/contest/46/problem/G","CF46-D12-G")</f>
        <v>CF46-D12-G</v>
      </c>
      <c r="B2321" s="29" t="s">
        <v>2509</v>
      </c>
      <c r="C2321" s="17">
        <v>7.75</v>
      </c>
      <c r="D2321" s="18"/>
      <c r="E2321" s="17" t="s">
        <v>2510</v>
      </c>
      <c r="F2321" s="17"/>
      <c r="G2321" s="18"/>
      <c r="H2321" s="18"/>
    </row>
    <row r="2322" spans="1:8" ht="13.2">
      <c r="A2322" s="19" t="str">
        <f>HYPERLINK("http://codeforces.com/contest/67/problem/E","CF67-D12-E")</f>
        <v>CF67-D12-E</v>
      </c>
      <c r="B2322" s="29" t="s">
        <v>2509</v>
      </c>
      <c r="C2322" s="17">
        <v>7.75</v>
      </c>
      <c r="D2322" s="18"/>
      <c r="E2322" s="17" t="s">
        <v>2510</v>
      </c>
      <c r="F2322" s="17"/>
      <c r="G2322" s="18"/>
      <c r="H2322" s="18"/>
    </row>
    <row r="2323" spans="1:8" ht="13.2">
      <c r="A2323" s="19" t="str">
        <f>HYPERLINK("http://codeforces.com/contest/82/problem/E","CF82-D12-E")</f>
        <v>CF82-D12-E</v>
      </c>
      <c r="B2323" s="29" t="s">
        <v>2509</v>
      </c>
      <c r="C2323" s="17">
        <v>7.75</v>
      </c>
      <c r="D2323" s="18"/>
      <c r="E2323" s="17" t="s">
        <v>2510</v>
      </c>
      <c r="F2323" s="17"/>
      <c r="G2323" s="18"/>
      <c r="H2323" s="18"/>
    </row>
    <row r="2324" spans="1:8" ht="13.2">
      <c r="A2324" s="19" t="str">
        <f>HYPERLINK("http://codeforces.com/contest/30/problem/D","CF30-D12-D")</f>
        <v>CF30-D12-D</v>
      </c>
      <c r="B2324" s="29" t="s">
        <v>2526</v>
      </c>
      <c r="C2324" s="17">
        <v>7.75</v>
      </c>
      <c r="D2324" s="18"/>
      <c r="E2324" s="17" t="s">
        <v>2510</v>
      </c>
      <c r="F2324" s="17"/>
      <c r="G2324" s="18"/>
      <c r="H2324" s="18"/>
    </row>
    <row r="2325" spans="1:8" ht="13.2">
      <c r="A2325" s="19" t="str">
        <f>HYPERLINK("http://codeforces.com/problemset/problem/1071/E", "CF1071-D1-E")</f>
        <v>CF1071-D1-E</v>
      </c>
      <c r="B2325" s="20" t="s">
        <v>2527</v>
      </c>
      <c r="C2325" s="21">
        <v>7.5</v>
      </c>
      <c r="D2325" s="18"/>
      <c r="E2325" s="17" t="s">
        <v>2510</v>
      </c>
      <c r="F2325" s="17" t="s">
        <v>139</v>
      </c>
      <c r="G2325" s="18"/>
      <c r="H2325" s="18"/>
    </row>
    <row r="2326" spans="1:8" ht="13.2">
      <c r="A2326" s="19" t="str">
        <f>HYPERLINK("http://codeforces.com/contest/55/problem/E","CF55-D12-E")</f>
        <v>CF55-D12-E</v>
      </c>
      <c r="B2326" s="29" t="s">
        <v>2509</v>
      </c>
      <c r="C2326" s="17">
        <v>7.5</v>
      </c>
      <c r="D2326" s="18"/>
      <c r="E2326" s="17" t="s">
        <v>2510</v>
      </c>
      <c r="F2326" s="17"/>
      <c r="G2326" s="18"/>
      <c r="H2326" s="18"/>
    </row>
    <row r="2327" spans="1:8" ht="13.2">
      <c r="A2327" s="19" t="str">
        <f>HYPERLINK("http://codeforces.com/contest/13/problem/D","CF13-D12-D")</f>
        <v>CF13-D12-D</v>
      </c>
      <c r="B2327" s="29" t="s">
        <v>2528</v>
      </c>
      <c r="C2327" s="24">
        <v>7.5</v>
      </c>
      <c r="D2327" s="18"/>
      <c r="E2327" s="24" t="s">
        <v>2510</v>
      </c>
      <c r="F2327" s="17"/>
      <c r="G2327" s="18"/>
      <c r="H2327" s="18"/>
    </row>
    <row r="2328" spans="1:8" ht="13.2">
      <c r="A2328" s="19" t="str">
        <f>HYPERLINK("http://codeforces.com/contest/62/problem/C","CF62-D12-C")</f>
        <v>CF62-D12-C</v>
      </c>
      <c r="B2328" s="29" t="s">
        <v>2529</v>
      </c>
      <c r="C2328" s="17">
        <v>7.5</v>
      </c>
      <c r="D2328" s="18"/>
      <c r="E2328" s="17" t="s">
        <v>2510</v>
      </c>
      <c r="F2328" s="17"/>
      <c r="G2328" s="18"/>
      <c r="H2328" s="18"/>
    </row>
    <row r="2329" spans="1:8" ht="13.2">
      <c r="A2329" s="15" t="s">
        <v>2530</v>
      </c>
      <c r="B2329" s="28" t="s">
        <v>2509</v>
      </c>
      <c r="C2329" s="24">
        <v>7.25</v>
      </c>
      <c r="D2329" s="18"/>
      <c r="E2329" s="17" t="s">
        <v>2510</v>
      </c>
      <c r="F2329" s="17"/>
      <c r="G2329" s="18"/>
      <c r="H2329" s="18"/>
    </row>
    <row r="2330" spans="1:8" ht="13.2">
      <c r="A2330" s="15" t="s">
        <v>2531</v>
      </c>
      <c r="B2330" s="28" t="s">
        <v>2509</v>
      </c>
      <c r="C2330" s="24">
        <v>7.25</v>
      </c>
      <c r="D2330" s="18"/>
      <c r="E2330" s="17" t="s">
        <v>2510</v>
      </c>
      <c r="F2330" s="17"/>
      <c r="G2330" s="18"/>
      <c r="H2330" s="18"/>
    </row>
    <row r="2331" spans="1:8" ht="13.2">
      <c r="A2331" s="15" t="s">
        <v>2532</v>
      </c>
      <c r="B2331" s="28" t="s">
        <v>2533</v>
      </c>
      <c r="C2331" s="24">
        <v>7.25</v>
      </c>
      <c r="D2331" s="18"/>
      <c r="E2331" s="17" t="s">
        <v>2510</v>
      </c>
      <c r="F2331" s="17"/>
      <c r="G2331" s="18"/>
      <c r="H2331" s="18"/>
    </row>
    <row r="2332" spans="1:8" ht="13.2">
      <c r="A2332" s="15" t="s">
        <v>2534</v>
      </c>
      <c r="B2332" s="28" t="s">
        <v>2535</v>
      </c>
      <c r="C2332" s="24">
        <v>7.25</v>
      </c>
      <c r="D2332" s="18"/>
      <c r="E2332" s="17" t="s">
        <v>2510</v>
      </c>
      <c r="F2332" s="17"/>
      <c r="G2332" s="18"/>
      <c r="H2332" s="18"/>
    </row>
    <row r="2333" spans="1:8" ht="13.2">
      <c r="A2333" s="15" t="s">
        <v>2536</v>
      </c>
      <c r="B2333" s="28" t="s">
        <v>2537</v>
      </c>
      <c r="C2333" s="24">
        <v>7.25</v>
      </c>
      <c r="D2333" s="18"/>
      <c r="E2333" s="17" t="s">
        <v>2510</v>
      </c>
      <c r="F2333" s="17"/>
      <c r="G2333" s="18"/>
      <c r="H2333" s="18"/>
    </row>
    <row r="2334" spans="1:8" ht="13.2">
      <c r="A2334" s="15" t="s">
        <v>2538</v>
      </c>
      <c r="B2334" s="29" t="s">
        <v>2539</v>
      </c>
      <c r="C2334" s="24">
        <v>7.25</v>
      </c>
      <c r="D2334" s="18"/>
      <c r="E2334" s="24" t="s">
        <v>2510</v>
      </c>
      <c r="F2334" s="17"/>
      <c r="G2334" s="18"/>
      <c r="H2334" s="18"/>
    </row>
    <row r="2335" spans="1:8" ht="13.2">
      <c r="A2335" s="15" t="s">
        <v>2540</v>
      </c>
      <c r="B2335" s="16" t="s">
        <v>2541</v>
      </c>
      <c r="C2335" s="17">
        <v>7.25</v>
      </c>
      <c r="D2335" s="18"/>
      <c r="E2335" s="17" t="s">
        <v>2510</v>
      </c>
      <c r="F2335" s="17"/>
      <c r="G2335" s="18"/>
      <c r="H2335" s="18"/>
    </row>
    <row r="2336" spans="1:8" ht="13.2">
      <c r="A2336" s="15" t="s">
        <v>2542</v>
      </c>
      <c r="B2336" s="30" t="s">
        <v>2543</v>
      </c>
      <c r="C2336" s="24">
        <v>7.25</v>
      </c>
      <c r="D2336" s="18"/>
      <c r="E2336" s="17" t="s">
        <v>2510</v>
      </c>
      <c r="F2336" s="17"/>
      <c r="G2336" s="18"/>
      <c r="H2336" s="18"/>
    </row>
    <row r="2337" spans="1:8" ht="13.2">
      <c r="A2337" s="15" t="s">
        <v>2544</v>
      </c>
      <c r="B2337" s="28" t="s">
        <v>2545</v>
      </c>
      <c r="C2337" s="24">
        <v>7.25</v>
      </c>
      <c r="D2337" s="26" t="str">
        <f>HYPERLINK("https://github.com/infnty/acm/blob/master/acm.uva.es/10864.c","Sol")</f>
        <v>Sol</v>
      </c>
      <c r="E2337" s="17" t="s">
        <v>2510</v>
      </c>
      <c r="F2337" s="17"/>
      <c r="G2337" s="18"/>
      <c r="H2337" s="18"/>
    </row>
    <row r="2338" spans="1:8" ht="13.2">
      <c r="A2338" s="15" t="s">
        <v>2546</v>
      </c>
      <c r="B2338" s="29" t="s">
        <v>2547</v>
      </c>
      <c r="C2338" s="24">
        <v>7.25</v>
      </c>
      <c r="D2338" s="18"/>
      <c r="E2338" s="17" t="s">
        <v>2510</v>
      </c>
      <c r="F2338" s="17"/>
      <c r="G2338" s="18"/>
      <c r="H2338" s="18"/>
    </row>
    <row r="2339" spans="1:8" ht="13.2">
      <c r="A2339" s="15" t="s">
        <v>2548</v>
      </c>
      <c r="B2339" s="30" t="s">
        <v>2549</v>
      </c>
      <c r="C2339" s="24">
        <v>7.25</v>
      </c>
      <c r="D2339" s="18"/>
      <c r="E2339" s="17" t="s">
        <v>2510</v>
      </c>
      <c r="F2339" s="17"/>
      <c r="G2339" s="18"/>
      <c r="H2339" s="18"/>
    </row>
    <row r="2340" spans="1:8" ht="13.2">
      <c r="A2340" s="19" t="str">
        <f>HYPERLINK("https://onlinejudge.org/index.php?option=onlinejudge&amp;page=show_problem&amp;problem=5136","UVA 13213")</f>
        <v>UVA 13213</v>
      </c>
      <c r="B2340" s="15" t="s">
        <v>2550</v>
      </c>
      <c r="C2340" s="21">
        <v>7</v>
      </c>
      <c r="D2340" s="18"/>
      <c r="E2340" s="17" t="s">
        <v>2510</v>
      </c>
      <c r="F2340" s="17" t="s">
        <v>154</v>
      </c>
      <c r="G2340" s="18"/>
      <c r="H2340" s="18"/>
    </row>
    <row r="2341" spans="1:8" ht="13.2">
      <c r="A2341" s="19" t="str">
        <f>HYPERLINK("http://codeforces.com/contest/559/problem/D","CF559-D1-D")</f>
        <v>CF559-D1-D</v>
      </c>
      <c r="B2341" s="15" t="s">
        <v>2551</v>
      </c>
      <c r="C2341" s="24">
        <v>7</v>
      </c>
      <c r="D2341" s="18"/>
      <c r="E2341" s="17" t="s">
        <v>2510</v>
      </c>
      <c r="F2341" s="17" t="s">
        <v>139</v>
      </c>
      <c r="G2341" s="18"/>
      <c r="H2341" s="18"/>
    </row>
    <row r="2342" spans="1:8" ht="13.2">
      <c r="A2342" s="15" t="s">
        <v>2552</v>
      </c>
      <c r="B2342" s="29" t="s">
        <v>2509</v>
      </c>
      <c r="C2342" s="24">
        <v>7</v>
      </c>
      <c r="D2342" s="18"/>
      <c r="E2342" s="24" t="s">
        <v>2510</v>
      </c>
      <c r="F2342" s="17"/>
      <c r="G2342" s="18"/>
      <c r="H2342" s="18"/>
    </row>
    <row r="2343" spans="1:8" ht="13.2">
      <c r="A2343" s="15" t="s">
        <v>2553</v>
      </c>
      <c r="B2343" s="30" t="s">
        <v>2509</v>
      </c>
      <c r="C2343" s="17">
        <v>7</v>
      </c>
      <c r="D2343" s="18"/>
      <c r="E2343" s="17" t="s">
        <v>2510</v>
      </c>
      <c r="F2343" s="17"/>
      <c r="G2343" s="18"/>
      <c r="H2343" s="18"/>
    </row>
    <row r="2344" spans="1:8" ht="13.2">
      <c r="A2344" s="15" t="s">
        <v>2554</v>
      </c>
      <c r="B2344" s="28" t="s">
        <v>2509</v>
      </c>
      <c r="C2344" s="17">
        <v>7</v>
      </c>
      <c r="D2344" s="18"/>
      <c r="E2344" s="17" t="s">
        <v>2510</v>
      </c>
      <c r="F2344" s="17"/>
      <c r="G2344" s="18"/>
      <c r="H2344" s="18"/>
    </row>
    <row r="2345" spans="1:8" ht="13.2">
      <c r="A2345" s="15" t="s">
        <v>2555</v>
      </c>
      <c r="B2345" s="30" t="s">
        <v>2509</v>
      </c>
      <c r="C2345" s="17">
        <v>7</v>
      </c>
      <c r="D2345" s="18"/>
      <c r="E2345" s="17" t="s">
        <v>2510</v>
      </c>
      <c r="F2345" s="17"/>
      <c r="G2345" s="18"/>
      <c r="H2345" s="18"/>
    </row>
    <row r="2346" spans="1:8" ht="13.2">
      <c r="A2346" s="15" t="s">
        <v>2556</v>
      </c>
      <c r="B2346" s="28" t="s">
        <v>2509</v>
      </c>
      <c r="C2346" s="17">
        <v>7</v>
      </c>
      <c r="D2346" s="18"/>
      <c r="E2346" s="17" t="s">
        <v>2510</v>
      </c>
      <c r="F2346" s="17"/>
      <c r="G2346" s="18"/>
      <c r="H2346" s="18"/>
    </row>
    <row r="2347" spans="1:8" ht="13.2">
      <c r="A2347" s="19" t="str">
        <f>HYPERLINK("http://codeforces.com/gym/100015/problem/E","CF100015-GYM-E")</f>
        <v>CF100015-GYM-E</v>
      </c>
      <c r="B2347" s="15" t="s">
        <v>2557</v>
      </c>
      <c r="C2347" s="24">
        <v>7</v>
      </c>
      <c r="D2347" s="18"/>
      <c r="E2347" s="17" t="s">
        <v>2510</v>
      </c>
      <c r="F2347" s="17"/>
      <c r="G2347" s="18"/>
      <c r="H2347" s="18"/>
    </row>
    <row r="2348" spans="1:8" ht="13.2">
      <c r="A2348" s="15" t="s">
        <v>2558</v>
      </c>
      <c r="B2348" s="30" t="s">
        <v>2559</v>
      </c>
      <c r="C2348" s="17">
        <v>7</v>
      </c>
      <c r="D2348" s="18"/>
      <c r="E2348" s="17" t="s">
        <v>2510</v>
      </c>
      <c r="F2348" s="17"/>
      <c r="G2348" s="18"/>
      <c r="H2348" s="18"/>
    </row>
    <row r="2349" spans="1:8" ht="13.2">
      <c r="A2349" s="15" t="s">
        <v>2560</v>
      </c>
      <c r="B2349" s="30" t="s">
        <v>2561</v>
      </c>
      <c r="C2349" s="17">
        <v>7</v>
      </c>
      <c r="D2349" s="18"/>
      <c r="E2349" s="17" t="s">
        <v>2510</v>
      </c>
      <c r="F2349" s="17"/>
      <c r="G2349" s="18"/>
      <c r="H2349" s="18"/>
    </row>
    <row r="2350" spans="1:8" ht="13.2">
      <c r="A2350" s="15" t="s">
        <v>2562</v>
      </c>
      <c r="B2350" s="30" t="s">
        <v>2561</v>
      </c>
      <c r="C2350" s="17">
        <v>7</v>
      </c>
      <c r="D2350" s="18"/>
      <c r="E2350" s="17" t="s">
        <v>2510</v>
      </c>
      <c r="F2350" s="17"/>
      <c r="G2350" s="18"/>
      <c r="H2350" s="18"/>
    </row>
    <row r="2351" spans="1:8" ht="13.2">
      <c r="A2351" s="15" t="s">
        <v>2563</v>
      </c>
      <c r="B2351" s="30" t="s">
        <v>2561</v>
      </c>
      <c r="C2351" s="17">
        <v>7</v>
      </c>
      <c r="D2351" s="18"/>
      <c r="E2351" s="17" t="s">
        <v>2510</v>
      </c>
      <c r="F2351" s="17"/>
      <c r="G2351" s="18"/>
      <c r="H2351" s="18"/>
    </row>
    <row r="2352" spans="1:8" ht="13.2">
      <c r="A2352" s="15" t="s">
        <v>2564</v>
      </c>
      <c r="B2352" s="34" t="s">
        <v>2565</v>
      </c>
      <c r="C2352" s="31">
        <v>7</v>
      </c>
      <c r="D2352" s="18"/>
      <c r="E2352" s="17" t="s">
        <v>2510</v>
      </c>
      <c r="F2352" s="17"/>
      <c r="G2352" s="18"/>
      <c r="H2352" s="18"/>
    </row>
    <row r="2353" spans="1:8" ht="13.2">
      <c r="A2353" s="19" t="str">
        <f>HYPERLINK("http://codeforces.com/contest/592/problem/E","CF592-D2-E")</f>
        <v>CF592-D2-E</v>
      </c>
      <c r="B2353" s="15" t="s">
        <v>2566</v>
      </c>
      <c r="C2353" s="24">
        <v>7</v>
      </c>
      <c r="D2353" s="18"/>
      <c r="E2353" s="17" t="s">
        <v>2510</v>
      </c>
      <c r="F2353" s="17"/>
      <c r="G2353" s="18"/>
      <c r="H2353" s="18"/>
    </row>
    <row r="2354" spans="1:8" ht="13.2">
      <c r="A2354" s="15" t="s">
        <v>2567</v>
      </c>
      <c r="B2354" s="30" t="s">
        <v>2568</v>
      </c>
      <c r="C2354" s="40">
        <v>7</v>
      </c>
      <c r="D2354" s="18"/>
      <c r="E2354" s="17" t="s">
        <v>2510</v>
      </c>
      <c r="F2354" s="17"/>
      <c r="G2354" s="18"/>
      <c r="H2354" s="18"/>
    </row>
    <row r="2355" spans="1:8" ht="13.2">
      <c r="A2355" s="19" t="str">
        <f>HYPERLINK("https://www.hackerrank.com/challenges/isosceles-triangles","HACKR isosceles-triangles")</f>
        <v>HACKR isosceles-triangles</v>
      </c>
      <c r="B2355" s="29" t="s">
        <v>2569</v>
      </c>
      <c r="C2355" s="40">
        <v>7</v>
      </c>
      <c r="D2355" s="26" t="str">
        <f>HYPERLINK("https://github.com/shanto86/Training/blob/master/Hackerrank/HACKR%20isosceles-triangles.cpp","Sol")</f>
        <v>Sol</v>
      </c>
      <c r="E2355" s="17" t="s">
        <v>2510</v>
      </c>
      <c r="F2355" s="17"/>
      <c r="G2355" s="18"/>
      <c r="H2355" s="18"/>
    </row>
    <row r="2356" spans="1:8" ht="13.2">
      <c r="A2356" s="15" t="s">
        <v>2570</v>
      </c>
      <c r="B2356" s="29" t="s">
        <v>2571</v>
      </c>
      <c r="C2356" s="17">
        <v>7</v>
      </c>
      <c r="D2356" s="18"/>
      <c r="E2356" s="17" t="s">
        <v>2510</v>
      </c>
      <c r="F2356" s="17"/>
      <c r="G2356" s="18"/>
      <c r="H2356" s="18"/>
    </row>
    <row r="2357" spans="1:8" ht="13.2">
      <c r="A2357" s="15" t="s">
        <v>2572</v>
      </c>
      <c r="B2357" s="28" t="s">
        <v>2573</v>
      </c>
      <c r="C2357" s="17">
        <v>7</v>
      </c>
      <c r="D2357" s="18"/>
      <c r="E2357" s="17" t="s">
        <v>2510</v>
      </c>
      <c r="F2357" s="17"/>
      <c r="G2357" s="18"/>
      <c r="H2357" s="18"/>
    </row>
    <row r="2358" spans="1:8" ht="13.2">
      <c r="A2358" s="15" t="s">
        <v>2574</v>
      </c>
      <c r="B2358" s="34" t="s">
        <v>2575</v>
      </c>
      <c r="C2358" s="33">
        <v>7</v>
      </c>
      <c r="D2358" s="18"/>
      <c r="E2358" s="17" t="s">
        <v>2510</v>
      </c>
      <c r="F2358" s="17"/>
      <c r="G2358" s="18"/>
      <c r="H2358" s="18"/>
    </row>
    <row r="2359" spans="1:8" ht="13.2">
      <c r="A2359" s="15" t="s">
        <v>2576</v>
      </c>
      <c r="B2359" s="29" t="s">
        <v>2577</v>
      </c>
      <c r="C2359" s="17">
        <v>7</v>
      </c>
      <c r="D2359" s="18"/>
      <c r="E2359" s="17" t="s">
        <v>2510</v>
      </c>
      <c r="F2359" s="17"/>
      <c r="G2359" s="18"/>
      <c r="H2359" s="18"/>
    </row>
    <row r="2360" spans="1:8" ht="13.2">
      <c r="A2360" s="15" t="s">
        <v>2578</v>
      </c>
      <c r="B2360" s="28" t="s">
        <v>2579</v>
      </c>
      <c r="C2360" s="17">
        <v>7</v>
      </c>
      <c r="D2360" s="18"/>
      <c r="E2360" s="17" t="s">
        <v>2510</v>
      </c>
      <c r="F2360" s="17"/>
      <c r="G2360" s="18"/>
      <c r="H2360" s="18"/>
    </row>
    <row r="2361" spans="1:8" ht="13.2">
      <c r="A2361" s="15" t="s">
        <v>2580</v>
      </c>
      <c r="B2361" s="28" t="s">
        <v>2581</v>
      </c>
      <c r="C2361" s="17">
        <v>7</v>
      </c>
      <c r="D2361" s="18"/>
      <c r="E2361" s="17" t="s">
        <v>2510</v>
      </c>
      <c r="F2361" s="17"/>
      <c r="G2361" s="18"/>
      <c r="H2361" s="18"/>
    </row>
    <row r="2362" spans="1:8" ht="13.2">
      <c r="A2362" s="15" t="s">
        <v>2582</v>
      </c>
      <c r="B2362" s="15" t="s">
        <v>2583</v>
      </c>
      <c r="C2362" s="17">
        <v>7</v>
      </c>
      <c r="D2362" s="18"/>
      <c r="E2362" s="17" t="s">
        <v>2510</v>
      </c>
      <c r="F2362" s="17"/>
      <c r="G2362" s="18"/>
      <c r="H2362" s="18"/>
    </row>
    <row r="2363" spans="1:8" ht="13.2">
      <c r="A2363" s="15" t="s">
        <v>2584</v>
      </c>
      <c r="B2363" s="28" t="s">
        <v>2549</v>
      </c>
      <c r="C2363" s="24">
        <v>7</v>
      </c>
      <c r="D2363" s="18"/>
      <c r="E2363" s="24" t="s">
        <v>2510</v>
      </c>
      <c r="F2363" s="17"/>
      <c r="G2363" s="18"/>
      <c r="H2363" s="18"/>
    </row>
    <row r="2364" spans="1:8" ht="13.2">
      <c r="A2364" s="15" t="s">
        <v>2585</v>
      </c>
      <c r="B2364" s="30" t="s">
        <v>2549</v>
      </c>
      <c r="C2364" s="17">
        <v>7</v>
      </c>
      <c r="D2364" s="18"/>
      <c r="E2364" s="17" t="s">
        <v>2510</v>
      </c>
      <c r="F2364" s="17"/>
      <c r="G2364" s="18"/>
      <c r="H2364" s="18"/>
    </row>
    <row r="2365" spans="1:8" ht="13.2">
      <c r="A2365" s="15" t="s">
        <v>2586</v>
      </c>
      <c r="B2365" s="30" t="s">
        <v>2549</v>
      </c>
      <c r="C2365" s="17">
        <v>7</v>
      </c>
      <c r="D2365" s="18"/>
      <c r="E2365" s="17" t="s">
        <v>2510</v>
      </c>
      <c r="F2365" s="17"/>
      <c r="G2365" s="18"/>
      <c r="H2365" s="18"/>
    </row>
    <row r="2366" spans="1:8" ht="13.2">
      <c r="A2366" s="15" t="s">
        <v>2587</v>
      </c>
      <c r="B2366" s="18" t="s">
        <v>2549</v>
      </c>
      <c r="C2366" s="17">
        <v>7</v>
      </c>
      <c r="D2366" s="18"/>
      <c r="E2366" s="17" t="s">
        <v>2510</v>
      </c>
      <c r="F2366" s="17"/>
      <c r="G2366" s="18"/>
      <c r="H2366" s="18"/>
    </row>
    <row r="2367" spans="1:8" ht="13.2">
      <c r="A2367" s="15" t="s">
        <v>2588</v>
      </c>
      <c r="B2367" s="30" t="s">
        <v>2589</v>
      </c>
      <c r="C2367" s="17">
        <v>7</v>
      </c>
      <c r="D2367" s="18"/>
      <c r="E2367" s="17" t="s">
        <v>2510</v>
      </c>
      <c r="F2367" s="17"/>
      <c r="G2367" s="18"/>
      <c r="H2367" s="18"/>
    </row>
    <row r="2368" spans="1:8" ht="13.2">
      <c r="A2368" s="19" t="str">
        <f>HYPERLINK("https://onlinejudge.org/external/111/p11123.pdf","UVA 11123")</f>
        <v>UVA 11123</v>
      </c>
      <c r="B2368" s="28" t="s">
        <v>2590</v>
      </c>
      <c r="C2368" s="24">
        <v>6.75</v>
      </c>
      <c r="D2368" s="26" t="str">
        <f>HYPERLINK("https://github.com/DrSchwad/CompetitiveProgramming/blob/master/UVA/UVA%2011123.cpp","Sol")</f>
        <v>Sol</v>
      </c>
      <c r="E2368" s="17" t="s">
        <v>2510</v>
      </c>
      <c r="F2368" s="17" t="s">
        <v>154</v>
      </c>
      <c r="G2368" s="18"/>
      <c r="H2368" s="18"/>
    </row>
    <row r="2369" spans="1:8" ht="13.2">
      <c r="A2369" s="19" t="str">
        <f>HYPERLINK("https://codeforces.com/contest/1159/problem/F","CF1159-D2-F")</f>
        <v>CF1159-D2-F</v>
      </c>
      <c r="B2369" s="20" t="s">
        <v>2509</v>
      </c>
      <c r="C2369" s="17">
        <v>6.75</v>
      </c>
      <c r="D2369" s="18"/>
      <c r="E2369" s="17" t="s">
        <v>2510</v>
      </c>
      <c r="F2369" s="17" t="s">
        <v>139</v>
      </c>
      <c r="G2369" s="18"/>
      <c r="H2369" s="18"/>
    </row>
    <row r="2370" spans="1:8" ht="13.2">
      <c r="A2370" s="15" t="s">
        <v>2591</v>
      </c>
      <c r="B2370" s="29" t="s">
        <v>2592</v>
      </c>
      <c r="C2370" s="24">
        <v>6.75</v>
      </c>
      <c r="D2370" s="26" t="str">
        <f>HYPERLINK("https://github.com/mostafa-saad/MyCompetitiveProgramming/blob/master/SPOJ/SPOJ_EQBOX.txt","Sol")</f>
        <v>Sol</v>
      </c>
      <c r="E2370" s="17" t="s">
        <v>2510</v>
      </c>
      <c r="F2370" s="17" t="s">
        <v>139</v>
      </c>
      <c r="G2370" s="18"/>
      <c r="H2370" s="18"/>
    </row>
    <row r="2371" spans="1:8" ht="13.2">
      <c r="A2371" s="19" t="str">
        <f>HYPERLINK("https://codeforces.com/contest/667/problem/E","CF667-D2-E")</f>
        <v>CF667-D2-E</v>
      </c>
      <c r="B2371" s="23" t="s">
        <v>2593</v>
      </c>
      <c r="C2371" s="17">
        <v>6.75</v>
      </c>
      <c r="D2371" s="26" t="str">
        <f>HYPERLINK("https://github.com/LeTrongDat/CompetitiveProgramming/blob/master/Codeforces/CF667-D2-E.cpp","Sol")</f>
        <v>Sol</v>
      </c>
      <c r="E2371" s="17" t="s">
        <v>2510</v>
      </c>
      <c r="F2371" s="17" t="s">
        <v>139</v>
      </c>
      <c r="G2371" s="18"/>
      <c r="H2371" s="18"/>
    </row>
    <row r="2372" spans="1:8" ht="13.2">
      <c r="A2372" s="15" t="s">
        <v>2594</v>
      </c>
      <c r="B2372" s="28" t="s">
        <v>2509</v>
      </c>
      <c r="C2372" s="24">
        <v>6.75</v>
      </c>
      <c r="D2372" s="18"/>
      <c r="E2372" s="17" t="s">
        <v>2510</v>
      </c>
      <c r="F2372" s="17"/>
      <c r="G2372" s="18"/>
      <c r="H2372" s="18"/>
    </row>
    <row r="2373" spans="1:8" ht="13.2">
      <c r="A2373" s="15" t="s">
        <v>2595</v>
      </c>
      <c r="B2373" s="28" t="s">
        <v>2509</v>
      </c>
      <c r="C2373" s="24">
        <v>6.75</v>
      </c>
      <c r="D2373" s="18"/>
      <c r="E2373" s="17" t="s">
        <v>2510</v>
      </c>
      <c r="F2373" s="17"/>
      <c r="G2373" s="18"/>
      <c r="H2373" s="18"/>
    </row>
    <row r="2374" spans="1:8" ht="13.2">
      <c r="A2374" s="15" t="s">
        <v>2596</v>
      </c>
      <c r="B2374" s="28" t="s">
        <v>2509</v>
      </c>
      <c r="C2374" s="24">
        <v>6.75</v>
      </c>
      <c r="D2374" s="18"/>
      <c r="E2374" s="17" t="s">
        <v>2510</v>
      </c>
      <c r="F2374" s="17"/>
      <c r="G2374" s="18"/>
      <c r="H2374" s="18"/>
    </row>
    <row r="2375" spans="1:8" ht="13.2">
      <c r="A2375" s="15" t="s">
        <v>2597</v>
      </c>
      <c r="B2375" s="38" t="s">
        <v>2509</v>
      </c>
      <c r="C2375" s="24">
        <v>6.75</v>
      </c>
      <c r="D2375" s="18"/>
      <c r="E2375" s="17" t="s">
        <v>2510</v>
      </c>
      <c r="F2375" s="17"/>
      <c r="G2375" s="18"/>
      <c r="H2375" s="18"/>
    </row>
    <row r="2376" spans="1:8" ht="13.2">
      <c r="A2376" s="15" t="s">
        <v>2598</v>
      </c>
      <c r="B2376" s="38" t="s">
        <v>2509</v>
      </c>
      <c r="C2376" s="24">
        <v>6.75</v>
      </c>
      <c r="D2376" s="18"/>
      <c r="E2376" s="17" t="s">
        <v>2510</v>
      </c>
      <c r="F2376" s="17"/>
      <c r="G2376" s="18"/>
      <c r="H2376" s="18"/>
    </row>
    <row r="2377" spans="1:8" ht="13.2">
      <c r="A2377" s="15" t="s">
        <v>2599</v>
      </c>
      <c r="B2377" s="28" t="s">
        <v>2509</v>
      </c>
      <c r="C2377" s="24">
        <v>6.75</v>
      </c>
      <c r="D2377" s="18"/>
      <c r="E2377" s="17" t="s">
        <v>2510</v>
      </c>
      <c r="F2377" s="17"/>
      <c r="G2377" s="18"/>
      <c r="H2377" s="18"/>
    </row>
    <row r="2378" spans="1:8" ht="13.2">
      <c r="A2378" s="15" t="s">
        <v>2600</v>
      </c>
      <c r="B2378" s="38" t="s">
        <v>2561</v>
      </c>
      <c r="C2378" s="24">
        <v>6.75</v>
      </c>
      <c r="D2378" s="18"/>
      <c r="E2378" s="17" t="s">
        <v>2510</v>
      </c>
      <c r="F2378" s="17"/>
      <c r="G2378" s="18"/>
      <c r="H2378" s="18"/>
    </row>
    <row r="2379" spans="1:8" ht="13.2">
      <c r="A2379" s="15" t="s">
        <v>2601</v>
      </c>
      <c r="B2379" s="30" t="s">
        <v>2561</v>
      </c>
      <c r="C2379" s="24">
        <v>6.75</v>
      </c>
      <c r="D2379" s="18"/>
      <c r="E2379" s="17" t="s">
        <v>2510</v>
      </c>
      <c r="F2379" s="17"/>
      <c r="G2379" s="18"/>
      <c r="H2379" s="18"/>
    </row>
    <row r="2380" spans="1:8" ht="13.2">
      <c r="A2380" s="15" t="s">
        <v>2602</v>
      </c>
      <c r="B2380" s="38" t="s">
        <v>2603</v>
      </c>
      <c r="C2380" s="24">
        <v>6.75</v>
      </c>
      <c r="D2380" s="18"/>
      <c r="E2380" s="17" t="s">
        <v>2510</v>
      </c>
      <c r="F2380" s="17"/>
      <c r="G2380" s="18"/>
      <c r="H2380" s="18"/>
    </row>
    <row r="2381" spans="1:8" ht="13.2">
      <c r="A2381" s="15" t="s">
        <v>2604</v>
      </c>
      <c r="B2381" s="30" t="s">
        <v>2603</v>
      </c>
      <c r="C2381" s="24">
        <v>6.75</v>
      </c>
      <c r="D2381" s="18"/>
      <c r="E2381" s="17" t="s">
        <v>2510</v>
      </c>
      <c r="F2381" s="17"/>
      <c r="G2381" s="18"/>
      <c r="H2381" s="18"/>
    </row>
    <row r="2382" spans="1:8" ht="13.2">
      <c r="A2382" s="15" t="s">
        <v>2605</v>
      </c>
      <c r="B2382" s="30" t="s">
        <v>2606</v>
      </c>
      <c r="C2382" s="24">
        <v>6.75</v>
      </c>
      <c r="D2382" s="18"/>
      <c r="E2382" s="17" t="s">
        <v>2510</v>
      </c>
      <c r="F2382" s="17"/>
      <c r="G2382" s="18"/>
      <c r="H2382" s="18"/>
    </row>
    <row r="2383" spans="1:8" ht="13.2">
      <c r="A2383" s="15" t="s">
        <v>2607</v>
      </c>
      <c r="B2383" s="28" t="s">
        <v>2528</v>
      </c>
      <c r="C2383" s="24">
        <v>6.75</v>
      </c>
      <c r="D2383" s="26" t="str">
        <f>HYPERLINK("http://www.cnblogs.com/jie-dcai/p/3871169.html","sol at")</f>
        <v>sol at</v>
      </c>
      <c r="E2383" s="17" t="s">
        <v>2510</v>
      </c>
      <c r="F2383" s="17"/>
      <c r="G2383" s="18"/>
      <c r="H2383" s="18"/>
    </row>
    <row r="2384" spans="1:8" ht="13.2">
      <c r="A2384" s="15" t="s">
        <v>2608</v>
      </c>
      <c r="B2384" s="30" t="s">
        <v>2549</v>
      </c>
      <c r="C2384" s="24">
        <v>6.75</v>
      </c>
      <c r="D2384" s="18"/>
      <c r="E2384" s="24" t="s">
        <v>2510</v>
      </c>
      <c r="F2384" s="17"/>
      <c r="G2384" s="18"/>
      <c r="H2384" s="18"/>
    </row>
    <row r="2385" spans="1:8" ht="13.2">
      <c r="A2385" s="15" t="s">
        <v>2609</v>
      </c>
      <c r="B2385" s="30" t="s">
        <v>2610</v>
      </c>
      <c r="C2385" s="24">
        <v>6.5</v>
      </c>
      <c r="D2385" s="26" t="str">
        <f>HYPERLINK("https://github.com/shanto86/Training/blob/master/TopCoder/SRM433-D1-500.cpp","Sol")</f>
        <v>Sol</v>
      </c>
      <c r="E2385" s="17" t="s">
        <v>2510</v>
      </c>
      <c r="F2385" s="17" t="s">
        <v>255</v>
      </c>
      <c r="G2385" s="18"/>
      <c r="H2385" s="18"/>
    </row>
    <row r="2386" spans="1:8" ht="13.2">
      <c r="A2386" s="15" t="s">
        <v>2611</v>
      </c>
      <c r="B2386" s="15" t="s">
        <v>2612</v>
      </c>
      <c r="C2386" s="21">
        <v>6.5</v>
      </c>
      <c r="D2386" s="18" t="s">
        <v>2613</v>
      </c>
      <c r="E2386" s="17" t="s">
        <v>2510</v>
      </c>
      <c r="F2386" s="17" t="s">
        <v>154</v>
      </c>
      <c r="G2386" s="18"/>
      <c r="H2386" s="18"/>
    </row>
    <row r="2387" spans="1:8" ht="13.2">
      <c r="A2387" s="19" t="str">
        <f>HYPERLINK("http://codeforces.com/contest/76/problem/F","CF76-D12-F")</f>
        <v>CF76-D12-F</v>
      </c>
      <c r="B2387" s="15" t="s">
        <v>2603</v>
      </c>
      <c r="C2387" s="17">
        <v>6.5</v>
      </c>
      <c r="D2387" s="18"/>
      <c r="E2387" s="17" t="s">
        <v>2510</v>
      </c>
      <c r="F2387" s="17" t="s">
        <v>201</v>
      </c>
      <c r="G2387" s="18"/>
      <c r="H2387" s="18"/>
    </row>
    <row r="2388" spans="1:8" ht="13.2">
      <c r="A2388" s="15" t="s">
        <v>2614</v>
      </c>
      <c r="B2388" s="38" t="s">
        <v>2509</v>
      </c>
      <c r="C2388" s="24">
        <v>6.5</v>
      </c>
      <c r="D2388" s="18"/>
      <c r="E2388" s="17" t="s">
        <v>2510</v>
      </c>
      <c r="F2388" s="17"/>
      <c r="G2388" s="18"/>
      <c r="H2388" s="18"/>
    </row>
    <row r="2389" spans="1:8" ht="13.2">
      <c r="A2389" s="15" t="s">
        <v>2615</v>
      </c>
      <c r="B2389" s="28" t="s">
        <v>2509</v>
      </c>
      <c r="C2389" s="24">
        <v>6.5</v>
      </c>
      <c r="D2389" s="18"/>
      <c r="E2389" s="17" t="s">
        <v>2510</v>
      </c>
      <c r="F2389" s="17"/>
      <c r="G2389" s="18"/>
      <c r="H2389" s="18"/>
    </row>
    <row r="2390" spans="1:8" ht="13.2">
      <c r="A2390" s="15" t="s">
        <v>2616</v>
      </c>
      <c r="B2390" s="28" t="s">
        <v>2509</v>
      </c>
      <c r="C2390" s="24">
        <v>6.5</v>
      </c>
      <c r="D2390" s="18"/>
      <c r="E2390" s="17" t="s">
        <v>2510</v>
      </c>
      <c r="F2390" s="17"/>
      <c r="G2390" s="18"/>
      <c r="H2390" s="18"/>
    </row>
    <row r="2391" spans="1:8" ht="13.2">
      <c r="A2391" s="15" t="s">
        <v>2617</v>
      </c>
      <c r="B2391" s="30" t="s">
        <v>2509</v>
      </c>
      <c r="C2391" s="24">
        <v>6.5</v>
      </c>
      <c r="D2391" s="18"/>
      <c r="E2391" s="17" t="s">
        <v>2510</v>
      </c>
      <c r="F2391" s="17"/>
      <c r="G2391" s="18"/>
      <c r="H2391" s="18"/>
    </row>
    <row r="2392" spans="1:8" ht="13.2">
      <c r="A2392" s="15" t="s">
        <v>2618</v>
      </c>
      <c r="B2392" s="30" t="s">
        <v>2514</v>
      </c>
      <c r="C2392" s="24">
        <v>6.5</v>
      </c>
      <c r="D2392" s="18"/>
      <c r="E2392" s="17" t="s">
        <v>2510</v>
      </c>
      <c r="F2392" s="17"/>
      <c r="G2392" s="18"/>
      <c r="H2392" s="18"/>
    </row>
    <row r="2393" spans="1:8" ht="13.2">
      <c r="A2393" s="15" t="s">
        <v>2619</v>
      </c>
      <c r="B2393" s="28" t="s">
        <v>2561</v>
      </c>
      <c r="C2393" s="17">
        <v>6.5</v>
      </c>
      <c r="D2393" s="26" t="str">
        <f>HYPERLINK("https://www.cnblogs.com/lienus/p/4330618.html","Sol")</f>
        <v>Sol</v>
      </c>
      <c r="E2393" s="17" t="s">
        <v>2510</v>
      </c>
      <c r="F2393" s="17"/>
      <c r="G2393" s="18"/>
      <c r="H2393" s="18"/>
    </row>
    <row r="2394" spans="1:8" ht="13.2">
      <c r="A2394" s="15" t="s">
        <v>2620</v>
      </c>
      <c r="B2394" s="28" t="s">
        <v>2621</v>
      </c>
      <c r="C2394" s="24">
        <v>6.5</v>
      </c>
      <c r="D2394" s="18"/>
      <c r="E2394" s="17" t="s">
        <v>2510</v>
      </c>
      <c r="F2394" s="17"/>
      <c r="G2394" s="18"/>
      <c r="H2394" s="18"/>
    </row>
    <row r="2395" spans="1:8" ht="13.2">
      <c r="A2395" s="15" t="s">
        <v>2622</v>
      </c>
      <c r="B2395" s="34" t="s">
        <v>2623</v>
      </c>
      <c r="C2395" s="33">
        <v>6.5</v>
      </c>
      <c r="D2395" s="18"/>
      <c r="E2395" s="17" t="s">
        <v>2510</v>
      </c>
      <c r="F2395" s="17"/>
      <c r="G2395" s="18"/>
      <c r="H2395" s="18"/>
    </row>
    <row r="2396" spans="1:8" ht="13.2">
      <c r="A2396" s="15" t="s">
        <v>2624</v>
      </c>
      <c r="B2396" s="30" t="s">
        <v>2543</v>
      </c>
      <c r="C2396" s="24">
        <v>6.5</v>
      </c>
      <c r="D2396" s="18"/>
      <c r="E2396" s="17" t="s">
        <v>2510</v>
      </c>
      <c r="F2396" s="17"/>
      <c r="G2396" s="18"/>
      <c r="H2396" s="18"/>
    </row>
    <row r="2397" spans="1:8" ht="13.2">
      <c r="A2397" s="15" t="s">
        <v>2625</v>
      </c>
      <c r="B2397" s="30" t="s">
        <v>2589</v>
      </c>
      <c r="C2397" s="24">
        <v>6.5</v>
      </c>
      <c r="D2397" s="18"/>
      <c r="E2397" s="17" t="s">
        <v>2510</v>
      </c>
      <c r="F2397" s="17"/>
      <c r="G2397" s="18"/>
      <c r="H2397" s="18"/>
    </row>
    <row r="2398" spans="1:8" ht="13.2">
      <c r="A2398" s="15" t="s">
        <v>2626</v>
      </c>
      <c r="B2398" s="16" t="s">
        <v>2627</v>
      </c>
      <c r="C2398" s="17">
        <v>6.5</v>
      </c>
      <c r="D2398" s="18"/>
      <c r="E2398" s="17" t="s">
        <v>2510</v>
      </c>
      <c r="F2398" s="17"/>
      <c r="G2398" s="18"/>
      <c r="H2398" s="18"/>
    </row>
    <row r="2399" spans="1:8" ht="13.2">
      <c r="A2399" s="15" t="s">
        <v>2628</v>
      </c>
      <c r="B2399" s="16" t="s">
        <v>2629</v>
      </c>
      <c r="C2399" s="17">
        <v>6.25</v>
      </c>
      <c r="D2399" s="18"/>
      <c r="E2399" s="17" t="s">
        <v>2510</v>
      </c>
      <c r="F2399" s="17" t="s">
        <v>139</v>
      </c>
      <c r="G2399" s="18"/>
      <c r="H2399" s="18"/>
    </row>
    <row r="2400" spans="1:8" ht="13.2">
      <c r="A2400" s="15" t="s">
        <v>2630</v>
      </c>
      <c r="B2400" s="28" t="s">
        <v>2631</v>
      </c>
      <c r="C2400" s="24">
        <v>6.25</v>
      </c>
      <c r="D2400" s="26" t="str">
        <f>HYPERLINK("https://github.com/jebouin/CompetitiveProgramming/blob/master/Timus/TIMUS%201451.cpp","Sol")</f>
        <v>Sol</v>
      </c>
      <c r="E2400" s="17" t="s">
        <v>2510</v>
      </c>
      <c r="F2400" s="17" t="s">
        <v>201</v>
      </c>
      <c r="G2400" s="18"/>
      <c r="H2400" s="18"/>
    </row>
    <row r="2401" spans="1:8" ht="13.2">
      <c r="A2401" s="15" t="s">
        <v>2632</v>
      </c>
      <c r="B2401" s="29" t="s">
        <v>2633</v>
      </c>
      <c r="C2401" s="24">
        <v>6.25</v>
      </c>
      <c r="D2401" s="18"/>
      <c r="E2401" s="24" t="s">
        <v>2510</v>
      </c>
      <c r="F2401" s="17" t="s">
        <v>201</v>
      </c>
      <c r="G2401" s="18"/>
      <c r="H2401" s="18"/>
    </row>
    <row r="2402" spans="1:8" ht="13.2">
      <c r="A2402" s="15" t="s">
        <v>2634</v>
      </c>
      <c r="B2402" s="29" t="s">
        <v>2635</v>
      </c>
      <c r="C2402" s="17">
        <v>6.25</v>
      </c>
      <c r="D2402" s="26" t="str">
        <f>HYPERLINK("https://github.com/mostafa-saad/MyCompetitiveProgramming/blob/master/UVA/UVA_1333.txt","Sol - Text/Background Clarification")</f>
        <v>Sol - Text/Background Clarification</v>
      </c>
      <c r="E2402" s="17" t="s">
        <v>2510</v>
      </c>
      <c r="F2402" s="17" t="s">
        <v>358</v>
      </c>
      <c r="G2402" s="18"/>
      <c r="H2402" s="18"/>
    </row>
    <row r="2403" spans="1:8" ht="13.2">
      <c r="A2403" s="19" t="str">
        <f>HYPERLINK("https://onlinejudge.org/index.php?option=com_onlinejudge&amp;Itemid=8&amp;page=show_problem&amp;problem=2119","UVA 11178")</f>
        <v>UVA 11178</v>
      </c>
      <c r="B2403" s="30" t="s">
        <v>2636</v>
      </c>
      <c r="C2403" s="24">
        <v>6.25</v>
      </c>
      <c r="D2403" s="26" t="str">
        <f>HYPERLINK("https://morris821028.github.io/2014/06/24/oj/uva/uva-11178/","Sol")</f>
        <v>Sol</v>
      </c>
      <c r="E2403" s="17" t="s">
        <v>2510</v>
      </c>
      <c r="F2403" s="17"/>
      <c r="G2403" s="18"/>
      <c r="H2403" s="18"/>
    </row>
    <row r="2404" spans="1:8" ht="13.2">
      <c r="A2404" s="15" t="s">
        <v>2637</v>
      </c>
      <c r="B2404" s="29" t="s">
        <v>2638</v>
      </c>
      <c r="C2404" s="24">
        <v>6.25</v>
      </c>
      <c r="D2404" s="18"/>
      <c r="E2404" s="17" t="s">
        <v>2510</v>
      </c>
      <c r="F2404" s="17"/>
      <c r="G2404" s="18"/>
      <c r="H2404" s="18"/>
    </row>
    <row r="2405" spans="1:8" ht="13.2">
      <c r="A2405" s="19" t="str">
        <f>HYPERLINK("http://codeforces.com/contest/281/problem/C","CF281-D2-C")</f>
        <v>CF281-D2-C</v>
      </c>
      <c r="B2405" s="29" t="s">
        <v>2639</v>
      </c>
      <c r="C2405" s="17">
        <v>6.25</v>
      </c>
      <c r="D2405" s="26" t="str">
        <f>HYPERLINK("https://github.com/sggutier/CompetitiveProgramming/blob/master/Codeforces/CF281-D2-C.cpp","Sol")</f>
        <v>Sol</v>
      </c>
      <c r="E2405" s="17" t="s">
        <v>2510</v>
      </c>
      <c r="F2405" s="17"/>
      <c r="G2405" s="18"/>
      <c r="H2405" s="18"/>
    </row>
    <row r="2406" spans="1:8" ht="13.2">
      <c r="A2406" s="19" t="str">
        <f>HYPERLINK("http://agc016.contest.atcoder.jp/tasks/agc016_b","AtCoder016-AGC-C")</f>
        <v>AtCoder016-AGC-C</v>
      </c>
      <c r="B2406" s="18" t="s">
        <v>2640</v>
      </c>
      <c r="C2406" s="17">
        <v>6.1</v>
      </c>
      <c r="D2406" s="18"/>
      <c r="E2406" s="17" t="s">
        <v>2510</v>
      </c>
      <c r="F2406" s="17"/>
      <c r="G2406" s="18"/>
      <c r="H2406" s="18"/>
    </row>
    <row r="2407" spans="1:8" ht="13.2">
      <c r="A2407" s="19" t="str">
        <f>HYPERLINK("https://codeforces.com/contest/1270/problem/E","CF1270-D12-E")</f>
        <v>CF1270-D12-E</v>
      </c>
      <c r="B2407" s="15" t="s">
        <v>2641</v>
      </c>
      <c r="C2407" s="21">
        <v>6</v>
      </c>
      <c r="D2407" s="18"/>
      <c r="E2407" s="17" t="s">
        <v>2510</v>
      </c>
      <c r="F2407" s="17" t="s">
        <v>154</v>
      </c>
      <c r="G2407" s="18"/>
      <c r="H2407" s="18"/>
    </row>
    <row r="2408" spans="1:8" ht="13.2">
      <c r="A2408" s="19" t="str">
        <f>HYPERLINK("http://codeforces.com/contest/23/problem/D","CF23-D12-D")</f>
        <v>CF23-D12-D</v>
      </c>
      <c r="B2408" s="29" t="s">
        <v>2642</v>
      </c>
      <c r="C2408" s="24">
        <v>6</v>
      </c>
      <c r="D2408" s="18"/>
      <c r="E2408" s="17" t="s">
        <v>2510</v>
      </c>
      <c r="F2408" s="17" t="s">
        <v>196</v>
      </c>
      <c r="G2408" s="18"/>
      <c r="H2408" s="18"/>
    </row>
    <row r="2409" spans="1:8" ht="13.2">
      <c r="A2409" s="19" t="str">
        <f>HYPERLINK("https://www.hackerearth.com/problem/algorithm/flying-square-4a157cad/","HACKER flying-square")</f>
        <v>HACKER flying-square</v>
      </c>
      <c r="B2409" s="15" t="s">
        <v>2509</v>
      </c>
      <c r="C2409" s="17">
        <v>6</v>
      </c>
      <c r="D2409" s="18"/>
      <c r="E2409" s="17" t="s">
        <v>2510</v>
      </c>
      <c r="F2409" s="17" t="s">
        <v>139</v>
      </c>
      <c r="G2409" s="18"/>
      <c r="H2409" s="18"/>
    </row>
    <row r="2410" spans="1:8" ht="13.2">
      <c r="A2410" s="15" t="s">
        <v>2643</v>
      </c>
      <c r="B2410" s="20" t="s">
        <v>2533</v>
      </c>
      <c r="C2410" s="17">
        <v>6</v>
      </c>
      <c r="D2410" s="18"/>
      <c r="E2410" s="17" t="s">
        <v>2510</v>
      </c>
      <c r="F2410" s="17" t="s">
        <v>139</v>
      </c>
      <c r="G2410" s="18"/>
      <c r="H2410" s="18"/>
    </row>
    <row r="2411" spans="1:8" ht="13.2">
      <c r="A2411" s="19" t="str">
        <f>HYPERLINK("https://codeforces.com/contest/703/problem/C","CF703-D2-C")</f>
        <v>CF703-D2-C</v>
      </c>
      <c r="B2411" s="23" t="s">
        <v>2533</v>
      </c>
      <c r="C2411" s="17">
        <v>6</v>
      </c>
      <c r="D2411" s="18"/>
      <c r="E2411" s="17" t="s">
        <v>2510</v>
      </c>
      <c r="F2411" s="17" t="s">
        <v>139</v>
      </c>
      <c r="G2411" s="18"/>
      <c r="H2411" s="18"/>
    </row>
    <row r="2412" spans="1:8" ht="13.2">
      <c r="A2412" s="19" t="str">
        <f>HYPERLINK("http://codeforces.com/gym/101726/problem/J","CF101726-gym-J")</f>
        <v>CF101726-gym-J</v>
      </c>
      <c r="B2412" s="28" t="s">
        <v>2644</v>
      </c>
      <c r="C2412" s="21">
        <v>6</v>
      </c>
      <c r="D2412" s="18"/>
      <c r="E2412" s="17" t="s">
        <v>2510</v>
      </c>
      <c r="F2412" s="17" t="s">
        <v>139</v>
      </c>
      <c r="G2412" s="18"/>
      <c r="H2412" s="18"/>
    </row>
    <row r="2413" spans="1:8" ht="13.2">
      <c r="A2413" s="15" t="s">
        <v>2645</v>
      </c>
      <c r="B2413" s="29" t="s">
        <v>2646</v>
      </c>
      <c r="C2413" s="24">
        <v>6</v>
      </c>
      <c r="D2413" s="26" t="str">
        <f>HYPERLINK("https://github.com/mostafa-saad/MyCompetitiveProgramming/blob/master/UVA/UVA_11648.txt", "Sol")</f>
        <v>Sol</v>
      </c>
      <c r="E2413" s="17" t="s">
        <v>2510</v>
      </c>
      <c r="F2413" s="17" t="s">
        <v>613</v>
      </c>
      <c r="G2413" s="18"/>
      <c r="H2413" s="18"/>
    </row>
    <row r="2414" spans="1:8" ht="13.2">
      <c r="A2414" s="15" t="s">
        <v>2647</v>
      </c>
      <c r="B2414" s="28" t="s">
        <v>2648</v>
      </c>
      <c r="C2414" s="24">
        <v>6</v>
      </c>
      <c r="D2414" s="26" t="str">
        <f>HYPERLINK("https://github.com/ryuzmukhametov/CompetitiveProgramming/blob/master/livearchive/LIVEARCHIVE%204043.cpp","Sol")</f>
        <v>Sol</v>
      </c>
      <c r="E2414" s="24" t="s">
        <v>2510</v>
      </c>
      <c r="F2414" s="17" t="s">
        <v>201</v>
      </c>
      <c r="G2414" s="18"/>
      <c r="H2414" s="18"/>
    </row>
    <row r="2415" spans="1:8" ht="13.2">
      <c r="A2415" s="19" t="str">
        <f>HYPERLINK("https://codeforces.com/contest/1074/problem/C","CF1074-D1-C")</f>
        <v>CF1074-D1-C</v>
      </c>
      <c r="B2415" s="15" t="s">
        <v>2528</v>
      </c>
      <c r="C2415" s="17">
        <v>6</v>
      </c>
      <c r="D2415" s="18"/>
      <c r="E2415" s="17" t="s">
        <v>2510</v>
      </c>
      <c r="F2415" s="17" t="s">
        <v>201</v>
      </c>
      <c r="G2415" s="18"/>
      <c r="H2415" s="18"/>
    </row>
    <row r="2416" spans="1:8" ht="13.2">
      <c r="A2416" s="15" t="s">
        <v>2649</v>
      </c>
      <c r="B2416" s="39" t="s">
        <v>2650</v>
      </c>
      <c r="C2416" s="24">
        <v>6</v>
      </c>
      <c r="D2416" s="18"/>
      <c r="E2416" s="24" t="s">
        <v>2510</v>
      </c>
      <c r="F2416" s="17" t="s">
        <v>201</v>
      </c>
      <c r="G2416" s="18"/>
      <c r="H2416" s="18"/>
    </row>
    <row r="2417" spans="1:8" ht="13.2">
      <c r="A2417" s="15" t="s">
        <v>2651</v>
      </c>
      <c r="B2417" s="28" t="s">
        <v>2549</v>
      </c>
      <c r="C2417" s="24">
        <v>6</v>
      </c>
      <c r="D2417" s="26" t="str">
        <f>HYPERLINK("https://github.com/arvindr9/CompetitiveProgramming/blob/master/Timus/TIMUS%201647.cpp","Sol")</f>
        <v>Sol</v>
      </c>
      <c r="E2417" s="17" t="s">
        <v>2510</v>
      </c>
      <c r="F2417" s="17" t="s">
        <v>201</v>
      </c>
      <c r="G2417" s="18"/>
      <c r="H2417" s="18"/>
    </row>
    <row r="2418" spans="1:8" ht="13.2">
      <c r="A2418" s="15" t="s">
        <v>2652</v>
      </c>
      <c r="B2418" s="30" t="s">
        <v>2653</v>
      </c>
      <c r="C2418" s="24">
        <v>6</v>
      </c>
      <c r="D2418" s="26" t="str">
        <f>HYPERLINK("https://github.com/mostafa-saad/MyCompetitiveProgramming/blob/master/UVA/UVA_1331.txt","Sol")</f>
        <v>Sol</v>
      </c>
      <c r="E2418" s="17" t="s">
        <v>2510</v>
      </c>
      <c r="F2418" s="17" t="s">
        <v>201</v>
      </c>
      <c r="G2418" s="18"/>
      <c r="H2418" s="18"/>
    </row>
    <row r="2419" spans="1:8" ht="13.2">
      <c r="A2419" s="15" t="s">
        <v>2654</v>
      </c>
      <c r="B2419" s="29" t="s">
        <v>2655</v>
      </c>
      <c r="C2419" s="24">
        <v>6</v>
      </c>
      <c r="D2419" s="18"/>
      <c r="E2419" s="24" t="s">
        <v>2510</v>
      </c>
      <c r="F2419" s="17" t="s">
        <v>358</v>
      </c>
      <c r="G2419" s="18"/>
      <c r="H2419" s="18"/>
    </row>
    <row r="2420" spans="1:8" ht="13.2">
      <c r="A2420" s="19" t="str">
        <f>HYPERLINK("https://codeforces.com/contest/600/problem/D","CF600-D12-D")</f>
        <v>CF600-D12-D</v>
      </c>
      <c r="B2420" s="20" t="s">
        <v>2509</v>
      </c>
      <c r="C2420" s="17">
        <v>6</v>
      </c>
      <c r="D2420" s="18"/>
      <c r="E2420" s="17" t="s">
        <v>2510</v>
      </c>
      <c r="F2420" s="17" t="s">
        <v>242</v>
      </c>
      <c r="G2420" s="18"/>
      <c r="H2420" s="18"/>
    </row>
    <row r="2421" spans="1:8" ht="13.2">
      <c r="A2421" s="15" t="s">
        <v>2656</v>
      </c>
      <c r="B2421" s="29" t="s">
        <v>2657</v>
      </c>
      <c r="C2421" s="24">
        <v>6</v>
      </c>
      <c r="D2421" s="26" t="str">
        <f>HYPERLINK("https://github.com/TheRealImaginary/CompetitiveProgramming/blob/master/UVA/UVA_11130_BilliardBounces.java","Sol")</f>
        <v>Sol</v>
      </c>
      <c r="E2421" s="17" t="s">
        <v>2510</v>
      </c>
      <c r="F2421" s="17" t="s">
        <v>242</v>
      </c>
      <c r="G2421" s="18"/>
      <c r="H2421" s="18"/>
    </row>
    <row r="2422" spans="1:8" ht="13.2">
      <c r="A2422" s="15" t="s">
        <v>2658</v>
      </c>
      <c r="B2422" s="32" t="s">
        <v>2659</v>
      </c>
      <c r="C2422" s="17">
        <v>6</v>
      </c>
      <c r="D2422" s="26" t="str">
        <f>HYPERLINK("https://github.com/ryuzmukhametov/CompetitiveProgramming/blob/master/uva/UVA%201606.cpp", "Sol")</f>
        <v>Sol</v>
      </c>
      <c r="E2422" s="17" t="s">
        <v>2510</v>
      </c>
      <c r="F2422" s="17" t="s">
        <v>242</v>
      </c>
      <c r="G2422" s="18"/>
      <c r="H2422" s="18"/>
    </row>
    <row r="2423" spans="1:8" ht="13.2">
      <c r="A2423" s="19" t="str">
        <f>HYPERLINK("http://codeforces.com/contest/346/problem/D","CF346-D1-D")</f>
        <v>CF346-D1-D</v>
      </c>
      <c r="B2423" s="15" t="s">
        <v>2509</v>
      </c>
      <c r="C2423" s="24">
        <v>6</v>
      </c>
      <c r="D2423" s="18"/>
      <c r="E2423" s="17" t="s">
        <v>2510</v>
      </c>
      <c r="F2423" s="17"/>
      <c r="G2423" s="18"/>
      <c r="H2423" s="18"/>
    </row>
    <row r="2424" spans="1:8" ht="13.2">
      <c r="A2424" s="15" t="s">
        <v>2660</v>
      </c>
      <c r="B2424" s="30" t="s">
        <v>2561</v>
      </c>
      <c r="C2424" s="24">
        <v>6</v>
      </c>
      <c r="D2424" s="18"/>
      <c r="E2424" s="17" t="s">
        <v>2510</v>
      </c>
      <c r="F2424" s="17"/>
      <c r="G2424" s="18"/>
      <c r="H2424" s="18"/>
    </row>
    <row r="2425" spans="1:8" ht="13.2">
      <c r="A2425" s="15" t="s">
        <v>2661</v>
      </c>
      <c r="B2425" s="30" t="s">
        <v>2561</v>
      </c>
      <c r="C2425" s="24">
        <v>6</v>
      </c>
      <c r="D2425" s="18"/>
      <c r="E2425" s="17" t="s">
        <v>2510</v>
      </c>
      <c r="F2425" s="17"/>
      <c r="G2425" s="18"/>
      <c r="H2425" s="18"/>
    </row>
    <row r="2426" spans="1:8" ht="13.2">
      <c r="A2426" s="15" t="s">
        <v>2662</v>
      </c>
      <c r="B2426" s="16" t="s">
        <v>2663</v>
      </c>
      <c r="C2426" s="17">
        <v>6</v>
      </c>
      <c r="D2426" s="18"/>
      <c r="E2426" s="17" t="s">
        <v>2510</v>
      </c>
      <c r="F2426" s="17"/>
      <c r="G2426" s="18"/>
      <c r="H2426" s="18"/>
    </row>
    <row r="2427" spans="1:8" ht="13.2">
      <c r="A2427" s="15" t="s">
        <v>2664</v>
      </c>
      <c r="B2427" s="28" t="s">
        <v>2665</v>
      </c>
      <c r="C2427" s="24">
        <v>6</v>
      </c>
      <c r="D2427" s="18"/>
      <c r="E2427" s="17" t="s">
        <v>2510</v>
      </c>
      <c r="F2427" s="17"/>
      <c r="G2427" s="18"/>
      <c r="H2427" s="18"/>
    </row>
    <row r="2428" spans="1:8" ht="13.2">
      <c r="A2428" s="15" t="s">
        <v>2666</v>
      </c>
      <c r="B2428" s="29" t="s">
        <v>2667</v>
      </c>
      <c r="C2428" s="24">
        <v>6</v>
      </c>
      <c r="D2428" s="26" t="str">
        <f>HYPERLINK("http://harunurrashid-coding.blogspot.com/2014/08/problem-link-httpwww_19.html","Sol")</f>
        <v>Sol</v>
      </c>
      <c r="E2428" s="17" t="s">
        <v>2510</v>
      </c>
      <c r="F2428" s="17"/>
      <c r="G2428" s="18"/>
      <c r="H2428" s="18"/>
    </row>
    <row r="2429" spans="1:8" ht="13.2">
      <c r="A2429" s="15" t="s">
        <v>2668</v>
      </c>
      <c r="B2429" s="43" t="s">
        <v>2669</v>
      </c>
      <c r="C2429" s="24">
        <v>5.75</v>
      </c>
      <c r="D2429" s="26" t="str">
        <f>HYPERLINK("https://ideone.com/Y9T8GY","Sol")</f>
        <v>Sol</v>
      </c>
      <c r="E2429" s="17" t="s">
        <v>2510</v>
      </c>
      <c r="F2429" s="17" t="s">
        <v>201</v>
      </c>
      <c r="G2429" s="18"/>
      <c r="H2429" s="18"/>
    </row>
    <row r="2430" spans="1:8" ht="13.2">
      <c r="A2430" s="15" t="s">
        <v>2670</v>
      </c>
      <c r="B2430" s="18" t="s">
        <v>2671</v>
      </c>
      <c r="C2430" s="17">
        <v>5.5</v>
      </c>
      <c r="D2430" s="26" t="str">
        <f>HYPERLINK("https://github.com/OmarHashim/Competitive-Programming/blob/master/UVA/10288.cpp","Sol")</f>
        <v>Sol</v>
      </c>
      <c r="E2430" s="17" t="s">
        <v>2510</v>
      </c>
      <c r="F2430" s="17" t="s">
        <v>255</v>
      </c>
      <c r="G2430" s="18"/>
      <c r="H2430" s="18"/>
    </row>
    <row r="2431" spans="1:8" ht="13.2">
      <c r="A2431" s="15" t="s">
        <v>2672</v>
      </c>
      <c r="B2431" s="29" t="s">
        <v>2673</v>
      </c>
      <c r="C2431" s="17">
        <v>5.5</v>
      </c>
      <c r="D2431" s="26" t="str">
        <f>HYPERLINK("https://github.com/mostafa-saad/MyCompetitiveProgramming/blob/master/UVA/UVA_11579.txt","Sol - Prove")</f>
        <v>Sol - Prove</v>
      </c>
      <c r="E2431" s="17" t="s">
        <v>2510</v>
      </c>
      <c r="F2431" s="17" t="s">
        <v>196</v>
      </c>
      <c r="G2431" s="18"/>
      <c r="H2431" s="18"/>
    </row>
    <row r="2432" spans="1:8" ht="13.2">
      <c r="A2432" s="15" t="s">
        <v>2674</v>
      </c>
      <c r="B2432" s="15" t="s">
        <v>2509</v>
      </c>
      <c r="C2432" s="17">
        <v>5.5</v>
      </c>
      <c r="D2432" s="26" t="str">
        <f>HYPERLINK("https://github.com/goswami-rahul/competitive-coding/blob/master/CompetitiveProgramming/spoj/WRONG.cpp","Sol")</f>
        <v>Sol</v>
      </c>
      <c r="E2432" s="17" t="s">
        <v>2510</v>
      </c>
      <c r="F2432" s="17" t="s">
        <v>139</v>
      </c>
      <c r="G2432" s="18"/>
      <c r="H2432" s="18"/>
    </row>
    <row r="2433" spans="1:8" ht="13.2">
      <c r="A2433" s="19" t="str">
        <f>HYPERLINK("https://codeforces.com/gym/100112/attachments","CF100112-GYM-E")</f>
        <v>CF100112-GYM-E</v>
      </c>
      <c r="B2433" s="15" t="s">
        <v>2675</v>
      </c>
      <c r="C2433" s="17">
        <v>5.5</v>
      </c>
      <c r="D2433" s="26" t="str">
        <f>HYPERLINK("https://github.com/AhmedElsisy/CompetitiveProgramming/blob/master/Codeforces/CF100112-GYM-E.cpp","Sol")</f>
        <v>Sol</v>
      </c>
      <c r="E2433" s="17" t="s">
        <v>2510</v>
      </c>
      <c r="F2433" s="17" t="s">
        <v>139</v>
      </c>
      <c r="G2433" s="18"/>
      <c r="H2433" s="18"/>
    </row>
    <row r="2434" spans="1:8" ht="13.2">
      <c r="A2434" s="19" t="str">
        <f>HYPERLINK("https://codeforces.com/contest/1064/problem/E","CF1064-D2-E")</f>
        <v>CF1064-D2-E</v>
      </c>
      <c r="B2434" s="15" t="s">
        <v>2676</v>
      </c>
      <c r="C2434" s="17">
        <v>5.5</v>
      </c>
      <c r="D2434" s="18"/>
      <c r="E2434" s="17" t="s">
        <v>2510</v>
      </c>
      <c r="F2434" s="17" t="s">
        <v>139</v>
      </c>
      <c r="G2434" s="18"/>
      <c r="H2434" s="18"/>
    </row>
    <row r="2435" spans="1:8" ht="13.2">
      <c r="A2435" s="19" t="str">
        <f>HYPERLINK("https://agc001.contest.atcoder.jp/tasks/agc001_b","AtCoder001-AGC-B")</f>
        <v>AtCoder001-AGC-B</v>
      </c>
      <c r="B2435" s="15" t="s">
        <v>2573</v>
      </c>
      <c r="C2435" s="17">
        <v>5.5</v>
      </c>
      <c r="D2435" s="18"/>
      <c r="E2435" s="17" t="s">
        <v>2510</v>
      </c>
      <c r="F2435" s="17" t="s">
        <v>139</v>
      </c>
      <c r="G2435" s="18"/>
      <c r="H2435" s="18"/>
    </row>
    <row r="2436" spans="1:8" ht="13.2">
      <c r="A2436" s="19" t="str">
        <f>HYPERLINK("https://www.codechef.com/FEB19A/problems/MANRECT","CODECHEF MANRECT")</f>
        <v>CODECHEF MANRECT</v>
      </c>
      <c r="B2436" s="23" t="s">
        <v>2677</v>
      </c>
      <c r="C2436" s="17">
        <v>5.5</v>
      </c>
      <c r="D2436" s="18"/>
      <c r="E2436" s="17" t="s">
        <v>2510</v>
      </c>
      <c r="F2436" s="17" t="s">
        <v>201</v>
      </c>
      <c r="G2436" s="18"/>
      <c r="H2436" s="18"/>
    </row>
    <row r="2437" spans="1:8" ht="13.2">
      <c r="A2437" s="19" t="str">
        <f>HYPERLINK("https://codeforces.com/gym/101917/problem/E", "CF101917-D12-E")</f>
        <v>CF101917-D12-E</v>
      </c>
      <c r="B2437" s="15" t="s">
        <v>2678</v>
      </c>
      <c r="C2437" s="17">
        <v>5.5</v>
      </c>
      <c r="D2437" s="26" t="str">
        <f>HYPERLINK("https://github.com/Huvok/CompetitiveProgramming/blob/master/Codeforces/CF101917-D12-E.cpp", "ol")</f>
        <v>ol</v>
      </c>
      <c r="E2437" s="17" t="s">
        <v>2510</v>
      </c>
      <c r="F2437" s="17" t="s">
        <v>242</v>
      </c>
      <c r="G2437" s="18"/>
      <c r="H2437" s="18"/>
    </row>
    <row r="2438" spans="1:8" ht="13.2">
      <c r="A2438" s="19" t="str">
        <f>HYPERLINK("http://codeforces.com/gym/100531/problem/H","CF100531-gym-H")</f>
        <v>CF100531-gym-H</v>
      </c>
      <c r="B2438" s="29" t="s">
        <v>2679</v>
      </c>
      <c r="C2438" s="17">
        <v>5.5</v>
      </c>
      <c r="D2438" s="26" t="str">
        <f>HYPERLINK("https://github.com/OmarHashim/Competitive-Programming/blob/master/CodeForces/CF100531-GYM-H.cpp","Sol")</f>
        <v>Sol</v>
      </c>
      <c r="E2438" s="17" t="s">
        <v>2510</v>
      </c>
      <c r="F2438" s="17" t="s">
        <v>242</v>
      </c>
      <c r="G2438" s="18"/>
      <c r="H2438" s="18"/>
    </row>
    <row r="2439" spans="1:8" ht="13.2">
      <c r="A2439" s="19" t="str">
        <f>HYPERLINK("http://codeforces.com/gym/101177/problem/D","CF101177-GYM-D")</f>
        <v>CF101177-GYM-D</v>
      </c>
      <c r="B2439" s="23" t="s">
        <v>2509</v>
      </c>
      <c r="C2439" s="17">
        <v>5.5</v>
      </c>
      <c r="D2439" s="26" t="str">
        <f>HYPERLINK("https://github.com/mostafa-saad/MyCompetitiveProgramming/blob/master/Codeforces/CF101177-GYM-D.txt","Sol")</f>
        <v>Sol</v>
      </c>
      <c r="E2439" s="17" t="s">
        <v>2510</v>
      </c>
      <c r="F2439" s="17"/>
      <c r="G2439" s="18"/>
      <c r="H2439" s="18"/>
    </row>
    <row r="2440" spans="1:8" ht="13.2">
      <c r="A2440" s="15" t="s">
        <v>2680</v>
      </c>
      <c r="B2440" s="15" t="s">
        <v>2509</v>
      </c>
      <c r="C2440" s="24">
        <v>5.5</v>
      </c>
      <c r="D2440" s="18"/>
      <c r="E2440" s="17" t="s">
        <v>2510</v>
      </c>
      <c r="F2440" s="17"/>
      <c r="G2440" s="18"/>
      <c r="H2440" s="18"/>
    </row>
    <row r="2441" spans="1:8" ht="13.2">
      <c r="A2441" s="15" t="s">
        <v>2681</v>
      </c>
      <c r="B2441" s="29" t="s">
        <v>2565</v>
      </c>
      <c r="C2441" s="17">
        <v>5.5</v>
      </c>
      <c r="D2441" s="26" t="str">
        <f>HYPERLINK("https://github.com/mostafa-saad/MyCompetitiveProgramming/blob/master/LiveArchive/LiveArchive_2688.txt","Sol")</f>
        <v>Sol</v>
      </c>
      <c r="E2441" s="17" t="s">
        <v>2510</v>
      </c>
      <c r="F2441" s="17"/>
      <c r="G2441" s="18"/>
      <c r="H2441" s="18"/>
    </row>
    <row r="2442" spans="1:8" ht="13.2">
      <c r="A2442" s="19" t="str">
        <f>HYPERLINK("http://codeforces.com/contest/1030/problem/D","CF1030-D12-D")</f>
        <v>CF1030-D12-D</v>
      </c>
      <c r="B2442" s="18" t="s">
        <v>2549</v>
      </c>
      <c r="C2442" s="21">
        <v>5.5</v>
      </c>
      <c r="D2442" s="18"/>
      <c r="E2442" s="17" t="s">
        <v>2510</v>
      </c>
      <c r="F2442" s="17"/>
      <c r="G2442" s="18"/>
      <c r="H2442" s="18"/>
    </row>
    <row r="2443" spans="1:8" ht="13.2">
      <c r="A2443" s="15" t="s">
        <v>2682</v>
      </c>
      <c r="B2443" s="18" t="s">
        <v>2561</v>
      </c>
      <c r="C2443" s="17">
        <v>5</v>
      </c>
      <c r="D2443" s="26" t="str">
        <f>HYPERLINK("https://github.com/mostafa-saad/MyCompetitiveProgramming/blob/master/UVA/UVA_11909.txt","Sol")</f>
        <v>Sol</v>
      </c>
      <c r="E2443" s="17" t="s">
        <v>2510</v>
      </c>
      <c r="F2443" s="17" t="s">
        <v>255</v>
      </c>
      <c r="G2443" s="18"/>
      <c r="H2443" s="18"/>
    </row>
    <row r="2444" spans="1:8" ht="13.2">
      <c r="A2444" s="15" t="s">
        <v>2683</v>
      </c>
      <c r="B2444" s="18" t="s">
        <v>2561</v>
      </c>
      <c r="C2444" s="17">
        <v>5</v>
      </c>
      <c r="D2444" s="26" t="str">
        <f>HYPERLINK("https://github.com/arvindr9/CompetitiveProgramming/blob/master/Timus/TIMUS%201084.cpp","Sol")</f>
        <v>Sol</v>
      </c>
      <c r="E2444" s="17" t="s">
        <v>2510</v>
      </c>
      <c r="F2444" s="17" t="s">
        <v>229</v>
      </c>
      <c r="G2444" s="18"/>
      <c r="H2444" s="18"/>
    </row>
    <row r="2445" spans="1:8" ht="13.2">
      <c r="A2445" s="15" t="s">
        <v>2684</v>
      </c>
      <c r="B2445" s="29" t="s">
        <v>2657</v>
      </c>
      <c r="C2445" s="24">
        <v>5</v>
      </c>
      <c r="D2445" s="26" t="str">
        <f>HYPERLINK("https://github.com/osamahatem/CompetitiveProgramming/blob/master/SPOJ/BILLIARD.cpp","Sol")</f>
        <v>Sol</v>
      </c>
      <c r="E2445" s="17" t="s">
        <v>2510</v>
      </c>
      <c r="F2445" s="17" t="s">
        <v>229</v>
      </c>
      <c r="G2445" s="18"/>
      <c r="H2445" s="18"/>
    </row>
    <row r="2446" spans="1:8" ht="13.2">
      <c r="A2446" s="19" t="str">
        <f>HYPERLINK("http://codeforces.com/gym/101064/problem/A","CF101064-gym-A")</f>
        <v>CF101064-gym-A</v>
      </c>
      <c r="B2446" s="15" t="s">
        <v>2685</v>
      </c>
      <c r="C2446" s="17">
        <v>5</v>
      </c>
      <c r="D2446" s="26" t="str">
        <f>HYPERLINK("https://github.com/mostafa-saad/MyCompetitiveProgramming/blob/master/Codeforces/CF101064-GYM-A.txt","Sol")</f>
        <v>Sol</v>
      </c>
      <c r="E2446" s="17" t="s">
        <v>2510</v>
      </c>
      <c r="F2446" s="17" t="s">
        <v>229</v>
      </c>
      <c r="G2446" s="18"/>
      <c r="H2446" s="18"/>
    </row>
    <row r="2447" spans="1:8" ht="13.2">
      <c r="A2447" s="19" t="str">
        <f>HYPERLINK("http://codeforces.com/contest/342/problem/C","CF342-D2-C")</f>
        <v>CF342-D2-C</v>
      </c>
      <c r="B2447" s="29" t="s">
        <v>2509</v>
      </c>
      <c r="C2447" s="17">
        <v>5</v>
      </c>
      <c r="D2447" s="18"/>
      <c r="E2447" s="17" t="s">
        <v>2510</v>
      </c>
      <c r="F2447" s="17" t="s">
        <v>139</v>
      </c>
      <c r="G2447" s="18"/>
      <c r="H2447" s="18"/>
    </row>
    <row r="2448" spans="1:8" ht="13.2">
      <c r="A2448" s="19" t="str">
        <f>HYPERLINK("https://vjudge.net/contest/310021?fbclid=IwAR1wDO-Fi2MaSKE96aGmv0AiVDlix3dVvk7LHHIDhjrUlaAftMiGFHZPot8#problem/I","IFHLC19-C3-I")</f>
        <v>IFHLC19-C3-I</v>
      </c>
      <c r="B2448" s="15" t="s">
        <v>2509</v>
      </c>
      <c r="C2448" s="17">
        <v>5</v>
      </c>
      <c r="D2448" s="26" t="str">
        <f>HYPERLINK("https://ideone.com/zFUHeH","Sol")</f>
        <v>Sol</v>
      </c>
      <c r="E2448" s="17" t="s">
        <v>2510</v>
      </c>
      <c r="F2448" s="17" t="s">
        <v>139</v>
      </c>
      <c r="G2448" s="18"/>
      <c r="H2448" s="18"/>
    </row>
    <row r="2449" spans="1:8" ht="13.2">
      <c r="A2449" s="19" t="str">
        <f>HYPERLINK("http://codeforces.com/contest/552/problem/D","CF552-D2-D")</f>
        <v>CF552-D2-D</v>
      </c>
      <c r="B2449" s="15" t="s">
        <v>2686</v>
      </c>
      <c r="C2449" s="17">
        <v>5</v>
      </c>
      <c r="D2449" s="18"/>
      <c r="E2449" s="17" t="s">
        <v>2510</v>
      </c>
      <c r="F2449" s="17" t="s">
        <v>139</v>
      </c>
      <c r="G2449" s="18"/>
      <c r="H2449" s="18"/>
    </row>
    <row r="2450" spans="1:8" ht="13.2">
      <c r="A2450" s="19" t="str">
        <f>HYPERLINK("http://codeforces.com/gym/101864/problem/L","CF101864-GYM-L")</f>
        <v>CF101864-GYM-L</v>
      </c>
      <c r="B2450" s="29" t="s">
        <v>2687</v>
      </c>
      <c r="C2450" s="17">
        <v>5</v>
      </c>
      <c r="D2450" s="26" t="str">
        <f>HYPERLINK("https://github.com/mostafa-saad/MyCompetitiveProgramming/blob/master/Codeforces/CF101864-GYM-L.txt","Sol")</f>
        <v>Sol</v>
      </c>
      <c r="E2450" s="17" t="s">
        <v>2510</v>
      </c>
      <c r="F2450" s="17" t="s">
        <v>139</v>
      </c>
      <c r="G2450" s="18"/>
      <c r="H2450" s="18"/>
    </row>
    <row r="2451" spans="1:8" ht="13.2">
      <c r="A2451" s="19" t="str">
        <f>HYPERLINK("http://codeforces.com/contest/97/problem/B","CF97-D12-B")</f>
        <v>CF97-D12-B</v>
      </c>
      <c r="B2451" s="29" t="s">
        <v>2688</v>
      </c>
      <c r="C2451" s="33">
        <v>5</v>
      </c>
      <c r="D2451" s="18"/>
      <c r="E2451" s="17" t="s">
        <v>2510</v>
      </c>
      <c r="F2451" s="17" t="s">
        <v>201</v>
      </c>
      <c r="G2451" s="18"/>
      <c r="H2451" s="18"/>
    </row>
    <row r="2452" spans="1:8" ht="13.2">
      <c r="A2452" s="19" t="str">
        <f>HYPERLINK("https://github.com/racsosabe/CompetitiveProgramming/blob/master/CodeForces/CF1016-D2-E.cpp","CF1016-D2-E")</f>
        <v>CF1016-D2-E</v>
      </c>
      <c r="B2452" s="29" t="s">
        <v>2533</v>
      </c>
      <c r="C2452" s="21">
        <v>5</v>
      </c>
      <c r="D2452" s="18"/>
      <c r="E2452" s="17" t="s">
        <v>2510</v>
      </c>
      <c r="F2452" s="17" t="s">
        <v>201</v>
      </c>
      <c r="G2452" s="18"/>
      <c r="H2452" s="18"/>
    </row>
    <row r="2453" spans="1:8" ht="13.2">
      <c r="A2453" s="15" t="s">
        <v>2689</v>
      </c>
      <c r="B2453" s="30" t="s">
        <v>2690</v>
      </c>
      <c r="C2453" s="24">
        <v>5</v>
      </c>
      <c r="D2453" s="26" t="str">
        <f>HYPERLINK("https://github.com/MichaelMounir12/CompetitiveProgramming/blob/master/Contests/SuperVision-Contest-33139/UVA_12957.cpp","Sol")</f>
        <v>Sol</v>
      </c>
      <c r="E2453" s="17" t="s">
        <v>2510</v>
      </c>
      <c r="F2453" s="17" t="s">
        <v>201</v>
      </c>
      <c r="G2453" s="18"/>
      <c r="H2453" s="18"/>
    </row>
    <row r="2454" spans="1:8" ht="13.2">
      <c r="A2454" s="15" t="s">
        <v>2691</v>
      </c>
      <c r="B2454" s="29" t="s">
        <v>2692</v>
      </c>
      <c r="C2454" s="24">
        <v>5</v>
      </c>
      <c r="D2454" s="26" t="str">
        <f>HYPERLINK("https://github.com/morris821028/UVa/blob/master/volume013/1342%20-%20That%20Nice%20Euler%20Circuit.cpp","Sol")</f>
        <v>Sol</v>
      </c>
      <c r="E2454" s="17" t="s">
        <v>2510</v>
      </c>
      <c r="F2454" s="17" t="s">
        <v>201</v>
      </c>
      <c r="G2454" s="18"/>
      <c r="H2454" s="18"/>
    </row>
    <row r="2455" spans="1:8" ht="13.2">
      <c r="A2455" s="19" t="str">
        <f>HYPERLINK("http://codeforces.com/contest/1058/problem/D","CF1058-D2-D")</f>
        <v>CF1058-D2-D</v>
      </c>
      <c r="B2455" s="15" t="s">
        <v>2693</v>
      </c>
      <c r="C2455" s="17">
        <v>5</v>
      </c>
      <c r="D2455" s="18"/>
      <c r="E2455" s="17" t="s">
        <v>2510</v>
      </c>
      <c r="F2455" s="17" t="s">
        <v>201</v>
      </c>
      <c r="G2455" s="18"/>
      <c r="H2455" s="18"/>
    </row>
    <row r="2456" spans="1:8" ht="13.2">
      <c r="A2456" s="15" t="s">
        <v>2694</v>
      </c>
      <c r="B2456" s="30" t="s">
        <v>2695</v>
      </c>
      <c r="C2456" s="24">
        <v>5</v>
      </c>
      <c r="D2456" s="26" t="str">
        <f>HYPERLINK("https://github.com/morris821028/UVa/blob/master/volume105/10545%20-%20Maximal%20Quadrilateral.cpp","Sol")</f>
        <v>Sol</v>
      </c>
      <c r="E2456" s="17" t="s">
        <v>2510</v>
      </c>
      <c r="F2456" s="17" t="s">
        <v>242</v>
      </c>
      <c r="G2456" s="18"/>
      <c r="H2456" s="18"/>
    </row>
    <row r="2457" spans="1:8" ht="13.2">
      <c r="A2457" s="15" t="s">
        <v>2696</v>
      </c>
      <c r="B2457" s="15" t="s">
        <v>2697</v>
      </c>
      <c r="C2457" s="24">
        <v>5</v>
      </c>
      <c r="D2457" s="26" t="str">
        <f>HYPERLINK("https://github.com/mostafa-saad/MyCompetitiveProgramming/blob/master/UVA/UVA_10250.txt","Sol")</f>
        <v>Sol</v>
      </c>
      <c r="E2457" s="17" t="s">
        <v>2510</v>
      </c>
      <c r="F2457" s="17" t="s">
        <v>242</v>
      </c>
      <c r="G2457" s="18"/>
      <c r="H2457" s="18"/>
    </row>
    <row r="2458" spans="1:8" ht="13.2">
      <c r="A2458" s="15" t="s">
        <v>2698</v>
      </c>
      <c r="B2458" s="28" t="s">
        <v>2509</v>
      </c>
      <c r="C2458" s="24">
        <v>5</v>
      </c>
      <c r="D2458" s="18"/>
      <c r="E2458" s="17" t="s">
        <v>2510</v>
      </c>
      <c r="F2458" s="17"/>
      <c r="G2458" s="18"/>
      <c r="H2458" s="18"/>
    </row>
    <row r="2459" spans="1:8" ht="13.2">
      <c r="A2459" s="15" t="s">
        <v>2699</v>
      </c>
      <c r="B2459" s="29" t="s">
        <v>2509</v>
      </c>
      <c r="C2459" s="33">
        <v>5</v>
      </c>
      <c r="D2459" s="26" t="str">
        <f>HYPERLINK("https://github.com/mostafa-saad/MyCompetitiveProgramming/blob/master/UVA/UVA_1643.txt","Sol")</f>
        <v>Sol</v>
      </c>
      <c r="E2459" s="17" t="s">
        <v>2510</v>
      </c>
      <c r="F2459" s="17"/>
      <c r="G2459" s="18"/>
      <c r="H2459" s="18"/>
    </row>
    <row r="2460" spans="1:8" ht="13.2">
      <c r="A2460" s="19" t="str">
        <f>HYPERLINK("http://codeforces.com/gym/101726/problem/F","CF101726-GYM-F")</f>
        <v>CF101726-GYM-F</v>
      </c>
      <c r="B2460" s="15" t="s">
        <v>2561</v>
      </c>
      <c r="C2460" s="17">
        <v>5</v>
      </c>
      <c r="D2460" s="26" t="str">
        <f>HYPERLINK("https://github.com/tanmoy13/CompetitveProgramming/blob/master/Online-Judge-Solutions/CodeForces/CF101726-GYM-F.cpp","Sol")</f>
        <v>Sol</v>
      </c>
      <c r="E2460" s="17" t="s">
        <v>2510</v>
      </c>
      <c r="F2460" s="17"/>
      <c r="G2460" s="18"/>
      <c r="H2460" s="18"/>
    </row>
    <row r="2461" spans="1:8" ht="13.2">
      <c r="A2461" s="15" t="s">
        <v>2700</v>
      </c>
      <c r="B2461" s="15" t="s">
        <v>2701</v>
      </c>
      <c r="C2461" s="24">
        <v>5</v>
      </c>
      <c r="D2461" s="26" t="str">
        <f>HYPERLINK("https://github.com/MeGaCrazy/CompetitiveProgramming/blob/73811c5ecf7d479c97b30edbb3a4f89ed10e88b6/UVA/UVA_10678.cpp","Sol")</f>
        <v>Sol</v>
      </c>
      <c r="E2461" s="17" t="s">
        <v>2510</v>
      </c>
      <c r="F2461" s="17"/>
      <c r="G2461" s="18"/>
      <c r="H2461" s="18"/>
    </row>
    <row r="2462" spans="1:8" ht="13.2">
      <c r="A2462" s="19" t="str">
        <f>HYPERLINK("http://codeforces.com/contest/598/problem/C","CF598-D12-C")</f>
        <v>CF598-D12-C</v>
      </c>
      <c r="B2462" s="23" t="s">
        <v>2702</v>
      </c>
      <c r="C2462" s="17">
        <v>5</v>
      </c>
      <c r="D2462" s="18"/>
      <c r="E2462" s="17" t="s">
        <v>2510</v>
      </c>
      <c r="F2462" s="17"/>
      <c r="G2462" s="18"/>
      <c r="H2462" s="18"/>
    </row>
    <row r="2463" spans="1:8" ht="13.2">
      <c r="A2463" s="15" t="s">
        <v>2703</v>
      </c>
      <c r="B2463" s="34" t="s">
        <v>2528</v>
      </c>
      <c r="C2463" s="31">
        <v>5</v>
      </c>
      <c r="D2463" s="18"/>
      <c r="E2463" s="17" t="s">
        <v>2510</v>
      </c>
      <c r="F2463" s="17"/>
      <c r="G2463" s="18"/>
      <c r="H2463" s="18"/>
    </row>
    <row r="2464" spans="1:8" ht="13.2">
      <c r="A2464" s="19" t="str">
        <f>HYPERLINK("http://codeforces.com/contest/404/problem/B","CF404-D2-B")</f>
        <v>CF404-D2-B</v>
      </c>
      <c r="B2464" s="15" t="s">
        <v>2704</v>
      </c>
      <c r="C2464" s="24">
        <v>5</v>
      </c>
      <c r="D2464" s="18"/>
      <c r="E2464" s="17" t="s">
        <v>2510</v>
      </c>
      <c r="F2464" s="17"/>
      <c r="G2464" s="18"/>
      <c r="H2464" s="18"/>
    </row>
    <row r="2465" spans="1:8" ht="13.2">
      <c r="A2465" s="15" t="s">
        <v>2705</v>
      </c>
      <c r="B2465" s="29" t="s">
        <v>2706</v>
      </c>
      <c r="C2465" s="17">
        <v>5</v>
      </c>
      <c r="D2465" s="18"/>
      <c r="E2465" s="17" t="s">
        <v>2510</v>
      </c>
      <c r="F2465" s="17"/>
      <c r="G2465" s="18"/>
      <c r="H2465" s="18"/>
    </row>
    <row r="2466" spans="1:8" ht="13.2">
      <c r="A2466" s="15" t="s">
        <v>2707</v>
      </c>
      <c r="B2466" s="30" t="s">
        <v>2708</v>
      </c>
      <c r="C2466" s="24">
        <v>5</v>
      </c>
      <c r="D2466" s="26" t="str">
        <f>HYPERLINK("https://github.com/MedoN11/CompetitiveProgramming/blob/master/TopCoder/SRM280-D1-500.java","Sol")</f>
        <v>Sol</v>
      </c>
      <c r="E2466" s="24" t="s">
        <v>2510</v>
      </c>
      <c r="F2466" s="17"/>
      <c r="G2466" s="18"/>
      <c r="H2466" s="18"/>
    </row>
    <row r="2467" spans="1:8" ht="13.2">
      <c r="A2467" s="15" t="s">
        <v>2709</v>
      </c>
      <c r="B2467" s="18" t="s">
        <v>2710</v>
      </c>
      <c r="C2467" s="17">
        <v>5</v>
      </c>
      <c r="D2467" s="18"/>
      <c r="E2467" s="17" t="s">
        <v>2510</v>
      </c>
      <c r="F2467" s="17"/>
      <c r="G2467" s="18"/>
      <c r="H2467" s="18"/>
    </row>
    <row r="2468" spans="1:8" ht="13.2">
      <c r="A2468" s="15" t="s">
        <v>2711</v>
      </c>
      <c r="B2468" s="15" t="s">
        <v>2509</v>
      </c>
      <c r="C2468" s="17">
        <v>4.5</v>
      </c>
      <c r="D2468" s="18"/>
      <c r="E2468" s="17" t="s">
        <v>2510</v>
      </c>
      <c r="F2468" s="17" t="s">
        <v>154</v>
      </c>
      <c r="G2468" s="18"/>
      <c r="H2468" s="18"/>
    </row>
    <row r="2469" spans="1:8" ht="13.2">
      <c r="A2469" s="19" t="str">
        <f>HYPERLINK("https://www.hackerrank.com/challenges/a-circle-and-a-square","HACKR a-circle-and-a-square")</f>
        <v>HACKR a-circle-and-a-square</v>
      </c>
      <c r="B2469" s="29" t="s">
        <v>2712</v>
      </c>
      <c r="C2469" s="33">
        <v>4.5</v>
      </c>
      <c r="D2469" s="18"/>
      <c r="E2469" s="17" t="s">
        <v>2510</v>
      </c>
      <c r="F2469" s="17" t="s">
        <v>139</v>
      </c>
      <c r="G2469" s="18"/>
      <c r="H2469" s="18"/>
    </row>
    <row r="2470" spans="1:8" ht="13.2">
      <c r="A2470" s="19" t="str">
        <f>HYPERLINK("http://codeforces.com/contest/659/problem/D","CF659-D2-D")</f>
        <v>CF659-D2-D</v>
      </c>
      <c r="B2470" s="29" t="s">
        <v>2713</v>
      </c>
      <c r="C2470" s="17">
        <v>4.5</v>
      </c>
      <c r="D2470" s="18"/>
      <c r="E2470" s="17" t="s">
        <v>2510</v>
      </c>
      <c r="F2470" s="17" t="s">
        <v>139</v>
      </c>
      <c r="G2470" s="18"/>
      <c r="H2470" s="18"/>
    </row>
    <row r="2471" spans="1:8" ht="13.2">
      <c r="A2471" s="19" t="str">
        <f>HYPERLINK("http://codeforces.com/contest/707/problem/C","CF707-D2-C")</f>
        <v>CF707-D2-C</v>
      </c>
      <c r="B2471" s="29" t="s">
        <v>2714</v>
      </c>
      <c r="C2471" s="17">
        <v>4.5</v>
      </c>
      <c r="D2471" s="18"/>
      <c r="E2471" s="17" t="s">
        <v>2510</v>
      </c>
      <c r="F2471" s="17" t="s">
        <v>201</v>
      </c>
      <c r="G2471" s="18"/>
      <c r="H2471" s="18"/>
    </row>
    <row r="2472" spans="1:8" ht="13.2">
      <c r="A2472" s="19" t="str">
        <f>HYPERLINK("http://www.spoj.com/problems/PIR/","SPOJ PIR")</f>
        <v>SPOJ PIR</v>
      </c>
      <c r="B2472" s="29" t="s">
        <v>2715</v>
      </c>
      <c r="C2472" s="17">
        <v>4.5</v>
      </c>
      <c r="D2472" s="26" t="str">
        <f>HYPERLINK("https://github.com/mostafa-saad/MyCompetitiveProgramming/blob/master/SPOJ/SPOJ_PIR.txt","Sol")</f>
        <v>Sol</v>
      </c>
      <c r="E2472" s="17" t="s">
        <v>2510</v>
      </c>
      <c r="F2472" s="17" t="s">
        <v>242</v>
      </c>
      <c r="G2472" s="18"/>
      <c r="H2472" s="18"/>
    </row>
    <row r="2473" spans="1:8" ht="13.2">
      <c r="A2473" s="15" t="s">
        <v>2716</v>
      </c>
      <c r="B2473" s="29" t="s">
        <v>2509</v>
      </c>
      <c r="C2473" s="17">
        <v>4.5</v>
      </c>
      <c r="D2473" s="18"/>
      <c r="E2473" s="17" t="s">
        <v>2510</v>
      </c>
      <c r="F2473" s="17"/>
      <c r="G2473" s="18"/>
      <c r="H2473" s="18"/>
    </row>
    <row r="2474" spans="1:8" ht="13.2">
      <c r="A2474" s="15" t="s">
        <v>2717</v>
      </c>
      <c r="B2474" s="28" t="s">
        <v>2718</v>
      </c>
      <c r="C2474" s="24">
        <v>4.5</v>
      </c>
      <c r="D2474" s="26" t="str">
        <f>HYPERLINK("https://github.com/mostafa-saad/MyCompetitiveProgramming/blob/master/UVA/UVA_10927.txt","Sol")</f>
        <v>Sol</v>
      </c>
      <c r="E2474" s="17" t="s">
        <v>2510</v>
      </c>
      <c r="F2474" s="17"/>
      <c r="G2474" s="18"/>
      <c r="H2474" s="18"/>
    </row>
    <row r="2475" spans="1:8" ht="13.2">
      <c r="A2475" s="19" t="str">
        <f>HYPERLINK("https://atcoder.jp/contests/abc151/tasks/abc151_f","AtCoder151-ABC-F")</f>
        <v>AtCoder151-ABC-F</v>
      </c>
      <c r="B2475" s="20" t="s">
        <v>2509</v>
      </c>
      <c r="C2475" s="21">
        <v>4.25</v>
      </c>
      <c r="D2475" s="18"/>
      <c r="E2475" s="17" t="s">
        <v>2510</v>
      </c>
      <c r="F2475" s="17"/>
      <c r="G2475" s="18"/>
      <c r="H2475" s="18"/>
    </row>
    <row r="2476" spans="1:8" ht="13.2">
      <c r="A2476" s="19" t="str">
        <f>HYPERLINK("http://codeforces.com/contest/618/problem/C","CF618-D12-C")</f>
        <v>CF618-D12-C</v>
      </c>
      <c r="B2476" s="15" t="s">
        <v>2719</v>
      </c>
      <c r="C2476" s="17">
        <v>4</v>
      </c>
      <c r="D2476" s="26" t="str">
        <f>HYPERLINK("https://github.com/MohamedNabil97/CompetitiveProgramming/blob/master/CodeForces/CF618-D12-C.cpp","Sol")</f>
        <v>Sol</v>
      </c>
      <c r="E2476" s="17" t="s">
        <v>2510</v>
      </c>
      <c r="F2476" s="17" t="s">
        <v>255</v>
      </c>
      <c r="G2476" s="18"/>
      <c r="H2476" s="18"/>
    </row>
    <row r="2477" spans="1:8" ht="13.2">
      <c r="A2477" s="15" t="s">
        <v>2720</v>
      </c>
      <c r="B2477" s="15" t="s">
        <v>2633</v>
      </c>
      <c r="C2477" s="17">
        <v>4</v>
      </c>
      <c r="D2477" s="18"/>
      <c r="E2477" s="17" t="s">
        <v>2510</v>
      </c>
      <c r="F2477" s="17" t="s">
        <v>229</v>
      </c>
      <c r="G2477" s="18"/>
      <c r="H2477" s="18"/>
    </row>
    <row r="2478" spans="1:8" ht="13.2">
      <c r="A2478" s="15" t="s">
        <v>2721</v>
      </c>
      <c r="B2478" s="15" t="s">
        <v>2561</v>
      </c>
      <c r="C2478" s="17">
        <v>4</v>
      </c>
      <c r="D2478" s="18"/>
      <c r="E2478" s="17" t="s">
        <v>2510</v>
      </c>
      <c r="F2478" s="17" t="s">
        <v>306</v>
      </c>
      <c r="G2478" s="18"/>
      <c r="H2478" s="18"/>
    </row>
    <row r="2479" spans="1:8" ht="13.2">
      <c r="A2479" s="19" t="str">
        <f>HYPERLINK("https://codeforces.com/contest/1100/problem/C","CF1100-D2-C")</f>
        <v>CF1100-D2-C</v>
      </c>
      <c r="B2479" s="15" t="s">
        <v>2509</v>
      </c>
      <c r="C2479" s="17">
        <v>4</v>
      </c>
      <c r="D2479" s="18"/>
      <c r="E2479" s="17" t="s">
        <v>2510</v>
      </c>
      <c r="F2479" s="17" t="s">
        <v>201</v>
      </c>
      <c r="G2479" s="18"/>
      <c r="H2479" s="18"/>
    </row>
    <row r="2480" spans="1:8" ht="13.2">
      <c r="A2480" s="19" t="str">
        <f>HYPERLINK("http://codeforces.com/contest/560/problem/C","CF560-D2-C")</f>
        <v>CF560-D2-C</v>
      </c>
      <c r="B2480" s="29" t="s">
        <v>2509</v>
      </c>
      <c r="C2480" s="17">
        <v>4</v>
      </c>
      <c r="D2480" s="18"/>
      <c r="E2480" s="17" t="s">
        <v>2510</v>
      </c>
      <c r="F2480" s="17" t="s">
        <v>201</v>
      </c>
      <c r="G2480" s="18"/>
      <c r="H2480" s="18"/>
    </row>
    <row r="2481" spans="1:8" ht="13.2">
      <c r="A2481" s="19" t="str">
        <f>HYPERLINK("https://www.hackerrank.com/challenges/xrange-and-pizza","HACKR xrange-and-pizza")</f>
        <v>HACKR xrange-and-pizza</v>
      </c>
      <c r="B2481" s="29" t="s">
        <v>2514</v>
      </c>
      <c r="C2481" s="17">
        <v>4</v>
      </c>
      <c r="D2481" s="26" t="str">
        <f>HYPERLINK("https://github.com/AbdelrahmanRamadan/competitive-programming/blob/master/HackerRank/xrange-and-pizza.cpp","Sol")</f>
        <v>Sol</v>
      </c>
      <c r="E2481" s="17" t="s">
        <v>2510</v>
      </c>
      <c r="F2481" s="17" t="s">
        <v>201</v>
      </c>
      <c r="G2481" s="18"/>
      <c r="H2481" s="18"/>
    </row>
    <row r="2482" spans="1:8" ht="13.2">
      <c r="A2482" s="19" t="str">
        <f>HYPERLINK("http://codeforces.com/contest/60/problem/C","CF60-D12-C")</f>
        <v>CF60-D12-C</v>
      </c>
      <c r="B2482" s="15" t="s">
        <v>2722</v>
      </c>
      <c r="C2482" s="33">
        <v>4</v>
      </c>
      <c r="D2482" s="18"/>
      <c r="E2482" s="17" t="s">
        <v>2510</v>
      </c>
      <c r="F2482" s="17" t="s">
        <v>201</v>
      </c>
      <c r="G2482" s="18"/>
      <c r="H2482" s="18"/>
    </row>
    <row r="2483" spans="1:8" ht="13.2">
      <c r="A2483" s="15" t="s">
        <v>2723</v>
      </c>
      <c r="B2483" s="29" t="s">
        <v>2724</v>
      </c>
      <c r="C2483" s="17">
        <v>4</v>
      </c>
      <c r="D2483" s="26" t="str">
        <f>HYPERLINK("https://github.com/mostafa-saad/MyCompetitiveProgramming/blob/master/SPOJ/SPOJ_FACENEMY.txt","Sol")</f>
        <v>Sol</v>
      </c>
      <c r="E2483" s="17" t="s">
        <v>2510</v>
      </c>
      <c r="F2483" s="17" t="s">
        <v>537</v>
      </c>
      <c r="G2483" s="18"/>
      <c r="H2483" s="18"/>
    </row>
    <row r="2484" spans="1:8" ht="13.2">
      <c r="A2484" s="15" t="s">
        <v>2725</v>
      </c>
      <c r="B2484" s="15" t="s">
        <v>2509</v>
      </c>
      <c r="C2484" s="33">
        <v>4</v>
      </c>
      <c r="D2484" s="18"/>
      <c r="E2484" s="17" t="s">
        <v>2510</v>
      </c>
      <c r="F2484" s="17"/>
      <c r="G2484" s="18"/>
      <c r="H2484" s="18"/>
    </row>
    <row r="2485" spans="1:8" ht="13.2">
      <c r="A2485" s="15" t="s">
        <v>2726</v>
      </c>
      <c r="B2485" s="15" t="s">
        <v>2509</v>
      </c>
      <c r="C2485" s="17">
        <v>4</v>
      </c>
      <c r="D2485" s="26" t="str">
        <f>HYPERLINK("https://ideone.com/RV8bWJ","Sol")</f>
        <v>Sol</v>
      </c>
      <c r="E2485" s="17" t="s">
        <v>2510</v>
      </c>
      <c r="F2485" s="17"/>
      <c r="G2485" s="18"/>
      <c r="H2485" s="18"/>
    </row>
    <row r="2486" spans="1:8" ht="13.2">
      <c r="A2486" s="19" t="str">
        <f>HYPERLINK("http://codeforces.com/contest/275/problem/C","CF275-D2-C")</f>
        <v>CF275-D2-C</v>
      </c>
      <c r="B2486" s="29" t="s">
        <v>2509</v>
      </c>
      <c r="C2486" s="17">
        <v>4</v>
      </c>
      <c r="D2486" s="18"/>
      <c r="E2486" s="17" t="s">
        <v>2510</v>
      </c>
      <c r="F2486" s="17"/>
      <c r="G2486" s="18"/>
      <c r="H2486" s="18"/>
    </row>
    <row r="2487" spans="1:8" ht="13.2">
      <c r="A2487" s="19" t="str">
        <f>HYPERLINK("http://codeforces.com/contest/336/problem/B","CF336-D2-B")</f>
        <v>CF336-D2-B</v>
      </c>
      <c r="B2487" s="15" t="s">
        <v>2509</v>
      </c>
      <c r="C2487" s="17">
        <v>4</v>
      </c>
      <c r="D2487" s="18"/>
      <c r="E2487" s="17" t="s">
        <v>2510</v>
      </c>
      <c r="F2487" s="17"/>
      <c r="G2487" s="18"/>
      <c r="H2487" s="18"/>
    </row>
    <row r="2488" spans="1:8" ht="13.2">
      <c r="A2488" s="19" t="str">
        <f>HYPERLINK("http://codeforces.com/contest/409/problem/B","CF409-D1-B")</f>
        <v>CF409-D1-B</v>
      </c>
      <c r="B2488" s="15" t="s">
        <v>2509</v>
      </c>
      <c r="C2488" s="17">
        <v>4</v>
      </c>
      <c r="D2488" s="18"/>
      <c r="E2488" s="17" t="s">
        <v>2510</v>
      </c>
      <c r="F2488" s="17"/>
      <c r="G2488" s="18"/>
      <c r="H2488" s="18"/>
    </row>
    <row r="2489" spans="1:8" ht="13.2">
      <c r="A2489" s="15" t="s">
        <v>2727</v>
      </c>
      <c r="B2489" s="15" t="s">
        <v>2509</v>
      </c>
      <c r="C2489" s="33">
        <v>4</v>
      </c>
      <c r="D2489" s="18"/>
      <c r="E2489" s="17" t="s">
        <v>2510</v>
      </c>
      <c r="F2489" s="17"/>
      <c r="G2489" s="18"/>
      <c r="H2489" s="18"/>
    </row>
    <row r="2490" spans="1:8" ht="13.2">
      <c r="A2490" s="15" t="s">
        <v>2728</v>
      </c>
      <c r="B2490" s="15" t="s">
        <v>2509</v>
      </c>
      <c r="C2490" s="17">
        <v>4</v>
      </c>
      <c r="D2490" s="18"/>
      <c r="E2490" s="17" t="s">
        <v>2510</v>
      </c>
      <c r="F2490" s="17"/>
      <c r="G2490" s="18"/>
      <c r="H2490" s="18"/>
    </row>
    <row r="2491" spans="1:8" ht="13.2">
      <c r="A2491" s="15" t="s">
        <v>2729</v>
      </c>
      <c r="B2491" s="15" t="s">
        <v>2509</v>
      </c>
      <c r="C2491" s="24">
        <v>4</v>
      </c>
      <c r="D2491" s="18"/>
      <c r="E2491" s="17" t="s">
        <v>2510</v>
      </c>
      <c r="F2491" s="17"/>
      <c r="G2491" s="18"/>
      <c r="H2491" s="18"/>
    </row>
    <row r="2492" spans="1:8" ht="13.2">
      <c r="A2492" s="15" t="s">
        <v>2730</v>
      </c>
      <c r="B2492" s="15" t="s">
        <v>2731</v>
      </c>
      <c r="C2492" s="24">
        <v>4</v>
      </c>
      <c r="D2492" s="26" t="str">
        <f>HYPERLINK("https://github.com/MeGaCrazy/CompetitiveProgramming/blob/master/UVA/UVA_815.cpp","Sol with a problem Summary")</f>
        <v>Sol with a problem Summary</v>
      </c>
      <c r="E2492" s="17" t="s">
        <v>2510</v>
      </c>
      <c r="F2492" s="17"/>
      <c r="G2492" s="18"/>
      <c r="H2492" s="18"/>
    </row>
    <row r="2493" spans="1:8" ht="13.2">
      <c r="A2493" s="19" t="str">
        <f>HYPERLINK("http://codeforces.com/contest/407/problem/A","CF407-D1-A")</f>
        <v>CF407-D1-A</v>
      </c>
      <c r="B2493" s="15" t="s">
        <v>2732</v>
      </c>
      <c r="C2493" s="24">
        <v>4</v>
      </c>
      <c r="D2493" s="18"/>
      <c r="E2493" s="17" t="s">
        <v>2510</v>
      </c>
      <c r="F2493" s="17"/>
      <c r="G2493" s="18"/>
      <c r="H2493" s="18"/>
    </row>
    <row r="2494" spans="1:8" ht="13.2">
      <c r="A2494" s="19" t="str">
        <f>HYPERLINK("http://codeforces.com/contest/257/problem/C","CF257-D2-C")</f>
        <v>CF257-D2-C</v>
      </c>
      <c r="B2494" s="29" t="s">
        <v>2561</v>
      </c>
      <c r="C2494" s="17">
        <v>4</v>
      </c>
      <c r="D2494" s="18"/>
      <c r="E2494" s="17" t="s">
        <v>2510</v>
      </c>
      <c r="F2494" s="17"/>
      <c r="G2494" s="18"/>
      <c r="H2494" s="18"/>
    </row>
    <row r="2495" spans="1:8" ht="13.2">
      <c r="A2495" s="15" t="s">
        <v>2733</v>
      </c>
      <c r="B2495" s="15" t="s">
        <v>2734</v>
      </c>
      <c r="C2495" s="17">
        <v>4</v>
      </c>
      <c r="D2495" s="26" t="str">
        <f>HYPERLINK("https://github.com/MohamedNabil97/CompetitiveProgramming/blob/master/UVA/10991.cpp","Sol")</f>
        <v>Sol</v>
      </c>
      <c r="E2495" s="17" t="s">
        <v>2510</v>
      </c>
      <c r="F2495" s="17"/>
      <c r="G2495" s="18"/>
      <c r="H2495" s="18"/>
    </row>
    <row r="2496" spans="1:8" ht="13.2">
      <c r="A2496" s="15" t="s">
        <v>2735</v>
      </c>
      <c r="B2496" s="42" t="s">
        <v>2736</v>
      </c>
      <c r="C2496" s="17">
        <v>4</v>
      </c>
      <c r="D2496" s="18"/>
      <c r="E2496" s="17" t="s">
        <v>2510</v>
      </c>
      <c r="F2496" s="17"/>
      <c r="G2496" s="18"/>
      <c r="H2496" s="18"/>
    </row>
    <row r="2497" spans="1:8" ht="13.2">
      <c r="A2497" s="15" t="s">
        <v>2737</v>
      </c>
      <c r="B2497" s="15" t="s">
        <v>2738</v>
      </c>
      <c r="C2497" s="33">
        <v>4</v>
      </c>
      <c r="D2497" s="26" t="str">
        <f>HYPERLINK("https://github.com/mostafa-saad/MyCompetitiveProgramming/blob/master/UVA/UVA_11519.txt","Sol")</f>
        <v>Sol</v>
      </c>
      <c r="E2497" s="17" t="s">
        <v>2510</v>
      </c>
      <c r="F2497" s="17"/>
      <c r="G2497" s="18"/>
      <c r="H2497" s="18"/>
    </row>
    <row r="2498" spans="1:8" ht="13.2">
      <c r="A2498" s="19" t="str">
        <f>HYPERLINK("http://codeforces.com/contest/14/problem/C","CF14-D2-C")</f>
        <v>CF14-D2-C</v>
      </c>
      <c r="B2498" s="18" t="s">
        <v>2739</v>
      </c>
      <c r="C2498" s="17">
        <v>4</v>
      </c>
      <c r="D2498" s="18"/>
      <c r="E2498" s="17" t="s">
        <v>2510</v>
      </c>
      <c r="F2498" s="17"/>
      <c r="G2498" s="18"/>
      <c r="H2498" s="18"/>
    </row>
    <row r="2499" spans="1:8" ht="13.2">
      <c r="A2499" s="19" t="str">
        <f>HYPERLINK("http://codeforces.com/contest/590/problem/B","CF590-D1-B")</f>
        <v>CF590-D1-B</v>
      </c>
      <c r="B2499" s="15" t="s">
        <v>2740</v>
      </c>
      <c r="C2499" s="17">
        <v>4</v>
      </c>
      <c r="D2499" s="18"/>
      <c r="E2499" s="17" t="s">
        <v>2510</v>
      </c>
      <c r="F2499" s="17"/>
      <c r="G2499" s="18"/>
      <c r="H2499" s="18"/>
    </row>
    <row r="2500" spans="1:8" ht="13.2">
      <c r="A2500" s="15" t="s">
        <v>2741</v>
      </c>
      <c r="B2500" s="29" t="s">
        <v>2742</v>
      </c>
      <c r="C2500" s="17">
        <v>4</v>
      </c>
      <c r="D2500" s="18"/>
      <c r="E2500" s="17" t="s">
        <v>2510</v>
      </c>
      <c r="F2500" s="17"/>
      <c r="G2500" s="18"/>
      <c r="H2500" s="18"/>
    </row>
    <row r="2501" spans="1:8" ht="13.2">
      <c r="A2501" s="19" t="str">
        <f>HYPERLINK("http://codeforces.com/contest/651/problem/C","CF651-D2-C")</f>
        <v>CF651-D2-C</v>
      </c>
      <c r="B2501" s="29" t="s">
        <v>2743</v>
      </c>
      <c r="C2501" s="17">
        <v>4</v>
      </c>
      <c r="D2501" s="18"/>
      <c r="E2501" s="17" t="s">
        <v>2510</v>
      </c>
      <c r="F2501" s="17"/>
      <c r="G2501" s="18"/>
      <c r="H2501" s="18"/>
    </row>
    <row r="2502" spans="1:8" ht="13.2">
      <c r="A2502" s="15" t="s">
        <v>2744</v>
      </c>
      <c r="B2502" s="29" t="s">
        <v>2745</v>
      </c>
      <c r="C2502" s="24">
        <v>4</v>
      </c>
      <c r="D2502" s="18"/>
      <c r="E2502" s="17" t="s">
        <v>2510</v>
      </c>
      <c r="F2502" s="17"/>
      <c r="G2502" s="18"/>
      <c r="H2502" s="18"/>
    </row>
    <row r="2503" spans="1:8" ht="13.2">
      <c r="A2503" s="15" t="s">
        <v>2746</v>
      </c>
      <c r="B2503" s="29" t="s">
        <v>2747</v>
      </c>
      <c r="C2503" s="17">
        <v>4</v>
      </c>
      <c r="D2503" s="26" t="str">
        <f>HYPERLINK("https://github.com/mostafa-saad/MyCompetitiveProgramming/blob/master/Misc/GreatCircle.txt","Read ME first")</f>
        <v>Read ME first</v>
      </c>
      <c r="E2503" s="17" t="s">
        <v>2510</v>
      </c>
      <c r="F2503" s="17"/>
      <c r="G2503" s="18"/>
      <c r="H2503" s="18"/>
    </row>
    <row r="2504" spans="1:8" ht="13.2">
      <c r="A2504" s="15" t="s">
        <v>2748</v>
      </c>
      <c r="B2504" s="29" t="s">
        <v>2749</v>
      </c>
      <c r="C2504" s="17">
        <v>4</v>
      </c>
      <c r="D2504" s="18"/>
      <c r="E2504" s="17" t="s">
        <v>2510</v>
      </c>
      <c r="F2504" s="17"/>
      <c r="G2504" s="18"/>
      <c r="H2504" s="18"/>
    </row>
    <row r="2505" spans="1:8" ht="13.2">
      <c r="A2505" s="19" t="str">
        <f>HYPERLINK("https://codeforces.com/contest/1096/problem/C","CF1096-D12-C")</f>
        <v>CF1096-D12-C</v>
      </c>
      <c r="B2505" s="20" t="s">
        <v>2750</v>
      </c>
      <c r="C2505" s="17">
        <v>4</v>
      </c>
      <c r="D2505" s="18"/>
      <c r="E2505" s="17" t="s">
        <v>2510</v>
      </c>
      <c r="F2505" s="17"/>
      <c r="G2505" s="18"/>
      <c r="H2505" s="18"/>
    </row>
    <row r="2506" spans="1:8" ht="13.2">
      <c r="A2506" s="15" t="s">
        <v>2751</v>
      </c>
      <c r="B2506" s="18" t="s">
        <v>2752</v>
      </c>
      <c r="C2506" s="33">
        <v>4</v>
      </c>
      <c r="D2506" s="26" t="str">
        <f>HYPERLINK("https://github.com/MichaelMounir12/CompetitiveProgramming/blob/master/Contests/SuperVision-Contest-33139/ZOJ_3194.cpp","Sol")</f>
        <v>Sol</v>
      </c>
      <c r="E2506" s="17" t="s">
        <v>2510</v>
      </c>
      <c r="F2506" s="17"/>
      <c r="G2506" s="18"/>
      <c r="H2506" s="18"/>
    </row>
    <row r="2507" spans="1:8" ht="13.2">
      <c r="A2507" s="19" t="str">
        <f>HYPERLINK("https://codeforces.com/contest/1080/problem/C","CF1080-D2-C")</f>
        <v>CF1080-D2-C</v>
      </c>
      <c r="B2507" s="15" t="s">
        <v>2753</v>
      </c>
      <c r="C2507" s="17">
        <v>4</v>
      </c>
      <c r="D2507" s="18"/>
      <c r="E2507" s="17" t="s">
        <v>2510</v>
      </c>
      <c r="F2507" s="17"/>
      <c r="G2507" s="18"/>
      <c r="H2507" s="18"/>
    </row>
    <row r="2508" spans="1:8" ht="13.2">
      <c r="A2508" s="15" t="s">
        <v>2754</v>
      </c>
      <c r="B2508" s="18" t="s">
        <v>2650</v>
      </c>
      <c r="C2508" s="17">
        <v>4</v>
      </c>
      <c r="D2508" s="26" t="str">
        <f>HYPERLINK("http://ideone.com/Bkg7WI","Sol")</f>
        <v>Sol</v>
      </c>
      <c r="E2508" s="17" t="s">
        <v>2510</v>
      </c>
      <c r="F2508" s="17"/>
      <c r="G2508" s="18"/>
      <c r="H2508" s="18"/>
    </row>
    <row r="2509" spans="1:8" ht="13.2">
      <c r="A2509" s="19" t="str">
        <f>HYPERLINK("https://uva.onlinejudge.org/index.php?option=onlinejudge&amp;page=show_problem&amp;problem=137","UVA 201")</f>
        <v>UVA 201</v>
      </c>
      <c r="B2509" s="38" t="s">
        <v>2755</v>
      </c>
      <c r="C2509" s="17">
        <v>4</v>
      </c>
      <c r="D2509" s="18"/>
      <c r="E2509" s="17" t="s">
        <v>2510</v>
      </c>
      <c r="F2509" s="17"/>
      <c r="G2509" s="18"/>
      <c r="H2509" s="18"/>
    </row>
    <row r="2510" spans="1:8" ht="13.2">
      <c r="A2510" s="15" t="s">
        <v>2756</v>
      </c>
      <c r="B2510" s="15" t="s">
        <v>2757</v>
      </c>
      <c r="C2510" s="33">
        <v>4</v>
      </c>
      <c r="D2510" s="26" t="str">
        <f>HYPERLINK("https://github.com/MeGaCrazy/CompetitiveProgramming/blob/c9bb3ba255fbab3d09d831a4736cc1521ed23e1d/UVA/UVA_143.cpp","Sol")</f>
        <v>Sol</v>
      </c>
      <c r="E2510" s="17" t="s">
        <v>2510</v>
      </c>
      <c r="F2510" s="17"/>
      <c r="G2510" s="18"/>
      <c r="H2510" s="18"/>
    </row>
    <row r="2511" spans="1:8" ht="13.2">
      <c r="A2511" s="15" t="s">
        <v>2758</v>
      </c>
      <c r="B2511" s="41" t="s">
        <v>2759</v>
      </c>
      <c r="C2511" s="24">
        <v>4</v>
      </c>
      <c r="D2511" s="26" t="str">
        <f>HYPERLINK("https://ideone.com/BTMmzG","Sol")</f>
        <v>Sol</v>
      </c>
      <c r="E2511" s="17" t="s">
        <v>2510</v>
      </c>
      <c r="F2511" s="17"/>
      <c r="G2511" s="18"/>
      <c r="H2511" s="18"/>
    </row>
    <row r="2512" spans="1:8" ht="13.2">
      <c r="A2512" s="19" t="str">
        <f>HYPERLINK("http://codeforces.com/contest/474/problem/C","CF474-D2-C")</f>
        <v>CF474-D2-C</v>
      </c>
      <c r="B2512" s="29" t="s">
        <v>2760</v>
      </c>
      <c r="C2512" s="17">
        <v>3.5</v>
      </c>
      <c r="D2512" s="26" t="str">
        <f>HYPERLINK("https://www.youtube.com/watch?v=TpRObCQT9Lw","My video")</f>
        <v>My video</v>
      </c>
      <c r="E2512" s="17" t="s">
        <v>2510</v>
      </c>
      <c r="F2512" s="17" t="s">
        <v>201</v>
      </c>
      <c r="G2512" s="18"/>
      <c r="H2512" s="18"/>
    </row>
    <row r="2513" spans="1:8" ht="13.2">
      <c r="A2513" s="19" t="str">
        <f>HYPERLINK("https://uva.onlinejudge.org/index.php?option=onlinejudge&amp;page=show_problem&amp;problem=401","UVA 460")</f>
        <v>UVA 460</v>
      </c>
      <c r="B2513" s="29" t="s">
        <v>2509</v>
      </c>
      <c r="C2513" s="17">
        <v>3.5</v>
      </c>
      <c r="D2513" s="18"/>
      <c r="E2513" s="17" t="s">
        <v>2510</v>
      </c>
      <c r="F2513" s="17"/>
      <c r="G2513" s="18"/>
      <c r="H2513" s="18"/>
    </row>
    <row r="2514" spans="1:8" ht="13.2">
      <c r="A2514" s="15" t="s">
        <v>2761</v>
      </c>
      <c r="B2514" s="15" t="s">
        <v>2509</v>
      </c>
      <c r="C2514" s="17">
        <v>3.5</v>
      </c>
      <c r="D2514" s="18"/>
      <c r="E2514" s="17" t="s">
        <v>2510</v>
      </c>
      <c r="F2514" s="17"/>
      <c r="G2514" s="18"/>
      <c r="H2514" s="18"/>
    </row>
    <row r="2515" spans="1:8" ht="13.2">
      <c r="A2515" s="15" t="s">
        <v>2762</v>
      </c>
      <c r="B2515" s="15" t="s">
        <v>2561</v>
      </c>
      <c r="C2515" s="17">
        <v>3.5</v>
      </c>
      <c r="D2515" s="26" t="str">
        <f>HYPERLINK("https://github.com/mostafa-saad/MyCompetitiveProgramming/blob/master/UVA/UVA_10466.txt","Sol")</f>
        <v>Sol</v>
      </c>
      <c r="E2515" s="17" t="s">
        <v>2510</v>
      </c>
      <c r="F2515" s="17"/>
      <c r="G2515" s="18"/>
      <c r="H2515" s="18"/>
    </row>
    <row r="2516" spans="1:8" ht="13.2">
      <c r="A2516" s="19" t="str">
        <f>HYPERLINK("http://codeforces.com/contest/136/problem/D","CF136-D2-D")</f>
        <v>CF136-D2-D</v>
      </c>
      <c r="B2516" s="15" t="s">
        <v>2763</v>
      </c>
      <c r="C2516" s="17">
        <v>3.5</v>
      </c>
      <c r="D2516" s="18"/>
      <c r="E2516" s="17" t="s">
        <v>2510</v>
      </c>
      <c r="F2516" s="17"/>
      <c r="G2516" s="18"/>
      <c r="H2516" s="18"/>
    </row>
    <row r="2517" spans="1:8" ht="13.2">
      <c r="A2517" s="15" t="s">
        <v>2764</v>
      </c>
      <c r="B2517" s="15" t="s">
        <v>2650</v>
      </c>
      <c r="C2517" s="24">
        <v>3.5</v>
      </c>
      <c r="D2517" s="18"/>
      <c r="E2517" s="17" t="s">
        <v>2510</v>
      </c>
      <c r="F2517" s="17"/>
      <c r="G2517" s="18"/>
      <c r="H2517" s="18"/>
    </row>
    <row r="2518" spans="1:8" ht="13.2">
      <c r="A2518" s="19" t="str">
        <f>HYPERLINK("https://www.hackerrank.com/challenges/hyperspace-travel","HACKR hyperspace-travel")</f>
        <v>HACKR hyperspace-travel</v>
      </c>
      <c r="B2518" s="28" t="s">
        <v>2765</v>
      </c>
      <c r="C2518" s="17">
        <v>3</v>
      </c>
      <c r="D2518" s="18"/>
      <c r="E2518" s="17" t="s">
        <v>2510</v>
      </c>
      <c r="F2518" s="17" t="s">
        <v>306</v>
      </c>
      <c r="G2518" s="18"/>
      <c r="H2518" s="18"/>
    </row>
    <row r="2519" spans="1:8" ht="13.2">
      <c r="A2519" s="15" t="s">
        <v>2766</v>
      </c>
      <c r="B2519" s="29" t="s">
        <v>2767</v>
      </c>
      <c r="C2519" s="40">
        <v>3</v>
      </c>
      <c r="D2519" s="18"/>
      <c r="E2519" s="17" t="s">
        <v>2510</v>
      </c>
      <c r="F2519" s="17" t="s">
        <v>242</v>
      </c>
      <c r="G2519" s="18"/>
      <c r="H2519" s="18"/>
    </row>
    <row r="2520" spans="1:8" ht="13.2">
      <c r="A2520" s="19" t="str">
        <f>HYPERLINK("http://codeforces.com/gym/101492/problem/F","CF101492-GYM-F")</f>
        <v>CF101492-GYM-F</v>
      </c>
      <c r="B2520" s="15" t="s">
        <v>2509</v>
      </c>
      <c r="C2520" s="17">
        <v>3</v>
      </c>
      <c r="D2520" s="18"/>
      <c r="E2520" s="17" t="s">
        <v>2510</v>
      </c>
      <c r="F2520" s="17"/>
      <c r="G2520" s="18"/>
      <c r="H2520" s="18"/>
    </row>
    <row r="2521" spans="1:8" ht="13.2">
      <c r="A2521" s="19" t="str">
        <f>HYPERLINK("http://codeforces.com/problemset/problem/135/B","CF135-D1-B")</f>
        <v>CF135-D1-B</v>
      </c>
      <c r="B2521" s="29" t="s">
        <v>2509</v>
      </c>
      <c r="C2521" s="24">
        <v>3</v>
      </c>
      <c r="D2521" s="18"/>
      <c r="E2521" s="17" t="s">
        <v>2510</v>
      </c>
      <c r="F2521" s="17"/>
      <c r="G2521" s="18"/>
      <c r="H2521" s="18"/>
    </row>
    <row r="2522" spans="1:8" ht="13.2">
      <c r="A2522" s="19" t="str">
        <f>HYPERLINK("http://codeforces.com/contest/498/problem/A","CF498-D1-A")</f>
        <v>CF498-D1-A</v>
      </c>
      <c r="B2522" s="37" t="s">
        <v>2509</v>
      </c>
      <c r="C2522" s="24">
        <v>3</v>
      </c>
      <c r="D2522" s="18"/>
      <c r="E2522" s="17" t="s">
        <v>2510</v>
      </c>
      <c r="F2522" s="17"/>
      <c r="G2522" s="18"/>
      <c r="H2522" s="18"/>
    </row>
    <row r="2523" spans="1:8" ht="13.2">
      <c r="A2523" s="19" t="str">
        <f>HYPERLINK("http://codeforces.com/problemset/problem/559/A","CF559-D1-A")</f>
        <v>CF559-D1-A</v>
      </c>
      <c r="B2523" s="29" t="s">
        <v>2509</v>
      </c>
      <c r="C2523" s="24">
        <v>3</v>
      </c>
      <c r="D2523" s="18"/>
      <c r="E2523" s="17" t="s">
        <v>2510</v>
      </c>
      <c r="F2523" s="17"/>
      <c r="G2523" s="18"/>
      <c r="H2523" s="18"/>
    </row>
    <row r="2524" spans="1:8" ht="13.2">
      <c r="A2524" s="15" t="s">
        <v>2768</v>
      </c>
      <c r="B2524" s="29" t="s">
        <v>2509</v>
      </c>
      <c r="C2524" s="24">
        <v>3</v>
      </c>
      <c r="D2524" s="18"/>
      <c r="E2524" s="17" t="s">
        <v>2510</v>
      </c>
      <c r="F2524" s="17"/>
      <c r="G2524" s="18"/>
      <c r="H2524" s="18"/>
    </row>
    <row r="2525" spans="1:8" ht="13.2">
      <c r="A2525" s="15" t="s">
        <v>2769</v>
      </c>
      <c r="B2525" s="15" t="s">
        <v>2509</v>
      </c>
      <c r="C2525" s="40">
        <v>3</v>
      </c>
      <c r="D2525" s="18"/>
      <c r="E2525" s="17" t="s">
        <v>2510</v>
      </c>
      <c r="F2525" s="17"/>
      <c r="G2525" s="18"/>
      <c r="H2525" s="18"/>
    </row>
    <row r="2526" spans="1:8" ht="13.2">
      <c r="A2526" s="15" t="s">
        <v>2770</v>
      </c>
      <c r="B2526" s="18" t="s">
        <v>2509</v>
      </c>
      <c r="C2526" s="17">
        <v>3</v>
      </c>
      <c r="D2526" s="26" t="str">
        <f>HYPERLINK("https://github.com/osamahatem/CompetitiveProgramming/blob/master/Timus/1020.%20Rope.cpp","Sol")</f>
        <v>Sol</v>
      </c>
      <c r="E2526" s="17" t="s">
        <v>2510</v>
      </c>
      <c r="F2526" s="17"/>
      <c r="G2526" s="18"/>
      <c r="H2526" s="18"/>
    </row>
    <row r="2527" spans="1:8" ht="13.2">
      <c r="A2527" s="15" t="s">
        <v>2771</v>
      </c>
      <c r="B2527" s="28" t="s">
        <v>2509</v>
      </c>
      <c r="C2527" s="24">
        <v>3</v>
      </c>
      <c r="D2527" s="26" t="str">
        <f>HYPERLINK("https://github.com/AbdelrahmanRamadan/competitive-programming/blob/master/Timus/1405-goat-in-the-garden-5.cpp","Sol")</f>
        <v>Sol</v>
      </c>
      <c r="E2527" s="17" t="s">
        <v>2510</v>
      </c>
      <c r="F2527" s="17"/>
      <c r="G2527" s="18"/>
      <c r="H2527" s="18"/>
    </row>
    <row r="2528" spans="1:8" ht="13.2">
      <c r="A2528" s="15" t="s">
        <v>2772</v>
      </c>
      <c r="B2528" s="28" t="s">
        <v>2509</v>
      </c>
      <c r="C2528" s="24">
        <v>3</v>
      </c>
      <c r="D2528" s="18"/>
      <c r="E2528" s="24" t="s">
        <v>2510</v>
      </c>
      <c r="F2528" s="17"/>
      <c r="G2528" s="18"/>
      <c r="H2528" s="18"/>
    </row>
    <row r="2529" spans="1:8" ht="13.2">
      <c r="A2529" s="15" t="s">
        <v>2773</v>
      </c>
      <c r="B2529" s="15" t="s">
        <v>2509</v>
      </c>
      <c r="C2529" s="24">
        <v>3</v>
      </c>
      <c r="D2529" s="18"/>
      <c r="E2529" s="17" t="s">
        <v>2510</v>
      </c>
      <c r="F2529" s="17"/>
      <c r="G2529" s="18"/>
      <c r="H2529" s="18"/>
    </row>
    <row r="2530" spans="1:8" ht="13.2">
      <c r="A2530" s="19" t="str">
        <f>HYPERLINK("https://uva.onlinejudge.org/index.php?option=onlinejudge&amp;page=show_problem&amp;problem=417","UVA 476")</f>
        <v>UVA 476</v>
      </c>
      <c r="B2530" s="29" t="s">
        <v>2509</v>
      </c>
      <c r="C2530" s="17">
        <v>3</v>
      </c>
      <c r="D2530" s="18"/>
      <c r="E2530" s="17" t="s">
        <v>2510</v>
      </c>
      <c r="F2530" s="17"/>
      <c r="G2530" s="18"/>
      <c r="H2530" s="18"/>
    </row>
    <row r="2531" spans="1:8" ht="13.2">
      <c r="A2531" s="15" t="s">
        <v>2774</v>
      </c>
      <c r="B2531" s="28" t="s">
        <v>2509</v>
      </c>
      <c r="C2531" s="40">
        <v>3</v>
      </c>
      <c r="D2531" s="18"/>
      <c r="E2531" s="17" t="s">
        <v>2510</v>
      </c>
      <c r="F2531" s="17"/>
      <c r="G2531" s="18"/>
      <c r="H2531" s="18"/>
    </row>
    <row r="2532" spans="1:8" ht="13.2">
      <c r="A2532" s="19" t="str">
        <f>HYPERLINK("http://codeforces.com/contest/617/problem/C","CF617-D2-C")</f>
        <v>CF617-D2-C</v>
      </c>
      <c r="B2532" s="29" t="s">
        <v>2565</v>
      </c>
      <c r="C2532" s="17">
        <v>3</v>
      </c>
      <c r="D2532" s="18"/>
      <c r="E2532" s="17" t="s">
        <v>2510</v>
      </c>
      <c r="F2532" s="17"/>
      <c r="G2532" s="18"/>
      <c r="H2532" s="18"/>
    </row>
    <row r="2533" spans="1:8" ht="13.2">
      <c r="A2533" s="19" t="str">
        <f>HYPERLINK("http://codeforces.com/contest/908/problem/C","CF908-D12-C")</f>
        <v>CF908-D12-C</v>
      </c>
      <c r="B2533" s="18" t="s">
        <v>2763</v>
      </c>
      <c r="C2533" s="17">
        <v>3</v>
      </c>
      <c r="D2533" s="26" t="str">
        <f>HYPERLINK("https://github.com/osamahatem/CompetitiveProgramming/blob/master/Codeforces/908C.%20New%20Year%20and%20Curling.cpp","Sol")</f>
        <v>Sol</v>
      </c>
      <c r="E2533" s="17" t="s">
        <v>2510</v>
      </c>
      <c r="F2533" s="17"/>
      <c r="G2533" s="18"/>
      <c r="H2533" s="18"/>
    </row>
    <row r="2534" spans="1:8" ht="13.2">
      <c r="A2534" s="19" t="str">
        <f>HYPERLINK("http://codeforces.com/contest/667/problem/A","CF667-D2-A")</f>
        <v>CF667-D2-A</v>
      </c>
      <c r="B2534" s="29" t="s">
        <v>2623</v>
      </c>
      <c r="C2534" s="17">
        <v>3</v>
      </c>
      <c r="D2534" s="18"/>
      <c r="E2534" s="17" t="s">
        <v>2510</v>
      </c>
      <c r="F2534" s="17"/>
      <c r="G2534" s="18"/>
      <c r="H2534" s="18"/>
    </row>
    <row r="2535" spans="1:8" ht="13.2">
      <c r="A2535" s="15" t="s">
        <v>2775</v>
      </c>
      <c r="B2535" s="15" t="s">
        <v>2650</v>
      </c>
      <c r="C2535" s="24">
        <v>3</v>
      </c>
      <c r="D2535" s="18"/>
      <c r="E2535" s="17" t="s">
        <v>2510</v>
      </c>
      <c r="F2535" s="17"/>
      <c r="G2535" s="18"/>
      <c r="H2535" s="18"/>
    </row>
    <row r="2536" spans="1:8" ht="13.2">
      <c r="A2536" s="15" t="s">
        <v>2776</v>
      </c>
      <c r="B2536" s="29" t="s">
        <v>2777</v>
      </c>
      <c r="C2536" s="40">
        <v>3</v>
      </c>
      <c r="D2536" s="18"/>
      <c r="E2536" s="17" t="s">
        <v>2510</v>
      </c>
      <c r="F2536" s="17"/>
      <c r="G2536" s="18"/>
      <c r="H2536" s="18"/>
    </row>
    <row r="2537" spans="1:8" ht="13.2">
      <c r="A2537" s="15" t="s">
        <v>2778</v>
      </c>
      <c r="B2537" s="15" t="s">
        <v>2779</v>
      </c>
      <c r="C2537" s="24">
        <v>3</v>
      </c>
      <c r="D2537" s="18"/>
      <c r="E2537" s="17" t="s">
        <v>2510</v>
      </c>
      <c r="F2537" s="17"/>
      <c r="G2537" s="18"/>
      <c r="H2537" s="18"/>
    </row>
    <row r="2538" spans="1:8" ht="13.2">
      <c r="A2538" s="19" t="str">
        <f>HYPERLINK("https://www.hackerrank.com/challenges/baby-step-giant-step","HACKR baby-step-giant-step")</f>
        <v>HACKR baby-step-giant-step</v>
      </c>
      <c r="B2538" s="28" t="s">
        <v>2780</v>
      </c>
      <c r="C2538" s="24">
        <v>3</v>
      </c>
      <c r="D2538" s="18"/>
      <c r="E2538" s="17" t="s">
        <v>2510</v>
      </c>
      <c r="F2538" s="17"/>
      <c r="G2538" s="18"/>
      <c r="H2538" s="18"/>
    </row>
    <row r="2539" spans="1:8" ht="13.2">
      <c r="A2539" s="19" t="str">
        <f>HYPERLINK("https://uva.onlinejudge.org/index.php?option=onlinejudge&amp;page=show_problem&amp;problem=1183","UVA 10242")</f>
        <v>UVA 10242</v>
      </c>
      <c r="B2539" s="29" t="s">
        <v>2781</v>
      </c>
      <c r="C2539" s="17">
        <v>3</v>
      </c>
      <c r="D2539" s="18"/>
      <c r="E2539" s="17" t="s">
        <v>2510</v>
      </c>
      <c r="F2539" s="17"/>
      <c r="G2539" s="18"/>
      <c r="H2539" s="18"/>
    </row>
    <row r="2540" spans="1:8" ht="13.2">
      <c r="A2540" s="15" t="s">
        <v>2782</v>
      </c>
      <c r="B2540" s="15" t="s">
        <v>2509</v>
      </c>
      <c r="C2540" s="24">
        <v>2</v>
      </c>
      <c r="D2540" s="18"/>
      <c r="E2540" s="17" t="s">
        <v>2510</v>
      </c>
      <c r="F2540" s="17" t="s">
        <v>306</v>
      </c>
      <c r="G2540" s="18"/>
      <c r="H2540" s="18"/>
    </row>
    <row r="2541" spans="1:8" ht="13.2">
      <c r="A2541" s="15" t="s">
        <v>2783</v>
      </c>
      <c r="B2541" s="28" t="s">
        <v>2784</v>
      </c>
      <c r="C2541" s="24">
        <v>2</v>
      </c>
      <c r="D2541" s="18"/>
      <c r="E2541" s="17" t="s">
        <v>2510</v>
      </c>
      <c r="F2541" s="17" t="s">
        <v>306</v>
      </c>
      <c r="G2541" s="18"/>
      <c r="H2541" s="18"/>
    </row>
    <row r="2542" spans="1:8" ht="13.2">
      <c r="A2542" s="19" t="str">
        <f>HYPERLINK("https://uva.onlinejudge.org/index.php?option=onlinejudge&amp;page=show_problem&amp;problem=1806","UVA 10865")</f>
        <v>UVA 10865</v>
      </c>
      <c r="B2542" s="29" t="s">
        <v>2509</v>
      </c>
      <c r="C2542" s="17">
        <v>2</v>
      </c>
      <c r="D2542" s="18"/>
      <c r="E2542" s="17" t="s">
        <v>2510</v>
      </c>
      <c r="F2542" s="17" t="s">
        <v>242</v>
      </c>
      <c r="G2542" s="18"/>
      <c r="H2542" s="18"/>
    </row>
    <row r="2543" spans="1:8" ht="13.2">
      <c r="A2543" s="15" t="s">
        <v>2785</v>
      </c>
      <c r="B2543" s="29" t="s">
        <v>2509</v>
      </c>
      <c r="C2543" s="24">
        <v>2</v>
      </c>
      <c r="D2543" s="18"/>
      <c r="E2543" s="17" t="s">
        <v>2510</v>
      </c>
      <c r="F2543" s="17"/>
      <c r="G2543" s="18"/>
      <c r="H2543" s="18"/>
    </row>
    <row r="2544" spans="1:8" ht="13.2">
      <c r="A2544" s="19" t="str">
        <f>HYPERLINK("https://uva.onlinejudge.org/index.php?option=com_onlinejudge&amp;Itemid=8&amp;page=show_problem&amp;category=24&amp;problem=1162&amp;mosmsg=Submission+received+with+ID+18897095","UVA 10221")</f>
        <v>UVA 10221</v>
      </c>
      <c r="B2544" s="29" t="s">
        <v>2509</v>
      </c>
      <c r="C2544" s="17">
        <v>2</v>
      </c>
      <c r="D2544" s="18"/>
      <c r="E2544" s="17" t="s">
        <v>2510</v>
      </c>
      <c r="F2544" s="17"/>
      <c r="G2544" s="18"/>
      <c r="H2544" s="18"/>
    </row>
    <row r="2545" spans="1:8" ht="13.2">
      <c r="A2545" s="15" t="s">
        <v>2786</v>
      </c>
      <c r="B2545" s="30" t="s">
        <v>2509</v>
      </c>
      <c r="C2545" s="24">
        <v>2</v>
      </c>
      <c r="D2545" s="18" t="s">
        <v>2787</v>
      </c>
      <c r="E2545" s="17" t="s">
        <v>2510</v>
      </c>
      <c r="F2545" s="17"/>
      <c r="G2545" s="18"/>
      <c r="H2545" s="18"/>
    </row>
    <row r="2546" spans="1:8" ht="13.2">
      <c r="A2546" s="19" t="str">
        <f>HYPERLINK("https://www.hackerrank.com/challenges/polar-angles","HACKR polar-angles")</f>
        <v>HACKR polar-angles</v>
      </c>
      <c r="B2546" s="28" t="s">
        <v>2788</v>
      </c>
      <c r="C2546" s="31">
        <v>2</v>
      </c>
      <c r="D2546" s="18"/>
      <c r="E2546" s="17" t="s">
        <v>2510</v>
      </c>
      <c r="F2546" s="17"/>
      <c r="G2546" s="18"/>
      <c r="H2546" s="18"/>
    </row>
    <row r="2547" spans="1:8" ht="13.2">
      <c r="A2547" s="15" t="s">
        <v>2789</v>
      </c>
      <c r="B2547" s="18" t="s">
        <v>2790</v>
      </c>
      <c r="C2547" s="24">
        <v>2</v>
      </c>
      <c r="D2547" s="18"/>
      <c r="E2547" s="17" t="s">
        <v>2510</v>
      </c>
      <c r="F2547" s="17"/>
      <c r="G2547" s="18"/>
      <c r="H2547" s="18"/>
    </row>
    <row r="2548" spans="1:8" ht="13.2">
      <c r="A2548" s="19" t="str">
        <f>HYPERLINK("http://codeforces.com/contest/706/problem/A","CF706-D2-A")</f>
        <v>CF706-D2-A</v>
      </c>
      <c r="B2548" s="15" t="s">
        <v>2565</v>
      </c>
      <c r="C2548" s="24">
        <v>2</v>
      </c>
      <c r="D2548" s="18"/>
      <c r="E2548" s="17" t="s">
        <v>2510</v>
      </c>
      <c r="F2548" s="17"/>
      <c r="G2548" s="18"/>
      <c r="H2548" s="18"/>
    </row>
    <row r="2549" spans="1:8" ht="13.2">
      <c r="A2549" s="15" t="s">
        <v>2791</v>
      </c>
      <c r="B2549" s="15" t="s">
        <v>2565</v>
      </c>
      <c r="C2549" s="24">
        <v>2</v>
      </c>
      <c r="D2549" s="18"/>
      <c r="E2549" s="17" t="s">
        <v>2510</v>
      </c>
      <c r="F2549" s="17"/>
      <c r="G2549" s="18"/>
      <c r="H2549" s="18"/>
    </row>
    <row r="2550" spans="1:8" ht="13.2">
      <c r="A2550" s="15" t="s">
        <v>2792</v>
      </c>
      <c r="B2550" s="30" t="s">
        <v>2793</v>
      </c>
      <c r="C2550" s="24">
        <v>2</v>
      </c>
      <c r="D2550" s="18"/>
      <c r="E2550" s="17" t="s">
        <v>2510</v>
      </c>
      <c r="F2550" s="17"/>
      <c r="G2550" s="18"/>
      <c r="H2550" s="18"/>
    </row>
    <row r="2551" spans="1:8" ht="15" customHeight="1">
      <c r="A2551" s="15" t="s">
        <v>2794</v>
      </c>
      <c r="B2551" s="29" t="s">
        <v>2526</v>
      </c>
      <c r="C2551" s="17">
        <v>2</v>
      </c>
      <c r="D2551" s="26" t="str">
        <f>HYPERLINK("https://github.com/MichaelMounir12/CompetitiveProgramming/blob/master/Contests/SuperVision-Contest-33139/ZOJ_1496.cpp","Sol")</f>
        <v>Sol</v>
      </c>
      <c r="E2551" s="17" t="s">
        <v>2510</v>
      </c>
      <c r="F2551" s="17"/>
      <c r="G2551" s="18"/>
      <c r="H2551" s="18"/>
    </row>
    <row r="2552" spans="1:8" ht="13.2">
      <c r="A2552" s="19" t="str">
        <f>HYPERLINK("https://www.hackerrank.com/challenges/points-on-rectangle","HACKR points-on-rectangle")</f>
        <v>HACKR points-on-rectangle</v>
      </c>
      <c r="B2552" s="38" t="s">
        <v>2543</v>
      </c>
      <c r="C2552" s="17">
        <v>2</v>
      </c>
      <c r="D2552" s="18"/>
      <c r="E2552" s="17" t="s">
        <v>2510</v>
      </c>
      <c r="F2552" s="17"/>
      <c r="G2552" s="18"/>
      <c r="H2552" s="18"/>
    </row>
    <row r="2553" spans="1:8" ht="13.2">
      <c r="A2553" s="19" t="str">
        <f>HYPERLINK("http://codeforces.com/contest/593/problem/B","CF593-D2-B")</f>
        <v>CF593-D2-B</v>
      </c>
      <c r="B2553" s="15" t="s">
        <v>2795</v>
      </c>
      <c r="C2553" s="24">
        <v>2</v>
      </c>
      <c r="D2553" s="18"/>
      <c r="E2553" s="17" t="s">
        <v>2510</v>
      </c>
      <c r="F2553" s="17"/>
      <c r="G2553" s="18"/>
      <c r="H2553" s="18"/>
    </row>
    <row r="2554" spans="1:8" ht="13.2">
      <c r="A2554" s="19" t="str">
        <f>HYPERLINK("http://codeforces.com/contest/671/problem/A","CF671-D1-A")</f>
        <v>CF671-D1-A</v>
      </c>
      <c r="B2554" s="15" t="s">
        <v>2795</v>
      </c>
      <c r="C2554" s="40">
        <v>2</v>
      </c>
      <c r="D2554" s="18"/>
      <c r="E2554" s="17" t="s">
        <v>2510</v>
      </c>
      <c r="F2554" s="17"/>
      <c r="G2554" s="18"/>
      <c r="H2554" s="18"/>
    </row>
    <row r="2555" spans="1:8" ht="13.2">
      <c r="A2555" s="15" t="s">
        <v>2796</v>
      </c>
      <c r="B2555" s="16" t="s">
        <v>2797</v>
      </c>
      <c r="C2555" s="17">
        <v>9</v>
      </c>
      <c r="D2555" s="18"/>
      <c r="E2555" s="17" t="s">
        <v>2798</v>
      </c>
      <c r="F2555" s="17"/>
      <c r="G2555" s="18"/>
      <c r="H2555" s="18"/>
    </row>
    <row r="2556" spans="1:8" ht="13.2">
      <c r="A2556" s="15" t="s">
        <v>2799</v>
      </c>
      <c r="B2556" s="30" t="s">
        <v>2800</v>
      </c>
      <c r="C2556" s="17">
        <v>8.5</v>
      </c>
      <c r="D2556" s="18"/>
      <c r="E2556" s="24" t="s">
        <v>2798</v>
      </c>
      <c r="F2556" s="17"/>
      <c r="G2556" s="18"/>
      <c r="H2556" s="18"/>
    </row>
    <row r="2557" spans="1:8" ht="13.2">
      <c r="A2557" s="15" t="s">
        <v>2801</v>
      </c>
      <c r="B2557" s="16" t="s">
        <v>2802</v>
      </c>
      <c r="C2557" s="17">
        <v>8.1</v>
      </c>
      <c r="D2557" s="18"/>
      <c r="E2557" s="17" t="s">
        <v>2798</v>
      </c>
      <c r="F2557" s="17"/>
      <c r="G2557" s="18"/>
      <c r="H2557" s="18"/>
    </row>
    <row r="2558" spans="1:8" ht="13.2">
      <c r="A2558" s="19" t="str">
        <f>HYPERLINK("http://codeforces.com/contest/442/problem/E","CF442-D1-E")</f>
        <v>CF442-D1-E</v>
      </c>
      <c r="B2558" s="15" t="s">
        <v>2803</v>
      </c>
      <c r="C2558" s="17">
        <v>8</v>
      </c>
      <c r="D2558" s="18"/>
      <c r="E2558" s="17" t="s">
        <v>2798</v>
      </c>
      <c r="F2558" s="17"/>
      <c r="G2558" s="18"/>
      <c r="H2558" s="18"/>
    </row>
    <row r="2559" spans="1:8" ht="13.2">
      <c r="A2559" s="15" t="s">
        <v>2804</v>
      </c>
      <c r="B2559" s="28" t="s">
        <v>2805</v>
      </c>
      <c r="C2559" s="24">
        <v>7.5</v>
      </c>
      <c r="D2559" s="26" t="str">
        <f>HYPERLINK("https://github.com/arvindr9/CompetitiveProgramming/blob/master/UVA/UVA%20313.cpp","Sol")</f>
        <v>Sol</v>
      </c>
      <c r="E2559" s="17" t="s">
        <v>2798</v>
      </c>
      <c r="F2559" s="17" t="s">
        <v>1164</v>
      </c>
      <c r="G2559" s="18"/>
      <c r="H2559" s="18"/>
    </row>
    <row r="2560" spans="1:8" ht="13.2">
      <c r="A2560" s="15" t="s">
        <v>2806</v>
      </c>
      <c r="B2560" s="30" t="s">
        <v>2800</v>
      </c>
      <c r="C2560" s="24">
        <v>7.25</v>
      </c>
      <c r="D2560" s="18"/>
      <c r="E2560" s="17" t="s">
        <v>2798</v>
      </c>
      <c r="F2560" s="17"/>
      <c r="G2560" s="18"/>
      <c r="H2560" s="18"/>
    </row>
    <row r="2561" spans="1:8" ht="13.2">
      <c r="A2561" s="15" t="s">
        <v>2807</v>
      </c>
      <c r="B2561" s="30" t="s">
        <v>2808</v>
      </c>
      <c r="C2561" s="24">
        <v>7.25</v>
      </c>
      <c r="D2561" s="18"/>
      <c r="E2561" s="17" t="s">
        <v>2798</v>
      </c>
      <c r="F2561" s="17"/>
      <c r="G2561" s="18"/>
      <c r="H2561" s="18"/>
    </row>
    <row r="2562" spans="1:8" ht="13.2">
      <c r="A2562" s="15" t="s">
        <v>2809</v>
      </c>
      <c r="B2562" s="16" t="s">
        <v>2810</v>
      </c>
      <c r="C2562" s="17">
        <v>7.25</v>
      </c>
      <c r="D2562" s="18"/>
      <c r="E2562" s="17" t="s">
        <v>2798</v>
      </c>
      <c r="F2562" s="17"/>
      <c r="G2562" s="18"/>
      <c r="H2562" s="18"/>
    </row>
    <row r="2563" spans="1:8" ht="13.2">
      <c r="A2563" s="15" t="s">
        <v>2811</v>
      </c>
      <c r="B2563" s="30" t="s">
        <v>2812</v>
      </c>
      <c r="C2563" s="24">
        <v>7.25</v>
      </c>
      <c r="D2563" s="18"/>
      <c r="E2563" s="17" t="s">
        <v>2798</v>
      </c>
      <c r="F2563" s="17"/>
      <c r="G2563" s="18"/>
      <c r="H2563" s="18"/>
    </row>
    <row r="2564" spans="1:8" ht="13.2">
      <c r="A2564" s="15" t="s">
        <v>2813</v>
      </c>
      <c r="B2564" s="15" t="s">
        <v>2814</v>
      </c>
      <c r="C2564" s="24">
        <v>7</v>
      </c>
      <c r="D2564" s="26" t="str">
        <f>HYPERLINK("https://github.com/mostafa-saad/MyCompetitiveProgramming/blob/master/ZOJ/ZOJ_2318.txt","Sol")</f>
        <v>Sol</v>
      </c>
      <c r="E2564" s="17" t="s">
        <v>2798</v>
      </c>
      <c r="F2564" s="17" t="s">
        <v>154</v>
      </c>
      <c r="G2564" s="18"/>
      <c r="H2564" s="18"/>
    </row>
    <row r="2565" spans="1:8" ht="13.2">
      <c r="A2565" s="15" t="s">
        <v>2815</v>
      </c>
      <c r="B2565" s="30" t="s">
        <v>2816</v>
      </c>
      <c r="C2565" s="24">
        <v>7</v>
      </c>
      <c r="D2565" s="18"/>
      <c r="E2565" s="24" t="s">
        <v>2798</v>
      </c>
      <c r="F2565" s="17"/>
      <c r="G2565" s="18"/>
      <c r="H2565" s="18"/>
    </row>
    <row r="2566" spans="1:8" ht="13.2">
      <c r="A2566" s="15" t="s">
        <v>2817</v>
      </c>
      <c r="B2566" s="28" t="s">
        <v>2818</v>
      </c>
      <c r="C2566" s="24">
        <v>7</v>
      </c>
      <c r="D2566" s="18"/>
      <c r="E2566" s="24" t="s">
        <v>2798</v>
      </c>
      <c r="F2566" s="17"/>
      <c r="G2566" s="18"/>
      <c r="H2566" s="18"/>
    </row>
    <row r="2567" spans="1:8" ht="13.2">
      <c r="A2567" s="15" t="s">
        <v>2819</v>
      </c>
      <c r="B2567" s="30" t="s">
        <v>2820</v>
      </c>
      <c r="C2567" s="17">
        <v>7</v>
      </c>
      <c r="D2567" s="18"/>
      <c r="E2567" s="17" t="s">
        <v>2798</v>
      </c>
      <c r="F2567" s="17"/>
      <c r="G2567" s="18"/>
      <c r="H2567" s="18"/>
    </row>
    <row r="2568" spans="1:8" ht="13.2">
      <c r="A2568" s="15" t="s">
        <v>2821</v>
      </c>
      <c r="B2568" s="30" t="s">
        <v>2822</v>
      </c>
      <c r="C2568" s="17">
        <v>7</v>
      </c>
      <c r="D2568" s="18"/>
      <c r="E2568" s="17" t="s">
        <v>2798</v>
      </c>
      <c r="F2568" s="17"/>
      <c r="G2568" s="18"/>
      <c r="H2568" s="18"/>
    </row>
    <row r="2569" spans="1:8" ht="13.2">
      <c r="A2569" s="15" t="s">
        <v>2823</v>
      </c>
      <c r="B2569" s="29" t="s">
        <v>2824</v>
      </c>
      <c r="C2569" s="17">
        <v>7</v>
      </c>
      <c r="D2569" s="18"/>
      <c r="E2569" s="17" t="s">
        <v>2798</v>
      </c>
      <c r="F2569" s="17"/>
      <c r="G2569" s="18"/>
      <c r="H2569" s="18"/>
    </row>
    <row r="2570" spans="1:8" ht="13.2">
      <c r="A2570" s="15" t="s">
        <v>2825</v>
      </c>
      <c r="B2570" s="30" t="s">
        <v>2826</v>
      </c>
      <c r="C2570" s="17">
        <v>7</v>
      </c>
      <c r="D2570" s="18"/>
      <c r="E2570" s="17" t="s">
        <v>2798</v>
      </c>
      <c r="F2570" s="17"/>
      <c r="G2570" s="18"/>
      <c r="H2570" s="18"/>
    </row>
    <row r="2571" spans="1:8" ht="13.2">
      <c r="A2571" s="15" t="s">
        <v>2827</v>
      </c>
      <c r="B2571" s="30" t="s">
        <v>2800</v>
      </c>
      <c r="C2571" s="24">
        <v>6.75</v>
      </c>
      <c r="D2571" s="18"/>
      <c r="E2571" s="17" t="s">
        <v>2798</v>
      </c>
      <c r="F2571" s="17"/>
      <c r="G2571" s="18"/>
      <c r="H2571" s="18"/>
    </row>
    <row r="2572" spans="1:8" ht="13.2">
      <c r="A2572" s="15" t="s">
        <v>2828</v>
      </c>
      <c r="B2572" s="38" t="s">
        <v>2826</v>
      </c>
      <c r="C2572" s="24">
        <v>6.75</v>
      </c>
      <c r="D2572" s="18"/>
      <c r="E2572" s="17" t="s">
        <v>2798</v>
      </c>
      <c r="F2572" s="17"/>
      <c r="G2572" s="18"/>
      <c r="H2572" s="18"/>
    </row>
    <row r="2573" spans="1:8" ht="13.2">
      <c r="A2573" s="19" t="str">
        <f>HYPERLINK("http://codeforces.com/contest/2/problem/C","CF2-D12-C")</f>
        <v>CF2-D12-C</v>
      </c>
      <c r="B2573" s="29" t="s">
        <v>2829</v>
      </c>
      <c r="C2573" s="17">
        <v>6.5</v>
      </c>
      <c r="D2573" s="26" t="str">
        <f>HYPERLINK("https://github.com/osamahatem/CompetitiveProgramming/blob/master/Codeforces/2C.%20Commentator%20problem.cpp","Sol")</f>
        <v>Sol</v>
      </c>
      <c r="E2573" s="17" t="s">
        <v>2798</v>
      </c>
      <c r="F2573" s="17" t="s">
        <v>1164</v>
      </c>
      <c r="G2573" s="18"/>
      <c r="H2573" s="18"/>
    </row>
    <row r="2574" spans="1:8" ht="13.2">
      <c r="A2574" s="19" t="str">
        <f>HYPERLINK("http://codeforces.com/gym/101630","CF101630-gym-A")</f>
        <v>CF101630-gym-A</v>
      </c>
      <c r="B2574" s="15" t="s">
        <v>2830</v>
      </c>
      <c r="C2574" s="17">
        <v>6.5</v>
      </c>
      <c r="D2574" s="18"/>
      <c r="E2574" s="17" t="s">
        <v>2798</v>
      </c>
      <c r="F2574" s="17" t="s">
        <v>139</v>
      </c>
      <c r="G2574" s="18"/>
      <c r="H2574" s="18"/>
    </row>
    <row r="2575" spans="1:8" ht="13.2">
      <c r="A2575" s="19" t="str">
        <f>HYPERLINK("http://codeforces.com/gym/100200/problem/C","CF100200-GYM-C")</f>
        <v>CF100200-GYM-C</v>
      </c>
      <c r="B2575" s="15" t="s">
        <v>2831</v>
      </c>
      <c r="C2575" s="24">
        <v>6.25</v>
      </c>
      <c r="D2575" s="26" t="str">
        <f>HYPERLINK("https://github.com/shanto86/Training/blob/master/CodeForces/CF100200-GYM-C.cpp","Sol")</f>
        <v>Sol</v>
      </c>
      <c r="E2575" s="17" t="s">
        <v>2798</v>
      </c>
      <c r="F2575" s="17" t="s">
        <v>255</v>
      </c>
      <c r="G2575" s="18"/>
      <c r="H2575" s="18"/>
    </row>
    <row r="2576" spans="1:8" ht="13.2">
      <c r="A2576" s="15" t="s">
        <v>2832</v>
      </c>
      <c r="B2576" s="15" t="s">
        <v>2833</v>
      </c>
      <c r="C2576" s="24">
        <v>6.25</v>
      </c>
      <c r="D2576" s="26" t="str">
        <f>HYPERLINK("https://github.com/mostafa-saad/MyCompetitiveProgramming/blob/master/UVA/UVA_10792.txt","Sol")</f>
        <v>Sol</v>
      </c>
      <c r="E2576" s="17" t="s">
        <v>2798</v>
      </c>
      <c r="F2576" s="17" t="s">
        <v>139</v>
      </c>
      <c r="G2576" s="18"/>
      <c r="H2576" s="18"/>
    </row>
    <row r="2577" spans="1:8" ht="13.2">
      <c r="A2577" s="15" t="s">
        <v>2834</v>
      </c>
      <c r="B2577" s="29" t="s">
        <v>2800</v>
      </c>
      <c r="C2577" s="24">
        <v>6</v>
      </c>
      <c r="D2577" s="26" t="str">
        <f>HYPERLINK("https://github.com/shanto86/Training/blob/master/LiveArchive/LIVEARCHIVE%203411.cpp","Sol")</f>
        <v>Sol</v>
      </c>
      <c r="E2577" s="17" t="s">
        <v>2798</v>
      </c>
      <c r="F2577" s="17" t="s">
        <v>255</v>
      </c>
      <c r="G2577" s="18"/>
      <c r="H2577" s="18"/>
    </row>
    <row r="2578" spans="1:8" ht="13.2">
      <c r="A2578" s="15" t="s">
        <v>2835</v>
      </c>
      <c r="B2578" s="28" t="s">
        <v>2800</v>
      </c>
      <c r="C2578" s="24">
        <v>6</v>
      </c>
      <c r="D2578" s="26" t="str">
        <f>HYPERLINK("https://github.com/mostafa-saad/MyCompetitiveProgramming/blob/master/UVA/UVA_10136.txt","Sol")</f>
        <v>Sol</v>
      </c>
      <c r="E2578" s="17" t="s">
        <v>2798</v>
      </c>
      <c r="F2578" s="17" t="s">
        <v>227</v>
      </c>
      <c r="G2578" s="18"/>
      <c r="H2578" s="18"/>
    </row>
    <row r="2579" spans="1:8" ht="13.2">
      <c r="A2579" s="19" t="str">
        <f>HYPERLINK("https://www.hackerrank.com/challenges/house-location","HACKR house-location")</f>
        <v>HACKR house-location</v>
      </c>
      <c r="B2579" s="29" t="s">
        <v>2836</v>
      </c>
      <c r="C2579" s="24">
        <v>5.75</v>
      </c>
      <c r="D2579" s="26" t="str">
        <f>HYPERLINK("https://github.com/arvindr9/CompetitiveProgramming/blob/master/Hackerrank/HACKR%20house-location.cpp","Sol")</f>
        <v>Sol</v>
      </c>
      <c r="E2579" s="17" t="s">
        <v>2798</v>
      </c>
      <c r="F2579" s="17" t="s">
        <v>139</v>
      </c>
      <c r="G2579" s="18"/>
      <c r="H2579" s="18"/>
    </row>
    <row r="2580" spans="1:8" ht="13.2">
      <c r="A2580" s="15" t="s">
        <v>2837</v>
      </c>
      <c r="B2580" s="18" t="s">
        <v>2838</v>
      </c>
      <c r="C2580" s="17">
        <v>5.5</v>
      </c>
      <c r="D2580" s="18"/>
      <c r="E2580" s="17" t="s">
        <v>2798</v>
      </c>
      <c r="F2580" s="17" t="s">
        <v>255</v>
      </c>
      <c r="G2580" s="18"/>
      <c r="H2580" s="18"/>
    </row>
    <row r="2581" spans="1:8" ht="13.2">
      <c r="A2581" s="15" t="s">
        <v>2839</v>
      </c>
      <c r="B2581" s="29" t="s">
        <v>2840</v>
      </c>
      <c r="C2581" s="24">
        <v>5.5</v>
      </c>
      <c r="D2581" s="26" t="str">
        <f>HYPERLINK("https://github.com/OmarHashim/Competitive-Programming/blob/master/UVA/10180.cpp","Sol")</f>
        <v>Sol</v>
      </c>
      <c r="E2581" s="17" t="s">
        <v>2798</v>
      </c>
      <c r="F2581" s="17" t="s">
        <v>1164</v>
      </c>
      <c r="G2581" s="18"/>
      <c r="H2581" s="18"/>
    </row>
    <row r="2582" spans="1:8" ht="13.2">
      <c r="A2582" s="19" t="str">
        <f>HYPERLINK("https://codeforces.com/contest/1059/problem/D","CF1059-D2-D")</f>
        <v>CF1059-D2-D</v>
      </c>
      <c r="B2582" s="20" t="s">
        <v>2841</v>
      </c>
      <c r="C2582" s="24">
        <v>5.5</v>
      </c>
      <c r="D2582" s="18"/>
      <c r="E2582" s="17" t="s">
        <v>2798</v>
      </c>
      <c r="F2582" s="17" t="s">
        <v>139</v>
      </c>
      <c r="G2582" s="18"/>
      <c r="H2582" s="18"/>
    </row>
    <row r="2583" spans="1:8" ht="13.2">
      <c r="A2583" s="19" t="str">
        <f>HYPERLINK("https://uva.onlinejudge.org/index.php?option=onlinejudge&amp;page=show_problem&amp;problem=946","UVA 10005")</f>
        <v>UVA 10005</v>
      </c>
      <c r="B2583" s="29" t="s">
        <v>2842</v>
      </c>
      <c r="C2583" s="17">
        <v>5</v>
      </c>
      <c r="D2583" s="26" t="str">
        <f>HYPERLINK("https://github.com/mostafa-saad/MyCompetitiveProgramming/blob/master/UVA/UVA_10005.txt","Sol")</f>
        <v>Sol</v>
      </c>
      <c r="E2583" s="17" t="s">
        <v>2798</v>
      </c>
      <c r="F2583" s="17" t="s">
        <v>2843</v>
      </c>
      <c r="G2583" s="18"/>
      <c r="H2583" s="18"/>
    </row>
    <row r="2584" spans="1:8" ht="13.2">
      <c r="A2584" s="19" t="str">
        <f>HYPERLINK("https://codeforces.com/gym/102021/attachments", "CF102021-GYM-B")</f>
        <v>CF102021-GYM-B</v>
      </c>
      <c r="B2584" s="15" t="s">
        <v>2800</v>
      </c>
      <c r="C2584" s="21">
        <v>5</v>
      </c>
      <c r="D2584" s="26" t="str">
        <f>HYPERLINK("https://github.com/YazanZebak/CompetitiveProgramming/blob/master/Codeforces/CF102021-GYM-B.cpp", "Sol")</f>
        <v>Sol</v>
      </c>
      <c r="E2584" s="17" t="s">
        <v>2798</v>
      </c>
      <c r="F2584" s="17" t="s">
        <v>139</v>
      </c>
      <c r="G2584" s="18"/>
      <c r="H2584" s="18"/>
    </row>
    <row r="2585" spans="1:8" ht="13.2">
      <c r="A2585" s="15" t="s">
        <v>2844</v>
      </c>
      <c r="B2585" s="29" t="s">
        <v>2845</v>
      </c>
      <c r="C2585" s="17">
        <v>5</v>
      </c>
      <c r="D2585" s="18"/>
      <c r="E2585" s="17" t="s">
        <v>2798</v>
      </c>
      <c r="F2585" s="17" t="s">
        <v>139</v>
      </c>
      <c r="G2585" s="18"/>
      <c r="H2585" s="18"/>
    </row>
    <row r="2586" spans="1:8" ht="13.2">
      <c r="A2586" s="19" t="str">
        <f>HYPERLINK("http://www.spoj.com/problems/ALIENS/","SPOJ ALIENS")</f>
        <v>SPOJ ALIENS</v>
      </c>
      <c r="B2586" s="29" t="s">
        <v>2846</v>
      </c>
      <c r="C2586" s="24">
        <v>5</v>
      </c>
      <c r="D2586" s="26" t="str">
        <f>HYPERLINK("https://github.com/mostafa-saad/MyCompetitiveProgramming/blob/master/SPOJ/SPOJ_ALIENS.txt","Sol - Practice on min enclosing circle")</f>
        <v>Sol - Practice on min enclosing circle</v>
      </c>
      <c r="E2586" s="17" t="s">
        <v>2798</v>
      </c>
      <c r="F2586" s="17" t="s">
        <v>201</v>
      </c>
      <c r="G2586" s="18"/>
      <c r="H2586" s="18"/>
    </row>
    <row r="2587" spans="1:8" ht="13.2">
      <c r="A2587" s="15" t="s">
        <v>2847</v>
      </c>
      <c r="B2587" s="28" t="s">
        <v>2800</v>
      </c>
      <c r="C2587" s="24">
        <v>5</v>
      </c>
      <c r="D2587" s="26" t="str">
        <f>HYPERLINK("https://github.com/ryuzmukhametov/CompetitiveProgramming/blob/master/uva/UVA%2010439.cpp", "Sol")</f>
        <v>Sol</v>
      </c>
      <c r="E2587" s="17" t="s">
        <v>2798</v>
      </c>
      <c r="F2587" s="17" t="s">
        <v>242</v>
      </c>
      <c r="G2587" s="18"/>
      <c r="H2587" s="18"/>
    </row>
    <row r="2588" spans="1:8" ht="13.2">
      <c r="A2588" s="15" t="s">
        <v>2848</v>
      </c>
      <c r="B2588" s="28" t="s">
        <v>2849</v>
      </c>
      <c r="C2588" s="24">
        <v>5</v>
      </c>
      <c r="D2588" s="18"/>
      <c r="E2588" s="24" t="s">
        <v>2798</v>
      </c>
      <c r="F2588" s="17"/>
      <c r="G2588" s="18"/>
      <c r="H2588" s="18"/>
    </row>
    <row r="2589" spans="1:8" ht="13.2">
      <c r="A2589" s="15" t="s">
        <v>2850</v>
      </c>
      <c r="B2589" s="30" t="s">
        <v>2851</v>
      </c>
      <c r="C2589" s="17">
        <v>5</v>
      </c>
      <c r="D2589" s="18"/>
      <c r="E2589" s="24" t="s">
        <v>2798</v>
      </c>
      <c r="F2589" s="17"/>
      <c r="G2589" s="18"/>
      <c r="H2589" s="18"/>
    </row>
    <row r="2590" spans="1:8" ht="13.2">
      <c r="A2590" s="15" t="s">
        <v>2852</v>
      </c>
      <c r="B2590" s="30" t="s">
        <v>2800</v>
      </c>
      <c r="C2590" s="24">
        <v>4.5</v>
      </c>
      <c r="D2590" s="26" t="str">
        <f>HYPERLINK("https://ideone.com/dFbdzh","Sol")</f>
        <v>Sol</v>
      </c>
      <c r="E2590" s="17" t="s">
        <v>2798</v>
      </c>
      <c r="F2590" s="17"/>
      <c r="G2590" s="18"/>
      <c r="H2590" s="18"/>
    </row>
    <row r="2591" spans="1:8" ht="13.2">
      <c r="A2591" s="19" t="str">
        <f>HYPERLINK("http://codeforces.com/contest/140/problem/A","CF140-D12-A")</f>
        <v>CF140-D12-A</v>
      </c>
      <c r="B2591" s="15" t="s">
        <v>2800</v>
      </c>
      <c r="C2591" s="24">
        <v>4</v>
      </c>
      <c r="D2591" s="18"/>
      <c r="E2591" s="17" t="s">
        <v>2798</v>
      </c>
      <c r="F2591" s="17" t="s">
        <v>229</v>
      </c>
      <c r="G2591" s="18"/>
      <c r="H2591" s="18"/>
    </row>
    <row r="2592" spans="1:8" ht="13.2">
      <c r="A2592" s="19" t="str">
        <f>HYPERLINK("http://codeforces.com/contest/199/problem/B","CF199-D2-B")</f>
        <v>CF199-D2-B</v>
      </c>
      <c r="B2592" s="29" t="s">
        <v>2853</v>
      </c>
      <c r="C2592" s="17">
        <v>4</v>
      </c>
      <c r="D2592" s="18"/>
      <c r="E2592" s="17" t="s">
        <v>2798</v>
      </c>
      <c r="F2592" s="17" t="s">
        <v>229</v>
      </c>
      <c r="G2592" s="18"/>
      <c r="H2592" s="18"/>
    </row>
    <row r="2593" spans="1:8" ht="13.2">
      <c r="A2593" s="15" t="s">
        <v>2854</v>
      </c>
      <c r="B2593" s="30" t="s">
        <v>2855</v>
      </c>
      <c r="C2593" s="24">
        <v>4</v>
      </c>
      <c r="D2593" s="26" t="str">
        <f>HYPERLINK("https://github.com/MohamedNabil97/CompetitiveProgramming/blob/master/UVA/12240.cpp","Sol")</f>
        <v>Sol</v>
      </c>
      <c r="E2593" s="17" t="s">
        <v>2798</v>
      </c>
      <c r="F2593" s="17"/>
      <c r="G2593" s="18"/>
      <c r="H2593" s="18"/>
    </row>
    <row r="2594" spans="1:8" ht="13.2">
      <c r="A2594" s="15" t="s">
        <v>2856</v>
      </c>
      <c r="B2594" s="28" t="s">
        <v>2808</v>
      </c>
      <c r="C2594" s="24">
        <v>4</v>
      </c>
      <c r="D2594" s="26" t="str">
        <f>HYPERLINK("https://github.com/mostafa-saad/MyCompetitiveProgramming/blob/master/UVA/UVA_11515.txt","Sol")</f>
        <v>Sol</v>
      </c>
      <c r="E2594" s="17" t="s">
        <v>2798</v>
      </c>
      <c r="F2594" s="17"/>
      <c r="G2594" s="18"/>
      <c r="H2594" s="18"/>
    </row>
    <row r="2595" spans="1:8" ht="13.2">
      <c r="A2595" s="19" t="str">
        <f>HYPERLINK("http://codeforces.com/contest/84/problem/C","CF84-D2-C")</f>
        <v>CF84-D2-C</v>
      </c>
      <c r="B2595" s="29" t="s">
        <v>2853</v>
      </c>
      <c r="C2595" s="17">
        <v>4</v>
      </c>
      <c r="D2595" s="18"/>
      <c r="E2595" s="17" t="s">
        <v>2798</v>
      </c>
      <c r="F2595" s="17"/>
      <c r="G2595" s="18"/>
      <c r="H2595" s="18"/>
    </row>
    <row r="2596" spans="1:8" ht="13.2">
      <c r="A2596" s="19" t="str">
        <f>HYPERLINK("https://uva.onlinejudge.org/index.php?option=com_onlinejudge&amp;Itemid=8&amp;page=show_problem&amp;problem=418","UVA 477")</f>
        <v>UVA 477</v>
      </c>
      <c r="B2596" s="29" t="s">
        <v>2800</v>
      </c>
      <c r="C2596" s="17">
        <v>3.5</v>
      </c>
      <c r="D2596" s="26" t="str">
        <f>HYPERLINK("https://github.com/MeGaCrazy/CompetitiveProgramming/blob/5343b4e1aabd67db25a4864de4eb81eb094709e3/UVA/UVA_477.cpp","Sol")</f>
        <v>Sol</v>
      </c>
      <c r="E2596" s="17" t="s">
        <v>2798</v>
      </c>
      <c r="F2596" s="17"/>
      <c r="G2596" s="18"/>
      <c r="H2596" s="18"/>
    </row>
    <row r="2597" spans="1:8" ht="13.2">
      <c r="A2597" s="19" t="str">
        <f>HYPERLINK("https://www.hackerrank.com/challenges/circle-city","HACKR circle-city")</f>
        <v>HACKR circle-city</v>
      </c>
      <c r="B2597" s="28" t="s">
        <v>2857</v>
      </c>
      <c r="C2597" s="24">
        <v>3</v>
      </c>
      <c r="D2597" s="18"/>
      <c r="E2597" s="17" t="s">
        <v>2798</v>
      </c>
      <c r="F2597" s="17" t="s">
        <v>306</v>
      </c>
      <c r="G2597" s="18"/>
      <c r="H2597" s="18"/>
    </row>
    <row r="2598" spans="1:8" ht="13.2">
      <c r="A2598" s="19" t="str">
        <f>HYPERLINK("https://uva.onlinejudge.org/index.php?option=onlinejudge&amp;page=show_problem&amp;problem=1242","UVA 10301")</f>
        <v>UVA 10301</v>
      </c>
      <c r="B2598" s="29" t="s">
        <v>2858</v>
      </c>
      <c r="C2598" s="17">
        <v>3</v>
      </c>
      <c r="D2598" s="26" t="str">
        <f>HYPERLINK("https://github.com/MeGaCrazy/CompetitiveProgramming/blob/51252e18803855ed2eacedc50f53b90fe8d184e6/UVA/UVA_10301.cpp","Sol")</f>
        <v>Sol</v>
      </c>
      <c r="E2598" s="17" t="s">
        <v>2798</v>
      </c>
      <c r="F2598" s="17" t="s">
        <v>242</v>
      </c>
      <c r="G2598" s="18"/>
      <c r="H2598" s="18"/>
    </row>
    <row r="2599" spans="1:8" ht="13.2">
      <c r="A2599" s="19" t="str">
        <f>HYPERLINK("https://uva.onlinejudge.org/index.php?option=onlinejudge&amp;page=show_problem&amp;problem=292","UVA 356")</f>
        <v>UVA 356</v>
      </c>
      <c r="B2599" s="29" t="s">
        <v>2800</v>
      </c>
      <c r="C2599" s="17">
        <v>3</v>
      </c>
      <c r="D2599" s="18"/>
      <c r="E2599" s="17" t="s">
        <v>2798</v>
      </c>
      <c r="F2599" s="17"/>
      <c r="G2599" s="18"/>
      <c r="H2599" s="18"/>
    </row>
    <row r="2600" spans="1:8" ht="13.2">
      <c r="A2600" s="19" t="str">
        <f>HYPERLINK("https://uva.onlinejudge.org/index.php?option=onlinejudge&amp;page=show_problem&amp;problem=379","UVA 438")</f>
        <v>UVA 438</v>
      </c>
      <c r="B2600" s="29" t="s">
        <v>2800</v>
      </c>
      <c r="C2600" s="17">
        <v>3</v>
      </c>
      <c r="D2600" s="26" t="str">
        <f>HYPERLINK("https://github.com/hosamk92/CompetitiveProgramming/blob/master/UVA/UVA%20438.cpp","Sol")</f>
        <v>Sol</v>
      </c>
      <c r="E2600" s="17" t="s">
        <v>2798</v>
      </c>
      <c r="F2600" s="17"/>
      <c r="G2600" s="18"/>
      <c r="H2600" s="18"/>
    </row>
    <row r="2601" spans="1:8" ht="13.2">
      <c r="A2601" s="19" t="str">
        <f>HYPERLINK("https://www.hackerrank.com/challenges/sherlock-and-geometry","HACKR sherlock-and-geometry")</f>
        <v>HACKR sherlock-and-geometry</v>
      </c>
      <c r="B2601" s="28" t="s">
        <v>2859</v>
      </c>
      <c r="C2601" s="17">
        <v>2.5</v>
      </c>
      <c r="D2601" s="18"/>
      <c r="E2601" s="17" t="s">
        <v>2798</v>
      </c>
      <c r="F2601" s="17"/>
      <c r="G2601" s="18"/>
      <c r="H2601" s="18"/>
    </row>
    <row r="2602" spans="1:8" ht="13.2">
      <c r="A2602" s="15" t="s">
        <v>2860</v>
      </c>
      <c r="B2602" s="29" t="s">
        <v>2861</v>
      </c>
      <c r="C2602" s="24">
        <v>2</v>
      </c>
      <c r="D2602" s="26" t="str">
        <f>HYPERLINK("https://github.com/MeGaCrazy/CompetitiveProgramming/blob/c099628e643065a7bae09af22c4cbce1216e4db9/UVA/UVA_453.cpp","Sol")</f>
        <v>Sol</v>
      </c>
      <c r="E2602" s="17" t="s">
        <v>2798</v>
      </c>
      <c r="F2602" s="17" t="s">
        <v>255</v>
      </c>
      <c r="G2602" s="18"/>
      <c r="H2602" s="18"/>
    </row>
    <row r="2603" spans="1:8" ht="13.2">
      <c r="A2603" s="19" t="str">
        <f>HYPERLINK("https://uva.onlinejudge.org/index.php?option=onlinejudge&amp;page=show_problem&amp;problem=4601","UVA 12748")</f>
        <v>UVA 12748</v>
      </c>
      <c r="B2603" s="29" t="s">
        <v>2862</v>
      </c>
      <c r="C2603" s="17">
        <v>2</v>
      </c>
      <c r="D2603" s="26" t="str">
        <f>HYPERLINK("https://github.com/MeGaCrazy/CompetitiveProgramming/blob/29ebad1d90e70a17ac4e646e5f049b980fb777de/UVA/UVA_12748.cpp","Sol")</f>
        <v>Sol</v>
      </c>
      <c r="E2603" s="17" t="s">
        <v>2798</v>
      </c>
      <c r="F2603" s="17"/>
      <c r="G2603" s="18"/>
      <c r="H2603" s="18"/>
    </row>
    <row r="2604" spans="1:8" ht="13.2">
      <c r="A2604" s="15" t="s">
        <v>2863</v>
      </c>
      <c r="B2604" s="16" t="s">
        <v>2864</v>
      </c>
      <c r="C2604" s="17">
        <v>8.5</v>
      </c>
      <c r="D2604" s="18"/>
      <c r="E2604" s="17" t="s">
        <v>2865</v>
      </c>
      <c r="F2604" s="17"/>
      <c r="G2604" s="18"/>
      <c r="H2604" s="18"/>
    </row>
    <row r="2605" spans="1:8" ht="13.2">
      <c r="A2605" s="15" t="s">
        <v>2866</v>
      </c>
      <c r="B2605" s="29" t="s">
        <v>2867</v>
      </c>
      <c r="C2605" s="24">
        <v>8.5</v>
      </c>
      <c r="D2605" s="18"/>
      <c r="E2605" s="17" t="s">
        <v>2865</v>
      </c>
      <c r="F2605" s="17"/>
      <c r="G2605" s="18"/>
      <c r="H2605" s="18"/>
    </row>
    <row r="2606" spans="1:8" ht="13.2">
      <c r="A2606" s="15" t="s">
        <v>2868</v>
      </c>
      <c r="B2606" s="28" t="s">
        <v>2869</v>
      </c>
      <c r="C2606" s="17">
        <v>7.75</v>
      </c>
      <c r="D2606" s="18"/>
      <c r="E2606" s="24" t="s">
        <v>2865</v>
      </c>
      <c r="F2606" s="17"/>
      <c r="G2606" s="18"/>
      <c r="H2606" s="18"/>
    </row>
    <row r="2607" spans="1:8" ht="13.2">
      <c r="A2607" s="15" t="s">
        <v>2870</v>
      </c>
      <c r="B2607" s="28" t="s">
        <v>2871</v>
      </c>
      <c r="C2607" s="17">
        <v>7.75</v>
      </c>
      <c r="D2607" s="18"/>
      <c r="E2607" s="24" t="s">
        <v>2865</v>
      </c>
      <c r="F2607" s="17"/>
      <c r="G2607" s="18"/>
      <c r="H2607" s="18"/>
    </row>
    <row r="2608" spans="1:8" ht="13.2">
      <c r="A2608" s="19" t="str">
        <f>HYPERLINK("http://codeforces.com/contest/249/problem/A","CF249-D1-A")</f>
        <v>CF249-D1-A</v>
      </c>
      <c r="B2608" s="29" t="s">
        <v>2872</v>
      </c>
      <c r="C2608" s="17">
        <v>7.5</v>
      </c>
      <c r="D2608" s="18"/>
      <c r="E2608" s="17" t="s">
        <v>2865</v>
      </c>
      <c r="F2608" s="17"/>
      <c r="G2608" s="18"/>
      <c r="H2608" s="18"/>
    </row>
    <row r="2609" spans="1:8" ht="13.2">
      <c r="A2609" s="15" t="s">
        <v>2873</v>
      </c>
      <c r="B2609" s="30" t="s">
        <v>2874</v>
      </c>
      <c r="C2609" s="24">
        <v>7.5</v>
      </c>
      <c r="D2609" s="18"/>
      <c r="E2609" s="24" t="s">
        <v>2865</v>
      </c>
      <c r="F2609" s="17"/>
      <c r="G2609" s="18"/>
      <c r="H2609" s="18"/>
    </row>
    <row r="2610" spans="1:8" ht="13.2">
      <c r="A2610" s="15" t="s">
        <v>2875</v>
      </c>
      <c r="B2610" s="16" t="s">
        <v>2876</v>
      </c>
      <c r="C2610" s="17">
        <v>7.5</v>
      </c>
      <c r="D2610" s="18"/>
      <c r="E2610" s="17" t="s">
        <v>2865</v>
      </c>
      <c r="F2610" s="17"/>
      <c r="G2610" s="18"/>
      <c r="H2610" s="18"/>
    </row>
    <row r="2611" spans="1:8" ht="13.2">
      <c r="A2611" s="15" t="s">
        <v>2877</v>
      </c>
      <c r="B2611" s="28" t="s">
        <v>2878</v>
      </c>
      <c r="C2611" s="24">
        <v>7.25</v>
      </c>
      <c r="D2611" s="18"/>
      <c r="E2611" s="17" t="s">
        <v>2865</v>
      </c>
      <c r="F2611" s="17"/>
      <c r="G2611" s="18"/>
      <c r="H2611" s="18"/>
    </row>
    <row r="2612" spans="1:8" ht="13.2">
      <c r="A2612" s="15" t="s">
        <v>2879</v>
      </c>
      <c r="B2612" s="30" t="s">
        <v>2871</v>
      </c>
      <c r="C2612" s="24">
        <v>7.25</v>
      </c>
      <c r="D2612" s="18"/>
      <c r="E2612" s="17" t="s">
        <v>2865</v>
      </c>
      <c r="F2612" s="17"/>
      <c r="G2612" s="18"/>
      <c r="H2612" s="18"/>
    </row>
    <row r="2613" spans="1:8" ht="13.2">
      <c r="A2613" s="15" t="s">
        <v>2880</v>
      </c>
      <c r="B2613" s="18" t="s">
        <v>2881</v>
      </c>
      <c r="C2613" s="24">
        <v>7.1</v>
      </c>
      <c r="D2613" s="18"/>
      <c r="E2613" s="17" t="s">
        <v>2865</v>
      </c>
      <c r="F2613" s="17" t="s">
        <v>255</v>
      </c>
      <c r="G2613" s="18"/>
      <c r="H2613" s="18"/>
    </row>
    <row r="2614" spans="1:8" ht="13.2">
      <c r="A2614" s="15" t="s">
        <v>2882</v>
      </c>
      <c r="B2614" s="30" t="s">
        <v>2883</v>
      </c>
      <c r="C2614" s="17">
        <v>7</v>
      </c>
      <c r="D2614" s="18"/>
      <c r="E2614" s="17" t="s">
        <v>2865</v>
      </c>
      <c r="F2614" s="17"/>
      <c r="G2614" s="18"/>
      <c r="H2614" s="18"/>
    </row>
    <row r="2615" spans="1:8" ht="13.2">
      <c r="A2615" s="15" t="s">
        <v>2884</v>
      </c>
      <c r="B2615" s="30" t="s">
        <v>2885</v>
      </c>
      <c r="C2615" s="40">
        <v>7</v>
      </c>
      <c r="D2615" s="18"/>
      <c r="E2615" s="17" t="s">
        <v>2865</v>
      </c>
      <c r="F2615" s="17"/>
      <c r="G2615" s="18"/>
      <c r="H2615" s="18"/>
    </row>
    <row r="2616" spans="1:8" ht="13.2">
      <c r="A2616" s="15" t="s">
        <v>2886</v>
      </c>
      <c r="B2616" s="28" t="s">
        <v>2871</v>
      </c>
      <c r="C2616" s="24">
        <v>7</v>
      </c>
      <c r="D2616" s="18"/>
      <c r="E2616" s="24" t="s">
        <v>2865</v>
      </c>
      <c r="F2616" s="17"/>
      <c r="G2616" s="18"/>
      <c r="H2616" s="18"/>
    </row>
    <row r="2617" spans="1:8" ht="13.2">
      <c r="A2617" s="19" t="str">
        <f>HYPERLINK("http://codeforces.com/gym/101606/problem/L","CF101606-GYM-L")</f>
        <v>CF101606-GYM-L</v>
      </c>
      <c r="B2617" s="20" t="s">
        <v>2887</v>
      </c>
      <c r="C2617" s="21">
        <v>7</v>
      </c>
      <c r="D2617" s="26" t="str">
        <f>HYPERLINK("https://github.com/OmarHashim/Competitive-Programming/blob/master/CodeForces/CF101606-GYM-L","Sol")</f>
        <v>Sol</v>
      </c>
      <c r="E2617" s="17" t="s">
        <v>2865</v>
      </c>
      <c r="F2617" s="17"/>
      <c r="G2617" s="18"/>
      <c r="H2617" s="18"/>
    </row>
    <row r="2618" spans="1:8" ht="13.2">
      <c r="A2618" s="15" t="s">
        <v>2888</v>
      </c>
      <c r="B2618" s="30" t="s">
        <v>2889</v>
      </c>
      <c r="C2618" s="17">
        <v>7</v>
      </c>
      <c r="D2618" s="18"/>
      <c r="E2618" s="17" t="s">
        <v>2865</v>
      </c>
      <c r="F2618" s="17"/>
      <c r="G2618" s="18"/>
      <c r="H2618" s="18"/>
    </row>
    <row r="2619" spans="1:8" ht="13.2">
      <c r="A2619" s="15" t="s">
        <v>2890</v>
      </c>
      <c r="B2619" s="30" t="s">
        <v>2891</v>
      </c>
      <c r="C2619" s="24">
        <v>6.75</v>
      </c>
      <c r="D2619" s="18"/>
      <c r="E2619" s="17" t="s">
        <v>2865</v>
      </c>
      <c r="F2619" s="17"/>
      <c r="G2619" s="18"/>
      <c r="H2619" s="18"/>
    </row>
    <row r="2620" spans="1:8" ht="13.2">
      <c r="A2620" s="15" t="s">
        <v>2892</v>
      </c>
      <c r="B2620" s="30" t="s">
        <v>2878</v>
      </c>
      <c r="C2620" s="24">
        <v>6.75</v>
      </c>
      <c r="D2620" s="18"/>
      <c r="E2620" s="17" t="s">
        <v>2865</v>
      </c>
      <c r="F2620" s="17"/>
      <c r="G2620" s="18"/>
      <c r="H2620" s="18"/>
    </row>
    <row r="2621" spans="1:8" ht="13.2">
      <c r="A2621" s="15" t="s">
        <v>2893</v>
      </c>
      <c r="B2621" s="39" t="s">
        <v>2894</v>
      </c>
      <c r="C2621" s="40">
        <v>6.5</v>
      </c>
      <c r="D2621" s="26" t="str">
        <f>HYPERLINK("https://github.com/DrSchwad/CompetitiveProgramming/blob/master/TopCoder/SRM313-D1-1000.cpp","Sol")</f>
        <v>Sol</v>
      </c>
      <c r="E2621" s="17" t="s">
        <v>2865</v>
      </c>
      <c r="F2621" s="17" t="s">
        <v>139</v>
      </c>
      <c r="G2621" s="18"/>
      <c r="H2621" s="18"/>
    </row>
    <row r="2622" spans="1:8" ht="13.2">
      <c r="A2622" s="15" t="s">
        <v>2895</v>
      </c>
      <c r="B2622" s="30" t="s">
        <v>2896</v>
      </c>
      <c r="C2622" s="24">
        <v>6.25</v>
      </c>
      <c r="D2622" s="26" t="str">
        <f>HYPERLINK("https://github.com/mostafa-saad/MyCompetitiveProgramming/blob/master/TopCoder/SRM355-D1-500.txt","Sol")</f>
        <v>Sol</v>
      </c>
      <c r="E2622" s="24" t="s">
        <v>2865</v>
      </c>
      <c r="F2622" s="17" t="s">
        <v>139</v>
      </c>
      <c r="G2622" s="18"/>
      <c r="H2622" s="18"/>
    </row>
    <row r="2623" spans="1:8" ht="13.2">
      <c r="A2623" s="15" t="s">
        <v>2897</v>
      </c>
      <c r="B2623" s="29" t="s">
        <v>2871</v>
      </c>
      <c r="C2623" s="24">
        <v>6.25</v>
      </c>
      <c r="D2623" s="26" t="str">
        <f>HYPERLINK("https://github.com/Huvok/CompetitiveProgramming/blob/master/PKU/1066.cpp","Sol")</f>
        <v>Sol</v>
      </c>
      <c r="E2623" s="17" t="s">
        <v>2865</v>
      </c>
      <c r="F2623" s="17" t="s">
        <v>227</v>
      </c>
      <c r="G2623" s="18"/>
      <c r="H2623" s="18"/>
    </row>
    <row r="2624" spans="1:8" ht="13.2">
      <c r="A2624" s="15" t="s">
        <v>2898</v>
      </c>
      <c r="B2624" s="28" t="s">
        <v>2899</v>
      </c>
      <c r="C2624" s="24">
        <v>6.25</v>
      </c>
      <c r="D2624" s="26" t="str">
        <f>HYPERLINK("https://ideone.com/TTCl3U","Sol")</f>
        <v>Sol</v>
      </c>
      <c r="E2624" s="17" t="s">
        <v>2865</v>
      </c>
      <c r="F2624" s="17" t="s">
        <v>201</v>
      </c>
      <c r="G2624" s="18"/>
      <c r="H2624" s="18"/>
    </row>
    <row r="2625" spans="1:8" ht="13.2">
      <c r="A2625" s="15" t="s">
        <v>2900</v>
      </c>
      <c r="B2625" s="30" t="s">
        <v>2901</v>
      </c>
      <c r="C2625" s="24">
        <v>6.25</v>
      </c>
      <c r="D2625" s="26" t="str">
        <f>HYPERLINK("https://github.com/miguelAlessandro/CompetitiveProgramming/blob/master/UVA/11796.cpp","Sol")</f>
        <v>Sol</v>
      </c>
      <c r="E2625" s="17" t="s">
        <v>2865</v>
      </c>
      <c r="F2625" s="17" t="s">
        <v>201</v>
      </c>
      <c r="G2625" s="18"/>
      <c r="H2625" s="18"/>
    </row>
    <row r="2626" spans="1:8" ht="13.2">
      <c r="A2626" s="15" t="s">
        <v>2902</v>
      </c>
      <c r="B2626" s="30" t="s">
        <v>2903</v>
      </c>
      <c r="C2626" s="24">
        <v>6</v>
      </c>
      <c r="D2626" s="26" t="str">
        <f>HYPERLINK("https://github.com/Huvok/CompetitiveProgramming/blob/master/Topcoder/SRM244-D1-500.cpp", "Sol. See also Eryx's solution")</f>
        <v>Sol. See also Eryx's solution</v>
      </c>
      <c r="E2626" s="24" t="s">
        <v>2865</v>
      </c>
      <c r="F2626" s="17" t="s">
        <v>154</v>
      </c>
      <c r="G2626" s="18"/>
      <c r="H2626" s="18"/>
    </row>
    <row r="2627" spans="1:8" ht="13.2">
      <c r="A2627" s="19" t="str">
        <f>HYPERLINK("https://csacademy.com/contest/round-33/task/subinterval-division/","CSA33-D")</f>
        <v>CSA33-D</v>
      </c>
      <c r="B2627" s="18" t="s">
        <v>2904</v>
      </c>
      <c r="C2627" s="17">
        <v>6</v>
      </c>
      <c r="D2627" s="18"/>
      <c r="E2627" s="17" t="s">
        <v>2865</v>
      </c>
      <c r="F2627" s="17" t="s">
        <v>201</v>
      </c>
      <c r="G2627" s="18"/>
      <c r="H2627" s="18"/>
    </row>
    <row r="2628" spans="1:8" ht="13.2">
      <c r="A2628" s="19" t="str">
        <f>HYPERLINK("http://codeforces.com/contest/248/problem/C","CF248-D2-C")</f>
        <v>CF248-D2-C</v>
      </c>
      <c r="B2628" s="29" t="s">
        <v>2905</v>
      </c>
      <c r="C2628" s="24">
        <v>6</v>
      </c>
      <c r="D2628" s="26" t="str">
        <f>HYPERLINK("https://github.com/shanto86/Training/blob/master/CodeForces/CF248-D2-C.cpp","Sol")</f>
        <v>Sol</v>
      </c>
      <c r="E2628" s="17" t="s">
        <v>2865</v>
      </c>
      <c r="F2628" s="17" t="s">
        <v>2906</v>
      </c>
      <c r="G2628" s="18"/>
      <c r="H2628" s="18"/>
    </row>
    <row r="2629" spans="1:8" ht="13.2">
      <c r="A2629" s="15" t="s">
        <v>2907</v>
      </c>
      <c r="B2629" s="29" t="s">
        <v>2908</v>
      </c>
      <c r="C2629" s="24">
        <v>6</v>
      </c>
      <c r="D2629" s="18"/>
      <c r="E2629" s="17" t="s">
        <v>2865</v>
      </c>
      <c r="F2629" s="17"/>
      <c r="G2629" s="18"/>
      <c r="H2629" s="18"/>
    </row>
    <row r="2630" spans="1:8" ht="13.2">
      <c r="A2630" s="15" t="s">
        <v>2909</v>
      </c>
      <c r="B2630" s="29" t="s">
        <v>2910</v>
      </c>
      <c r="C2630" s="24">
        <v>5</v>
      </c>
      <c r="D2630" s="18"/>
      <c r="E2630" s="24" t="s">
        <v>2865</v>
      </c>
      <c r="F2630" s="17" t="s">
        <v>229</v>
      </c>
      <c r="G2630" s="18"/>
      <c r="H2630" s="18"/>
    </row>
    <row r="2631" spans="1:8" ht="13.2">
      <c r="A2631" s="19" t="str">
        <f>HYPERLINK("https://codeforces.com/gym/100112/attachments","CF100112-GYM-G")</f>
        <v>CF100112-GYM-G</v>
      </c>
      <c r="B2631" s="15" t="s">
        <v>2891</v>
      </c>
      <c r="C2631" s="17">
        <v>5</v>
      </c>
      <c r="D2631" s="26" t="str">
        <f>HYPERLINK("https://github.com/AhmedElsisy/CompetitiveProgramming/blob/master/Codeforces/CF100112-GYM-G.cpp","Sol")</f>
        <v>Sol</v>
      </c>
      <c r="E2631" s="17" t="s">
        <v>2865</v>
      </c>
      <c r="F2631" s="17" t="s">
        <v>139</v>
      </c>
      <c r="G2631" s="18"/>
      <c r="H2631" s="18"/>
    </row>
    <row r="2632" spans="1:8" ht="13.2">
      <c r="A2632" s="19" t="str">
        <f>HYPERLINK("http://codeforces.com/problemset/problem/961/D","CF961-D12-D")</f>
        <v>CF961-D12-D</v>
      </c>
      <c r="B2632" s="29" t="s">
        <v>2911</v>
      </c>
      <c r="C2632" s="17">
        <v>5</v>
      </c>
      <c r="D2632" s="18"/>
      <c r="E2632" s="17" t="s">
        <v>2865</v>
      </c>
      <c r="F2632" s="17" t="s">
        <v>139</v>
      </c>
      <c r="G2632" s="18"/>
      <c r="H2632" s="18"/>
    </row>
    <row r="2633" spans="1:8" ht="13.2">
      <c r="A2633" s="15" t="s">
        <v>2912</v>
      </c>
      <c r="B2633" s="29" t="s">
        <v>2913</v>
      </c>
      <c r="C2633" s="17">
        <v>4.5</v>
      </c>
      <c r="D2633" s="26" t="str">
        <f>HYPERLINK("https://github.com/mostafa-saad/MyCompetitiveProgramming/blob/master/UVA/UVA_10514.txt","Sol")</f>
        <v>Sol</v>
      </c>
      <c r="E2633" s="17" t="s">
        <v>2865</v>
      </c>
      <c r="F2633" s="17" t="s">
        <v>201</v>
      </c>
      <c r="G2633" s="18"/>
      <c r="H2633" s="18"/>
    </row>
    <row r="2634" spans="1:8" ht="13.2">
      <c r="A2634" s="15" t="s">
        <v>2914</v>
      </c>
      <c r="B2634" s="29" t="s">
        <v>2915</v>
      </c>
      <c r="C2634" s="17">
        <v>4</v>
      </c>
      <c r="D2634" s="18"/>
      <c r="E2634" s="17" t="s">
        <v>2865</v>
      </c>
      <c r="F2634" s="17" t="s">
        <v>255</v>
      </c>
      <c r="G2634" s="18"/>
      <c r="H2634" s="18"/>
    </row>
    <row r="2635" spans="1:8" ht="13.2">
      <c r="A2635" s="15" t="s">
        <v>2916</v>
      </c>
      <c r="B2635" s="29" t="s">
        <v>2917</v>
      </c>
      <c r="C2635" s="17">
        <v>4</v>
      </c>
      <c r="D2635" s="26" t="str">
        <f>HYPERLINK("https://github.com/AbdelrahmanRamadan/competitive-programming/blob/master/Topcoder/SRM373%20RectangleCrossings.cpp","Sol")</f>
        <v>Sol</v>
      </c>
      <c r="E2635" s="17" t="s">
        <v>2865</v>
      </c>
      <c r="F2635" s="17" t="s">
        <v>255</v>
      </c>
      <c r="G2635" s="18"/>
      <c r="H2635" s="18"/>
    </row>
    <row r="2636" spans="1:8" ht="13.2">
      <c r="A2636" s="15" t="s">
        <v>2918</v>
      </c>
      <c r="B2636" s="29" t="s">
        <v>2891</v>
      </c>
      <c r="C2636" s="17">
        <v>4</v>
      </c>
      <c r="D2636" s="18"/>
      <c r="E2636" s="17" t="s">
        <v>2865</v>
      </c>
      <c r="F2636" s="17" t="s">
        <v>229</v>
      </c>
      <c r="G2636" s="18"/>
      <c r="H2636" s="18"/>
    </row>
    <row r="2637" spans="1:8" ht="13.2">
      <c r="A2637" s="19" t="str">
        <f>HYPERLINK("https://uva.onlinejudge.org/index.php?option=com_onlinejudge&amp;Itemid=8&amp;page=show_problem&amp;problem=807","UVA 866")</f>
        <v>UVA 866</v>
      </c>
      <c r="B2637" s="29" t="s">
        <v>2871</v>
      </c>
      <c r="C2637" s="17">
        <v>4</v>
      </c>
      <c r="D2637" s="26" t="str">
        <f>HYPERLINK("https://github.com/MeGaCrazy/CompetitiveProgramming/blob/master/UVA/UVA_866.cpp","Sol")</f>
        <v>Sol</v>
      </c>
      <c r="E2637" s="17" t="s">
        <v>2865</v>
      </c>
      <c r="F2637" s="17" t="s">
        <v>229</v>
      </c>
      <c r="G2637" s="18"/>
      <c r="H2637" s="18"/>
    </row>
    <row r="2638" spans="1:8" ht="13.2">
      <c r="A2638" s="15" t="s">
        <v>2919</v>
      </c>
      <c r="B2638" s="29" t="s">
        <v>2920</v>
      </c>
      <c r="C2638" s="17">
        <v>4</v>
      </c>
      <c r="D2638" s="18"/>
      <c r="E2638" s="17" t="s">
        <v>2865</v>
      </c>
      <c r="F2638" s="17" t="s">
        <v>229</v>
      </c>
      <c r="G2638" s="18"/>
      <c r="H2638" s="18"/>
    </row>
    <row r="2639" spans="1:8" ht="13.2">
      <c r="A2639" s="19" t="str">
        <f>HYPERLINK("https://uva.onlinejudge.org/index.php?option=onlinejudge&amp;page=show_problem&amp;problem=678","UVA 737")</f>
        <v>UVA 737</v>
      </c>
      <c r="B2639" s="29" t="s">
        <v>2871</v>
      </c>
      <c r="C2639" s="17">
        <v>4</v>
      </c>
      <c r="D2639" s="26" t="str">
        <f>HYPERLINK("https://github.com/mostafa-saad/MyCompetitiveProgramming/blob/master/UVA/UVA_737.txt","Sol")</f>
        <v>Sol</v>
      </c>
      <c r="E2639" s="17" t="s">
        <v>2865</v>
      </c>
      <c r="F2639" s="17" t="s">
        <v>306</v>
      </c>
      <c r="G2639" s="18"/>
      <c r="H2639" s="18"/>
    </row>
    <row r="2640" spans="1:8" ht="13.2">
      <c r="A2640" s="19" t="str">
        <f>HYPERLINK("https://uva.onlinejudge.org/index.php?option=com_onlinejudge&amp;Itemid=8&amp;page=show_problem&amp;problem=774","UVA 833")</f>
        <v>UVA 833</v>
      </c>
      <c r="B2640" s="29" t="s">
        <v>2921</v>
      </c>
      <c r="C2640" s="17">
        <v>4</v>
      </c>
      <c r="D2640" s="18"/>
      <c r="E2640" s="17" t="s">
        <v>2865</v>
      </c>
      <c r="F2640" s="17" t="s">
        <v>139</v>
      </c>
      <c r="G2640" s="18"/>
      <c r="H2640" s="18"/>
    </row>
    <row r="2641" spans="1:8" ht="13.2">
      <c r="A2641" s="19" t="str">
        <f>HYPERLINK("https://www.hackerrank.com/challenges/stars","HACKR stars")</f>
        <v>HACKR stars</v>
      </c>
      <c r="B2641" s="28" t="s">
        <v>2891</v>
      </c>
      <c r="C2641" s="24">
        <v>4</v>
      </c>
      <c r="D2641" s="18"/>
      <c r="E2641" s="17" t="s">
        <v>2865</v>
      </c>
      <c r="F2641" s="17" t="s">
        <v>242</v>
      </c>
      <c r="G2641" s="18"/>
      <c r="H2641" s="18"/>
    </row>
    <row r="2642" spans="1:8" ht="13.2">
      <c r="A2642" s="19" t="str">
        <f>HYPERLINK("https://uva.onlinejudge.org/index.php?option=onlinejudge&amp;page=show_problem&amp;problem=1731","UVA 10790")</f>
        <v>UVA 10790</v>
      </c>
      <c r="B2642" s="29" t="s">
        <v>2922</v>
      </c>
      <c r="C2642" s="17">
        <v>4</v>
      </c>
      <c r="D2642" s="26" t="str">
        <f>HYPERLINK("https://github.com/MeGaCrazy/CompetitiveProgramming/blob/5b920a5ddab614e30ea12e7e3a7da12267a203ec/UVA/UVA_10790.cpp","Sol")</f>
        <v>Sol</v>
      </c>
      <c r="E2642" s="17" t="s">
        <v>2865</v>
      </c>
      <c r="F2642" s="17" t="s">
        <v>242</v>
      </c>
      <c r="G2642" s="18"/>
      <c r="H2642" s="18"/>
    </row>
    <row r="2643" spans="1:8" ht="13.2">
      <c r="A2643" s="15" t="s">
        <v>2923</v>
      </c>
      <c r="B2643" s="30" t="s">
        <v>2924</v>
      </c>
      <c r="C2643" s="24">
        <v>4</v>
      </c>
      <c r="D2643" s="26" t="str">
        <f>HYPERLINK("https://github.com/jebouin/CompetitiveProgramming/blob/master/UVA/UVA%2010961.cpp","Sol")</f>
        <v>Sol</v>
      </c>
      <c r="E2643" s="17" t="s">
        <v>2865</v>
      </c>
      <c r="F2643" s="17"/>
      <c r="G2643" s="18"/>
      <c r="H2643" s="18"/>
    </row>
    <row r="2644" spans="1:8" ht="13.2">
      <c r="A2644" s="15" t="s">
        <v>2925</v>
      </c>
      <c r="B2644" s="16" t="s">
        <v>2871</v>
      </c>
      <c r="C2644" s="17">
        <v>4</v>
      </c>
      <c r="D2644" s="18"/>
      <c r="E2644" s="17" t="s">
        <v>2865</v>
      </c>
      <c r="F2644" s="17"/>
      <c r="G2644" s="18"/>
      <c r="H2644" s="18"/>
    </row>
    <row r="2645" spans="1:8" ht="13.2">
      <c r="A2645" s="19" t="str">
        <f>HYPERLINK("https://uva.onlinejudge.org/index.php?option=com_onlinejudge&amp;Itemid=8&amp;page=show_problem&amp;problem=314","UVA 378")</f>
        <v>UVA 378</v>
      </c>
      <c r="B2645" s="29" t="s">
        <v>2891</v>
      </c>
      <c r="C2645" s="17">
        <v>3.5</v>
      </c>
      <c r="D2645" s="18"/>
      <c r="E2645" s="17" t="s">
        <v>2865</v>
      </c>
      <c r="F2645" s="17"/>
      <c r="G2645" s="18"/>
      <c r="H2645" s="18"/>
    </row>
    <row r="2646" spans="1:8" ht="13.2">
      <c r="A2646" s="15" t="s">
        <v>2926</v>
      </c>
      <c r="B2646" s="15" t="s">
        <v>2927</v>
      </c>
      <c r="C2646" s="24">
        <v>3.5</v>
      </c>
      <c r="D2646" s="26" t="str">
        <f>HYPERLINK("https://github.com/AbdelrahmanRamadan/competitive-programming/blob/master/UVA/10902-Pick-up-Sticks.cpp","Sol")</f>
        <v>Sol</v>
      </c>
      <c r="E2646" s="17" t="s">
        <v>2865</v>
      </c>
      <c r="F2646" s="17"/>
      <c r="G2646" s="18"/>
      <c r="H2646" s="18"/>
    </row>
    <row r="2647" spans="1:8" ht="13.2">
      <c r="A2647" s="15" t="s">
        <v>2928</v>
      </c>
      <c r="B2647" s="28" t="s">
        <v>2929</v>
      </c>
      <c r="C2647" s="24">
        <v>3.5</v>
      </c>
      <c r="D2647" s="26" t="str">
        <f>HYPERLINK("https://github.com/mostafa-saad/MyCompetitiveProgramming/blob/master/LiveArchive/LiveArchive_3381.txt","Sol")</f>
        <v>Sol</v>
      </c>
      <c r="E2647" s="24" t="s">
        <v>2865</v>
      </c>
      <c r="F2647" s="17"/>
      <c r="G2647" s="18"/>
      <c r="H2647" s="18"/>
    </row>
    <row r="2648" spans="1:8" ht="13.2">
      <c r="A2648" s="15" t="s">
        <v>2930</v>
      </c>
      <c r="B2648" s="28" t="s">
        <v>2931</v>
      </c>
      <c r="C2648" s="17">
        <v>3.5</v>
      </c>
      <c r="D2648" s="26" t="str">
        <f>HYPERLINK("https://github.com/Maverick10/Competitive-Programming/blob/master/Solutions/UVa/UVa%20-%2011783.cpp","Sl")</f>
        <v>Sl</v>
      </c>
      <c r="E2648" s="17" t="s">
        <v>2865</v>
      </c>
      <c r="F2648" s="17"/>
      <c r="G2648" s="18"/>
      <c r="H2648" s="18"/>
    </row>
    <row r="2649" spans="1:8" ht="13.2">
      <c r="A2649" s="19" t="str">
        <f>HYPERLINK("https://uva.onlinejudge.org/index.php?option=onlinejudge&amp;page=show_problem&amp;problem=1204","UVA 10263")</f>
        <v>UVA 10263</v>
      </c>
      <c r="B2649" s="29" t="s">
        <v>2932</v>
      </c>
      <c r="C2649" s="17">
        <v>3</v>
      </c>
      <c r="D2649" s="18"/>
      <c r="E2649" s="17" t="s">
        <v>2865</v>
      </c>
      <c r="F2649" s="17" t="s">
        <v>139</v>
      </c>
      <c r="G2649" s="18"/>
      <c r="H2649" s="18"/>
    </row>
    <row r="2650" spans="1:8" ht="13.2">
      <c r="A2650" s="19" t="str">
        <f>HYPERLINK("https://uva.onlinejudge.org/index.php?option=com_onlinejudge&amp;Itemid=8&amp;page=show_problem&amp;problem=206","UVA 270")</f>
        <v>UVA 270</v>
      </c>
      <c r="B2650" s="29" t="s">
        <v>2933</v>
      </c>
      <c r="C2650" s="17">
        <v>3</v>
      </c>
      <c r="D2650" s="26" t="str">
        <f>HYPERLINK("https://github.com/mostafa-saad/MyCompetitiveProgramming/blob/master/UVA/UVA_270.txt","Don't code O(N^3). Sols to read.")</f>
        <v>Don't code O(N^3). Sols to read.</v>
      </c>
      <c r="E2650" s="17" t="s">
        <v>2865</v>
      </c>
      <c r="F2650" s="17" t="s">
        <v>139</v>
      </c>
      <c r="G2650" s="18"/>
      <c r="H2650" s="18"/>
    </row>
    <row r="2651" spans="1:8" ht="13.2">
      <c r="A2651" s="19" t="str">
        <f>HYPERLINK("https://uva.onlinejudge.org/index.php?option=onlinejudge&amp;page=show_problem&amp;problem=2468","UVA 11473")</f>
        <v>UVA 11473</v>
      </c>
      <c r="B2651" s="29" t="s">
        <v>2934</v>
      </c>
      <c r="C2651" s="17">
        <v>3</v>
      </c>
      <c r="D2651" s="26" t="str">
        <f>HYPERLINK("https://github.com/osamahatem/CompetitiveProgramming/blob/master/UVA/11473%20-%20Campus%20Roads.cpp","Sol")</f>
        <v>Sol</v>
      </c>
      <c r="E2651" s="17" t="s">
        <v>2865</v>
      </c>
      <c r="F2651" s="17" t="s">
        <v>613</v>
      </c>
      <c r="G2651" s="18"/>
      <c r="H2651" s="18"/>
    </row>
    <row r="2652" spans="1:8" ht="13.2">
      <c r="A2652" s="19" t="str">
        <f>HYPERLINK("https://uva.onlinejudge.org/index.php?option=com_onlinejudge&amp;Itemid=8&amp;page=show_problem&amp;problem=209","UVA 273")</f>
        <v>UVA 273</v>
      </c>
      <c r="B2652" s="29" t="s">
        <v>2935</v>
      </c>
      <c r="C2652" s="17">
        <v>3</v>
      </c>
      <c r="D2652" s="26" t="str">
        <f>HYPERLINK("https://github.com/MeGaCrazy/CompetitiveProgramming/blob/6c8e6d79950bbe406f56e3b990159810fcca7431/UVA/UVA_273.cpp","Sol")</f>
        <v>Sol</v>
      </c>
      <c r="E2652" s="17" t="s">
        <v>2865</v>
      </c>
      <c r="F2652" s="17" t="s">
        <v>201</v>
      </c>
      <c r="G2652" s="18"/>
      <c r="H2652" s="18"/>
    </row>
    <row r="2653" spans="1:8" ht="13.2">
      <c r="A2653" s="19" t="str">
        <f>HYPERLINK("https://www.hackerrank.com/challenges/jim-beam","HACKR jim-beam")</f>
        <v>HACKR jim-beam</v>
      </c>
      <c r="B2653" s="28" t="s">
        <v>2891</v>
      </c>
      <c r="C2653" s="24">
        <v>3</v>
      </c>
      <c r="D2653" s="18"/>
      <c r="E2653" s="17" t="s">
        <v>2865</v>
      </c>
      <c r="F2653" s="17"/>
      <c r="G2653" s="18"/>
      <c r="H2653" s="18"/>
    </row>
    <row r="2654" spans="1:8" ht="13.2">
      <c r="A2654" s="15" t="s">
        <v>2936</v>
      </c>
      <c r="B2654" s="15" t="s">
        <v>2937</v>
      </c>
      <c r="C2654" s="24">
        <v>3</v>
      </c>
      <c r="D2654" s="26" t="str">
        <f>HYPERLINK("https://github.com/yazanKabbany/CompetitiveProgramming/blob/master/ZOJ/1560.cpp","Sol")</f>
        <v>Sol</v>
      </c>
      <c r="E2654" s="17" t="s">
        <v>2865</v>
      </c>
      <c r="F2654" s="17"/>
      <c r="G2654" s="18"/>
      <c r="H2654" s="18"/>
    </row>
    <row r="2655" spans="1:8" ht="13.2">
      <c r="A2655" s="15" t="s">
        <v>2938</v>
      </c>
      <c r="B2655" s="30" t="s">
        <v>2939</v>
      </c>
      <c r="C2655" s="40">
        <v>3</v>
      </c>
      <c r="D2655" s="18"/>
      <c r="E2655" s="17" t="s">
        <v>2865</v>
      </c>
      <c r="F2655" s="17"/>
      <c r="G2655" s="18"/>
      <c r="H2655" s="18"/>
    </row>
    <row r="2656" spans="1:8" ht="13.2">
      <c r="A2656" s="15" t="s">
        <v>2940</v>
      </c>
      <c r="B2656" s="29" t="s">
        <v>2878</v>
      </c>
      <c r="C2656" s="24">
        <v>3</v>
      </c>
      <c r="D2656" s="26" t="str">
        <f>HYPERLINK("https://github.com/MeGaCrazy/CompetitiveProgramming/blob/05160f4c6128ab550de31f62b5ac6d1c0c266d12/UVA/UVA_10357.cpp","Sol")</f>
        <v>Sol</v>
      </c>
      <c r="E2656" s="17" t="s">
        <v>2865</v>
      </c>
      <c r="F2656" s="17"/>
      <c r="G2656" s="18"/>
      <c r="H2656" s="18"/>
    </row>
    <row r="2657" spans="1:8" ht="13.2">
      <c r="A2657" s="19" t="str">
        <f>HYPERLINK("http://codeforces.com/contest/617/problem/D","CF617-D2-D")</f>
        <v>CF617-D2-D</v>
      </c>
      <c r="B2657" s="29" t="s">
        <v>2941</v>
      </c>
      <c r="C2657" s="17">
        <v>3</v>
      </c>
      <c r="D2657" s="18"/>
      <c r="E2657" s="17" t="s">
        <v>2865</v>
      </c>
      <c r="F2657" s="17"/>
      <c r="G2657" s="18"/>
      <c r="H2657" s="18"/>
    </row>
    <row r="2658" spans="1:8" ht="13.2">
      <c r="A2658" s="19" t="str">
        <f>HYPERLINK("https://uva.onlinejudge.org/index.php?option=onlinejudge&amp;page=show_problem&amp;problem=127","UVA 191")</f>
        <v>UVA 191</v>
      </c>
      <c r="B2658" s="29" t="s">
        <v>2871</v>
      </c>
      <c r="C2658" s="17">
        <v>3</v>
      </c>
      <c r="D2658" s="26" t="str">
        <f>HYPERLINK("https://github.com/ajahuang/UVa/blob/master/UVa%20191%20-%20Intersection.cpp","Sol")</f>
        <v>Sol</v>
      </c>
      <c r="E2658" s="17" t="s">
        <v>2865</v>
      </c>
      <c r="F2658" s="17"/>
      <c r="G2658" s="18"/>
      <c r="H2658" s="18"/>
    </row>
    <row r="2659" spans="1:8" ht="13.2">
      <c r="A2659" s="19" t="str">
        <f>HYPERLINK("https://uva.onlinejudge.org/index.php?option=com_onlinejudge&amp;Itemid=8&amp;page=show_problem&amp;problem=2318","UVA 11343")</f>
        <v>UVA 11343</v>
      </c>
      <c r="B2659" s="29" t="s">
        <v>2942</v>
      </c>
      <c r="C2659" s="17">
        <v>3</v>
      </c>
      <c r="D2659" s="26" t="str">
        <f>HYPERLINK("https://github.com/hosamk92/CompetitiveProgramming/blob/master/UVA/UVA%2011343.cpp","Sol")</f>
        <v>Sol</v>
      </c>
      <c r="E2659" s="17" t="s">
        <v>2865</v>
      </c>
      <c r="F2659" s="17"/>
      <c r="G2659" s="18"/>
      <c r="H2659" s="18"/>
    </row>
    <row r="2660" spans="1:8" ht="13.2">
      <c r="A2660" s="15" t="s">
        <v>2943</v>
      </c>
      <c r="B2660" s="28" t="s">
        <v>2871</v>
      </c>
      <c r="C2660" s="24">
        <v>2</v>
      </c>
      <c r="D2660" s="18"/>
      <c r="E2660" s="24" t="s">
        <v>2865</v>
      </c>
      <c r="F2660" s="17"/>
      <c r="G2660" s="18"/>
      <c r="H2660" s="18"/>
    </row>
    <row r="2661" spans="1:8" ht="13.2">
      <c r="A2661" s="15" t="s">
        <v>2944</v>
      </c>
      <c r="B2661" s="29" t="s">
        <v>2945</v>
      </c>
      <c r="C2661" s="24">
        <v>2</v>
      </c>
      <c r="D2661" s="18"/>
      <c r="E2661" s="17" t="s">
        <v>2865</v>
      </c>
      <c r="F2661" s="17"/>
      <c r="G2661" s="18"/>
      <c r="H2661" s="18"/>
    </row>
    <row r="2662" spans="1:8" ht="13.2">
      <c r="A2662" s="15" t="s">
        <v>2946</v>
      </c>
      <c r="B2662" s="16" t="s">
        <v>2947</v>
      </c>
      <c r="C2662" s="17">
        <v>8.5</v>
      </c>
      <c r="D2662" s="18"/>
      <c r="E2662" s="17" t="s">
        <v>2948</v>
      </c>
      <c r="F2662" s="17"/>
      <c r="G2662" s="18"/>
      <c r="H2662" s="18"/>
    </row>
    <row r="2663" spans="1:8" ht="13.2">
      <c r="A2663" s="15" t="s">
        <v>2949</v>
      </c>
      <c r="B2663" s="27" t="s">
        <v>2950</v>
      </c>
      <c r="C2663" s="17">
        <v>8.5</v>
      </c>
      <c r="D2663" s="18"/>
      <c r="E2663" s="17" t="s">
        <v>2948</v>
      </c>
      <c r="F2663" s="17"/>
      <c r="G2663" s="18"/>
      <c r="H2663" s="18"/>
    </row>
    <row r="2664" spans="1:8" ht="13.2">
      <c r="A2664" s="15" t="s">
        <v>2951</v>
      </c>
      <c r="B2664" s="16" t="s">
        <v>2952</v>
      </c>
      <c r="C2664" s="17">
        <v>8.5</v>
      </c>
      <c r="D2664" s="18"/>
      <c r="E2664" s="17" t="s">
        <v>2948</v>
      </c>
      <c r="F2664" s="17"/>
      <c r="G2664" s="18"/>
      <c r="H2664" s="18"/>
    </row>
    <row r="2665" spans="1:8" ht="13.2">
      <c r="A2665" s="15" t="s">
        <v>2953</v>
      </c>
      <c r="B2665" s="16" t="s">
        <v>2954</v>
      </c>
      <c r="C2665" s="17">
        <v>8.5</v>
      </c>
      <c r="D2665" s="18"/>
      <c r="E2665" s="17" t="s">
        <v>2948</v>
      </c>
      <c r="F2665" s="17"/>
      <c r="G2665" s="18"/>
      <c r="H2665" s="18"/>
    </row>
    <row r="2666" spans="1:8" ht="13.2">
      <c r="A2666" s="15" t="s">
        <v>2955</v>
      </c>
      <c r="B2666" s="30" t="s">
        <v>2956</v>
      </c>
      <c r="C2666" s="17">
        <v>8</v>
      </c>
      <c r="D2666" s="26" t="str">
        <f>HYPERLINK("http://acm.student.cs.uwaterloo.ca/~acm00/080615/data/E.cc","Sol at")</f>
        <v>Sol at</v>
      </c>
      <c r="E2666" s="17" t="s">
        <v>2948</v>
      </c>
      <c r="F2666" s="17"/>
      <c r="G2666" s="18"/>
      <c r="H2666" s="18"/>
    </row>
    <row r="2667" spans="1:8" ht="13.2">
      <c r="A2667" s="15" t="s">
        <v>2957</v>
      </c>
      <c r="B2667" s="16" t="s">
        <v>2958</v>
      </c>
      <c r="C2667" s="17">
        <v>8</v>
      </c>
      <c r="D2667" s="18"/>
      <c r="E2667" s="17" t="s">
        <v>2948</v>
      </c>
      <c r="F2667" s="17"/>
      <c r="G2667" s="18"/>
      <c r="H2667" s="18"/>
    </row>
    <row r="2668" spans="1:8" ht="13.2">
      <c r="A2668" s="19" t="str">
        <f>HYPERLINK("https://www.hackerrank.com/challenges/polygons","HACKR polygons")</f>
        <v>HACKR polygons</v>
      </c>
      <c r="B2668" s="41" t="s">
        <v>2959</v>
      </c>
      <c r="C2668" s="17">
        <v>7.5</v>
      </c>
      <c r="D2668" s="26" t="str">
        <f>HYPERLINK("https://github.com/ryuzmukhametov/CompetitiveProgramming/blob/master/hackr/HACKR%20polygons.cpp", "Sol")</f>
        <v>Sol</v>
      </c>
      <c r="E2668" s="24" t="s">
        <v>2948</v>
      </c>
      <c r="F2668" s="17" t="s">
        <v>139</v>
      </c>
      <c r="G2668" s="18"/>
      <c r="H2668" s="18"/>
    </row>
    <row r="2669" spans="1:8" ht="13.2">
      <c r="A2669" s="15" t="s">
        <v>2960</v>
      </c>
      <c r="B2669" s="30" t="s">
        <v>2961</v>
      </c>
      <c r="C2669" s="24">
        <v>7.5</v>
      </c>
      <c r="D2669" s="18"/>
      <c r="E2669" s="24" t="s">
        <v>2948</v>
      </c>
      <c r="F2669" s="17"/>
      <c r="G2669" s="18"/>
      <c r="H2669" s="18"/>
    </row>
    <row r="2670" spans="1:8" ht="13.2">
      <c r="A2670" s="15" t="s">
        <v>2962</v>
      </c>
      <c r="B2670" s="16" t="s">
        <v>2963</v>
      </c>
      <c r="C2670" s="17">
        <v>7.5</v>
      </c>
      <c r="D2670" s="18"/>
      <c r="E2670" s="17" t="s">
        <v>2948</v>
      </c>
      <c r="F2670" s="17"/>
      <c r="G2670" s="18"/>
      <c r="H2670" s="18"/>
    </row>
    <row r="2671" spans="1:8" ht="13.2">
      <c r="A2671" s="15" t="s">
        <v>2964</v>
      </c>
      <c r="B2671" s="30" t="s">
        <v>2965</v>
      </c>
      <c r="C2671" s="24">
        <v>7.25</v>
      </c>
      <c r="D2671" s="18"/>
      <c r="E2671" s="17" t="s">
        <v>2948</v>
      </c>
      <c r="F2671" s="17"/>
      <c r="G2671" s="18"/>
      <c r="H2671" s="18"/>
    </row>
    <row r="2672" spans="1:8" ht="13.2">
      <c r="A2672" s="15" t="s">
        <v>2966</v>
      </c>
      <c r="B2672" s="30" t="s">
        <v>2967</v>
      </c>
      <c r="C2672" s="24">
        <v>7.25</v>
      </c>
      <c r="D2672" s="18"/>
      <c r="E2672" s="17" t="s">
        <v>2948</v>
      </c>
      <c r="F2672" s="17"/>
      <c r="G2672" s="18"/>
      <c r="H2672" s="18"/>
    </row>
    <row r="2673" spans="1:8" ht="13.2">
      <c r="A2673" s="15" t="s">
        <v>2968</v>
      </c>
      <c r="B2673" s="28" t="s">
        <v>2969</v>
      </c>
      <c r="C2673" s="24">
        <v>7.25</v>
      </c>
      <c r="D2673" s="18"/>
      <c r="E2673" s="17" t="s">
        <v>2948</v>
      </c>
      <c r="F2673" s="17"/>
      <c r="G2673" s="18"/>
      <c r="H2673" s="18"/>
    </row>
    <row r="2674" spans="1:8" ht="13.2">
      <c r="A2674" s="19" t="str">
        <f>HYPERLINK("https://onlinejudge.org/index.php?option=com_onlinejudge&amp;Itemid=8&amp;category=866&amp;page=show_problem&amp;problem=4897","UVA 13009")</f>
        <v>UVA 13009</v>
      </c>
      <c r="B2674" s="29" t="s">
        <v>2970</v>
      </c>
      <c r="C2674" s="17">
        <v>7.25</v>
      </c>
      <c r="D2674" s="26" t="str">
        <f>HYPERLINK("http://morris821028.github.io/2016/04/30/uva-13009/","Sol")</f>
        <v>Sol</v>
      </c>
      <c r="E2674" s="17" t="s">
        <v>2948</v>
      </c>
      <c r="F2674" s="17"/>
      <c r="G2674" s="18"/>
      <c r="H2674" s="18"/>
    </row>
    <row r="2675" spans="1:8" ht="13.2">
      <c r="A2675" s="15" t="s">
        <v>2971</v>
      </c>
      <c r="B2675" s="29" t="s">
        <v>2972</v>
      </c>
      <c r="C2675" s="24">
        <v>7.25</v>
      </c>
      <c r="D2675" s="18"/>
      <c r="E2675" s="24" t="s">
        <v>2948</v>
      </c>
      <c r="F2675" s="17"/>
      <c r="G2675" s="18"/>
      <c r="H2675" s="18"/>
    </row>
    <row r="2676" spans="1:8" ht="13.2">
      <c r="A2676" s="15" t="s">
        <v>2973</v>
      </c>
      <c r="B2676" s="18" t="s">
        <v>2947</v>
      </c>
      <c r="C2676" s="17">
        <v>7</v>
      </c>
      <c r="D2676" s="18"/>
      <c r="E2676" s="17" t="s">
        <v>2948</v>
      </c>
      <c r="F2676" s="17"/>
      <c r="G2676" s="18"/>
      <c r="H2676" s="18"/>
    </row>
    <row r="2677" spans="1:8" ht="13.2">
      <c r="A2677" s="15" t="s">
        <v>2974</v>
      </c>
      <c r="B2677" s="29" t="s">
        <v>2975</v>
      </c>
      <c r="C2677" s="17">
        <v>7</v>
      </c>
      <c r="D2677" s="26" t="str">
        <f>HYPERLINK("https://github.com/OmarHashim/Competitive-Programming/blob/master/UVA/132.cpp","Sol")</f>
        <v>Sol</v>
      </c>
      <c r="E2677" s="17" t="s">
        <v>2948</v>
      </c>
      <c r="F2677" s="17"/>
      <c r="G2677" s="18"/>
      <c r="H2677" s="18"/>
    </row>
    <row r="2678" spans="1:8" ht="13.2">
      <c r="A2678" s="19" t="str">
        <f>HYPERLINK("https://www.hackerrank.com/challenges/good-point","HACKR good-point")</f>
        <v>HACKR good-point</v>
      </c>
      <c r="B2678" s="29" t="s">
        <v>2976</v>
      </c>
      <c r="C2678" s="17">
        <v>7</v>
      </c>
      <c r="D2678" s="18"/>
      <c r="E2678" s="17" t="s">
        <v>2948</v>
      </c>
      <c r="F2678" s="17"/>
      <c r="G2678" s="18"/>
      <c r="H2678" s="18"/>
    </row>
    <row r="2679" spans="1:8" ht="13.2">
      <c r="A2679" s="15" t="s">
        <v>2977</v>
      </c>
      <c r="B2679" s="28" t="s">
        <v>2978</v>
      </c>
      <c r="C2679" s="24">
        <v>7</v>
      </c>
      <c r="D2679" s="18"/>
      <c r="E2679" s="24" t="s">
        <v>2948</v>
      </c>
      <c r="F2679" s="17"/>
      <c r="G2679" s="18"/>
      <c r="H2679" s="18"/>
    </row>
    <row r="2680" spans="1:8" ht="13.2">
      <c r="A2680" s="15" t="s">
        <v>2979</v>
      </c>
      <c r="B2680" s="16" t="s">
        <v>2980</v>
      </c>
      <c r="C2680" s="17">
        <v>7</v>
      </c>
      <c r="D2680" s="18"/>
      <c r="E2680" s="17" t="s">
        <v>2948</v>
      </c>
      <c r="F2680" s="17"/>
      <c r="G2680" s="18"/>
      <c r="H2680" s="18"/>
    </row>
    <row r="2681" spans="1:8" ht="13.2">
      <c r="A2681" s="15" t="s">
        <v>2981</v>
      </c>
      <c r="B2681" s="16" t="s">
        <v>2982</v>
      </c>
      <c r="C2681" s="17">
        <v>7</v>
      </c>
      <c r="D2681" s="18"/>
      <c r="E2681" s="17" t="s">
        <v>2948</v>
      </c>
      <c r="F2681" s="17"/>
      <c r="G2681" s="18"/>
      <c r="H2681" s="18"/>
    </row>
    <row r="2682" spans="1:8" ht="13.2">
      <c r="A2682" s="19" t="str">
        <f>HYPERLINK("https://www.codechef.com/problems/BALANPOL","CODECHEF BALANPOL")</f>
        <v>CODECHEF BALANPOL</v>
      </c>
      <c r="B2682" s="18" t="s">
        <v>2983</v>
      </c>
      <c r="C2682" s="17">
        <v>7</v>
      </c>
      <c r="D2682" s="18"/>
      <c r="E2682" s="17" t="s">
        <v>2948</v>
      </c>
      <c r="F2682" s="17"/>
      <c r="G2682" s="18"/>
      <c r="H2682" s="18"/>
    </row>
    <row r="2683" spans="1:8" ht="13.2">
      <c r="A2683" s="15" t="s">
        <v>2984</v>
      </c>
      <c r="B2683" s="18" t="s">
        <v>2985</v>
      </c>
      <c r="C2683" s="17">
        <v>7</v>
      </c>
      <c r="D2683" s="26" t="str">
        <f>HYPERLINK("https://github.com/OmarHashim/Competitive-Programming/blob/master/LiveArchive/8039.cpp","Sol")</f>
        <v>Sol</v>
      </c>
      <c r="E2683" s="17" t="s">
        <v>2948</v>
      </c>
      <c r="F2683" s="17"/>
      <c r="G2683" s="18"/>
      <c r="H2683" s="18"/>
    </row>
    <row r="2684" spans="1:8" ht="13.2">
      <c r="A2684" s="15" t="s">
        <v>2986</v>
      </c>
      <c r="B2684" s="28" t="s">
        <v>2987</v>
      </c>
      <c r="C2684" s="17">
        <v>7</v>
      </c>
      <c r="D2684" s="18"/>
      <c r="E2684" s="17" t="s">
        <v>2948</v>
      </c>
      <c r="F2684" s="17"/>
      <c r="G2684" s="18"/>
      <c r="H2684" s="18"/>
    </row>
    <row r="2685" spans="1:8" ht="13.2">
      <c r="A2685" s="15" t="s">
        <v>2988</v>
      </c>
      <c r="B2685" s="30" t="s">
        <v>2989</v>
      </c>
      <c r="C2685" s="17">
        <v>7</v>
      </c>
      <c r="D2685" s="18"/>
      <c r="E2685" s="17" t="s">
        <v>2948</v>
      </c>
      <c r="F2685" s="17"/>
      <c r="G2685" s="18"/>
      <c r="H2685" s="18"/>
    </row>
    <row r="2686" spans="1:8" ht="13.2">
      <c r="A2686" s="15" t="s">
        <v>2990</v>
      </c>
      <c r="B2686" s="16" t="s">
        <v>2991</v>
      </c>
      <c r="C2686" s="17">
        <v>7</v>
      </c>
      <c r="D2686" s="18"/>
      <c r="E2686" s="17" t="s">
        <v>2948</v>
      </c>
      <c r="F2686" s="17"/>
      <c r="G2686" s="18"/>
      <c r="H2686" s="18"/>
    </row>
    <row r="2687" spans="1:8" ht="13.2">
      <c r="A2687" s="15" t="s">
        <v>2992</v>
      </c>
      <c r="B2687" s="39" t="s">
        <v>2993</v>
      </c>
      <c r="C2687" s="24">
        <v>7</v>
      </c>
      <c r="D2687" s="18"/>
      <c r="E2687" s="24" t="s">
        <v>2948</v>
      </c>
      <c r="F2687" s="17"/>
      <c r="G2687" s="18"/>
      <c r="H2687" s="18"/>
    </row>
    <row r="2688" spans="1:8" ht="13.2">
      <c r="A2688" s="15" t="s">
        <v>2994</v>
      </c>
      <c r="B2688" s="28" t="s">
        <v>2947</v>
      </c>
      <c r="C2688" s="24">
        <v>6.75</v>
      </c>
      <c r="D2688" s="18"/>
      <c r="E2688" s="17" t="s">
        <v>2948</v>
      </c>
      <c r="F2688" s="17"/>
      <c r="G2688" s="18"/>
      <c r="H2688" s="18"/>
    </row>
    <row r="2689" spans="1:8" ht="13.2">
      <c r="A2689" s="15" t="s">
        <v>2995</v>
      </c>
      <c r="B2689" s="41" t="s">
        <v>2996</v>
      </c>
      <c r="C2689" s="17">
        <v>6.75</v>
      </c>
      <c r="D2689" s="18"/>
      <c r="E2689" s="17" t="s">
        <v>2948</v>
      </c>
      <c r="F2689" s="17"/>
      <c r="G2689" s="18"/>
      <c r="H2689" s="18"/>
    </row>
    <row r="2690" spans="1:8" ht="13.2">
      <c r="A2690" s="15" t="s">
        <v>2997</v>
      </c>
      <c r="B2690" s="30" t="s">
        <v>2998</v>
      </c>
      <c r="C2690" s="24">
        <v>6.75</v>
      </c>
      <c r="D2690" s="18"/>
      <c r="E2690" s="17" t="s">
        <v>2948</v>
      </c>
      <c r="F2690" s="17"/>
      <c r="G2690" s="18"/>
      <c r="H2690" s="18"/>
    </row>
    <row r="2691" spans="1:8" ht="13.2">
      <c r="A2691" s="15" t="s">
        <v>2999</v>
      </c>
      <c r="B2691" s="38" t="s">
        <v>3000</v>
      </c>
      <c r="C2691" s="24">
        <v>6.75</v>
      </c>
      <c r="D2691" s="18"/>
      <c r="E2691" s="17" t="s">
        <v>2948</v>
      </c>
      <c r="F2691" s="17"/>
      <c r="G2691" s="18"/>
      <c r="H2691" s="18"/>
    </row>
    <row r="2692" spans="1:8" ht="13.2">
      <c r="A2692" s="19" t="str">
        <f>HYPERLINK("http://codeforces.com/contest/278/problem/D","CF278-D2-D")</f>
        <v>CF278-D2-D</v>
      </c>
      <c r="B2692" s="29" t="s">
        <v>3001</v>
      </c>
      <c r="C2692" s="17">
        <v>6.5</v>
      </c>
      <c r="D2692" s="18"/>
      <c r="E2692" s="17" t="s">
        <v>2948</v>
      </c>
      <c r="F2692" s="17" t="s">
        <v>139</v>
      </c>
      <c r="G2692" s="18"/>
      <c r="H2692" s="18"/>
    </row>
    <row r="2693" spans="1:8" ht="13.2">
      <c r="A2693" s="15" t="s">
        <v>3002</v>
      </c>
      <c r="B2693" s="30" t="s">
        <v>2961</v>
      </c>
      <c r="C2693" s="17">
        <v>6.5</v>
      </c>
      <c r="D2693" s="26" t="str">
        <f>HYPERLINK("https://github.com/mostafa-saad/MyCompetitiveProgramming/blob/master/UVA/UVA_10406.txt","Sol")</f>
        <v>Sol</v>
      </c>
      <c r="E2693" s="17" t="s">
        <v>2948</v>
      </c>
      <c r="F2693" s="17" t="s">
        <v>139</v>
      </c>
      <c r="G2693" s="18"/>
      <c r="H2693" s="18"/>
    </row>
    <row r="2694" spans="1:8" ht="13.2">
      <c r="A2694" s="19" t="str">
        <f>HYPERLINK("http://codeforces.com/contest/975/problem/E","CF975-D2-E")</f>
        <v>CF975-D2-E</v>
      </c>
      <c r="B2694" s="16" t="s">
        <v>3003</v>
      </c>
      <c r="C2694" s="17">
        <v>6.5</v>
      </c>
      <c r="D2694" s="18"/>
      <c r="E2694" s="17" t="s">
        <v>2948</v>
      </c>
      <c r="F2694" s="17"/>
      <c r="G2694" s="18"/>
      <c r="H2694" s="18"/>
    </row>
    <row r="2695" spans="1:8" ht="13.2">
      <c r="A2695" s="15" t="s">
        <v>3004</v>
      </c>
      <c r="B2695" s="28" t="s">
        <v>2987</v>
      </c>
      <c r="C2695" s="24">
        <v>6.5</v>
      </c>
      <c r="D2695" s="18"/>
      <c r="E2695" s="17" t="s">
        <v>2948</v>
      </c>
      <c r="F2695" s="17"/>
      <c r="G2695" s="18"/>
      <c r="H2695" s="18"/>
    </row>
    <row r="2696" spans="1:8" ht="13.2">
      <c r="A2696" s="15" t="s">
        <v>3005</v>
      </c>
      <c r="B2696" s="30" t="s">
        <v>3006</v>
      </c>
      <c r="C2696" s="24">
        <v>6.5</v>
      </c>
      <c r="D2696" s="18"/>
      <c r="E2696" s="17" t="s">
        <v>2948</v>
      </c>
      <c r="F2696" s="17"/>
      <c r="G2696" s="18"/>
      <c r="H2696" s="18"/>
    </row>
    <row r="2697" spans="1:8" ht="13.2">
      <c r="A2697" s="19" t="str">
        <f>HYPERLINK("http://codeforces.com/contest/1074/problem/C","CF1075-D2-E")</f>
        <v>CF1075-D2-E</v>
      </c>
      <c r="B2697" s="20" t="s">
        <v>3007</v>
      </c>
      <c r="C2697" s="21">
        <v>6.25</v>
      </c>
      <c r="D2697" s="18"/>
      <c r="E2697" s="17" t="s">
        <v>2948</v>
      </c>
      <c r="F2697" s="17" t="s">
        <v>139</v>
      </c>
      <c r="G2697" s="18"/>
      <c r="H2697" s="18"/>
    </row>
    <row r="2698" spans="1:8" ht="13.2">
      <c r="A2698" s="19" t="str">
        <f>HYPERLINK("http://codeforces.com/problemset/gymProblem/101142/I","CF101142-GYM-I")</f>
        <v>CF101142-GYM-I</v>
      </c>
      <c r="B2698" s="23" t="s">
        <v>3008</v>
      </c>
      <c r="C2698" s="17">
        <v>6.1</v>
      </c>
      <c r="D2698" s="26" t="str">
        <f>HYPERLINK("https://github.com/mostafa-saad/MyCompetitiveProgramming/blob/master/Codeforces/CF101142-GYM-I.txt","Sol")</f>
        <v>Sol</v>
      </c>
      <c r="E2698" s="17" t="s">
        <v>2948</v>
      </c>
      <c r="F2698" s="17" t="s">
        <v>139</v>
      </c>
      <c r="G2698" s="18"/>
      <c r="H2698" s="18"/>
    </row>
    <row r="2699" spans="1:8" ht="13.2">
      <c r="A2699" s="19" t="str">
        <f>HYPERLINK("http://codeforces.com/contest/166/problem/B","CF166-D2-B")</f>
        <v>CF166-D2-B</v>
      </c>
      <c r="B2699" s="29" t="s">
        <v>3009</v>
      </c>
      <c r="C2699" s="17">
        <v>6</v>
      </c>
      <c r="D2699" s="18"/>
      <c r="E2699" s="17" t="s">
        <v>2948</v>
      </c>
      <c r="F2699" s="17" t="s">
        <v>201</v>
      </c>
      <c r="G2699" s="18"/>
      <c r="H2699" s="18"/>
    </row>
    <row r="2700" spans="1:8" ht="13.2">
      <c r="A2700" s="15" t="s">
        <v>3010</v>
      </c>
      <c r="B2700" s="30" t="s">
        <v>3011</v>
      </c>
      <c r="C2700" s="24">
        <v>6</v>
      </c>
      <c r="D2700" s="26" t="str">
        <f>HYPERLINK("https://github.com/ryuzmukhametov/CompetitiveProgramming/blob/master/pku/PKU%203449.cpp", "Sol")</f>
        <v>Sol</v>
      </c>
      <c r="E2700" s="17" t="s">
        <v>2948</v>
      </c>
      <c r="F2700" s="17" t="s">
        <v>358</v>
      </c>
      <c r="G2700" s="18"/>
      <c r="H2700" s="18"/>
    </row>
    <row r="2701" spans="1:8" ht="13.2">
      <c r="A2701" s="15" t="s">
        <v>3012</v>
      </c>
      <c r="B2701" s="30" t="s">
        <v>3013</v>
      </c>
      <c r="C2701" s="24">
        <v>6</v>
      </c>
      <c r="D2701" s="18"/>
      <c r="E2701" s="24" t="s">
        <v>2948</v>
      </c>
      <c r="F2701" s="17"/>
      <c r="G2701" s="18"/>
      <c r="H2701" s="18"/>
    </row>
    <row r="2702" spans="1:8" ht="13.2">
      <c r="A2702" s="19" t="str">
        <f>HYPERLINK("https://csacademy.com/contest/round-34/task/point-in-kgon/","CSA34-E")</f>
        <v>CSA34-E</v>
      </c>
      <c r="B2702" s="18" t="s">
        <v>3014</v>
      </c>
      <c r="C2702" s="17">
        <v>6</v>
      </c>
      <c r="D2702" s="26" t="str">
        <f>HYPERLINK("https://github.com/LeTrongDat/CompetitiveProgramming/blob/master/Csacademy/CSA34-E.cpp","Sol")</f>
        <v>Sol</v>
      </c>
      <c r="E2702" s="17" t="s">
        <v>2948</v>
      </c>
      <c r="F2702" s="17"/>
      <c r="G2702" s="18"/>
      <c r="H2702" s="18"/>
    </row>
    <row r="2703" spans="1:8" ht="13.2">
      <c r="A2703" s="19" t="str">
        <f>HYPERLINK("https://uva.onlinejudge.org/index.php?option=onlinejudge&amp;page=show_problem&amp;problem=73","UVA 137")</f>
        <v>UVA 137</v>
      </c>
      <c r="B2703" s="29" t="s">
        <v>3015</v>
      </c>
      <c r="C2703" s="17">
        <v>5.5</v>
      </c>
      <c r="D2703" s="26" t="str">
        <f>HYPERLINK("https://github.com/mostafa-saad/MyCompetitiveProgramming/blob/master/UVA/UVA_137.txt","Sol")</f>
        <v>Sol</v>
      </c>
      <c r="E2703" s="17" t="s">
        <v>2948</v>
      </c>
      <c r="F2703" s="17" t="s">
        <v>1164</v>
      </c>
      <c r="G2703" s="18"/>
      <c r="H2703" s="18"/>
    </row>
    <row r="2704" spans="1:8" ht="13.2">
      <c r="A2704" s="15" t="s">
        <v>3016</v>
      </c>
      <c r="B2704" s="15" t="s">
        <v>3017</v>
      </c>
      <c r="C2704" s="17">
        <v>5.5</v>
      </c>
      <c r="D2704" s="18"/>
      <c r="E2704" s="17" t="s">
        <v>2948</v>
      </c>
      <c r="F2704" s="17"/>
      <c r="G2704" s="18"/>
      <c r="H2704" s="18"/>
    </row>
    <row r="2705" spans="1:8" ht="13.2">
      <c r="A2705" s="19" t="str">
        <f>HYPERLINK("http://codeforces.com/contest/1017/problem/E","CF1017-D12-E")</f>
        <v>CF1017-D12-E</v>
      </c>
      <c r="B2705" s="15" t="s">
        <v>3018</v>
      </c>
      <c r="C2705" s="17">
        <v>5.5</v>
      </c>
      <c r="D2705" s="18"/>
      <c r="E2705" s="24" t="s">
        <v>2948</v>
      </c>
      <c r="F2705" s="17"/>
      <c r="G2705" s="18"/>
      <c r="H2705" s="18"/>
    </row>
    <row r="2706" spans="1:8" ht="13.2">
      <c r="A2706" s="19" t="str">
        <f>HYPERLINK("http://codeforces.com/contest/340/problem/B","CF340-D2-B")</f>
        <v>CF340-D2-B</v>
      </c>
      <c r="B2706" s="29" t="s">
        <v>3019</v>
      </c>
      <c r="C2706" s="17">
        <v>5</v>
      </c>
      <c r="D2706" s="18"/>
      <c r="E2706" s="17" t="s">
        <v>2948</v>
      </c>
      <c r="F2706" s="17" t="s">
        <v>201</v>
      </c>
      <c r="G2706" s="18"/>
      <c r="H2706" s="18"/>
    </row>
    <row r="2707" spans="1:8" ht="13.2">
      <c r="A2707" s="19" t="str">
        <f>HYPERLINK("http://codeforces.com/contest/801/problem/D","CF801-D2-D")</f>
        <v>CF801-D2-D</v>
      </c>
      <c r="B2707" s="29" t="s">
        <v>3020</v>
      </c>
      <c r="C2707" s="17">
        <v>5</v>
      </c>
      <c r="D2707" s="26" t="str">
        <f>HYPERLINK("https://github.com/MeGaCrazy/CompetitiveProgramming/blob/ff934b5231a55818d401805db5e0caa0720a1fa4/Codeforces/CF801-D2-D.cpp","Sol")</f>
        <v>Sol</v>
      </c>
      <c r="E2707" s="17" t="s">
        <v>2948</v>
      </c>
      <c r="F2707" s="17" t="s">
        <v>201</v>
      </c>
      <c r="G2707" s="18"/>
      <c r="H2707" s="18"/>
    </row>
    <row r="2708" spans="1:8" ht="13.2">
      <c r="A2708" s="15" t="s">
        <v>3021</v>
      </c>
      <c r="B2708" s="29" t="s">
        <v>3022</v>
      </c>
      <c r="C2708" s="24">
        <v>5</v>
      </c>
      <c r="D2708" s="18"/>
      <c r="E2708" s="17" t="s">
        <v>2948</v>
      </c>
      <c r="F2708" s="17"/>
      <c r="G2708" s="18"/>
      <c r="H2708" s="18"/>
    </row>
    <row r="2709" spans="1:8" ht="13.2">
      <c r="A2709" s="15" t="s">
        <v>3023</v>
      </c>
      <c r="B2709" s="30" t="s">
        <v>2956</v>
      </c>
      <c r="C2709" s="24">
        <v>4.5</v>
      </c>
      <c r="D2709" s="26" t="str">
        <f>HYPERLINK("https://github.com/MeGaCrazy/CompetitiveProgramming/blob/aa9f393f5c9392dcb701cf469f207ad28cca29bf/UVA/UVA_10585.cpp","Sl")</f>
        <v>Sl</v>
      </c>
      <c r="E2709" s="17" t="s">
        <v>2948</v>
      </c>
      <c r="F2709" s="17" t="s">
        <v>229</v>
      </c>
      <c r="G2709" s="18"/>
      <c r="H2709" s="18"/>
    </row>
    <row r="2710" spans="1:8" ht="13.2">
      <c r="A2710" s="15" t="s">
        <v>3024</v>
      </c>
      <c r="B2710" s="29" t="s">
        <v>3025</v>
      </c>
      <c r="C2710" s="17">
        <v>4.5</v>
      </c>
      <c r="D2710" s="26" t="str">
        <f>HYPERLINK("https://github.com/mostafa-saad/MyCompetitiveProgramming/blob/master/UVA/UVA_881.txt","Sol")</f>
        <v>Sol</v>
      </c>
      <c r="E2710" s="17" t="s">
        <v>2948</v>
      </c>
      <c r="F2710" s="17" t="s">
        <v>139</v>
      </c>
      <c r="G2710" s="18"/>
      <c r="H2710" s="18"/>
    </row>
    <row r="2711" spans="1:8" ht="13.2">
      <c r="A2711" s="15" t="s">
        <v>3026</v>
      </c>
      <c r="B2711" s="29" t="s">
        <v>3027</v>
      </c>
      <c r="C2711" s="17">
        <v>4.5</v>
      </c>
      <c r="D2711" s="26" t="str">
        <f>HYPERLINK("https://github.com/AbdelrahmanRamadan/competitive-programming/blob/master/Timus/1599-Winding-Number.cpp","Sol")</f>
        <v>Sol</v>
      </c>
      <c r="E2711" s="17" t="s">
        <v>2948</v>
      </c>
      <c r="F2711" s="17" t="s">
        <v>201</v>
      </c>
      <c r="G2711" s="18"/>
      <c r="H2711" s="18"/>
    </row>
    <row r="2712" spans="1:8" ht="13.2">
      <c r="A2712" s="15" t="s">
        <v>3028</v>
      </c>
      <c r="B2712" s="29" t="s">
        <v>3029</v>
      </c>
      <c r="C2712" s="17">
        <v>4.5</v>
      </c>
      <c r="D2712" s="26" t="str">
        <f>HYPERLINK("https://github.com/mostafa-saad/MyCompetitiveProgramming/blob/master/LiveArchive/LiveArchive_5108.txt","Sol")</f>
        <v>Sol</v>
      </c>
      <c r="E2712" s="17" t="s">
        <v>2948</v>
      </c>
      <c r="F2712" s="17" t="s">
        <v>242</v>
      </c>
      <c r="G2712" s="18"/>
      <c r="H2712" s="18"/>
    </row>
    <row r="2713" spans="1:8" ht="13.2">
      <c r="A2713" s="15" t="s">
        <v>3030</v>
      </c>
      <c r="B2713" s="30" t="s">
        <v>3031</v>
      </c>
      <c r="C2713" s="17">
        <v>4</v>
      </c>
      <c r="D2713" s="26" t="str">
        <f>HYPERLINK("https://github.com/mostafa-saad/MyCompetitiveProgramming/blob/master/UVA/UVA_12300.txt","Sol")</f>
        <v>Sol</v>
      </c>
      <c r="E2713" s="17" t="s">
        <v>2948</v>
      </c>
      <c r="F2713" s="17" t="s">
        <v>255</v>
      </c>
      <c r="G2713" s="18"/>
      <c r="H2713" s="18"/>
    </row>
    <row r="2714" spans="1:8" ht="13.2">
      <c r="A2714" s="15" t="s">
        <v>3032</v>
      </c>
      <c r="B2714" s="15" t="s">
        <v>3033</v>
      </c>
      <c r="C2714" s="24">
        <v>4</v>
      </c>
      <c r="D2714" s="26" t="str">
        <f>HYPERLINK("https://github.com/mostafa-saad/MyCompetitiveProgramming/blob/master/ZOJ/ZOJ_2157.txt","Sol")</f>
        <v>Sol</v>
      </c>
      <c r="E2714" s="17" t="s">
        <v>2948</v>
      </c>
      <c r="F2714" s="17" t="s">
        <v>229</v>
      </c>
      <c r="G2714" s="18"/>
      <c r="H2714" s="18"/>
    </row>
    <row r="2715" spans="1:8" ht="13.2">
      <c r="A2715" s="19" t="str">
        <f>HYPERLINK("http://codeforces.com/contest/408/problem/C","CF408-D2-C")</f>
        <v>CF408-D2-C</v>
      </c>
      <c r="B2715" s="29" t="s">
        <v>2947</v>
      </c>
      <c r="C2715" s="17">
        <v>4</v>
      </c>
      <c r="D2715" s="18"/>
      <c r="E2715" s="17" t="s">
        <v>2948</v>
      </c>
      <c r="F2715" s="17" t="s">
        <v>242</v>
      </c>
      <c r="G2715" s="18"/>
      <c r="H2715" s="18"/>
    </row>
    <row r="2716" spans="1:8" ht="13.2">
      <c r="A2716" s="15" t="s">
        <v>3034</v>
      </c>
      <c r="B2716" s="29" t="s">
        <v>3035</v>
      </c>
      <c r="C2716" s="33">
        <v>4</v>
      </c>
      <c r="D2716" s="26" t="str">
        <f>HYPERLINK("https://github.com/AbdelrahmanRamadan/competitive-programming/blob/master/UVA/11665%20-%20Chinese%20Ink.cpp","Sol")</f>
        <v>Sol</v>
      </c>
      <c r="E2716" s="17" t="s">
        <v>2948</v>
      </c>
      <c r="F2716" s="17"/>
      <c r="G2716" s="18"/>
      <c r="H2716" s="18"/>
    </row>
    <row r="2717" spans="1:8" ht="13.2">
      <c r="A2717" s="19" t="str">
        <f>HYPERLINK("http://codeforces.com/contest/1/problem/C","CF1-D12-C")</f>
        <v>CF1-D12-C</v>
      </c>
      <c r="B2717" s="15" t="s">
        <v>3036</v>
      </c>
      <c r="C2717" s="24">
        <v>3</v>
      </c>
      <c r="D2717" s="18"/>
      <c r="E2717" s="17" t="s">
        <v>2948</v>
      </c>
      <c r="F2717" s="17"/>
      <c r="G2717" s="18"/>
      <c r="H2717" s="18"/>
    </row>
    <row r="2718" spans="1:8" ht="13.2">
      <c r="A2718" s="15" t="s">
        <v>3037</v>
      </c>
      <c r="B2718" s="29" t="s">
        <v>3038</v>
      </c>
      <c r="C2718" s="17">
        <v>2</v>
      </c>
      <c r="D2718" s="18"/>
      <c r="E2718" s="17" t="s">
        <v>2948</v>
      </c>
      <c r="F2718" s="17"/>
      <c r="G2718" s="18"/>
      <c r="H2718" s="18"/>
    </row>
    <row r="2719" spans="1:8" ht="13.2">
      <c r="A2719" s="15" t="s">
        <v>3039</v>
      </c>
      <c r="B2719" s="28" t="s">
        <v>3040</v>
      </c>
      <c r="C2719" s="24">
        <v>7.5</v>
      </c>
      <c r="D2719" s="26" t="str">
        <f>HYPERLINK("http://home.ustc.edu.cn/~lyishuai/code/acm/%B4%FA%C2%EB%B2%D6%BF%E2/bookcodes/ch4/la3890.cpp","Other sol at - ~= LIVEARCHIVE 3890")</f>
        <v>Other sol at - ~= LIVEARCHIVE 3890</v>
      </c>
      <c r="E2719" s="17" t="s">
        <v>3041</v>
      </c>
      <c r="F2719" s="17"/>
      <c r="G2719" s="18"/>
      <c r="H2719" s="18"/>
    </row>
    <row r="2720" spans="1:8" ht="13.2">
      <c r="A2720" s="15" t="s">
        <v>3042</v>
      </c>
      <c r="B2720" s="29" t="s">
        <v>3043</v>
      </c>
      <c r="C2720" s="17">
        <v>7</v>
      </c>
      <c r="D2720" s="18" t="s">
        <v>3044</v>
      </c>
      <c r="E2720" s="17" t="s">
        <v>3041</v>
      </c>
      <c r="F2720" s="17"/>
      <c r="G2720" s="18"/>
      <c r="H2720" s="18"/>
    </row>
    <row r="2721" spans="1:8" ht="13.2">
      <c r="A2721" s="15" t="s">
        <v>3045</v>
      </c>
      <c r="B2721" s="30" t="s">
        <v>3046</v>
      </c>
      <c r="C2721" s="24">
        <v>6.75</v>
      </c>
      <c r="D2721" s="18"/>
      <c r="E2721" s="17" t="s">
        <v>3041</v>
      </c>
      <c r="F2721" s="17"/>
      <c r="G2721" s="18"/>
      <c r="H2721" s="18"/>
    </row>
    <row r="2722" spans="1:8" ht="13.2">
      <c r="A2722" s="15" t="s">
        <v>3047</v>
      </c>
      <c r="B2722" s="30" t="s">
        <v>3048</v>
      </c>
      <c r="C2722" s="24">
        <v>6.75</v>
      </c>
      <c r="D2722" s="18"/>
      <c r="E2722" s="17" t="s">
        <v>3041</v>
      </c>
      <c r="F2722" s="17"/>
      <c r="G2722" s="18"/>
      <c r="H2722" s="18"/>
    </row>
    <row r="2723" spans="1:8" ht="13.2">
      <c r="A2723" s="15" t="s">
        <v>3049</v>
      </c>
      <c r="B2723" s="30" t="s">
        <v>3050</v>
      </c>
      <c r="C2723" s="24">
        <v>6.75</v>
      </c>
      <c r="D2723" s="18"/>
      <c r="E2723" s="17" t="s">
        <v>3041</v>
      </c>
      <c r="F2723" s="17"/>
      <c r="G2723" s="18"/>
      <c r="H2723" s="18"/>
    </row>
    <row r="2724" spans="1:8" ht="13.2">
      <c r="A2724" s="19" t="str">
        <f>HYPERLINK("http://poj.org/problem?id=1279","PKU 1279")</f>
        <v>PKU 1279</v>
      </c>
      <c r="B2724" s="29" t="s">
        <v>3043</v>
      </c>
      <c r="C2724" s="17">
        <v>6.6</v>
      </c>
      <c r="D2724" s="26" t="str">
        <f>HYPERLINK("https://github.com/quangloc99/CompetitiveProgramming/blob/master/POJ/1279.cpp","Sol")</f>
        <v>Sol</v>
      </c>
      <c r="E2724" s="17" t="s">
        <v>3041</v>
      </c>
      <c r="F2724" s="17" t="s">
        <v>201</v>
      </c>
      <c r="G2724" s="18"/>
      <c r="H2724" s="18"/>
    </row>
    <row r="2725" spans="1:8" ht="13.2">
      <c r="A2725" s="15" t="s">
        <v>3051</v>
      </c>
      <c r="B2725" s="30" t="s">
        <v>3052</v>
      </c>
      <c r="C2725" s="24">
        <v>6.5</v>
      </c>
      <c r="D2725" s="26" t="str">
        <f>HYPERLINK("https://github.com/MetalBall887/Competitive-Programming/blob/master/UVA/UVA%2011265.cpp", "Sol")</f>
        <v>Sol</v>
      </c>
      <c r="E2725" s="17" t="s">
        <v>3041</v>
      </c>
      <c r="F2725" s="17" t="s">
        <v>139</v>
      </c>
      <c r="G2725" s="18"/>
      <c r="H2725" s="18"/>
    </row>
    <row r="2726" spans="1:8" ht="13.2">
      <c r="A2726" s="15" t="s">
        <v>3053</v>
      </c>
      <c r="B2726" s="30" t="s">
        <v>3054</v>
      </c>
      <c r="C2726" s="24">
        <v>6.5</v>
      </c>
      <c r="D2726" s="26" t="str">
        <f>HYPERLINK("https://morris821028.github.io/2014/11/15/oj/uva/uva-10117/","Sol")</f>
        <v>Sol</v>
      </c>
      <c r="E2726" s="17" t="s">
        <v>3041</v>
      </c>
      <c r="F2726" s="17"/>
      <c r="G2726" s="18"/>
      <c r="H2726" s="18"/>
    </row>
    <row r="2727" spans="1:8" ht="13.2">
      <c r="A2727" s="19" t="str">
        <f>HYPERLINK("https://uva.onlinejudge.org/index.php?option=com_onlinejudge&amp;Itemid=8&amp;page=show_problem&amp;problem=529","UVA 588")</f>
        <v>UVA 588</v>
      </c>
      <c r="B2727" s="29" t="s">
        <v>3055</v>
      </c>
      <c r="C2727" s="17">
        <v>6</v>
      </c>
      <c r="D2727" s="26" t="str">
        <f>HYPERLINK("https://github.com/mostafa-saad/MyCompetitiveProgramming/blob/master/UVA/588.cpp","Use polygon cut")</f>
        <v>Use polygon cut</v>
      </c>
      <c r="E2727" s="17" t="s">
        <v>3041</v>
      </c>
      <c r="F2727" s="17" t="s">
        <v>173</v>
      </c>
      <c r="G2727" s="18"/>
      <c r="H2727" s="18"/>
    </row>
    <row r="2728" spans="1:8" ht="13.2">
      <c r="A2728" s="15" t="s">
        <v>3056</v>
      </c>
      <c r="B2728" s="28" t="s">
        <v>3057</v>
      </c>
      <c r="C2728" s="24">
        <v>6</v>
      </c>
      <c r="D2728" s="26" t="str">
        <f>HYPERLINK("https://github.com/OmarAhmedSaleh/competitive-programming/blob/master/TJU/1537.%20%20%20This%20Takes%20the%20Cake.cpp","Solve using polygon cut")</f>
        <v>Solve using polygon cut</v>
      </c>
      <c r="E2728" s="24" t="s">
        <v>3041</v>
      </c>
      <c r="F2728" s="17" t="s">
        <v>139</v>
      </c>
      <c r="G2728" s="18"/>
      <c r="H2728" s="18"/>
    </row>
    <row r="2729" spans="1:8" ht="13.2">
      <c r="A2729" s="15" t="s">
        <v>3058</v>
      </c>
      <c r="B2729" s="30" t="s">
        <v>3059</v>
      </c>
      <c r="C2729" s="24">
        <v>6</v>
      </c>
      <c r="D2729" s="18"/>
      <c r="E2729" s="17" t="s">
        <v>3041</v>
      </c>
      <c r="F2729" s="17" t="s">
        <v>139</v>
      </c>
      <c r="G2729" s="18"/>
      <c r="H2729" s="18"/>
    </row>
    <row r="2730" spans="1:8" ht="13.2">
      <c r="A2730" s="15" t="s">
        <v>3060</v>
      </c>
      <c r="B2730" s="30" t="s">
        <v>3046</v>
      </c>
      <c r="C2730" s="24">
        <v>6</v>
      </c>
      <c r="D2730" s="18"/>
      <c r="E2730" s="17" t="s">
        <v>3041</v>
      </c>
      <c r="F2730" s="17"/>
      <c r="G2730" s="18"/>
      <c r="H2730" s="18"/>
    </row>
    <row r="2731" spans="1:8" ht="13.2">
      <c r="A2731" s="15" t="s">
        <v>3061</v>
      </c>
      <c r="B2731" s="29" t="s">
        <v>3043</v>
      </c>
      <c r="C2731" s="17">
        <v>4</v>
      </c>
      <c r="D2731" s="26" t="str">
        <f>HYPERLINK("https://github.com/MeGaCrazy/CompetitiveProgramming/blob/c9f4ed6571a135dbc26cfeeb099384a8fec2ff92/LiveArchive/LIVEARCHIVE_2831.cpp","Use polygon cut")</f>
        <v>Use polygon cut</v>
      </c>
      <c r="E2731" s="17" t="s">
        <v>3041</v>
      </c>
      <c r="F2731" s="17"/>
      <c r="G2731" s="18"/>
      <c r="H2731" s="18"/>
    </row>
    <row r="2732" spans="1:8" ht="13.2">
      <c r="A2732" s="15" t="s">
        <v>3062</v>
      </c>
      <c r="B2732" s="28" t="s">
        <v>3063</v>
      </c>
      <c r="C2732" s="24">
        <v>4</v>
      </c>
      <c r="D2732" s="18"/>
      <c r="E2732" s="17" t="s">
        <v>3041</v>
      </c>
      <c r="F2732" s="17"/>
      <c r="G2732" s="18"/>
      <c r="H2732" s="18"/>
    </row>
    <row r="2733" spans="1:8" ht="13.2">
      <c r="A2733" s="19" t="str">
        <f>HYPERLINK("https://www.hackerrank.com/challenges/elastic-rope","HACKR elastic-rope")</f>
        <v>HACKR elastic-rope</v>
      </c>
      <c r="B2733" s="30" t="s">
        <v>3064</v>
      </c>
      <c r="C2733" s="24">
        <v>9</v>
      </c>
      <c r="D2733" s="18"/>
      <c r="E2733" s="17" t="s">
        <v>3065</v>
      </c>
      <c r="F2733" s="17"/>
      <c r="G2733" s="18"/>
      <c r="H2733" s="18"/>
    </row>
    <row r="2734" spans="1:8" ht="13.2">
      <c r="A2734" s="19" t="str">
        <f>HYPERLINK("https://www.hackerrank.com/challenges/best-sum","HACKR best-sum")</f>
        <v>HACKR best-sum</v>
      </c>
      <c r="B2734" s="29" t="s">
        <v>3066</v>
      </c>
      <c r="C2734" s="24">
        <v>8</v>
      </c>
      <c r="D2734" s="18"/>
      <c r="E2734" s="17" t="s">
        <v>3065</v>
      </c>
      <c r="F2734" s="17"/>
      <c r="G2734" s="18"/>
      <c r="H2734" s="18"/>
    </row>
    <row r="2735" spans="1:8" ht="13.2">
      <c r="A2735" s="19" t="str">
        <f>HYPERLINK("http://codeforces.com/gym/101982","CF101982-gym-M")</f>
        <v>CF101982-gym-M</v>
      </c>
      <c r="B2735" s="15" t="s">
        <v>3067</v>
      </c>
      <c r="C2735" s="17">
        <v>8</v>
      </c>
      <c r="D2735" s="26" t="str">
        <f>HYPERLINK("http://codeforces.com/blog/entry/63070","Notes")</f>
        <v>Notes</v>
      </c>
      <c r="E2735" s="17" t="s">
        <v>3065</v>
      </c>
      <c r="F2735" s="17"/>
      <c r="G2735" s="18"/>
      <c r="H2735" s="18"/>
    </row>
    <row r="2736" spans="1:8" ht="13.2">
      <c r="A2736" s="15" t="s">
        <v>3068</v>
      </c>
      <c r="B2736" s="16" t="s">
        <v>3069</v>
      </c>
      <c r="C2736" s="17">
        <v>8</v>
      </c>
      <c r="D2736" s="26" t="str">
        <f>HYPERLINK("http://blog.csdn.net/fuxey/article/details/50410233","Web sol")</f>
        <v>Web sol</v>
      </c>
      <c r="E2736" s="17" t="s">
        <v>3065</v>
      </c>
      <c r="F2736" s="17"/>
      <c r="G2736" s="18"/>
      <c r="H2736" s="18"/>
    </row>
    <row r="2737" spans="1:8" ht="13.2">
      <c r="A2737" s="15" t="s">
        <v>3070</v>
      </c>
      <c r="B2737" s="30" t="s">
        <v>3071</v>
      </c>
      <c r="C2737" s="24">
        <v>8</v>
      </c>
      <c r="D2737" s="18"/>
      <c r="E2737" s="24" t="s">
        <v>3065</v>
      </c>
      <c r="F2737" s="17"/>
      <c r="G2737" s="18"/>
      <c r="H2737" s="18"/>
    </row>
    <row r="2738" spans="1:8" ht="13.2">
      <c r="A2738" s="15" t="s">
        <v>3072</v>
      </c>
      <c r="B2738" s="30" t="s">
        <v>3073</v>
      </c>
      <c r="C2738" s="24">
        <v>7.25</v>
      </c>
      <c r="D2738" s="18"/>
      <c r="E2738" s="17" t="s">
        <v>3065</v>
      </c>
      <c r="F2738" s="17"/>
      <c r="G2738" s="18"/>
      <c r="H2738" s="18"/>
    </row>
    <row r="2739" spans="1:8" ht="13.2">
      <c r="A2739" s="15" t="s">
        <v>3074</v>
      </c>
      <c r="B2739" s="30" t="s">
        <v>3075</v>
      </c>
      <c r="C2739" s="24">
        <v>7.25</v>
      </c>
      <c r="D2739" s="26" t="str">
        <f>HYPERLINK("https://github.com/morris821028/UVa/blob/master/volume119/11919%20-%20Hybrid%20Salientia.cpp","Sol (no editorial)")</f>
        <v>Sol (no editorial)</v>
      </c>
      <c r="E2739" s="17" t="s">
        <v>3065</v>
      </c>
      <c r="F2739" s="17"/>
      <c r="G2739" s="18"/>
      <c r="H2739" s="18"/>
    </row>
    <row r="2740" spans="1:8" ht="13.2">
      <c r="A2740" s="15" t="s">
        <v>3076</v>
      </c>
      <c r="B2740" s="30" t="s">
        <v>3077</v>
      </c>
      <c r="C2740" s="24">
        <v>7.25</v>
      </c>
      <c r="D2740" s="26" t="str">
        <f>HYPERLINK("https://morris821028.github.io/2014/08/29/oj/uva/uva-12307/","Sol")</f>
        <v>Sol</v>
      </c>
      <c r="E2740" s="17" t="s">
        <v>3065</v>
      </c>
      <c r="F2740" s="17"/>
      <c r="G2740" s="18"/>
      <c r="H2740" s="18"/>
    </row>
    <row r="2741" spans="1:8" ht="13.2">
      <c r="A2741" s="19" t="str">
        <f>HYPERLINK("http://codeforces.com/contest/70/problem/D","CF70-D12-D")</f>
        <v>CF70-D12-D</v>
      </c>
      <c r="B2741" s="15" t="s">
        <v>3073</v>
      </c>
      <c r="C2741" s="24">
        <v>7.1</v>
      </c>
      <c r="D2741" s="26" t="str">
        <f>HYPERLINK("https://github.com/farmerboy95/CompetitiveProgramming/blob/master/Codeforces/CF70-D12-D.cpp","Sol")</f>
        <v>Sol</v>
      </c>
      <c r="E2741" s="17" t="s">
        <v>3065</v>
      </c>
      <c r="F2741" s="17" t="s">
        <v>154</v>
      </c>
      <c r="G2741" s="18"/>
      <c r="H2741" s="18"/>
    </row>
    <row r="2742" spans="1:8" ht="13.2">
      <c r="A2742" s="15" t="s">
        <v>3078</v>
      </c>
      <c r="B2742" s="30" t="s">
        <v>3079</v>
      </c>
      <c r="C2742" s="24">
        <v>7.1</v>
      </c>
      <c r="D2742" s="18" t="s">
        <v>3080</v>
      </c>
      <c r="E2742" s="17" t="s">
        <v>3065</v>
      </c>
      <c r="F2742" s="17"/>
      <c r="G2742" s="18"/>
      <c r="H2742" s="18"/>
    </row>
    <row r="2743" spans="1:8" ht="13.2">
      <c r="A2743" s="19" t="str">
        <f>HYPERLINK("http://codeforces.com/contest/682/problem/E","CF682-D2-E")</f>
        <v>CF682-D2-E</v>
      </c>
      <c r="B2743" s="20" t="s">
        <v>3081</v>
      </c>
      <c r="C2743" s="21">
        <v>7</v>
      </c>
      <c r="D2743" s="26" t="str">
        <f>HYPERLINK("https://github.com/mostafa-saad/MyCompetitiveProgramming/blob/master/Codeforces/CF682-D2-E.txt", "Sol")</f>
        <v>Sol</v>
      </c>
      <c r="E2743" s="17" t="s">
        <v>3065</v>
      </c>
      <c r="F2743" s="17" t="s">
        <v>139</v>
      </c>
      <c r="G2743" s="18"/>
      <c r="H2743" s="18"/>
    </row>
    <row r="2744" spans="1:8" ht="13.2">
      <c r="A2744" s="19" t="str">
        <f>HYPERLINK("http://codeforces.com/contest/536/problem/C","CF536-D1-C")</f>
        <v>CF536-D1-C</v>
      </c>
      <c r="B2744" s="15" t="s">
        <v>3073</v>
      </c>
      <c r="C2744" s="17">
        <v>7</v>
      </c>
      <c r="D2744" s="26" t="str">
        <f>HYPERLINK("https://github.com/tmwilliamlin168/CompetitiveProgramming/blob/master/CodeForces/0536C.cpp", "Sol")</f>
        <v>Sol</v>
      </c>
      <c r="E2744" s="17" t="s">
        <v>3065</v>
      </c>
      <c r="F2744" s="17"/>
      <c r="G2744" s="18"/>
      <c r="H2744" s="18"/>
    </row>
    <row r="2745" spans="1:8" ht="13.2">
      <c r="A2745" s="15" t="s">
        <v>3082</v>
      </c>
      <c r="B2745" s="30" t="s">
        <v>3073</v>
      </c>
      <c r="C2745" s="24">
        <v>7</v>
      </c>
      <c r="D2745" s="18"/>
      <c r="E2745" s="17" t="s">
        <v>3065</v>
      </c>
      <c r="F2745" s="17"/>
      <c r="G2745" s="18"/>
      <c r="H2745" s="18"/>
    </row>
    <row r="2746" spans="1:8" ht="13.2">
      <c r="A2746" s="15" t="s">
        <v>3083</v>
      </c>
      <c r="B2746" s="30" t="s">
        <v>3073</v>
      </c>
      <c r="C2746" s="17">
        <v>7</v>
      </c>
      <c r="D2746" s="18"/>
      <c r="E2746" s="17" t="s">
        <v>3065</v>
      </c>
      <c r="F2746" s="17"/>
      <c r="G2746" s="18"/>
      <c r="H2746" s="18"/>
    </row>
    <row r="2747" spans="1:8" ht="13.2">
      <c r="A2747" s="15" t="s">
        <v>3084</v>
      </c>
      <c r="B2747" s="41" t="s">
        <v>3085</v>
      </c>
      <c r="C2747" s="17">
        <v>7</v>
      </c>
      <c r="D2747" s="18"/>
      <c r="E2747" s="17" t="s">
        <v>3065</v>
      </c>
      <c r="F2747" s="17"/>
      <c r="G2747" s="18"/>
      <c r="H2747" s="18"/>
    </row>
    <row r="2748" spans="1:8" ht="13.2">
      <c r="A2748" s="15" t="s">
        <v>3086</v>
      </c>
      <c r="B2748" s="30" t="s">
        <v>3087</v>
      </c>
      <c r="C2748" s="24">
        <v>7</v>
      </c>
      <c r="D2748" s="18"/>
      <c r="E2748" s="17" t="s">
        <v>3065</v>
      </c>
      <c r="F2748" s="17"/>
      <c r="G2748" s="18"/>
      <c r="H2748" s="18"/>
    </row>
    <row r="2749" spans="1:8" ht="13.2">
      <c r="A2749" s="15" t="s">
        <v>3088</v>
      </c>
      <c r="B2749" s="29" t="s">
        <v>3089</v>
      </c>
      <c r="C2749" s="17">
        <v>7</v>
      </c>
      <c r="D2749" s="18"/>
      <c r="E2749" s="17" t="s">
        <v>3065</v>
      </c>
      <c r="F2749" s="17"/>
      <c r="G2749" s="18"/>
      <c r="H2749" s="18"/>
    </row>
    <row r="2750" spans="1:8" ht="13.2">
      <c r="A2750" s="15" t="s">
        <v>3090</v>
      </c>
      <c r="B2750" s="30" t="s">
        <v>3091</v>
      </c>
      <c r="C2750" s="24">
        <v>6.75</v>
      </c>
      <c r="D2750" s="26" t="str">
        <f>HYPERLINK("https://github.com/dasannagariraja/CompetitiveProgramming/blob/master/SPOJ/SPOJ%20SPOINTS.cpp","Sol")</f>
        <v>Sol</v>
      </c>
      <c r="E2750" s="17" t="s">
        <v>3065</v>
      </c>
      <c r="F2750" s="17" t="s">
        <v>173</v>
      </c>
      <c r="G2750" s="18"/>
      <c r="H2750" s="18"/>
    </row>
    <row r="2751" spans="1:8" ht="13.2">
      <c r="A2751" s="15" t="s">
        <v>3092</v>
      </c>
      <c r="B2751" s="28" t="s">
        <v>3093</v>
      </c>
      <c r="C2751" s="24">
        <v>6.75</v>
      </c>
      <c r="D2751" s="18"/>
      <c r="E2751" s="17" t="s">
        <v>3065</v>
      </c>
      <c r="F2751" s="17"/>
      <c r="G2751" s="18"/>
      <c r="H2751" s="18"/>
    </row>
    <row r="2752" spans="1:8" ht="13.2">
      <c r="A2752" s="19" t="str">
        <f>HYPERLINK("https://codeforces.com/contest/1143/problem/F","CF1143-D2-F")</f>
        <v>CF1143-D2-F</v>
      </c>
      <c r="B2752" s="15" t="s">
        <v>3094</v>
      </c>
      <c r="C2752" s="17">
        <v>6.6</v>
      </c>
      <c r="D2752" s="18"/>
      <c r="E2752" s="17" t="s">
        <v>3065</v>
      </c>
      <c r="F2752" s="17" t="s">
        <v>139</v>
      </c>
      <c r="G2752" s="18"/>
      <c r="H2752" s="18"/>
    </row>
    <row r="2753" spans="1:8" ht="13.2">
      <c r="A2753" s="15" t="s">
        <v>3095</v>
      </c>
      <c r="B2753" s="30" t="s">
        <v>3096</v>
      </c>
      <c r="C2753" s="24">
        <v>6.6</v>
      </c>
      <c r="D2753" s="18"/>
      <c r="E2753" s="17" t="s">
        <v>3065</v>
      </c>
      <c r="F2753" s="17"/>
      <c r="G2753" s="18"/>
      <c r="H2753" s="18"/>
    </row>
    <row r="2754" spans="1:8" ht="13.2">
      <c r="A2754" s="15" t="s">
        <v>3097</v>
      </c>
      <c r="B2754" s="30" t="s">
        <v>3098</v>
      </c>
      <c r="C2754" s="17">
        <v>6.5</v>
      </c>
      <c r="D2754" s="18"/>
      <c r="E2754" s="17" t="s">
        <v>3065</v>
      </c>
      <c r="F2754" s="17" t="s">
        <v>139</v>
      </c>
      <c r="G2754" s="18"/>
      <c r="H2754" s="18"/>
    </row>
    <row r="2755" spans="1:8" ht="13.2">
      <c r="A2755" s="15" t="s">
        <v>3099</v>
      </c>
      <c r="B2755" s="28" t="s">
        <v>3100</v>
      </c>
      <c r="C2755" s="24">
        <v>6.5</v>
      </c>
      <c r="D2755" s="26" t="str">
        <f>HYPERLINK("https://github.com/quangloc99/CompetitiveProgramming/blob/master/SPOJ/TFOSS.cpp","Sol")</f>
        <v>Sol</v>
      </c>
      <c r="E2755" s="17" t="s">
        <v>3065</v>
      </c>
      <c r="F2755" s="17" t="s">
        <v>201</v>
      </c>
      <c r="G2755" s="18"/>
      <c r="H2755" s="18"/>
    </row>
    <row r="2756" spans="1:8" ht="13.2">
      <c r="A2756" s="15" t="s">
        <v>3101</v>
      </c>
      <c r="B2756" s="30" t="s">
        <v>3073</v>
      </c>
      <c r="C2756" s="24">
        <v>6.5</v>
      </c>
      <c r="D2756" s="18"/>
      <c r="E2756" s="17" t="s">
        <v>3065</v>
      </c>
      <c r="F2756" s="17"/>
      <c r="G2756" s="18"/>
      <c r="H2756" s="18"/>
    </row>
    <row r="2757" spans="1:8" ht="13.2">
      <c r="A2757" s="19" t="str">
        <f>HYPERLINK("https://www.codechef.com/problems/ADADET","CODECHEF ADADET")</f>
        <v>CODECHEF ADADET</v>
      </c>
      <c r="B2757" s="30" t="s">
        <v>3098</v>
      </c>
      <c r="C2757" s="17">
        <v>6.5</v>
      </c>
      <c r="D2757" s="18"/>
      <c r="E2757" s="17" t="s">
        <v>3065</v>
      </c>
      <c r="F2757" s="17"/>
      <c r="G2757" s="18"/>
      <c r="H2757" s="18"/>
    </row>
    <row r="2758" spans="1:8" ht="13.2">
      <c r="A2758" s="19" t="str">
        <f>HYPERLINK("https://onlinejudge.org/index.php?option=onlinejudge&amp;Itemid=8&amp;category=242&amp;page=show_problem&amp;problem=3199","UVA 12048")</f>
        <v>UVA 12048</v>
      </c>
      <c r="B2758" s="30" t="s">
        <v>3102</v>
      </c>
      <c r="C2758" s="24">
        <v>6.5</v>
      </c>
      <c r="D2758" s="26" t="str">
        <f>HYPERLINK("https://morris821028.github.io/2014/08/28/oj/uva/uva-12048/","Sol")</f>
        <v>Sol</v>
      </c>
      <c r="E2758" s="17" t="s">
        <v>3065</v>
      </c>
      <c r="F2758" s="17"/>
      <c r="G2758" s="18"/>
      <c r="H2758" s="18"/>
    </row>
    <row r="2759" spans="1:8" ht="13.2">
      <c r="A2759" s="15" t="s">
        <v>3103</v>
      </c>
      <c r="B2759" s="30" t="s">
        <v>3104</v>
      </c>
      <c r="C2759" s="24">
        <v>6</v>
      </c>
      <c r="D2759" s="18"/>
      <c r="E2759" s="17" t="s">
        <v>3065</v>
      </c>
      <c r="F2759" s="17"/>
      <c r="G2759" s="18"/>
      <c r="H2759" s="18"/>
    </row>
    <row r="2760" spans="1:8" ht="13.2">
      <c r="A2760" s="15" t="s">
        <v>3105</v>
      </c>
      <c r="B2760" s="30" t="s">
        <v>3073</v>
      </c>
      <c r="C2760" s="24">
        <v>5</v>
      </c>
      <c r="D2760" s="26" t="str">
        <f>HYPERLINK("https://github.com/MeGaCrazy/CompetitiveProgramming/blob/bec564a6ceb521c881f45109cf287c3ade0b7048/SPOJ/SPOJ_VMILI.cpp","Sol")</f>
        <v>Sol</v>
      </c>
      <c r="E2760" s="17" t="s">
        <v>3065</v>
      </c>
      <c r="F2760" s="17" t="s">
        <v>242</v>
      </c>
      <c r="G2760" s="18"/>
      <c r="H2760" s="18"/>
    </row>
    <row r="2761" spans="1:8" ht="13.2">
      <c r="A2761" s="15" t="s">
        <v>3106</v>
      </c>
      <c r="B2761" s="30" t="s">
        <v>3073</v>
      </c>
      <c r="C2761" s="24">
        <v>5</v>
      </c>
      <c r="D2761" s="26" t="str">
        <f>HYPERLINK("https://github.com/MeGaCrazy/CompetitiveProgramming/blob/53a480a068a190154a3b9a10ad0068d7d8082f3c/UVA/UVA_109.cpp","Sol")</f>
        <v>Sol</v>
      </c>
      <c r="E2761" s="17" t="s">
        <v>3065</v>
      </c>
      <c r="F2761" s="17" t="s">
        <v>242</v>
      </c>
      <c r="G2761" s="18"/>
      <c r="H2761" s="18"/>
    </row>
    <row r="2762" spans="1:8" ht="13.2">
      <c r="A2762" s="19" t="str">
        <f>HYPERLINK("http://codeforces.com/gym/101484/problem/E","CF101484-GYM-E")</f>
        <v>CF101484-GYM-E</v>
      </c>
      <c r="B2762" s="15" t="s">
        <v>3107</v>
      </c>
      <c r="C2762" s="17">
        <v>5</v>
      </c>
      <c r="D2762" s="26" t="str">
        <f>HYPERLINK("https://github.com/mostafa-saad/MyCompetitiveProgramming/blob/master/Codeforces/CF101484-GYM-E.txt","Sol")</f>
        <v>Sol</v>
      </c>
      <c r="E2762" s="17" t="s">
        <v>3065</v>
      </c>
      <c r="F2762" s="17"/>
      <c r="G2762" s="18"/>
      <c r="H2762" s="18"/>
    </row>
    <row r="2763" spans="1:8" ht="13.2">
      <c r="A2763" s="15" t="s">
        <v>3108</v>
      </c>
      <c r="B2763" s="29" t="s">
        <v>3109</v>
      </c>
      <c r="C2763" s="24">
        <v>5</v>
      </c>
      <c r="D2763" s="18"/>
      <c r="E2763" s="17" t="s">
        <v>3065</v>
      </c>
      <c r="F2763" s="17"/>
      <c r="G2763" s="18"/>
      <c r="H2763" s="18"/>
    </row>
    <row r="2764" spans="1:8" ht="13.2">
      <c r="A2764" s="15" t="s">
        <v>3110</v>
      </c>
      <c r="B2764" s="30" t="s">
        <v>3111</v>
      </c>
      <c r="C2764" s="17">
        <v>5</v>
      </c>
      <c r="D2764" s="18"/>
      <c r="E2764" s="17" t="s">
        <v>3065</v>
      </c>
      <c r="F2764" s="17"/>
      <c r="G2764" s="18"/>
      <c r="H2764" s="18"/>
    </row>
    <row r="2765" spans="1:8" ht="13.2">
      <c r="A2765" s="15" t="s">
        <v>3112</v>
      </c>
      <c r="B2765" s="30" t="s">
        <v>3113</v>
      </c>
      <c r="C2765" s="24">
        <v>5</v>
      </c>
      <c r="D2765" s="26" t="str">
        <f>HYPERLINK("https://github.com/MeGaCrazy/CompetitiveProgramming/blob/263085312d6acc5da8fb2a9f7c1df298d1e4c121/UVA/UVA_11168.cpp","Sol")</f>
        <v>Sol</v>
      </c>
      <c r="E2765" s="17" t="s">
        <v>3065</v>
      </c>
      <c r="F2765" s="17"/>
      <c r="G2765" s="18"/>
      <c r="H2765" s="18"/>
    </row>
    <row r="2766" spans="1:8" ht="13.2">
      <c r="A2766" s="15" t="s">
        <v>3114</v>
      </c>
      <c r="B2766" s="30" t="s">
        <v>3115</v>
      </c>
      <c r="C2766" s="24">
        <v>5</v>
      </c>
      <c r="D2766" s="18"/>
      <c r="E2766" s="17" t="s">
        <v>3065</v>
      </c>
      <c r="F2766" s="17"/>
      <c r="G2766" s="18"/>
      <c r="H2766" s="18"/>
    </row>
    <row r="2767" spans="1:8" ht="13.2">
      <c r="A2767" s="15" t="s">
        <v>3116</v>
      </c>
      <c r="B2767" s="30" t="s">
        <v>3117</v>
      </c>
      <c r="C2767" s="24">
        <v>5</v>
      </c>
      <c r="D2767" s="18"/>
      <c r="E2767" s="17" t="s">
        <v>3065</v>
      </c>
      <c r="F2767" s="17"/>
      <c r="G2767" s="18"/>
      <c r="H2767" s="18"/>
    </row>
    <row r="2768" spans="1:8" ht="13.2">
      <c r="A2768" s="15" t="s">
        <v>3118</v>
      </c>
      <c r="B2768" s="30" t="s">
        <v>3119</v>
      </c>
      <c r="C2768" s="24">
        <v>5</v>
      </c>
      <c r="D2768" s="18"/>
      <c r="E2768" s="17" t="s">
        <v>3065</v>
      </c>
      <c r="F2768" s="17"/>
      <c r="G2768" s="18"/>
      <c r="H2768" s="18"/>
    </row>
    <row r="2769" spans="1:8" ht="13.2">
      <c r="A2769" s="15" t="s">
        <v>3120</v>
      </c>
      <c r="B2769" s="30" t="s">
        <v>3121</v>
      </c>
      <c r="C2769" s="24">
        <v>5</v>
      </c>
      <c r="D2769" s="18"/>
      <c r="E2769" s="17" t="s">
        <v>3065</v>
      </c>
      <c r="F2769" s="17"/>
      <c r="G2769" s="18"/>
      <c r="H2769" s="18"/>
    </row>
    <row r="2770" spans="1:8" ht="13.2">
      <c r="A2770" s="15" t="s">
        <v>3122</v>
      </c>
      <c r="B2770" s="29" t="s">
        <v>3073</v>
      </c>
      <c r="C2770" s="24">
        <v>4.5</v>
      </c>
      <c r="D2770" s="26" t="str">
        <f>HYPERLINK("https://github.com/MeGaCrazy/CompetitiveProgramming/blob/952b5006b2804265a3fbd2ac426f549b5ca7e3ed/LiveArchive/LIVEARCHIVE_4558.cpp","Sol")</f>
        <v>Sol</v>
      </c>
      <c r="E2770" s="17" t="s">
        <v>3065</v>
      </c>
      <c r="F2770" s="17"/>
      <c r="G2770" s="18"/>
      <c r="H2770" s="18"/>
    </row>
    <row r="2771" spans="1:8" ht="13.2">
      <c r="A2771" s="15" t="s">
        <v>3123</v>
      </c>
      <c r="B2771" s="30" t="s">
        <v>3124</v>
      </c>
      <c r="C2771" s="24">
        <v>4.5</v>
      </c>
      <c r="D2771" s="26" t="str">
        <f>HYPERLINK("https://github.com/MeGaCrazy/CompetitiveProgramming/blob/3cbda68406690211520916e985889ce97f3539b5/UVA/UVA_11626.cpp","Sol")</f>
        <v>Sol</v>
      </c>
      <c r="E2771" s="17" t="s">
        <v>3065</v>
      </c>
      <c r="F2771" s="17"/>
      <c r="G2771" s="18"/>
      <c r="H2771" s="18"/>
    </row>
    <row r="2772" spans="1:8" ht="13.2">
      <c r="A2772" s="15" t="s">
        <v>3125</v>
      </c>
      <c r="B2772" s="29" t="s">
        <v>3073</v>
      </c>
      <c r="C2772" s="33">
        <v>4</v>
      </c>
      <c r="D2772" s="26" t="str">
        <f>HYPERLINK("https://github.com/MeGaCrazy/CompetitiveProgramming/blob/9ece9fb5793c170b4c0c7990925909f603bfe91d/SPOJ/SPOJ_BSHEEP.cpp","Sol")</f>
        <v>Sol</v>
      </c>
      <c r="E2772" s="17" t="s">
        <v>3065</v>
      </c>
      <c r="F2772" s="17"/>
      <c r="G2772" s="18"/>
      <c r="H2772" s="18"/>
    </row>
    <row r="2773" spans="1:8" ht="13.2">
      <c r="A2773" s="15" t="s">
        <v>3126</v>
      </c>
      <c r="B2773" s="30" t="s">
        <v>3127</v>
      </c>
      <c r="C2773" s="24">
        <v>2</v>
      </c>
      <c r="D2773" s="26" t="str">
        <f>HYPERLINK("https://github.com/MeGaCrazy/CompetitiveProgramming/blob/c0be86b2a38768b19efa8a1665febb1b03a9edd6/UVA/UVA_10002.cpp","Sol")</f>
        <v>Sol</v>
      </c>
      <c r="E2773" s="17" t="s">
        <v>3065</v>
      </c>
      <c r="F2773" s="17"/>
      <c r="G2773" s="18"/>
      <c r="H2773" s="18"/>
    </row>
    <row r="2774" spans="1:8" ht="13.2">
      <c r="A2774" s="15" t="s">
        <v>3128</v>
      </c>
      <c r="B2774" s="16" t="s">
        <v>3129</v>
      </c>
      <c r="C2774" s="17">
        <v>7</v>
      </c>
      <c r="D2774" s="18"/>
      <c r="E2774" s="17" t="s">
        <v>3130</v>
      </c>
      <c r="F2774" s="17"/>
      <c r="G2774" s="18"/>
      <c r="H2774" s="18"/>
    </row>
    <row r="2775" spans="1:8" ht="13.2">
      <c r="A2775" s="19" t="str">
        <f>HYPERLINK("https://www.hackerrank.com/challenges/polygon","HACKR polygon")</f>
        <v>HACKR polygon</v>
      </c>
      <c r="B2775" s="28" t="s">
        <v>3131</v>
      </c>
      <c r="C2775" s="24">
        <v>7</v>
      </c>
      <c r="D2775" s="18" t="s">
        <v>2519</v>
      </c>
      <c r="E2775" s="17" t="s">
        <v>3130</v>
      </c>
      <c r="F2775" s="17"/>
      <c r="G2775" s="18"/>
      <c r="H2775" s="18"/>
    </row>
    <row r="2776" spans="1:8" ht="13.2">
      <c r="A2776" s="15" t="s">
        <v>3132</v>
      </c>
      <c r="B2776" s="28" t="s">
        <v>3129</v>
      </c>
      <c r="C2776" s="17">
        <v>6</v>
      </c>
      <c r="D2776" s="18" t="s">
        <v>3133</v>
      </c>
      <c r="E2776" s="17" t="s">
        <v>3130</v>
      </c>
      <c r="F2776" s="17"/>
      <c r="G2776" s="18"/>
      <c r="H2776" s="18"/>
    </row>
    <row r="2777" spans="1:8" ht="13.2">
      <c r="A2777" s="15" t="s">
        <v>3134</v>
      </c>
      <c r="B2777" s="28" t="s">
        <v>3129</v>
      </c>
      <c r="C2777" s="24">
        <v>5.75</v>
      </c>
      <c r="D2777" s="26" t="str">
        <f>HYPERLINK("https://searchcode.com/file/96026932/USACO/Chapter%203/3.4.3%20-%20fence9.cpp","Sol at")</f>
        <v>Sol at</v>
      </c>
      <c r="E2777" s="17" t="s">
        <v>3130</v>
      </c>
      <c r="F2777" s="17"/>
      <c r="G2777" s="18"/>
      <c r="H2777" s="18"/>
    </row>
    <row r="2778" spans="1:8" ht="13.2">
      <c r="A2778" s="19" t="str">
        <f>HYPERLINK("https://uva.onlinejudge.org/index.php?option=onlinejudge&amp;page=show_problem&amp;problem=1029","UVA 10088")</f>
        <v>UVA 10088</v>
      </c>
      <c r="B2778" s="29" t="s">
        <v>3135</v>
      </c>
      <c r="C2778" s="17">
        <v>5</v>
      </c>
      <c r="D2778" s="26" t="str">
        <f>HYPERLINK("https://github.com/ZeyadKhattab/Competitive-Programming/blob/master/UVA/UVA%2010088.java","Sol")</f>
        <v>Sol</v>
      </c>
      <c r="E2778" s="17" t="s">
        <v>3130</v>
      </c>
      <c r="F2778" s="17" t="s">
        <v>139</v>
      </c>
      <c r="G2778" s="18"/>
      <c r="H2778" s="18"/>
    </row>
    <row r="2779" spans="1:8" ht="13.2">
      <c r="A2779" s="15" t="s">
        <v>3136</v>
      </c>
      <c r="B2779" s="28" t="s">
        <v>3137</v>
      </c>
      <c r="C2779" s="24">
        <v>4.5</v>
      </c>
      <c r="D2779" s="26" t="str">
        <f>HYPERLINK("https://github.com/MeGaCrazy/CompetitiveProgramming/blob/8b73df41b564d85111013c8906f695b8420cd7d5/UVA/UVA_1641.cpp","Sol")</f>
        <v>Sol</v>
      </c>
      <c r="E2779" s="17" t="s">
        <v>3130</v>
      </c>
      <c r="F2779" s="17" t="s">
        <v>229</v>
      </c>
      <c r="G2779" s="18"/>
      <c r="H2779" s="18"/>
    </row>
    <row r="2780" spans="1:8" ht="13.2">
      <c r="A2780" s="19" t="str">
        <f>HYPERLINK("acm.tju.edu.cn/toj/showp1011.html","TJU 1011")</f>
        <v>TJU 1011</v>
      </c>
      <c r="B2780" s="29" t="s">
        <v>3129</v>
      </c>
      <c r="C2780" s="17">
        <v>4.5</v>
      </c>
      <c r="D2780" s="26" t="str">
        <f>HYPERLINK("https://github.com/MedoN11/CompetitiveProgramming/blob/master/TJU/1011.cpp","Sol")</f>
        <v>Sol</v>
      </c>
      <c r="E2780" s="17" t="s">
        <v>3130</v>
      </c>
      <c r="F2780" s="17" t="s">
        <v>242</v>
      </c>
      <c r="G2780" s="18"/>
      <c r="H2780" s="18"/>
    </row>
    <row r="2781" spans="1:8" ht="13.2">
      <c r="A2781" s="15" t="s">
        <v>3138</v>
      </c>
      <c r="B2781" s="16" t="s">
        <v>3139</v>
      </c>
      <c r="C2781" s="17">
        <v>9</v>
      </c>
      <c r="D2781" s="18"/>
      <c r="E2781" s="17" t="s">
        <v>3140</v>
      </c>
      <c r="F2781" s="17"/>
      <c r="G2781" s="18"/>
      <c r="H2781" s="18"/>
    </row>
    <row r="2782" spans="1:8" ht="13.2">
      <c r="A2782" s="15" t="s">
        <v>3141</v>
      </c>
      <c r="B2782" s="16" t="s">
        <v>3139</v>
      </c>
      <c r="C2782" s="17">
        <v>9</v>
      </c>
      <c r="D2782" s="18"/>
      <c r="E2782" s="17" t="s">
        <v>3140</v>
      </c>
      <c r="F2782" s="17"/>
      <c r="G2782" s="18"/>
      <c r="H2782" s="18"/>
    </row>
    <row r="2783" spans="1:8" ht="13.2">
      <c r="A2783" s="15" t="s">
        <v>3142</v>
      </c>
      <c r="B2783" s="16" t="s">
        <v>3143</v>
      </c>
      <c r="C2783" s="17">
        <v>8.5</v>
      </c>
      <c r="D2783" s="18"/>
      <c r="E2783" s="17" t="s">
        <v>3140</v>
      </c>
      <c r="F2783" s="17"/>
      <c r="G2783" s="18"/>
      <c r="H2783" s="18"/>
    </row>
    <row r="2784" spans="1:8" ht="13.2">
      <c r="A2784" s="15" t="s">
        <v>3144</v>
      </c>
      <c r="B2784" s="16" t="s">
        <v>3145</v>
      </c>
      <c r="C2784" s="17">
        <v>8.5</v>
      </c>
      <c r="D2784" s="18"/>
      <c r="E2784" s="17" t="s">
        <v>3140</v>
      </c>
      <c r="F2784" s="17"/>
      <c r="G2784" s="18"/>
      <c r="H2784" s="18"/>
    </row>
    <row r="2785" spans="1:8" ht="13.2">
      <c r="A2785" s="15" t="s">
        <v>3146</v>
      </c>
      <c r="B2785" s="28" t="s">
        <v>3147</v>
      </c>
      <c r="C2785" s="24">
        <v>7.5</v>
      </c>
      <c r="D2785" s="26" t="str">
        <f>HYPERLINK("https://github.com/DrSchwad/CompetitiveProgramming/blob/master/SPOJ/SPOJ%20VCIRCLES.cpp","Sol")</f>
        <v>Sol</v>
      </c>
      <c r="E2785" s="17" t="s">
        <v>3140</v>
      </c>
      <c r="F2785" s="17" t="s">
        <v>154</v>
      </c>
      <c r="G2785" s="18"/>
      <c r="H2785" s="18"/>
    </row>
    <row r="2786" spans="1:8" ht="13.2">
      <c r="A2786" s="15" t="s">
        <v>3148</v>
      </c>
      <c r="B2786" s="29" t="s">
        <v>3149</v>
      </c>
      <c r="C2786" s="17">
        <v>7.5</v>
      </c>
      <c r="D2786" s="26" t="str">
        <f>HYPERLINK("https://github.com/shanto86/Training/blob/master/UVA/UVA%201308.cpp","Sol")</f>
        <v>Sol</v>
      </c>
      <c r="E2786" s="17" t="s">
        <v>3140</v>
      </c>
      <c r="F2786" s="17" t="s">
        <v>242</v>
      </c>
      <c r="G2786" s="18"/>
      <c r="H2786" s="18"/>
    </row>
    <row r="2787" spans="1:8" ht="13.2">
      <c r="A2787" s="15" t="s">
        <v>3150</v>
      </c>
      <c r="B2787" s="18" t="s">
        <v>3139</v>
      </c>
      <c r="C2787" s="17">
        <v>7.5</v>
      </c>
      <c r="D2787" s="18"/>
      <c r="E2787" s="17" t="s">
        <v>3140</v>
      </c>
      <c r="F2787" s="17"/>
      <c r="G2787" s="18"/>
      <c r="H2787" s="18"/>
    </row>
    <row r="2788" spans="1:8" ht="13.2">
      <c r="A2788" s="15" t="s">
        <v>3151</v>
      </c>
      <c r="B2788" s="18" t="s">
        <v>3139</v>
      </c>
      <c r="C2788" s="17">
        <v>7.5</v>
      </c>
      <c r="D2788" s="18"/>
      <c r="E2788" s="17" t="s">
        <v>3140</v>
      </c>
      <c r="F2788" s="17"/>
      <c r="G2788" s="18"/>
      <c r="H2788" s="18"/>
    </row>
    <row r="2789" spans="1:8" ht="13.2">
      <c r="A2789" s="15" t="s">
        <v>3152</v>
      </c>
      <c r="B2789" s="16" t="s">
        <v>3153</v>
      </c>
      <c r="C2789" s="17">
        <v>7.5</v>
      </c>
      <c r="D2789" s="18"/>
      <c r="E2789" s="17" t="s">
        <v>3140</v>
      </c>
      <c r="F2789" s="17"/>
      <c r="G2789" s="18"/>
      <c r="H2789" s="18"/>
    </row>
    <row r="2790" spans="1:8" ht="13.2">
      <c r="A2790" s="19" t="str">
        <f>HYPERLINK("http://codeforces.com/contest/35/problem/E","CF35-D2-E")</f>
        <v>CF35-D2-E</v>
      </c>
      <c r="B2790" s="29" t="s">
        <v>3154</v>
      </c>
      <c r="C2790" s="17">
        <v>7.5</v>
      </c>
      <c r="D2790" s="18"/>
      <c r="E2790" s="17" t="s">
        <v>3140</v>
      </c>
      <c r="F2790" s="17"/>
      <c r="G2790" s="18"/>
      <c r="H2790" s="18"/>
    </row>
    <row r="2791" spans="1:8" ht="13.2">
      <c r="A2791" s="19" t="str">
        <f>HYPERLINK("https://community.topcoder.com/stat?c=problem_statement&amp;pm=10796","TC(CORNERSDECODING)")</f>
        <v>TC(CORNERSDECODING)</v>
      </c>
      <c r="B2791" s="28" t="s">
        <v>3139</v>
      </c>
      <c r="C2791" s="24">
        <v>7.25</v>
      </c>
      <c r="D2791" s="26" t="str">
        <f>HYPERLINK("https://github.com/MedoN11/CompetitiveProgramming/blob/master/TopCoder/TC(CORNERSDECODING).cpp","Sol")</f>
        <v>Sol</v>
      </c>
      <c r="E2791" s="17" t="s">
        <v>3140</v>
      </c>
      <c r="F2791" s="17"/>
      <c r="G2791" s="18"/>
      <c r="H2791" s="18"/>
    </row>
    <row r="2792" spans="1:8" ht="13.2">
      <c r="A2792" s="15" t="s">
        <v>3155</v>
      </c>
      <c r="B2792" s="18" t="s">
        <v>3156</v>
      </c>
      <c r="C2792" s="17">
        <v>7.25</v>
      </c>
      <c r="D2792" s="18"/>
      <c r="E2792" s="17" t="s">
        <v>3140</v>
      </c>
      <c r="F2792" s="17"/>
      <c r="G2792" s="18"/>
      <c r="H2792" s="18"/>
    </row>
    <row r="2793" spans="1:8" ht="13.2">
      <c r="A2793" s="15" t="s">
        <v>3157</v>
      </c>
      <c r="B2793" s="16" t="s">
        <v>3158</v>
      </c>
      <c r="C2793" s="17">
        <v>7.25</v>
      </c>
      <c r="D2793" s="18"/>
      <c r="E2793" s="17" t="s">
        <v>3140</v>
      </c>
      <c r="F2793" s="17"/>
      <c r="G2793" s="18"/>
      <c r="H2793" s="18"/>
    </row>
    <row r="2794" spans="1:8" ht="13.2">
      <c r="A2794" s="19" t="str">
        <f>HYPERLINK("http://codeforces.com/contest/685/problem/D","CF685-D1-D")</f>
        <v>CF685-D1-D</v>
      </c>
      <c r="B2794" s="15" t="s">
        <v>3139</v>
      </c>
      <c r="C2794" s="24">
        <v>7</v>
      </c>
      <c r="D2794" s="18"/>
      <c r="E2794" s="17" t="s">
        <v>3140</v>
      </c>
      <c r="F2794" s="17"/>
      <c r="G2794" s="18"/>
      <c r="H2794" s="18"/>
    </row>
    <row r="2795" spans="1:8" ht="13.2">
      <c r="A2795" s="15" t="s">
        <v>3159</v>
      </c>
      <c r="B2795" s="16" t="s">
        <v>3160</v>
      </c>
      <c r="C2795" s="17">
        <v>7</v>
      </c>
      <c r="D2795" s="18"/>
      <c r="E2795" s="17" t="s">
        <v>3140</v>
      </c>
      <c r="F2795" s="17"/>
      <c r="G2795" s="18"/>
      <c r="H2795" s="18"/>
    </row>
    <row r="2796" spans="1:8" ht="13.2">
      <c r="A2796" s="15" t="s">
        <v>3161</v>
      </c>
      <c r="B2796" s="28" t="s">
        <v>3162</v>
      </c>
      <c r="C2796" s="24">
        <v>6.6</v>
      </c>
      <c r="D2796" s="26" t="str">
        <f>HYPERLINK("https://github.com/mostafa-saad/MyCompetitiveProgramming/blob/master/SPOJ/SPOJ_RAIN1.txt","Sol")</f>
        <v>Sol</v>
      </c>
      <c r="E2796" s="17" t="s">
        <v>3140</v>
      </c>
      <c r="F2796" s="17" t="s">
        <v>1164</v>
      </c>
      <c r="G2796" s="18"/>
      <c r="H2796" s="18"/>
    </row>
    <row r="2797" spans="1:8" ht="13.2">
      <c r="A2797" s="15" t="s">
        <v>3163</v>
      </c>
      <c r="B2797" s="28" t="s">
        <v>3164</v>
      </c>
      <c r="C2797" s="24">
        <v>6.5</v>
      </c>
      <c r="D2797" s="26" t="str">
        <f>HYPERLINK("https://github.com/mostafa-saad/MyCompetitiveProgramming/blob/master/UVA/UVA_10043.txt","Sol")</f>
        <v>Sol</v>
      </c>
      <c r="E2797" s="17" t="s">
        <v>3140</v>
      </c>
      <c r="F2797" s="17" t="s">
        <v>154</v>
      </c>
      <c r="G2797" s="18"/>
      <c r="H2797" s="18"/>
    </row>
    <row r="2798" spans="1:8" ht="13.2">
      <c r="A2798" s="15" t="s">
        <v>3165</v>
      </c>
      <c r="B2798" s="28" t="s">
        <v>3166</v>
      </c>
      <c r="C2798" s="24">
        <v>6.5</v>
      </c>
      <c r="D2798" s="26" t="str">
        <f>HYPERLINK("https://www.quora.com/What-is-the-approach-to-solve-2051-cell-phone-CERC07C-on-SPOJ","Editorial")</f>
        <v>Editorial</v>
      </c>
      <c r="E2798" s="17" t="s">
        <v>3140</v>
      </c>
      <c r="F2798" s="17" t="s">
        <v>154</v>
      </c>
      <c r="G2798" s="18"/>
      <c r="H2798" s="18"/>
    </row>
    <row r="2799" spans="1:8" ht="13.2">
      <c r="A2799" s="15" t="s">
        <v>3167</v>
      </c>
      <c r="B2799" s="29" t="s">
        <v>3168</v>
      </c>
      <c r="C2799" s="24">
        <v>6.5</v>
      </c>
      <c r="D2799" s="26" t="str">
        <f>HYPERLINK("https://github.com/DrSchwad/CompetitiveProgramming/blob/master/UVA/UVA%2012226.cpp","Sol")</f>
        <v>Sol</v>
      </c>
      <c r="E2799" s="17" t="s">
        <v>3140</v>
      </c>
      <c r="F2799" s="17" t="s">
        <v>154</v>
      </c>
      <c r="G2799" s="18"/>
      <c r="H2799" s="18"/>
    </row>
    <row r="2800" spans="1:8" ht="13.2">
      <c r="A2800" s="19" t="str">
        <f>HYPERLINK("http://codeforces.com/contest/845/problem/E","CF845-D12-E")</f>
        <v>CF845-D12-E</v>
      </c>
      <c r="B2800" s="15" t="s">
        <v>3169</v>
      </c>
      <c r="C2800" s="17">
        <v>6.5</v>
      </c>
      <c r="D2800" s="18"/>
      <c r="E2800" s="17" t="s">
        <v>3140</v>
      </c>
      <c r="F2800" s="17" t="s">
        <v>139</v>
      </c>
      <c r="G2800" s="18"/>
      <c r="H2800" s="18"/>
    </row>
    <row r="2801" spans="1:8" ht="13.2">
      <c r="A2801" s="15" t="s">
        <v>3170</v>
      </c>
      <c r="B2801" s="28" t="s">
        <v>3171</v>
      </c>
      <c r="C2801" s="17">
        <v>6.5</v>
      </c>
      <c r="D2801" s="26" t="str">
        <f>HYPERLINK("https://github.com/mostafa-saad/MyCompetitiveProgramming/blob/master/UVA/UVA_303.txt","Sol")</f>
        <v>Sol</v>
      </c>
      <c r="E2801" s="17" t="s">
        <v>3140</v>
      </c>
      <c r="F2801" s="17" t="s">
        <v>227</v>
      </c>
      <c r="G2801" s="18"/>
      <c r="H2801" s="18"/>
    </row>
    <row r="2802" spans="1:8" ht="13.2">
      <c r="A2802" s="19" t="str">
        <f>HYPERLINK("https://icpcarchive.ecs.baylor.edu/index.php?option=onlinejudge&amp;page=show_problem&amp;problem=3806","LIVEARCHIVE 5795")</f>
        <v>LIVEARCHIVE 5795</v>
      </c>
      <c r="B2802" s="28" t="s">
        <v>3172</v>
      </c>
      <c r="C2802" s="17">
        <v>6.5</v>
      </c>
      <c r="D2802" s="26" t="str">
        <f>HYPERLINK("https://gist.github.com/mejito/2166667","Sol (no editorial)")</f>
        <v>Sol (no editorial)</v>
      </c>
      <c r="E2802" s="24" t="s">
        <v>3140</v>
      </c>
      <c r="F2802" s="17"/>
      <c r="G2802" s="18"/>
      <c r="H2802" s="18"/>
    </row>
    <row r="2803" spans="1:8" ht="13.2">
      <c r="A2803" s="19" t="str">
        <f>HYPERLINK("https://onlinejudge.org/index.php?option=onlinejudge&amp;Itemid=8&amp;page=show_problem&amp;problem=1554","UVA 10613")</f>
        <v>UVA 10613</v>
      </c>
      <c r="B2803" s="28" t="s">
        <v>3173</v>
      </c>
      <c r="C2803" s="24">
        <v>6.3</v>
      </c>
      <c r="D2803" s="26" t="str">
        <f>HYPERLINK("https://github.com/DrSchwad/CompetitiveProgramming/blob/master/UVA/UVA%2010613.cpp","Sol")</f>
        <v>Sol</v>
      </c>
      <c r="E2803" s="17" t="s">
        <v>3140</v>
      </c>
      <c r="F2803" s="17" t="s">
        <v>139</v>
      </c>
      <c r="G2803" s="18"/>
      <c r="H2803" s="18"/>
    </row>
    <row r="2804" spans="1:8" ht="13.2">
      <c r="A2804" s="15" t="s">
        <v>3174</v>
      </c>
      <c r="B2804" s="18" t="s">
        <v>3139</v>
      </c>
      <c r="C2804" s="17">
        <v>6.25</v>
      </c>
      <c r="D2804" s="26" t="str">
        <f>HYPERLINK("https://github.com/mostafa-saad/MyCompetitiveProgramming/blob/master/UVA/UVA_1468.txt","Sol")</f>
        <v>Sol</v>
      </c>
      <c r="E2804" s="17" t="s">
        <v>3140</v>
      </c>
      <c r="F2804" s="17" t="s">
        <v>139</v>
      </c>
      <c r="G2804" s="18"/>
      <c r="H2804" s="18"/>
    </row>
    <row r="2805" spans="1:8" ht="13.2">
      <c r="A2805" s="19" t="str">
        <f>HYPERLINK("https://onlinejudge.org/index.php?option=com_onlinejudge&amp;Itemid=8&amp;category=117&amp;page=show_problem&amp;problem=2751","UVA 11704")</f>
        <v>UVA 11704</v>
      </c>
      <c r="B2805" s="28" t="s">
        <v>3175</v>
      </c>
      <c r="C2805" s="17">
        <v>6.25</v>
      </c>
      <c r="D2805" s="26" t="str">
        <f>HYPERLINK("https://github.com/DrSchwad/CompetitiveProgramming/blob/master/UVA/UVA%2011704.cpp","Sol")</f>
        <v>Sol</v>
      </c>
      <c r="E2805" s="17" t="s">
        <v>3140</v>
      </c>
      <c r="F2805" s="17" t="s">
        <v>139</v>
      </c>
      <c r="G2805" s="18"/>
      <c r="H2805" s="18"/>
    </row>
    <row r="2806" spans="1:8" ht="13.2">
      <c r="A2806" s="19" t="str">
        <f>HYPERLINK("https://csacademy.com/contest/round-67/task/falling-balls/","CSA67-D")</f>
        <v>CSA67-D</v>
      </c>
      <c r="B2806" s="15" t="s">
        <v>3176</v>
      </c>
      <c r="C2806" s="17">
        <v>6.25</v>
      </c>
      <c r="D2806" s="18"/>
      <c r="E2806" s="17" t="s">
        <v>3140</v>
      </c>
      <c r="F2806" s="17" t="s">
        <v>139</v>
      </c>
      <c r="G2806" s="18"/>
      <c r="H2806" s="18"/>
    </row>
    <row r="2807" spans="1:8" ht="13.2">
      <c r="A2807" s="15" t="s">
        <v>3177</v>
      </c>
      <c r="B2807" s="28" t="s">
        <v>3178</v>
      </c>
      <c r="C2807" s="17">
        <v>6.25</v>
      </c>
      <c r="D2807" s="26" t="str">
        <f>HYPERLINK("https://github.com/pranavjangir/CompetitiveProgramming/blob/master/LiveArchive/LIVEARCHIVE%206348.cpp","Sol")</f>
        <v>Sol</v>
      </c>
      <c r="E2807" s="24" t="s">
        <v>3140</v>
      </c>
      <c r="F2807" s="17"/>
      <c r="G2807" s="18"/>
      <c r="H2807" s="18"/>
    </row>
    <row r="2808" spans="1:8" ht="13.2">
      <c r="A2808" s="15" t="s">
        <v>3179</v>
      </c>
      <c r="B2808" s="18" t="s">
        <v>3180</v>
      </c>
      <c r="C2808" s="17">
        <v>6.25</v>
      </c>
      <c r="D2808" s="26" t="str">
        <f>HYPERLINK("https://github.com/mostafa-saad/MyCompetitiveProgramming/blob/master/SPOJ/SPOJ_WILD.txt","Sol")</f>
        <v>Sol</v>
      </c>
      <c r="E2808" s="17" t="s">
        <v>3140</v>
      </c>
      <c r="F2808" s="17"/>
      <c r="G2808" s="18"/>
      <c r="H2808" s="18"/>
    </row>
    <row r="2809" spans="1:8" ht="13.2">
      <c r="A2809" s="19" t="str">
        <f>HYPERLINK("https://codeforces.com/contest/1284/problem/D","CF1284-D12-D")</f>
        <v>CF1284-D12-D</v>
      </c>
      <c r="B2809" s="20" t="s">
        <v>3181</v>
      </c>
      <c r="C2809" s="21">
        <v>6</v>
      </c>
      <c r="D2809" s="18"/>
      <c r="E2809" s="17" t="s">
        <v>3140</v>
      </c>
      <c r="F2809" s="17" t="s">
        <v>139</v>
      </c>
      <c r="G2809" s="18"/>
      <c r="H2809" s="18"/>
    </row>
    <row r="2810" spans="1:8" ht="13.2">
      <c r="A2810" s="19" t="str">
        <f>HYPERLINK("https://icpcarchive.ecs.baylor.edu/index.php?option=com_onlinejudge&amp;Itemid=8&amp;category=18&amp;page=show_problem&amp;problem=1526","Livearchive 3525")</f>
        <v>Livearchive 3525</v>
      </c>
      <c r="B2810" s="15" t="s">
        <v>3182</v>
      </c>
      <c r="C2810" s="17">
        <v>6</v>
      </c>
      <c r="D2810" s="26" t="str">
        <f>HYPERLINK("https://algorithmist.com/wiki/LA_3525","Sol")</f>
        <v>Sol</v>
      </c>
      <c r="E2810" s="17" t="s">
        <v>3140</v>
      </c>
      <c r="F2810" s="17" t="s">
        <v>139</v>
      </c>
      <c r="G2810" s="18"/>
      <c r="H2810" s="18"/>
    </row>
    <row r="2811" spans="1:8" ht="13.2">
      <c r="A2811" s="15" t="s">
        <v>3183</v>
      </c>
      <c r="B2811" s="28" t="s">
        <v>3184</v>
      </c>
      <c r="C2811" s="17">
        <v>6</v>
      </c>
      <c r="D2811" s="26" t="str">
        <f>HYPERLINK("https://github.com/mostafa-saad/MyCompetitiveProgramming/blob/master/SPOJ/SPOJ_SHORTCUT.txt","Sol")</f>
        <v>Sol</v>
      </c>
      <c r="E2811" s="17" t="s">
        <v>3140</v>
      </c>
      <c r="F2811" s="17" t="s">
        <v>139</v>
      </c>
      <c r="G2811" s="18"/>
      <c r="H2811" s="18"/>
    </row>
    <row r="2812" spans="1:8" ht="13.2">
      <c r="A2812" s="15" t="s">
        <v>3185</v>
      </c>
      <c r="B2812" s="28" t="s">
        <v>3139</v>
      </c>
      <c r="C2812" s="24">
        <v>6</v>
      </c>
      <c r="D2812" s="18"/>
      <c r="E2812" s="17" t="s">
        <v>3140</v>
      </c>
      <c r="F2812" s="17"/>
      <c r="G2812" s="18"/>
      <c r="H2812" s="18"/>
    </row>
    <row r="2813" spans="1:8" ht="13.2">
      <c r="A2813" s="15" t="s">
        <v>3186</v>
      </c>
      <c r="B2813" s="28" t="s">
        <v>3187</v>
      </c>
      <c r="C2813" s="17">
        <v>6</v>
      </c>
      <c r="D2813" s="18"/>
      <c r="E2813" s="17" t="s">
        <v>3140</v>
      </c>
      <c r="F2813" s="17"/>
      <c r="G2813" s="18"/>
      <c r="H2813" s="18"/>
    </row>
    <row r="2814" spans="1:8" ht="13.2">
      <c r="A2814" s="19" t="str">
        <f>HYPERLINK("http://codeforces.com/gym/101147/problem/I","CF101147-GYM-I")</f>
        <v>CF101147-GYM-I</v>
      </c>
      <c r="B2814" s="28" t="s">
        <v>3188</v>
      </c>
      <c r="C2814" s="17">
        <v>5.5</v>
      </c>
      <c r="D2814" s="26" t="str">
        <f>HYPERLINK("https://github.com/mostafa-saad/MyCompetitiveProgramming/blob/master/Codeforces/CF101147-GYM-I.txt","Sol")</f>
        <v>Sol</v>
      </c>
      <c r="E2814" s="17" t="s">
        <v>3140</v>
      </c>
      <c r="F2814" s="17" t="s">
        <v>139</v>
      </c>
      <c r="G2814" s="18"/>
      <c r="H2814" s="18"/>
    </row>
    <row r="2815" spans="1:8" ht="13.2">
      <c r="A2815" s="19" t="str">
        <f>HYPERLINK("https://codeforces.com/contest/1278/problem/D","CF1278-D12-D")</f>
        <v>CF1278-D12-D</v>
      </c>
      <c r="B2815" s="20" t="s">
        <v>3189</v>
      </c>
      <c r="C2815" s="21">
        <v>5.5</v>
      </c>
      <c r="D2815" s="18"/>
      <c r="E2815" s="17" t="s">
        <v>3140</v>
      </c>
      <c r="F2815" s="17" t="s">
        <v>139</v>
      </c>
      <c r="G2815" s="18"/>
      <c r="H2815" s="18"/>
    </row>
    <row r="2816" spans="1:8" ht="13.2">
      <c r="A2816" s="19" t="str">
        <f>HYPERLINK("https://codeforces.com/contest/1046/problem/A","CF1046-D12-A")</f>
        <v>CF1046-D12-A</v>
      </c>
      <c r="B2816" s="15" t="s">
        <v>3190</v>
      </c>
      <c r="C2816" s="17">
        <v>5.5</v>
      </c>
      <c r="D2816" s="18"/>
      <c r="E2816" s="17" t="s">
        <v>3140</v>
      </c>
      <c r="F2816" s="17" t="s">
        <v>139</v>
      </c>
      <c r="G2816" s="18"/>
      <c r="H2816" s="18"/>
    </row>
    <row r="2817" spans="1:8" ht="13.2">
      <c r="A2817" s="19" t="str">
        <f>HYPERLINK("http://codeforces.com/contest/496/problem/E","CF496-D2-E")</f>
        <v>CF496-D2-E</v>
      </c>
      <c r="B2817" s="15" t="s">
        <v>3191</v>
      </c>
      <c r="C2817" s="24">
        <v>5.5</v>
      </c>
      <c r="D2817" s="18"/>
      <c r="E2817" s="17" t="s">
        <v>3140</v>
      </c>
      <c r="F2817" s="17" t="s">
        <v>201</v>
      </c>
      <c r="G2817" s="18"/>
      <c r="H2817" s="18"/>
    </row>
    <row r="2818" spans="1:8" ht="13.2">
      <c r="A2818" s="15" t="s">
        <v>3192</v>
      </c>
      <c r="B2818" s="30" t="s">
        <v>3139</v>
      </c>
      <c r="C2818" s="24">
        <v>5.5</v>
      </c>
      <c r="D2818" s="18"/>
      <c r="E2818" s="17" t="s">
        <v>3140</v>
      </c>
      <c r="F2818" s="17"/>
      <c r="G2818" s="18"/>
      <c r="H2818" s="18"/>
    </row>
    <row r="2819" spans="1:8" ht="13.2">
      <c r="A2819" s="15" t="s">
        <v>3193</v>
      </c>
      <c r="B2819" s="34" t="s">
        <v>3194</v>
      </c>
      <c r="C2819" s="31">
        <v>5.5</v>
      </c>
      <c r="D2819" s="26" t="str">
        <f>HYPERLINK("https://github.com/mostafa-saad/MyCompetitiveProgramming/blob/master/TopCoder/SRM206-D1-500.txt","Don't solve using BF/Greedy/ad-hoc ways. Use a technique")</f>
        <v>Don't solve using BF/Greedy/ad-hoc ways. Use a technique</v>
      </c>
      <c r="E2819" s="17" t="s">
        <v>3140</v>
      </c>
      <c r="F2819" s="17"/>
      <c r="G2819" s="18"/>
      <c r="H2819" s="18"/>
    </row>
    <row r="2820" spans="1:8" ht="13.2">
      <c r="A2820" s="15" t="s">
        <v>3195</v>
      </c>
      <c r="B2820" s="28" t="s">
        <v>3196</v>
      </c>
      <c r="C2820" s="24">
        <v>5.5</v>
      </c>
      <c r="D2820" s="18"/>
      <c r="E2820" s="17" t="s">
        <v>3140</v>
      </c>
      <c r="F2820" s="17"/>
      <c r="G2820" s="18"/>
      <c r="H2820" s="18"/>
    </row>
    <row r="2821" spans="1:8" ht="13.2">
      <c r="A2821" s="19" t="str">
        <f>HYPERLINK("http://codeforces.com/gym/100622/problem/C","CF100622-GYM-C")</f>
        <v>CF100622-GYM-C</v>
      </c>
      <c r="B2821" s="28" t="s">
        <v>3197</v>
      </c>
      <c r="C2821" s="17">
        <v>5.4</v>
      </c>
      <c r="D2821" s="26" t="str">
        <f>HYPERLINK("https://github.com/MohamedNabil97/CompetitiveProgramming/blob/master/CodeForces/CF100622-GYM-C.cpp","Sol")</f>
        <v>Sol</v>
      </c>
      <c r="E2821" s="17" t="s">
        <v>3140</v>
      </c>
      <c r="F2821" s="17" t="s">
        <v>139</v>
      </c>
      <c r="G2821" s="18"/>
      <c r="H2821" s="18"/>
    </row>
    <row r="2822" spans="1:8" ht="13.2">
      <c r="A2822" s="15" t="s">
        <v>3198</v>
      </c>
      <c r="B2822" s="28" t="s">
        <v>3188</v>
      </c>
      <c r="C2822" s="24">
        <v>5</v>
      </c>
      <c r="D2822" s="18"/>
      <c r="E2822" s="17" t="s">
        <v>3140</v>
      </c>
      <c r="F2822" s="17" t="s">
        <v>255</v>
      </c>
      <c r="G2822" s="18"/>
      <c r="H2822" s="18"/>
    </row>
    <row r="2823" spans="1:8" ht="13.2">
      <c r="A2823" s="15" t="s">
        <v>3199</v>
      </c>
      <c r="B2823" s="29" t="s">
        <v>3200</v>
      </c>
      <c r="C2823" s="24">
        <v>5</v>
      </c>
      <c r="D2823" s="26" t="str">
        <f>HYPERLINK("https://github.com/mostafa-saad/MyCompetitiveProgramming/blob/master/SPOJ/SPOJ_RIGHTTRI.txt","Sol")</f>
        <v>Sol</v>
      </c>
      <c r="E2823" s="17" t="s">
        <v>3140</v>
      </c>
      <c r="F2823" s="17" t="s">
        <v>201</v>
      </c>
      <c r="G2823" s="18"/>
      <c r="H2823" s="18"/>
    </row>
    <row r="2824" spans="1:8" ht="13.2">
      <c r="A2824" s="15" t="s">
        <v>3201</v>
      </c>
      <c r="B2824" s="28" t="s">
        <v>3202</v>
      </c>
      <c r="C2824" s="33">
        <v>4.5</v>
      </c>
      <c r="D2824" s="26" t="str">
        <f>HYPERLINK("https://github.com/mostafa-saad/MyCompetitiveProgramming/blob/master/PKU/PKU_1177.txt","Sol")</f>
        <v>Sol</v>
      </c>
      <c r="E2824" s="17" t="s">
        <v>3140</v>
      </c>
      <c r="F2824" s="17" t="s">
        <v>1164</v>
      </c>
      <c r="G2824" s="18"/>
      <c r="H2824" s="18"/>
    </row>
    <row r="2825" spans="1:8" ht="13.2">
      <c r="A2825" s="15" t="s">
        <v>3203</v>
      </c>
      <c r="B2825" s="28" t="s">
        <v>3204</v>
      </c>
      <c r="C2825" s="24">
        <v>4.5</v>
      </c>
      <c r="D2825" s="26" t="str">
        <f>HYPERLINK("https://github.com/mostafa-saad/MyCompetitiveProgramming/blob/master/SPOJ/SPOJ_CEPC08B.txt","Sol")</f>
        <v>Sol</v>
      </c>
      <c r="E2825" s="17" t="s">
        <v>3140</v>
      </c>
      <c r="F2825" s="17" t="s">
        <v>201</v>
      </c>
      <c r="G2825" s="18"/>
      <c r="H2825" s="18"/>
    </row>
    <row r="2826" spans="1:8" ht="13.2">
      <c r="A2826" s="19" t="str">
        <f>HYPERLINK("http://codeforces.com/contest/1000/problem/C","CF1000-D12-C")</f>
        <v>CF1000-D12-C</v>
      </c>
      <c r="B2826" s="15" t="s">
        <v>3139</v>
      </c>
      <c r="C2826" s="17">
        <v>4.5</v>
      </c>
      <c r="D2826" s="18"/>
      <c r="E2826" s="17" t="s">
        <v>3140</v>
      </c>
      <c r="F2826" s="17" t="s">
        <v>242</v>
      </c>
      <c r="G2826" s="18"/>
      <c r="H2826" s="18"/>
    </row>
    <row r="2827" spans="1:8" ht="13.2">
      <c r="A2827" s="15" t="s">
        <v>3205</v>
      </c>
      <c r="B2827" s="28" t="s">
        <v>3206</v>
      </c>
      <c r="C2827" s="24">
        <v>4</v>
      </c>
      <c r="D2827" s="26" t="str">
        <f>HYPERLINK("https://github.com/mostafa-saad/MyCompetitiveProgramming/blob/master/SPOJ/SPOJ_NKMARS.txt","Sol must read - video code has bug")</f>
        <v>Sol must read - video code has bug</v>
      </c>
      <c r="E2827" s="17" t="s">
        <v>3140</v>
      </c>
      <c r="F2827" s="17" t="s">
        <v>139</v>
      </c>
      <c r="G2827" s="18"/>
      <c r="H2827" s="18"/>
    </row>
    <row r="2828" spans="1:8" ht="13.2">
      <c r="A2828" s="15" t="s">
        <v>3207</v>
      </c>
      <c r="B2828" s="28" t="s">
        <v>3208</v>
      </c>
      <c r="C2828" s="24">
        <v>4</v>
      </c>
      <c r="D2828" s="26" t="str">
        <f>HYPERLINK("https://github.com/MohamedNabil97/CompetitiveProgramming/blob/master/UVA/11378.cpp","Sol")</f>
        <v>Sol</v>
      </c>
      <c r="E2828" s="17" t="s">
        <v>3140</v>
      </c>
      <c r="F2828" s="17"/>
      <c r="G2828" s="18"/>
      <c r="H2828" s="18"/>
    </row>
    <row r="2829" spans="1:8" ht="13.2">
      <c r="A2829" s="19" t="str">
        <f>HYPERLINK("https://www.hackerrank.com/contests/hourrank-26/challenges/cloudy-day/problem","HACKR cloudy-day")</f>
        <v>HACKR cloudy-day</v>
      </c>
      <c r="B2829" s="15" t="s">
        <v>3139</v>
      </c>
      <c r="C2829" s="17">
        <v>3.5</v>
      </c>
      <c r="D2829" s="18"/>
      <c r="E2829" s="17" t="s">
        <v>3140</v>
      </c>
      <c r="F2829" s="17"/>
      <c r="G2829" s="18"/>
      <c r="H2829" s="18"/>
    </row>
    <row r="2830" spans="1:8" ht="13.2">
      <c r="A2830" s="15" t="s">
        <v>3209</v>
      </c>
      <c r="B2830" s="28" t="s">
        <v>3210</v>
      </c>
      <c r="C2830" s="24">
        <v>3.5</v>
      </c>
      <c r="D2830" s="26" t="str">
        <f>HYPERLINK("https://github.com/aboodJAD/CompetitiveProgramming/blob/master/UVA/UVA%2010750.cpp","Sol")</f>
        <v>Sol</v>
      </c>
      <c r="E2830" s="17" t="s">
        <v>3140</v>
      </c>
      <c r="F2830" s="17"/>
      <c r="G2830" s="18"/>
      <c r="H2830" s="18"/>
    </row>
    <row r="2831" spans="1:8" ht="13.2">
      <c r="A2831" s="19" t="str">
        <f>HYPERLINK("http://codeforces.com/problemset/problem/845/C","CF845-D12-C")</f>
        <v>CF845-D12-C</v>
      </c>
      <c r="B2831" s="15" t="s">
        <v>3187</v>
      </c>
      <c r="C2831" s="40">
        <v>3</v>
      </c>
      <c r="D2831" s="18"/>
      <c r="E2831" s="17" t="s">
        <v>3140</v>
      </c>
      <c r="F2831" s="17"/>
      <c r="G2831" s="18"/>
      <c r="H2831" s="18"/>
    </row>
    <row r="2832" spans="1:8" ht="13.2">
      <c r="A2832" s="19" t="str">
        <f>HYPERLINK("https://uva.onlinejudge.org/index.php?option=com_onlinejudge&amp;Itemid=8&amp;page=show_problem&amp;problem=41","UVA 105")</f>
        <v>UVA 105</v>
      </c>
      <c r="B2832" s="29" t="s">
        <v>3211</v>
      </c>
      <c r="C2832" s="17">
        <v>3</v>
      </c>
      <c r="D2832" s="26" t="str">
        <f>HYPERLINK("https://github.com/MohamedNabil97/CompetitiveProgramming/blob/master/UVA/105.cpp","Use sweep algorithm. Sol")</f>
        <v>Use sweep algorithm. Sol</v>
      </c>
      <c r="E2832" s="17" t="s">
        <v>3140</v>
      </c>
      <c r="F2832" s="17"/>
      <c r="G2832" s="18"/>
      <c r="H2832" s="18"/>
    </row>
    <row r="2833" spans="1:8" ht="13.2">
      <c r="A2833" s="15" t="s">
        <v>3212</v>
      </c>
      <c r="B2833" s="16" t="s">
        <v>3213</v>
      </c>
      <c r="C2833" s="17">
        <v>9.5</v>
      </c>
      <c r="D2833" s="18"/>
      <c r="E2833" s="17" t="s">
        <v>3214</v>
      </c>
      <c r="F2833" s="17"/>
      <c r="G2833" s="18"/>
      <c r="H2833" s="18"/>
    </row>
    <row r="2834" spans="1:8" ht="13.2">
      <c r="A2834" s="15" t="s">
        <v>3215</v>
      </c>
      <c r="B2834" s="16" t="s">
        <v>3216</v>
      </c>
      <c r="C2834" s="17">
        <v>8.5</v>
      </c>
      <c r="D2834" s="18"/>
      <c r="E2834" s="17" t="s">
        <v>3214</v>
      </c>
      <c r="F2834" s="17"/>
      <c r="G2834" s="18"/>
      <c r="H2834" s="18"/>
    </row>
    <row r="2835" spans="1:8" ht="13.2">
      <c r="A2835" s="15" t="s">
        <v>3217</v>
      </c>
      <c r="B2835" s="28" t="s">
        <v>3218</v>
      </c>
      <c r="C2835" s="24">
        <v>8</v>
      </c>
      <c r="D2835" s="18"/>
      <c r="E2835" s="17" t="s">
        <v>3214</v>
      </c>
      <c r="F2835" s="17"/>
      <c r="G2835" s="18"/>
      <c r="H2835" s="18"/>
    </row>
    <row r="2836" spans="1:8" ht="13.2">
      <c r="A2836" s="15" t="s">
        <v>3219</v>
      </c>
      <c r="B2836" s="39" t="s">
        <v>3220</v>
      </c>
      <c r="C2836" s="40">
        <v>8</v>
      </c>
      <c r="D2836" s="18"/>
      <c r="E2836" s="17" t="s">
        <v>3214</v>
      </c>
      <c r="F2836" s="17"/>
      <c r="G2836" s="18"/>
      <c r="H2836" s="18"/>
    </row>
    <row r="2837" spans="1:8" ht="13.2">
      <c r="A2837" s="19" t="str">
        <f>HYPERLINK("http://codeforces.com/contest/89/problem/D","CF89-D1-D")</f>
        <v>CF89-D1-D</v>
      </c>
      <c r="B2837" s="29" t="s">
        <v>3221</v>
      </c>
      <c r="C2837" s="17">
        <v>7.75</v>
      </c>
      <c r="D2837" s="18"/>
      <c r="E2837" s="17" t="s">
        <v>3214</v>
      </c>
      <c r="F2837" s="17"/>
      <c r="G2837" s="18"/>
      <c r="H2837" s="18"/>
    </row>
    <row r="2838" spans="1:8" ht="13.2">
      <c r="A2838" s="15" t="s">
        <v>3222</v>
      </c>
      <c r="B2838" s="16" t="s">
        <v>3221</v>
      </c>
      <c r="C2838" s="17">
        <v>7.75</v>
      </c>
      <c r="D2838" s="18"/>
      <c r="E2838" s="17" t="s">
        <v>3214</v>
      </c>
      <c r="F2838" s="17"/>
      <c r="G2838" s="18"/>
      <c r="H2838" s="18"/>
    </row>
    <row r="2839" spans="1:8" ht="13.2">
      <c r="A2839" s="15" t="s">
        <v>3223</v>
      </c>
      <c r="B2839" s="41" t="s">
        <v>3224</v>
      </c>
      <c r="C2839" s="17">
        <v>7.5</v>
      </c>
      <c r="D2839" s="18"/>
      <c r="E2839" s="17" t="s">
        <v>3214</v>
      </c>
      <c r="F2839" s="17" t="s">
        <v>173</v>
      </c>
      <c r="G2839" s="18"/>
      <c r="H2839" s="18"/>
    </row>
    <row r="2840" spans="1:8" ht="13.2">
      <c r="A2840" s="15" t="s">
        <v>3225</v>
      </c>
      <c r="B2840" s="28" t="s">
        <v>3226</v>
      </c>
      <c r="C2840" s="24">
        <v>7.25</v>
      </c>
      <c r="D2840" s="18"/>
      <c r="E2840" s="17" t="s">
        <v>3214</v>
      </c>
      <c r="F2840" s="17"/>
      <c r="G2840" s="18"/>
      <c r="H2840" s="18"/>
    </row>
    <row r="2841" spans="1:8" ht="13.2">
      <c r="A2841" s="15" t="s">
        <v>3227</v>
      </c>
      <c r="B2841" s="15" t="s">
        <v>3221</v>
      </c>
      <c r="C2841" s="24">
        <v>7</v>
      </c>
      <c r="D2841" s="18"/>
      <c r="E2841" s="17" t="s">
        <v>3214</v>
      </c>
      <c r="F2841" s="17"/>
      <c r="G2841" s="18"/>
      <c r="H2841" s="18"/>
    </row>
    <row r="2842" spans="1:8" ht="13.2">
      <c r="A2842" s="15" t="s">
        <v>3228</v>
      </c>
      <c r="B2842" s="28" t="s">
        <v>3221</v>
      </c>
      <c r="C2842" s="17">
        <v>7</v>
      </c>
      <c r="D2842" s="18"/>
      <c r="E2842" s="17" t="s">
        <v>3214</v>
      </c>
      <c r="F2842" s="17"/>
      <c r="G2842" s="18"/>
      <c r="H2842" s="18"/>
    </row>
    <row r="2843" spans="1:8" ht="13.2">
      <c r="A2843" s="15" t="s">
        <v>3229</v>
      </c>
      <c r="B2843" s="16" t="s">
        <v>3230</v>
      </c>
      <c r="C2843" s="17">
        <v>7</v>
      </c>
      <c r="D2843" s="18"/>
      <c r="E2843" s="17" t="s">
        <v>3214</v>
      </c>
      <c r="F2843" s="17"/>
      <c r="G2843" s="18"/>
      <c r="H2843" s="18"/>
    </row>
    <row r="2844" spans="1:8" ht="13.2">
      <c r="A2844" s="15" t="s">
        <v>3231</v>
      </c>
      <c r="B2844" s="16" t="s">
        <v>3232</v>
      </c>
      <c r="C2844" s="17">
        <v>7</v>
      </c>
      <c r="D2844" s="18"/>
      <c r="E2844" s="17" t="s">
        <v>3214</v>
      </c>
      <c r="F2844" s="17"/>
      <c r="G2844" s="18"/>
      <c r="H2844" s="18"/>
    </row>
    <row r="2845" spans="1:8" ht="13.2">
      <c r="A2845" s="15" t="s">
        <v>3233</v>
      </c>
      <c r="B2845" s="29" t="s">
        <v>3234</v>
      </c>
      <c r="C2845" s="17">
        <v>7</v>
      </c>
      <c r="D2845" s="18"/>
      <c r="E2845" s="17" t="s">
        <v>3214</v>
      </c>
      <c r="F2845" s="17"/>
      <c r="G2845" s="18"/>
      <c r="H2845" s="18"/>
    </row>
    <row r="2846" spans="1:8" ht="13.2">
      <c r="A2846" s="15" t="s">
        <v>3235</v>
      </c>
      <c r="B2846" s="38" t="s">
        <v>3221</v>
      </c>
      <c r="C2846" s="24">
        <v>6.75</v>
      </c>
      <c r="D2846" s="18"/>
      <c r="E2846" s="17" t="s">
        <v>3214</v>
      </c>
      <c r="F2846" s="17"/>
      <c r="G2846" s="18"/>
      <c r="H2846" s="18"/>
    </row>
    <row r="2847" spans="1:8" ht="13.2">
      <c r="A2847" s="15" t="s">
        <v>3236</v>
      </c>
      <c r="B2847" s="38" t="s">
        <v>3237</v>
      </c>
      <c r="C2847" s="24">
        <v>6.75</v>
      </c>
      <c r="D2847" s="18"/>
      <c r="E2847" s="17" t="s">
        <v>3214</v>
      </c>
      <c r="F2847" s="17"/>
      <c r="G2847" s="18"/>
      <c r="H2847" s="18"/>
    </row>
    <row r="2848" spans="1:8" ht="13.2">
      <c r="A2848" s="15" t="s">
        <v>3238</v>
      </c>
      <c r="B2848" s="39" t="s">
        <v>3239</v>
      </c>
      <c r="C2848" s="24">
        <v>6</v>
      </c>
      <c r="D2848" s="26" t="str">
        <f>HYPERLINK("https://github.com/osamahatem/CompetitiveProgramming/blob/master/ZOJ/2369%20-%20Two%20Cylinders.cpp","Sol")</f>
        <v>Sol</v>
      </c>
      <c r="E2848" s="17" t="s">
        <v>3214</v>
      </c>
      <c r="F2848" s="17"/>
      <c r="G2848" s="18"/>
      <c r="H2848" s="18"/>
    </row>
    <row r="2849" spans="1:8" ht="13.2">
      <c r="A2849" s="15" t="s">
        <v>3240</v>
      </c>
      <c r="B2849" s="16" t="s">
        <v>3241</v>
      </c>
      <c r="C2849" s="17">
        <v>6</v>
      </c>
      <c r="D2849" s="18"/>
      <c r="E2849" s="17" t="s">
        <v>3214</v>
      </c>
      <c r="F2849" s="17"/>
      <c r="G2849" s="18"/>
      <c r="H2849" s="18"/>
    </row>
    <row r="2850" spans="1:8" ht="13.2">
      <c r="A2850" s="15" t="s">
        <v>3242</v>
      </c>
      <c r="B2850" s="28" t="s">
        <v>3243</v>
      </c>
      <c r="C2850" s="17">
        <v>5.5</v>
      </c>
      <c r="D2850" s="26" t="str">
        <f>HYPERLINK("https://github.com/AbdelrahmanRamadan/competitive-programming/blob/master/UVA/11232-Cylinder.cpp","Sol")</f>
        <v>Sol</v>
      </c>
      <c r="E2850" s="17" t="s">
        <v>3214</v>
      </c>
      <c r="F2850" s="17"/>
      <c r="G2850" s="18"/>
      <c r="H2850" s="18"/>
    </row>
    <row r="2851" spans="1:8" ht="13.2">
      <c r="A2851" s="19" t="str">
        <f>HYPERLINK("http://codeforces.com/contest/203/problem/D","CF203-D2-D")</f>
        <v>CF203-D2-D</v>
      </c>
      <c r="B2851" s="29" t="s">
        <v>3244</v>
      </c>
      <c r="C2851" s="17">
        <v>5</v>
      </c>
      <c r="D2851" s="18"/>
      <c r="E2851" s="17" t="s">
        <v>3214</v>
      </c>
      <c r="F2851" s="17" t="s">
        <v>139</v>
      </c>
      <c r="G2851" s="18"/>
      <c r="H2851" s="18"/>
    </row>
    <row r="2852" spans="1:8" ht="13.2">
      <c r="A2852" s="19" t="str">
        <f>HYPERLINK("http://codeforces.com/contest/65/problem/C","CF65-D12-C")</f>
        <v>CF65-D12-C</v>
      </c>
      <c r="B2852" s="29" t="s">
        <v>3245</v>
      </c>
      <c r="C2852" s="24">
        <v>5</v>
      </c>
      <c r="D2852" s="18"/>
      <c r="E2852" s="17" t="s">
        <v>3214</v>
      </c>
      <c r="F2852" s="17" t="s">
        <v>242</v>
      </c>
      <c r="G2852" s="18"/>
      <c r="H2852" s="18"/>
    </row>
    <row r="2853" spans="1:8" ht="13.2">
      <c r="A2853" s="19" t="str">
        <f>HYPERLINK("https://codeforces.com/contest/1237/problem/C2","CF1237-D12-C2")</f>
        <v>CF1237-D12-C2</v>
      </c>
      <c r="B2853" s="15" t="s">
        <v>3246</v>
      </c>
      <c r="C2853" s="17">
        <v>4.5</v>
      </c>
      <c r="D2853" s="18"/>
      <c r="E2853" s="17" t="s">
        <v>3214</v>
      </c>
      <c r="F2853" s="17" t="s">
        <v>139</v>
      </c>
      <c r="G2853" s="18"/>
      <c r="H2853" s="18"/>
    </row>
    <row r="2854" spans="1:8" ht="13.2">
      <c r="A2854" s="15" t="s">
        <v>3247</v>
      </c>
      <c r="B2854" s="41" t="s">
        <v>3248</v>
      </c>
      <c r="C2854" s="17">
        <v>4.5</v>
      </c>
      <c r="D2854" s="18"/>
      <c r="E2854" s="17" t="s">
        <v>3214</v>
      </c>
      <c r="F2854" s="17"/>
      <c r="G2854" s="18"/>
      <c r="H2854" s="18"/>
    </row>
    <row r="2855" spans="1:8" ht="13.2">
      <c r="A2855" s="15" t="s">
        <v>3249</v>
      </c>
      <c r="B2855" s="28" t="s">
        <v>3230</v>
      </c>
      <c r="C2855" s="24">
        <v>4</v>
      </c>
      <c r="D2855" s="18"/>
      <c r="E2855" s="17" t="s">
        <v>3214</v>
      </c>
      <c r="F2855" s="17"/>
      <c r="G2855" s="18"/>
      <c r="H2855" s="18"/>
    </row>
    <row r="2856" spans="1:8" ht="13.2">
      <c r="A2856" s="15" t="s">
        <v>3250</v>
      </c>
      <c r="B2856" s="15" t="s">
        <v>3251</v>
      </c>
      <c r="C2856" s="24">
        <v>4</v>
      </c>
      <c r="D2856" s="26" t="str">
        <f>HYPERLINK("https://github.com/AbdelrahmanRamadan/competitive-programming/blob/master/UVA/10297%20-%20Beavergnaw.cpp","Sol")</f>
        <v>Sol</v>
      </c>
      <c r="E2856" s="17" t="s">
        <v>3214</v>
      </c>
      <c r="F2856" s="17"/>
      <c r="G2856" s="18"/>
      <c r="H2856" s="18"/>
    </row>
    <row r="2857" spans="1:8" ht="13.2">
      <c r="A2857" s="15" t="s">
        <v>3252</v>
      </c>
      <c r="B2857" s="28" t="s">
        <v>3253</v>
      </c>
      <c r="C2857" s="24">
        <v>4</v>
      </c>
      <c r="D2857" s="18"/>
      <c r="E2857" s="17" t="s">
        <v>3214</v>
      </c>
      <c r="F2857" s="17"/>
      <c r="G2857" s="18"/>
      <c r="H2857" s="18"/>
    </row>
    <row r="2858" spans="1:8" ht="13.2">
      <c r="A2858" s="19" t="str">
        <f>HYPERLINK("https://www.hackerrank.com/challenges/spheres","HACKR spheres")</f>
        <v>HACKR spheres</v>
      </c>
      <c r="B2858" s="28" t="s">
        <v>3254</v>
      </c>
      <c r="C2858" s="17">
        <v>3.5</v>
      </c>
      <c r="D2858" s="26" t="str">
        <f>HYPERLINK("https://github.com/osamahatem/CompetitiveProgramming/blob/master/Hackerrank/spheres.cpp","Sol")</f>
        <v>Sol</v>
      </c>
      <c r="E2858" s="17" t="s">
        <v>3214</v>
      </c>
      <c r="F2858" s="17"/>
      <c r="G2858" s="18"/>
      <c r="H2858" s="18"/>
    </row>
    <row r="2859" spans="1:8" ht="13.2">
      <c r="A2859" s="15" t="s">
        <v>3255</v>
      </c>
      <c r="B2859" s="16" t="s">
        <v>3256</v>
      </c>
      <c r="C2859" s="17">
        <v>9</v>
      </c>
      <c r="D2859" s="18"/>
      <c r="E2859" s="17" t="s">
        <v>3257</v>
      </c>
      <c r="F2859" s="17"/>
      <c r="G2859" s="18"/>
      <c r="H2859" s="18"/>
    </row>
    <row r="2860" spans="1:8" ht="13.2">
      <c r="A2860" s="15" t="s">
        <v>3258</v>
      </c>
      <c r="B2860" s="29" t="s">
        <v>3259</v>
      </c>
      <c r="C2860" s="17">
        <v>9</v>
      </c>
      <c r="D2860" s="18"/>
      <c r="E2860" s="17" t="s">
        <v>3257</v>
      </c>
      <c r="F2860" s="17"/>
      <c r="G2860" s="18"/>
      <c r="H2860" s="18"/>
    </row>
    <row r="2861" spans="1:8" ht="13.2">
      <c r="A2861" s="19" t="str">
        <f>HYPERLINK("http://codeforces.com/contest/528/problem/C","CF528-D1-C")</f>
        <v>CF528-D1-C</v>
      </c>
      <c r="B2861" s="29" t="s">
        <v>3260</v>
      </c>
      <c r="C2861" s="17">
        <v>8.5</v>
      </c>
      <c r="D2861" s="18"/>
      <c r="E2861" s="17" t="s">
        <v>3257</v>
      </c>
      <c r="F2861" s="17"/>
      <c r="G2861" s="18"/>
      <c r="H2861" s="18"/>
    </row>
    <row r="2862" spans="1:8" ht="13.2">
      <c r="A2862" s="19" t="str">
        <f>HYPERLINK("https://agc001.contest.atcoder.jp/tasks/agc001_f","AtCoder001-AGC-F")</f>
        <v>AtCoder001-AGC-F</v>
      </c>
      <c r="B2862" s="15" t="s">
        <v>3261</v>
      </c>
      <c r="C2862" s="17">
        <v>8.5</v>
      </c>
      <c r="D2862" s="18"/>
      <c r="E2862" s="17" t="s">
        <v>3257</v>
      </c>
      <c r="F2862" s="17"/>
      <c r="G2862" s="18"/>
      <c r="H2862" s="18"/>
    </row>
    <row r="2863" spans="1:8" ht="13.2">
      <c r="A2863" s="19" t="str">
        <f>HYPERLINK("https://codeforces.com/contest/995/problem/E","CF995-D1-E")</f>
        <v>CF995-D1-E</v>
      </c>
      <c r="B2863" s="15" t="s">
        <v>3262</v>
      </c>
      <c r="C2863" s="17">
        <v>8</v>
      </c>
      <c r="D2863" s="18"/>
      <c r="E2863" s="17" t="s">
        <v>3257</v>
      </c>
      <c r="F2863" s="17" t="s">
        <v>139</v>
      </c>
      <c r="G2863" s="18"/>
      <c r="H2863" s="18"/>
    </row>
    <row r="2864" spans="1:8" ht="13.2">
      <c r="A2864" s="19" t="str">
        <f>HYPERLINK("http://codeforces.com/contest/641/problem/G","CF641-D12-G")</f>
        <v>CF641-D12-G</v>
      </c>
      <c r="B2864" s="38" t="s">
        <v>3256</v>
      </c>
      <c r="C2864" s="17">
        <v>8</v>
      </c>
      <c r="D2864" s="18"/>
      <c r="E2864" s="17" t="s">
        <v>3257</v>
      </c>
      <c r="F2864" s="17"/>
      <c r="G2864" s="18"/>
      <c r="H2864" s="18"/>
    </row>
    <row r="2865" spans="1:8" ht="13.2">
      <c r="A2865" s="19" t="str">
        <f>HYPERLINK("https://csacademy.com/contest/round-21/task/catch-the-thief/    ","CSA21-H")</f>
        <v>CSA21-H</v>
      </c>
      <c r="B2865" s="15" t="s">
        <v>3263</v>
      </c>
      <c r="C2865" s="17">
        <v>8</v>
      </c>
      <c r="D2865" s="18"/>
      <c r="E2865" s="17" t="s">
        <v>3257</v>
      </c>
      <c r="F2865" s="17"/>
      <c r="G2865" s="18"/>
      <c r="H2865" s="18"/>
    </row>
    <row r="2866" spans="1:8" ht="13.2">
      <c r="A2866" s="19" t="str">
        <f>HYPERLINK("http://codeforces.com/contest/724/problem/G","CF724-D12-G")</f>
        <v>CF724-D12-G</v>
      </c>
      <c r="B2866" s="15" t="s">
        <v>3264</v>
      </c>
      <c r="C2866" s="24">
        <v>8</v>
      </c>
      <c r="D2866" s="18"/>
      <c r="E2866" s="17" t="s">
        <v>3257</v>
      </c>
      <c r="F2866" s="17"/>
      <c r="G2866" s="18"/>
      <c r="H2866" s="18"/>
    </row>
    <row r="2867" spans="1:8" ht="13.2">
      <c r="A2867" s="19" t="str">
        <f>HYPERLINK("http://codeforces.com/gym/101968","CF101968-gym-E")</f>
        <v>CF101968-gym-E</v>
      </c>
      <c r="B2867" s="15" t="s">
        <v>3265</v>
      </c>
      <c r="C2867" s="17">
        <v>7.75</v>
      </c>
      <c r="D2867" s="26" t="str">
        <f>HYPERLINK("http://codeforces.com/blog/entry/62832","Sol")</f>
        <v>Sol</v>
      </c>
      <c r="E2867" s="17" t="s">
        <v>3257</v>
      </c>
      <c r="F2867" s="17"/>
      <c r="G2867" s="18"/>
      <c r="H2867" s="18"/>
    </row>
    <row r="2868" spans="1:8" ht="13.2">
      <c r="A2868" s="19" t="str">
        <f>HYPERLINK("https://agc010.contest.atcoder.jp/tasks/agc010_e","AtCoder010-AGC-E")</f>
        <v>AtCoder010-AGC-E</v>
      </c>
      <c r="B2868" s="15" t="s">
        <v>3266</v>
      </c>
      <c r="C2868" s="17">
        <v>7.75</v>
      </c>
      <c r="D2868" s="18"/>
      <c r="E2868" s="17" t="s">
        <v>3257</v>
      </c>
      <c r="F2868" s="17"/>
      <c r="G2868" s="18"/>
      <c r="H2868" s="18"/>
    </row>
    <row r="2869" spans="1:8" ht="13.2">
      <c r="A2869" s="15" t="s">
        <v>3267</v>
      </c>
      <c r="B2869" s="28" t="s">
        <v>3268</v>
      </c>
      <c r="C2869" s="24">
        <v>7.75</v>
      </c>
      <c r="D2869" s="26" t="str">
        <f>HYPERLINK("https://github.com/mostafa-saad/MyCompetitiveProgramming/blob/master/SPOJ/SPOJ_QTREE4.txt","Sol")</f>
        <v>Sol</v>
      </c>
      <c r="E2869" s="17" t="s">
        <v>3257</v>
      </c>
      <c r="F2869" s="17"/>
      <c r="G2869" s="18"/>
      <c r="H2869" s="18"/>
    </row>
    <row r="2870" spans="1:8" ht="13.2">
      <c r="A2870" s="19" t="str">
        <f>HYPERLINK("https://agc004.contest.atcoder.jp/tasks/agc004_f","AtCoder004-AGC-F")</f>
        <v>AtCoder004-AGC-F</v>
      </c>
      <c r="B2870" s="15" t="s">
        <v>3269</v>
      </c>
      <c r="C2870" s="17">
        <v>7.75</v>
      </c>
      <c r="D2870" s="18"/>
      <c r="E2870" s="17" t="s">
        <v>3257</v>
      </c>
      <c r="F2870" s="17"/>
      <c r="G2870" s="18"/>
      <c r="H2870" s="18"/>
    </row>
    <row r="2871" spans="1:8" ht="13.2">
      <c r="A2871" s="19" t="str">
        <f>HYPERLINK("http://codeforces.com/contest/297/problem/D","CF297-D1-D")</f>
        <v>CF297-D1-D</v>
      </c>
      <c r="B2871" s="15" t="s">
        <v>3270</v>
      </c>
      <c r="C2871" s="24">
        <v>7.5</v>
      </c>
      <c r="D2871" s="18"/>
      <c r="E2871" s="17" t="s">
        <v>3257</v>
      </c>
      <c r="F2871" s="17" t="s">
        <v>139</v>
      </c>
      <c r="G2871" s="18"/>
      <c r="H2871" s="18"/>
    </row>
    <row r="2872" spans="1:8" ht="13.2">
      <c r="A2872" s="19" t="str">
        <f>HYPERLINK("https://codeforces.com/contest/1218/problem/H", "CF1218-D12-H")</f>
        <v>CF1218-D12-H</v>
      </c>
      <c r="B2872" s="20" t="s">
        <v>3271</v>
      </c>
      <c r="C2872" s="17">
        <v>7.5</v>
      </c>
      <c r="D2872" s="26" t="str">
        <f>HYPERLINK("https://github.com/fiv2001/CompetitiveProgramming/blob/master/Codeforces/CF1218-H.cpp", "Sol")</f>
        <v>Sol</v>
      </c>
      <c r="E2872" s="17" t="s">
        <v>3257</v>
      </c>
      <c r="F2872" s="17" t="s">
        <v>139</v>
      </c>
      <c r="G2872" s="18"/>
      <c r="H2872" s="18"/>
    </row>
    <row r="2873" spans="1:8" ht="13.2">
      <c r="A2873" s="19" t="str">
        <f>HYPERLINK("https://codeforces.com/problemset/problem/1129/E", "CF1129-D1-E")</f>
        <v>CF1129-D1-E</v>
      </c>
      <c r="B2873" s="20" t="s">
        <v>3272</v>
      </c>
      <c r="C2873" s="21">
        <v>7.5</v>
      </c>
      <c r="D2873" s="18"/>
      <c r="E2873" s="17" t="s">
        <v>3257</v>
      </c>
      <c r="F2873" s="17" t="s">
        <v>139</v>
      </c>
      <c r="G2873" s="18"/>
      <c r="H2873" s="18"/>
    </row>
    <row r="2874" spans="1:8" ht="13.2">
      <c r="A2874" s="19" t="str">
        <f>HYPERLINK("https://agc008.contest.atcoder.jp/tasks/agc008_e","AtCoder008-AGC-E")</f>
        <v>AtCoder008-AGC-E</v>
      </c>
      <c r="B2874" s="15" t="s">
        <v>3273</v>
      </c>
      <c r="C2874" s="17">
        <v>7.5</v>
      </c>
      <c r="D2874" s="26" t="str">
        <f>HYPERLINK("https://github.com/tmwilliamlin168/CompetitiveProgramming/blob/master/AtCoder/G008-E.cpp", "Sol")</f>
        <v>Sol</v>
      </c>
      <c r="E2874" s="17" t="s">
        <v>3257</v>
      </c>
      <c r="F2874" s="17" t="s">
        <v>201</v>
      </c>
      <c r="G2874" s="18"/>
      <c r="H2874" s="18"/>
    </row>
    <row r="2875" spans="1:8" ht="13.2">
      <c r="A2875" s="19" t="str">
        <f>HYPERLINK("http://codeforces.com/gym/101669/problem/L","CF101669-GYM-L")</f>
        <v>CF101669-GYM-L</v>
      </c>
      <c r="B2875" s="20" t="s">
        <v>3256</v>
      </c>
      <c r="C2875" s="21">
        <v>7.5</v>
      </c>
      <c r="D2875" s="26" t="str">
        <f>HYPERLINK("https://github.com/swapnil119/CompetitiveProgramming/blob/master/CompetitiveProgramming/Codeforces/CF101669-GYM-L.cpp","Sol")</f>
        <v>Sol</v>
      </c>
      <c r="E2875" s="17" t="s">
        <v>3257</v>
      </c>
      <c r="F2875" s="17"/>
      <c r="G2875" s="18"/>
      <c r="H2875" s="18"/>
    </row>
    <row r="2876" spans="1:8" ht="13.2">
      <c r="A2876" s="15" t="s">
        <v>3274</v>
      </c>
      <c r="B2876" s="29" t="s">
        <v>3275</v>
      </c>
      <c r="C2876" s="17">
        <v>7.5</v>
      </c>
      <c r="D2876" s="18"/>
      <c r="E2876" s="17" t="s">
        <v>3257</v>
      </c>
      <c r="F2876" s="17"/>
      <c r="G2876" s="18"/>
      <c r="H2876" s="18"/>
    </row>
    <row r="2877" spans="1:8" ht="13.2">
      <c r="A2877" s="19" t="str">
        <f>HYPERLINK("http://codeforces.com/gym/100513/problem/L","CF100513-gym-L")</f>
        <v>CF100513-gym-L</v>
      </c>
      <c r="B2877" s="18" t="s">
        <v>3276</v>
      </c>
      <c r="C2877" s="17">
        <v>7.5</v>
      </c>
      <c r="D2877" s="18"/>
      <c r="E2877" s="17" t="s">
        <v>3257</v>
      </c>
      <c r="F2877" s="17"/>
      <c r="G2877" s="18"/>
      <c r="H2877" s="18"/>
    </row>
    <row r="2878" spans="1:8" ht="13.2">
      <c r="A2878" s="19" t="str">
        <f>HYPERLINK("https://www.codechef.com/problems/GRAPHCNT","CODECHEF GRAPHCNT")</f>
        <v>CODECHEF GRAPHCNT</v>
      </c>
      <c r="B2878" s="18" t="s">
        <v>3276</v>
      </c>
      <c r="C2878" s="17">
        <v>7.5</v>
      </c>
      <c r="D2878" s="18"/>
      <c r="E2878" s="17" t="s">
        <v>3257</v>
      </c>
      <c r="F2878" s="17"/>
      <c r="G2878" s="18"/>
      <c r="H2878" s="18"/>
    </row>
    <row r="2879" spans="1:8" ht="13.2">
      <c r="A2879" s="19" t="str">
        <f>HYPERLINK("http://codeforces.com/gym/101726/problem/A","CF101726-GYM-A")</f>
        <v>CF101726-GYM-A</v>
      </c>
      <c r="B2879" s="15" t="s">
        <v>3277</v>
      </c>
      <c r="C2879" s="17">
        <v>7.5</v>
      </c>
      <c r="D2879" s="26" t="str">
        <f>HYPERLINK("https://github.com/MedoN11/CompetitiveProgramming/blob/master/CodeForces/CFGYM-101726-A.cpp","Sol")</f>
        <v>Sol</v>
      </c>
      <c r="E2879" s="17" t="s">
        <v>3257</v>
      </c>
      <c r="F2879" s="17"/>
      <c r="G2879" s="18"/>
      <c r="H2879" s="18"/>
    </row>
    <row r="2880" spans="1:8" ht="13.2">
      <c r="A2880" s="15" t="s">
        <v>3278</v>
      </c>
      <c r="B2880" s="29" t="s">
        <v>3279</v>
      </c>
      <c r="C2880" s="17">
        <v>7.5</v>
      </c>
      <c r="D2880" s="18"/>
      <c r="E2880" s="17" t="s">
        <v>3257</v>
      </c>
      <c r="F2880" s="17"/>
      <c r="G2880" s="18"/>
      <c r="H2880" s="18"/>
    </row>
    <row r="2881" spans="1:8" ht="13.2">
      <c r="A2881" s="19" t="str">
        <f>HYPERLINK("http://codeforces.com/problemset/problem/79/D","CF79-D12-D")</f>
        <v>CF79-D12-D</v>
      </c>
      <c r="B2881" s="15" t="s">
        <v>3280</v>
      </c>
      <c r="C2881" s="17">
        <v>7.25</v>
      </c>
      <c r="D2881" s="18"/>
      <c r="E2881" s="17" t="s">
        <v>3257</v>
      </c>
      <c r="F2881" s="17" t="s">
        <v>173</v>
      </c>
      <c r="G2881" s="18"/>
      <c r="H2881" s="18"/>
    </row>
    <row r="2882" spans="1:8" ht="13.2">
      <c r="A2882" s="19" t="str">
        <f>HYPERLINK("https://codingcompetitions.withgoogle.com/codejam/round/0000000000007707/000000000004ba29","CODEJAM 18-R3-B")</f>
        <v>CODEJAM 18-R3-B</v>
      </c>
      <c r="B2882" s="20" t="s">
        <v>3281</v>
      </c>
      <c r="C2882" s="17">
        <v>7.25</v>
      </c>
      <c r="D2882" s="26" t="str">
        <f>HYPERLINK("https://github.com/tmwilliamlin168/CompetitiveProgramming/blob/master/GoogleCodeJam/18-R3-B.java", "Sol")</f>
        <v>Sol</v>
      </c>
      <c r="E2882" s="17" t="s">
        <v>3257</v>
      </c>
      <c r="F2882" s="17" t="s">
        <v>173</v>
      </c>
      <c r="G2882" s="18"/>
      <c r="H2882" s="18"/>
    </row>
    <row r="2883" spans="1:8" ht="13.2">
      <c r="A2883" s="19" t="str">
        <f>HYPERLINK("https://codeforces.com/problemset/problem/1104/E","CF1104-D2-E")</f>
        <v>CF1104-D2-E</v>
      </c>
      <c r="B2883" s="15" t="s">
        <v>3282</v>
      </c>
      <c r="C2883" s="17">
        <v>7.25</v>
      </c>
      <c r="D2883" s="18"/>
      <c r="E2883" s="17" t="s">
        <v>3257</v>
      </c>
      <c r="F2883" s="17" t="s">
        <v>139</v>
      </c>
      <c r="G2883" s="18"/>
      <c r="H2883" s="18"/>
    </row>
    <row r="2884" spans="1:8" ht="13.2">
      <c r="A2884" s="15" t="s">
        <v>3283</v>
      </c>
      <c r="B2884" s="29" t="s">
        <v>3284</v>
      </c>
      <c r="C2884" s="33">
        <v>7.25</v>
      </c>
      <c r="D2884" s="18"/>
      <c r="E2884" s="24" t="s">
        <v>3257</v>
      </c>
      <c r="F2884" s="17"/>
      <c r="G2884" s="18"/>
      <c r="H2884" s="18"/>
    </row>
    <row r="2885" spans="1:8" ht="13.2">
      <c r="A2885" s="15" t="s">
        <v>3285</v>
      </c>
      <c r="B2885" s="29" t="s">
        <v>3284</v>
      </c>
      <c r="C2885" s="33">
        <v>7.25</v>
      </c>
      <c r="D2885" s="18"/>
      <c r="E2885" s="24" t="s">
        <v>3257</v>
      </c>
      <c r="F2885" s="17"/>
      <c r="G2885" s="18"/>
      <c r="H2885" s="18"/>
    </row>
    <row r="2886" spans="1:8" ht="13.2">
      <c r="A2886" s="15" t="s">
        <v>3286</v>
      </c>
      <c r="B2886" s="29" t="s">
        <v>3287</v>
      </c>
      <c r="C2886" s="24">
        <v>7.25</v>
      </c>
      <c r="D2886" s="18" t="s">
        <v>2519</v>
      </c>
      <c r="E2886" s="17" t="s">
        <v>3257</v>
      </c>
      <c r="F2886" s="17"/>
      <c r="G2886" s="18"/>
      <c r="H2886" s="18"/>
    </row>
    <row r="2887" spans="1:8" ht="13.2">
      <c r="A2887" s="19" t="str">
        <f>HYPERLINK("https://arc103.contest.atcoder.jp/tasks/arc103_d", "AtCoder103-ARC-F")</f>
        <v>AtCoder103-ARC-F</v>
      </c>
      <c r="B2887" s="20" t="s">
        <v>3288</v>
      </c>
      <c r="C2887" s="21">
        <v>7.1</v>
      </c>
      <c r="D2887" s="18"/>
      <c r="E2887" s="17" t="s">
        <v>3257</v>
      </c>
      <c r="F2887" s="17" t="s">
        <v>154</v>
      </c>
      <c r="G2887" s="18"/>
      <c r="H2887" s="18"/>
    </row>
    <row r="2888" spans="1:8" ht="13.2">
      <c r="A2888" s="19" t="str">
        <f>HYPERLINK("https://codingcompetitions.withgoogle.com/codejam/round/0000000000007706/00000000000459f4","CODEJAM 18-R2-D")</f>
        <v>CODEJAM 18-R2-D</v>
      </c>
      <c r="B2888" s="15" t="s">
        <v>3289</v>
      </c>
      <c r="C2888" s="17">
        <v>7</v>
      </c>
      <c r="D2888" s="26" t="str">
        <f>HYPERLINK("https://github.com/MetalBall887/Competitive-Programming/blob/master/GoogleCodeJam/CODEJAM%2018-R2-D.cpp","Sol")</f>
        <v>Sol</v>
      </c>
      <c r="E2888" s="17" t="s">
        <v>3257</v>
      </c>
      <c r="F2888" s="17" t="s">
        <v>173</v>
      </c>
      <c r="G2888" s="18"/>
      <c r="H2888" s="18"/>
    </row>
    <row r="2889" spans="1:8" ht="13.2">
      <c r="A2889" s="19" t="str">
        <f>HYPERLINK("http://codeforces.com/contest/748/problem/F","CF748-D12-F")</f>
        <v>CF748-D12-F</v>
      </c>
      <c r="B2889" s="15" t="s">
        <v>3290</v>
      </c>
      <c r="C2889" s="24">
        <v>7</v>
      </c>
      <c r="D2889" s="18"/>
      <c r="E2889" s="17" t="s">
        <v>3257</v>
      </c>
      <c r="F2889" s="17" t="s">
        <v>154</v>
      </c>
      <c r="G2889" s="18"/>
      <c r="H2889" s="18"/>
    </row>
    <row r="2890" spans="1:8" ht="13.2">
      <c r="A2890" s="19" t="str">
        <f>HYPERLINK("http://codeforces.com/contest/879/problem/E","CF879-D2-E")</f>
        <v>CF879-D2-E</v>
      </c>
      <c r="B2890" s="15" t="s">
        <v>3291</v>
      </c>
      <c r="C2890" s="17">
        <v>7</v>
      </c>
      <c r="D2890" s="18"/>
      <c r="E2890" s="17" t="s">
        <v>3257</v>
      </c>
      <c r="F2890" s="17" t="s">
        <v>139</v>
      </c>
      <c r="G2890" s="18"/>
      <c r="H2890" s="18"/>
    </row>
    <row r="2891" spans="1:8" ht="13.2">
      <c r="A2891" s="19" t="str">
        <f>HYPERLINK("https://codeforces.com/contest/1113/problem/E","CF1113-D2-E")</f>
        <v>CF1113-D2-E</v>
      </c>
      <c r="B2891" s="20" t="s">
        <v>3292</v>
      </c>
      <c r="C2891" s="21">
        <v>7</v>
      </c>
      <c r="D2891" s="18"/>
      <c r="E2891" s="17" t="s">
        <v>3257</v>
      </c>
      <c r="F2891" s="17" t="s">
        <v>139</v>
      </c>
      <c r="G2891" s="18"/>
      <c r="H2891" s="18"/>
    </row>
    <row r="2892" spans="1:8" ht="13.2">
      <c r="A2892" s="15" t="s">
        <v>3293</v>
      </c>
      <c r="B2892" s="30" t="s">
        <v>3284</v>
      </c>
      <c r="C2892" s="17">
        <v>7</v>
      </c>
      <c r="D2892" s="18"/>
      <c r="E2892" s="17" t="s">
        <v>3257</v>
      </c>
      <c r="F2892" s="17" t="s">
        <v>139</v>
      </c>
      <c r="G2892" s="18"/>
      <c r="H2892" s="18"/>
    </row>
    <row r="2893" spans="1:8" ht="13.2">
      <c r="A2893" s="19" t="str">
        <f>HYPERLINK("https://codeforces.com/contest/1168/problem/D","CF1168-D1-D")</f>
        <v>CF1168-D1-D</v>
      </c>
      <c r="B2893" s="15" t="s">
        <v>3294</v>
      </c>
      <c r="C2893" s="17">
        <v>7</v>
      </c>
      <c r="D2893" s="18"/>
      <c r="E2893" s="17" t="s">
        <v>3257</v>
      </c>
      <c r="F2893" s="17" t="s">
        <v>139</v>
      </c>
      <c r="G2893" s="18"/>
      <c r="H2893" s="18"/>
    </row>
    <row r="2894" spans="1:8" ht="13.2">
      <c r="A2894" s="15" t="s">
        <v>3295</v>
      </c>
      <c r="B2894" s="30" t="s">
        <v>3296</v>
      </c>
      <c r="C2894" s="17">
        <v>7</v>
      </c>
      <c r="D2894" s="18"/>
      <c r="E2894" s="17" t="s">
        <v>3257</v>
      </c>
      <c r="F2894" s="17"/>
      <c r="G2894" s="18"/>
      <c r="H2894" s="18"/>
    </row>
    <row r="2895" spans="1:8" ht="13.2">
      <c r="A2895" s="15" t="s">
        <v>3297</v>
      </c>
      <c r="B2895" s="30" t="s">
        <v>3298</v>
      </c>
      <c r="C2895" s="17">
        <v>7</v>
      </c>
      <c r="D2895" s="18" t="s">
        <v>3299</v>
      </c>
      <c r="E2895" s="17" t="s">
        <v>3257</v>
      </c>
      <c r="F2895" s="17"/>
      <c r="G2895" s="18"/>
      <c r="H2895" s="18"/>
    </row>
    <row r="2896" spans="1:8" ht="13.2">
      <c r="A2896" s="15" t="s">
        <v>3300</v>
      </c>
      <c r="B2896" s="39" t="s">
        <v>3284</v>
      </c>
      <c r="C2896" s="40">
        <v>7</v>
      </c>
      <c r="D2896" s="18"/>
      <c r="E2896" s="17" t="s">
        <v>3257</v>
      </c>
      <c r="F2896" s="17"/>
      <c r="G2896" s="18"/>
      <c r="H2896" s="18"/>
    </row>
    <row r="2897" spans="1:8" ht="13.2">
      <c r="A2897" s="15" t="s">
        <v>3301</v>
      </c>
      <c r="B2897" s="39" t="s">
        <v>3302</v>
      </c>
      <c r="C2897" s="40">
        <v>7</v>
      </c>
      <c r="D2897" s="18"/>
      <c r="E2897" s="17" t="s">
        <v>3257</v>
      </c>
      <c r="F2897" s="17"/>
      <c r="G2897" s="18"/>
      <c r="H2897" s="18"/>
    </row>
    <row r="2898" spans="1:8" ht="13.2">
      <c r="A2898" s="19" t="str">
        <f>HYPERLINK("http://agc016.contest.atcoder.jp/tasks/agc016_d","AtCoder016-AGC-D")</f>
        <v>AtCoder016-AGC-D</v>
      </c>
      <c r="B2898" s="18" t="s">
        <v>3303</v>
      </c>
      <c r="C2898" s="17">
        <v>7</v>
      </c>
      <c r="D2898" s="18"/>
      <c r="E2898" s="17" t="s">
        <v>3257</v>
      </c>
      <c r="F2898" s="17"/>
      <c r="G2898" s="18"/>
      <c r="H2898" s="18"/>
    </row>
    <row r="2899" spans="1:8" ht="13.2">
      <c r="A2899" s="19" t="str">
        <f>HYPERLINK("http://codeforces.com/contest/405/problem/E","CF405-D2-E")</f>
        <v>CF405-D2-E</v>
      </c>
      <c r="B2899" s="38" t="s">
        <v>3304</v>
      </c>
      <c r="C2899" s="17">
        <v>6.8</v>
      </c>
      <c r="D2899" s="18"/>
      <c r="E2899" s="17" t="s">
        <v>3257</v>
      </c>
      <c r="F2899" s="17" t="s">
        <v>1053</v>
      </c>
      <c r="G2899" s="18"/>
      <c r="H2899" s="18"/>
    </row>
    <row r="2900" spans="1:8" ht="13.2">
      <c r="A2900" s="19" t="str">
        <f>HYPERLINK("https://codeforces.com/contest/1209/problem/F", "CF1209-D12-F")</f>
        <v>CF1209-D12-F</v>
      </c>
      <c r="B2900" s="49" t="s">
        <v>3305</v>
      </c>
      <c r="C2900" s="50">
        <v>6.8</v>
      </c>
      <c r="D2900" s="18"/>
      <c r="E2900" s="17" t="s">
        <v>3257</v>
      </c>
      <c r="F2900" s="17" t="s">
        <v>139</v>
      </c>
      <c r="G2900" s="18"/>
      <c r="H2900" s="18"/>
    </row>
    <row r="2901" spans="1:8" ht="13.2">
      <c r="A2901" s="19" t="str">
        <f>HYPERLINK("https://www.codechef.com/IOITC181/problems/CYCLECOL","CODECHEF CYCLECOL")</f>
        <v>CODECHEF CYCLECOL</v>
      </c>
      <c r="B2901" s="20" t="s">
        <v>3306</v>
      </c>
      <c r="C2901" s="21">
        <v>6.75</v>
      </c>
      <c r="D2901" s="26" t="str">
        <f>HYPERLINK("https://github.com/stefdasca/CompetitiveProgramming/blob/master/CodeChef/cyclecol.cpp","Sol")</f>
        <v>Sol</v>
      </c>
      <c r="E2901" s="17" t="s">
        <v>3257</v>
      </c>
      <c r="F2901" s="17" t="s">
        <v>201</v>
      </c>
      <c r="G2901" s="18"/>
      <c r="H2901" s="18"/>
    </row>
    <row r="2902" spans="1:8" ht="13.2">
      <c r="A2902" s="15" t="s">
        <v>3307</v>
      </c>
      <c r="B2902" s="18" t="s">
        <v>3308</v>
      </c>
      <c r="C2902" s="31">
        <v>6.7</v>
      </c>
      <c r="D2902" s="18" t="s">
        <v>2354</v>
      </c>
      <c r="E2902" s="17" t="s">
        <v>3257</v>
      </c>
      <c r="F2902" s="17" t="s">
        <v>173</v>
      </c>
      <c r="G2902" s="18"/>
      <c r="H2902" s="18"/>
    </row>
    <row r="2903" spans="1:8" ht="13.2">
      <c r="A2903" s="19" t="str">
        <f>HYPERLINK("http://agc025.contest.atcoder.jp/tasks/agc025_d","AtCoder025-AGC-D")</f>
        <v>AtCoder025-AGC-D</v>
      </c>
      <c r="B2903" s="15" t="s">
        <v>3309</v>
      </c>
      <c r="C2903" s="17">
        <v>6.7</v>
      </c>
      <c r="D2903" s="18"/>
      <c r="E2903" s="17" t="s">
        <v>3257</v>
      </c>
      <c r="F2903" s="17" t="s">
        <v>139</v>
      </c>
      <c r="G2903" s="18"/>
      <c r="H2903" s="18"/>
    </row>
    <row r="2904" spans="1:8" ht="13.2">
      <c r="A2904" s="19" t="str">
        <f>HYPERLINK("http://codeforces.com/contest/986/problem/C","CF986-D1-C")</f>
        <v>CF986-D1-C</v>
      </c>
      <c r="B2904" s="20" t="s">
        <v>3310</v>
      </c>
      <c r="C2904" s="21">
        <v>6.6</v>
      </c>
      <c r="D2904" s="18"/>
      <c r="E2904" s="17" t="s">
        <v>3257</v>
      </c>
      <c r="F2904" s="17" t="s">
        <v>3311</v>
      </c>
      <c r="G2904" s="18"/>
      <c r="H2904" s="18"/>
    </row>
    <row r="2905" spans="1:8" ht="13.2">
      <c r="A2905" s="19" t="str">
        <f>HYPERLINK("https://open.kattis.com/problems/factorfree","Livearchive 8257")</f>
        <v>Livearchive 8257</v>
      </c>
      <c r="B2905" s="15" t="s">
        <v>3312</v>
      </c>
      <c r="C2905" s="17">
        <v>6.5</v>
      </c>
      <c r="D2905" s="26" t="str">
        <f>HYPERLINK("https://github.com/quangloc99/CompetitiveProgramming/blob/master/Livearchive/8257.cpp","Sol")</f>
        <v>Sol</v>
      </c>
      <c r="E2905" s="17" t="s">
        <v>3257</v>
      </c>
      <c r="F2905" s="17" t="s">
        <v>173</v>
      </c>
      <c r="G2905" s="18"/>
      <c r="H2905" s="18"/>
    </row>
    <row r="2906" spans="1:8" ht="13.2">
      <c r="A2906" s="15" t="s">
        <v>3313</v>
      </c>
      <c r="B2906" s="18" t="s">
        <v>3314</v>
      </c>
      <c r="C2906" s="17">
        <v>6.5</v>
      </c>
      <c r="D2906" s="26" t="str">
        <f>HYPERLINK("https://github.com/aneesh2312/CompetitiveProgramming/blob/master/Timus/1040.cpp","Sol")</f>
        <v>Sol</v>
      </c>
      <c r="E2906" s="17" t="s">
        <v>3257</v>
      </c>
      <c r="F2906" s="17" t="s">
        <v>139</v>
      </c>
      <c r="G2906" s="18"/>
      <c r="H2906" s="18"/>
    </row>
    <row r="2907" spans="1:8" ht="13.2">
      <c r="A2907" s="19" t="str">
        <f>HYPERLINK("https://codeforces.com/contest/1098/problem/C","CF1098-D1-C")</f>
        <v>CF1098-D1-C</v>
      </c>
      <c r="B2907" s="23" t="s">
        <v>3315</v>
      </c>
      <c r="C2907" s="17">
        <v>6.5</v>
      </c>
      <c r="D2907" s="18"/>
      <c r="E2907" s="17" t="s">
        <v>3257</v>
      </c>
      <c r="F2907" s="17" t="s">
        <v>139</v>
      </c>
      <c r="G2907" s="18"/>
      <c r="H2907" s="18"/>
    </row>
    <row r="2908" spans="1:8" ht="13.2">
      <c r="A2908" s="19" t="str">
        <f>HYPERLINK("http://codeforces.com/contest/538/problem/E","CF538-D12-E")</f>
        <v>CF538-D12-E</v>
      </c>
      <c r="B2908" s="29" t="s">
        <v>3316</v>
      </c>
      <c r="C2908" s="17">
        <v>6.5</v>
      </c>
      <c r="D2908" s="18"/>
      <c r="E2908" s="17" t="s">
        <v>3257</v>
      </c>
      <c r="F2908" s="17" t="s">
        <v>139</v>
      </c>
      <c r="G2908" s="18"/>
      <c r="H2908" s="18"/>
    </row>
    <row r="2909" spans="1:8" ht="13.2">
      <c r="A2909" s="19" t="str">
        <f>HYPERLINK("https://codeforces.com/contest/1091/problem/E","CF1091-D12-E")</f>
        <v>CF1091-D12-E</v>
      </c>
      <c r="B2909" s="23" t="s">
        <v>3317</v>
      </c>
      <c r="C2909" s="17">
        <v>6.5</v>
      </c>
      <c r="D2909" s="18"/>
      <c r="E2909" s="17" t="s">
        <v>3257</v>
      </c>
      <c r="F2909" s="17" t="s">
        <v>201</v>
      </c>
      <c r="G2909" s="18"/>
      <c r="H2909" s="18"/>
    </row>
    <row r="2910" spans="1:8" ht="13.2">
      <c r="A2910" s="15" t="s">
        <v>3318</v>
      </c>
      <c r="B2910" s="15" t="s">
        <v>3302</v>
      </c>
      <c r="C2910" s="17">
        <v>6.5</v>
      </c>
      <c r="D2910" s="26" t="str">
        <f>HYPERLINK("https://github.com/aviroop123/CompetitiveProgramming/blob/master/CodeForces/CF997-D1-A.cpp","Sol")</f>
        <v>Sol</v>
      </c>
      <c r="E2910" s="17" t="s">
        <v>3257</v>
      </c>
      <c r="F2910" s="17"/>
      <c r="G2910" s="18"/>
      <c r="H2910" s="18"/>
    </row>
    <row r="2911" spans="1:8" ht="13.2">
      <c r="A2911" s="19" t="str">
        <f>HYPERLINK("http://codeforces.com/gym/101939/problem/K","CF101939-gym-K")</f>
        <v>CF101939-gym-K</v>
      </c>
      <c r="B2911" s="15" t="s">
        <v>3319</v>
      </c>
      <c r="C2911" s="17">
        <v>6.4</v>
      </c>
      <c r="D2911" s="26" t="str">
        <f>HYPERLINK("https://github.com/mostafa-saad/MyCompetitiveProgramming/blob/master/Codeforces/CF101939-GYM-K.txt","Sol")</f>
        <v>Sol</v>
      </c>
      <c r="E2911" s="17" t="s">
        <v>3257</v>
      </c>
      <c r="F2911" s="17" t="s">
        <v>154</v>
      </c>
      <c r="G2911" s="18"/>
      <c r="H2911" s="18"/>
    </row>
    <row r="2912" spans="1:8" ht="13.2">
      <c r="A2912" s="15" t="s">
        <v>3320</v>
      </c>
      <c r="B2912" s="18" t="s">
        <v>3321</v>
      </c>
      <c r="C2912" s="33">
        <v>6.3</v>
      </c>
      <c r="D2912" s="26" t="str">
        <f>HYPERLINK("https://github.com/stefdasca/CompetitiveProgramming/blob/master/TopCoder/SRM460-D2-1000.cpp","must read sol - also see editorials")</f>
        <v>must read sol - also see editorials</v>
      </c>
      <c r="E2912" s="17" t="s">
        <v>3257</v>
      </c>
      <c r="F2912" s="17" t="s">
        <v>173</v>
      </c>
      <c r="G2912" s="18"/>
      <c r="H2912" s="18"/>
    </row>
    <row r="2913" spans="1:8" ht="13.2">
      <c r="A2913" s="19" t="str">
        <f>HYPERLINK("https://codeforces.com/contest/782/problem/E","CF782-D2-E")</f>
        <v>CF782-D2-E</v>
      </c>
      <c r="B2913" s="20" t="s">
        <v>3282</v>
      </c>
      <c r="C2913" s="17">
        <v>6.3</v>
      </c>
      <c r="D2913" s="18"/>
      <c r="E2913" s="17" t="s">
        <v>3257</v>
      </c>
      <c r="F2913" s="17" t="s">
        <v>139</v>
      </c>
      <c r="G2913" s="18"/>
      <c r="H2913" s="18"/>
    </row>
    <row r="2914" spans="1:8" ht="13.2">
      <c r="A2914" s="19" t="str">
        <f>HYPERLINK("http://codeforces.com/contest/742/problem/E","CF742-D2-E")</f>
        <v>CF742-D2-E</v>
      </c>
      <c r="B2914" s="15" t="s">
        <v>3322</v>
      </c>
      <c r="C2914" s="24">
        <v>6.25</v>
      </c>
      <c r="D2914" s="26" t="str">
        <f>HYPERLINK("https://github.com/Huvok/CompetitiveProgramming/blob/master/Codeforces/CF742-D2-E.cpp","Sol")</f>
        <v>Sol</v>
      </c>
      <c r="E2914" s="17" t="s">
        <v>3257</v>
      </c>
      <c r="F2914" s="17" t="s">
        <v>1053</v>
      </c>
      <c r="G2914" s="18"/>
      <c r="H2914" s="18"/>
    </row>
    <row r="2915" spans="1:8" ht="13.2">
      <c r="A2915" s="19" t="str">
        <f>HYPERLINK("https://arc099.contest.atcoder.jp/tasks/arc099_c","AtCoder099-ARC-C")</f>
        <v>AtCoder099-ARC-C</v>
      </c>
      <c r="B2915" s="15" t="s">
        <v>3323</v>
      </c>
      <c r="C2915" s="17">
        <v>6.25</v>
      </c>
      <c r="D2915" s="26" t="str">
        <f>HYPERLINK("https://github.com/magdy-hasan/competitive-programming/blob/a3da17cbe2abde9b9eb7d3adef7b8326c9eb2ddf/atcoder/AtCoder099-ARC-C.cpp","Sol")</f>
        <v>Sol</v>
      </c>
      <c r="E2915" s="17" t="s">
        <v>3257</v>
      </c>
      <c r="F2915" s="17" t="s">
        <v>1053</v>
      </c>
      <c r="G2915" s="18"/>
      <c r="H2915" s="18"/>
    </row>
    <row r="2916" spans="1:8" ht="13.2">
      <c r="A2916" s="19" t="str">
        <f>HYPERLINK("https://codeforces.com/contest/1199/problem/E","CF1199-D2-E")</f>
        <v>CF1199-D2-E</v>
      </c>
      <c r="B2916" s="20" t="s">
        <v>3324</v>
      </c>
      <c r="C2916" s="17">
        <v>6.25</v>
      </c>
      <c r="D2916" s="26" t="str">
        <f>HYPERLINK("https://github.com/Evilandrew228/CompetitiveProgramming/blob/master/CF1199-D2-E","Sol (!editorial)")</f>
        <v>Sol (!editorial)</v>
      </c>
      <c r="E2916" s="17" t="s">
        <v>3257</v>
      </c>
      <c r="F2916" s="17" t="s">
        <v>154</v>
      </c>
      <c r="G2916" s="18"/>
      <c r="H2916" s="18"/>
    </row>
    <row r="2917" spans="1:8" ht="13.2">
      <c r="A2917" s="19" t="str">
        <f>HYPERLINK("http://codeforces.com/gym/101484/problem/H","CF101484-GYM-H")</f>
        <v>CF101484-GYM-H</v>
      </c>
      <c r="B2917" s="15" t="s">
        <v>3325</v>
      </c>
      <c r="C2917" s="17">
        <v>6.25</v>
      </c>
      <c r="D2917" s="26" t="str">
        <f>HYPERLINK("https://github.com/HosamEissa/Competitive-programming-/blob/master/Codeforces/CF101484-GYM-H.cpp","Sol")</f>
        <v>Sol</v>
      </c>
      <c r="E2917" s="17" t="s">
        <v>3257</v>
      </c>
      <c r="F2917" s="17" t="s">
        <v>154</v>
      </c>
      <c r="G2917" s="18"/>
      <c r="H2917" s="18"/>
    </row>
    <row r="2918" spans="1:8" ht="13.2">
      <c r="A2918" s="19" t="str">
        <f>HYPERLINK("https://codeforces.com/contest/1243/problem/E","CF1243-D2-E")</f>
        <v>CF1243-D2-E</v>
      </c>
      <c r="B2918" s="20" t="s">
        <v>3326</v>
      </c>
      <c r="C2918" s="17">
        <v>6.25</v>
      </c>
      <c r="D2918" s="26" t="str">
        <f>HYPERLINK("https://github.com/farmerboy95/CompetitiveProgramming/blob/master/Codeforces/CF1242-D1-C.cpp","Sol")</f>
        <v>Sol</v>
      </c>
      <c r="E2918" s="17" t="s">
        <v>3257</v>
      </c>
      <c r="F2918" s="17" t="s">
        <v>139</v>
      </c>
      <c r="G2918" s="18"/>
      <c r="H2918" s="18"/>
    </row>
    <row r="2919" spans="1:8" ht="13.2">
      <c r="A2919" s="15" t="s">
        <v>3327</v>
      </c>
      <c r="B2919" s="34" t="s">
        <v>3328</v>
      </c>
      <c r="C2919" s="33">
        <v>6.25</v>
      </c>
      <c r="D2919" s="18" t="s">
        <v>3329</v>
      </c>
      <c r="E2919" s="17" t="s">
        <v>3257</v>
      </c>
      <c r="F2919" s="17" t="s">
        <v>139</v>
      </c>
      <c r="G2919" s="18"/>
      <c r="H2919" s="18"/>
    </row>
    <row r="2920" spans="1:8" ht="13.2">
      <c r="A2920" s="15" t="s">
        <v>3330</v>
      </c>
      <c r="B2920" s="16" t="s">
        <v>3331</v>
      </c>
      <c r="C2920" s="31">
        <v>6.25</v>
      </c>
      <c r="D2920" s="18"/>
      <c r="E2920" s="17" t="s">
        <v>3257</v>
      </c>
      <c r="F2920" s="17"/>
      <c r="G2920" s="18"/>
      <c r="H2920" s="18"/>
    </row>
    <row r="2921" spans="1:8" ht="13.2">
      <c r="A2921" s="19" t="str">
        <f>HYPERLINK("https://www.codechef.com/IOITC182/problems/CHANGNUM","CODECHEF CHANGNUM")</f>
        <v>CODECHEF CHANGNUM</v>
      </c>
      <c r="B2921" s="20" t="s">
        <v>3332</v>
      </c>
      <c r="C2921" s="21">
        <v>6.25</v>
      </c>
      <c r="D2921" s="26" t="str">
        <f>HYPERLINK("https://github.com/timpostuvan/CompetitiveProgramming/blob/master/CodeChef/CHANGNUM.cpp","Sol")</f>
        <v>Sol</v>
      </c>
      <c r="E2921" s="17" t="s">
        <v>3257</v>
      </c>
      <c r="F2921" s="17"/>
      <c r="G2921" s="18"/>
      <c r="H2921" s="18"/>
    </row>
    <row r="2922" spans="1:8" ht="13.2">
      <c r="A2922" s="15" t="s">
        <v>3333</v>
      </c>
      <c r="B2922" s="15" t="s">
        <v>3276</v>
      </c>
      <c r="C2922" s="17">
        <v>6.25</v>
      </c>
      <c r="D2922" s="18"/>
      <c r="E2922" s="17" t="s">
        <v>3257</v>
      </c>
      <c r="F2922" s="17"/>
      <c r="G2922" s="18"/>
      <c r="H2922" s="18"/>
    </row>
    <row r="2923" spans="1:8" ht="13.2">
      <c r="A2923" s="15" t="s">
        <v>3334</v>
      </c>
      <c r="B2923" s="15" t="s">
        <v>3335</v>
      </c>
      <c r="C2923" s="17">
        <v>6.1</v>
      </c>
      <c r="D2923" s="26" t="str">
        <f>HYPERLINK("https://github.com/mostafa-saad/MyCompetitiveProgramming/blob/master/SPOJ/SPOJ_SPCE.txt","Sol")</f>
        <v>Sol</v>
      </c>
      <c r="E2923" s="17" t="s">
        <v>3257</v>
      </c>
      <c r="F2923" s="17" t="s">
        <v>154</v>
      </c>
      <c r="G2923" s="18"/>
      <c r="H2923" s="18"/>
    </row>
    <row r="2924" spans="1:8" ht="13.2">
      <c r="A2924" s="19" t="str">
        <f>HYPERLINK("http://codeforces.com/contest/272/problem/E","CF272-D2-E")</f>
        <v>CF272-D2-E</v>
      </c>
      <c r="B2924" s="15" t="s">
        <v>3336</v>
      </c>
      <c r="C2924" s="24">
        <v>6.1</v>
      </c>
      <c r="D2924" s="18"/>
      <c r="E2924" s="17" t="s">
        <v>3257</v>
      </c>
      <c r="F2924" s="17" t="s">
        <v>196</v>
      </c>
      <c r="G2924" s="18"/>
      <c r="H2924" s="18"/>
    </row>
    <row r="2925" spans="1:8" ht="13.2">
      <c r="A2925" s="19" t="str">
        <f>HYPERLINK("http://codeforces.com/contest/708/problem/C","CF708-D1-C")</f>
        <v>CF708-D1-C</v>
      </c>
      <c r="B2925" s="29" t="s">
        <v>3337</v>
      </c>
      <c r="C2925" s="24">
        <v>6.1</v>
      </c>
      <c r="D2925" s="18"/>
      <c r="E2925" s="17" t="s">
        <v>3257</v>
      </c>
      <c r="F2925" s="17" t="s">
        <v>196</v>
      </c>
      <c r="G2925" s="18"/>
      <c r="H2925" s="18"/>
    </row>
    <row r="2926" spans="1:8" ht="13.2">
      <c r="A2926" s="19" t="str">
        <f>HYPERLINK("http://codeforces.com/contest/769/problem/C","CF769-D12-C")</f>
        <v>CF769-D12-C</v>
      </c>
      <c r="B2926" s="15" t="s">
        <v>3338</v>
      </c>
      <c r="C2926" s="17">
        <v>6.1</v>
      </c>
      <c r="D2926" s="18"/>
      <c r="E2926" s="17" t="s">
        <v>3257</v>
      </c>
      <c r="F2926" s="17" t="s">
        <v>139</v>
      </c>
      <c r="G2926" s="18"/>
      <c r="H2926" s="18"/>
    </row>
    <row r="2927" spans="1:8" ht="13.2">
      <c r="A2927" s="19" t="str">
        <f>HYPERLINK("http://codeforces.com/contest/794/problem/D","CF794-D12-D")</f>
        <v>CF794-D12-D</v>
      </c>
      <c r="B2927" s="15" t="s">
        <v>3339</v>
      </c>
      <c r="C2927" s="17">
        <v>6</v>
      </c>
      <c r="D2927" s="18"/>
      <c r="E2927" s="17" t="s">
        <v>3257</v>
      </c>
      <c r="F2927" s="17" t="s">
        <v>154</v>
      </c>
      <c r="G2927" s="18"/>
      <c r="H2927" s="18"/>
    </row>
    <row r="2928" spans="1:8" ht="13.2">
      <c r="A2928" s="19" t="str">
        <f>HYPERLINK("https://codeforces.com/contest/412/problem/D","CF412-D12-D")</f>
        <v>CF412-D12-D</v>
      </c>
      <c r="B2928" s="15" t="s">
        <v>3340</v>
      </c>
      <c r="C2928" s="17">
        <v>6</v>
      </c>
      <c r="D2928" s="26" t="str">
        <f>HYPERLINK("https://codeforces.com/blog/entry/68138","Reading later")</f>
        <v>Reading later</v>
      </c>
      <c r="E2928" s="17" t="s">
        <v>3257</v>
      </c>
      <c r="F2928" s="17" t="s">
        <v>139</v>
      </c>
      <c r="G2928" s="18"/>
      <c r="H2928" s="18"/>
    </row>
    <row r="2929" spans="1:8" ht="13.2">
      <c r="A2929" s="19" t="str">
        <f>HYPERLINK("https://codeforces.com/contest/1092/problem/E","CF1092-D3-E")</f>
        <v>CF1092-D3-E</v>
      </c>
      <c r="B2929" s="20" t="s">
        <v>3341</v>
      </c>
      <c r="C2929" s="21">
        <v>6</v>
      </c>
      <c r="D2929" s="18"/>
      <c r="E2929" s="17" t="s">
        <v>3257</v>
      </c>
      <c r="F2929" s="17" t="s">
        <v>139</v>
      </c>
      <c r="G2929" s="18"/>
      <c r="H2929" s="18"/>
    </row>
    <row r="2930" spans="1:8" ht="13.2">
      <c r="A2930" s="19" t="str">
        <f>HYPERLINK("https://codeforces.com/contest/960/problem/D","CF960-D12-D")</f>
        <v>CF960-D12-D</v>
      </c>
      <c r="B2930" s="15" t="s">
        <v>3342</v>
      </c>
      <c r="C2930" s="17">
        <v>6</v>
      </c>
      <c r="D2930" s="18"/>
      <c r="E2930" s="17" t="s">
        <v>3257</v>
      </c>
      <c r="F2930" s="17" t="s">
        <v>139</v>
      </c>
      <c r="G2930" s="18"/>
      <c r="H2930" s="18"/>
    </row>
    <row r="2931" spans="1:8" ht="13.2">
      <c r="A2931" s="19" t="str">
        <f>HYPERLINK("http://codeforces.com/contest/746/problem/G","CF746-D2-G")</f>
        <v>CF746-D2-G</v>
      </c>
      <c r="B2931" s="29" t="s">
        <v>3282</v>
      </c>
      <c r="C2931" s="17">
        <v>6</v>
      </c>
      <c r="D2931" s="18"/>
      <c r="E2931" s="17" t="s">
        <v>3257</v>
      </c>
      <c r="F2931" s="17" t="s">
        <v>139</v>
      </c>
      <c r="G2931" s="18"/>
      <c r="H2931" s="18"/>
    </row>
    <row r="2932" spans="1:8" ht="13.2">
      <c r="A2932" s="19" t="str">
        <f>HYPERLINK("http://codeforces.com/contest/402/problem/E","CF402-D2-E")</f>
        <v>CF402-D2-E</v>
      </c>
      <c r="B2932" s="15" t="s">
        <v>3343</v>
      </c>
      <c r="C2932" s="24">
        <v>6</v>
      </c>
      <c r="D2932" s="18"/>
      <c r="E2932" s="17" t="s">
        <v>3257</v>
      </c>
      <c r="F2932" s="17" t="s">
        <v>613</v>
      </c>
      <c r="G2932" s="18"/>
      <c r="H2932" s="18"/>
    </row>
    <row r="2933" spans="1:8" ht="13.2">
      <c r="A2933" s="19" t="str">
        <f>HYPERLINK("https://www.codechef.com/problems/F2NDMAX", "CODECHEF F2NDMAX")</f>
        <v>CODECHEF F2NDMAX</v>
      </c>
      <c r="B2933" s="20" t="s">
        <v>3344</v>
      </c>
      <c r="C2933" s="21">
        <v>6</v>
      </c>
      <c r="D2933" s="18"/>
      <c r="E2933" s="17" t="s">
        <v>3257</v>
      </c>
      <c r="F2933" s="17" t="s">
        <v>201</v>
      </c>
      <c r="G2933" s="18"/>
      <c r="H2933" s="18"/>
    </row>
    <row r="2934" spans="1:8" ht="13.2">
      <c r="A2934" s="19" t="str">
        <f>HYPERLINK("http://codeforces.com/problemset/problem/155/E","CF155-D2-E")</f>
        <v>CF155-D2-E</v>
      </c>
      <c r="B2934" s="15" t="s">
        <v>3345</v>
      </c>
      <c r="C2934" s="17">
        <v>6</v>
      </c>
      <c r="D2934" s="18"/>
      <c r="E2934" s="17" t="s">
        <v>3257</v>
      </c>
      <c r="F2934" s="17" t="s">
        <v>201</v>
      </c>
      <c r="G2934" s="18"/>
      <c r="H2934" s="18"/>
    </row>
    <row r="2935" spans="1:8" ht="13.2">
      <c r="A2935" s="19" t="str">
        <f>HYPERLINK("http://codeforces.com/contest/510/problem/E","CF510-D2-E")</f>
        <v>CF510-D2-E</v>
      </c>
      <c r="B2935" s="15" t="s">
        <v>3302</v>
      </c>
      <c r="C2935" s="17">
        <v>6</v>
      </c>
      <c r="D2935" s="18"/>
      <c r="E2935" s="17" t="s">
        <v>3257</v>
      </c>
      <c r="F2935" s="17" t="s">
        <v>201</v>
      </c>
      <c r="G2935" s="18"/>
      <c r="H2935" s="18"/>
    </row>
    <row r="2936" spans="1:8" ht="13.2">
      <c r="A2936" s="19" t="str">
        <f>HYPERLINK("http://codeforces.com/contest/362/problem/D","CF362-D2-D")</f>
        <v>CF362-D2-D</v>
      </c>
      <c r="B2936" s="15" t="s">
        <v>3346</v>
      </c>
      <c r="C2936" s="24">
        <v>6</v>
      </c>
      <c r="D2936" s="18"/>
      <c r="E2936" s="17" t="s">
        <v>3257</v>
      </c>
      <c r="F2936" s="17" t="s">
        <v>242</v>
      </c>
      <c r="G2936" s="18"/>
      <c r="H2936" s="18"/>
    </row>
    <row r="2937" spans="1:8" ht="13.2">
      <c r="A2937" s="15" t="s">
        <v>3347</v>
      </c>
      <c r="B2937" s="29" t="s">
        <v>3256</v>
      </c>
      <c r="C2937" s="17">
        <v>6</v>
      </c>
      <c r="D2937" s="18"/>
      <c r="E2937" s="17" t="s">
        <v>3257</v>
      </c>
      <c r="F2937" s="17"/>
      <c r="G2937" s="18"/>
      <c r="H2937" s="18"/>
    </row>
    <row r="2938" spans="1:8" ht="13.2">
      <c r="A2938" s="19" t="str">
        <f>HYPERLINK("http://codeforces.com/contest/315/problem/D","CF315-D2-D")</f>
        <v>CF315-D2-D</v>
      </c>
      <c r="B2938" s="29" t="s">
        <v>3348</v>
      </c>
      <c r="C2938" s="17">
        <v>6</v>
      </c>
      <c r="D2938" s="18"/>
      <c r="E2938" s="17" t="s">
        <v>3257</v>
      </c>
      <c r="F2938" s="17"/>
      <c r="G2938" s="18"/>
      <c r="H2938" s="18"/>
    </row>
    <row r="2939" spans="1:8" ht="13.2">
      <c r="A2939" s="15" t="s">
        <v>3349</v>
      </c>
      <c r="B2939" s="15" t="s">
        <v>3350</v>
      </c>
      <c r="C2939" s="24">
        <v>6</v>
      </c>
      <c r="D2939" s="18"/>
      <c r="E2939" s="17" t="s">
        <v>3257</v>
      </c>
      <c r="F2939" s="17"/>
      <c r="G2939" s="18"/>
      <c r="H2939" s="18"/>
    </row>
    <row r="2940" spans="1:8" ht="13.2">
      <c r="A2940" s="15" t="s">
        <v>3351</v>
      </c>
      <c r="B2940" s="16" t="s">
        <v>3352</v>
      </c>
      <c r="C2940" s="17">
        <v>6</v>
      </c>
      <c r="D2940" s="18"/>
      <c r="E2940" s="17" t="s">
        <v>3257</v>
      </c>
      <c r="F2940" s="17"/>
      <c r="G2940" s="18"/>
      <c r="H2940" s="18"/>
    </row>
    <row r="2941" spans="1:8" ht="13.2">
      <c r="A2941" s="19" t="str">
        <f>HYPERLINK("http://codeforces.com/contest/27/problem/D","CF27-D2-D")</f>
        <v>CF27-D2-D</v>
      </c>
      <c r="B2941" s="29" t="s">
        <v>3353</v>
      </c>
      <c r="C2941" s="17">
        <v>6</v>
      </c>
      <c r="D2941" s="18"/>
      <c r="E2941" s="17" t="s">
        <v>3257</v>
      </c>
      <c r="F2941" s="17"/>
      <c r="G2941" s="18"/>
      <c r="H2941" s="18"/>
    </row>
    <row r="2942" spans="1:8" ht="13.2">
      <c r="A2942" s="19" t="str">
        <f>HYPERLINK("http://codeforces.com/gym/101490/attachments/download/5853/2016-benelux-algorithm-programming-contest-bapc-16-en.pdf","CF101490-GYM-E")</f>
        <v>CF101490-GYM-E</v>
      </c>
      <c r="B2942" s="15" t="s">
        <v>3354</v>
      </c>
      <c r="C2942" s="17">
        <v>6</v>
      </c>
      <c r="D2942" s="18"/>
      <c r="E2942" s="17" t="s">
        <v>3257</v>
      </c>
      <c r="F2942" s="17"/>
      <c r="G2942" s="18"/>
      <c r="H2942" s="18"/>
    </row>
    <row r="2943" spans="1:8" ht="13.2">
      <c r="A2943" s="19" t="str">
        <f>HYPERLINK("http://codeforces.com/contest/389/problem/D","CF389-D2-D")</f>
        <v>CF389-D2-D</v>
      </c>
      <c r="B2943" s="29" t="s">
        <v>3355</v>
      </c>
      <c r="C2943" s="17">
        <v>6</v>
      </c>
      <c r="D2943" s="18"/>
      <c r="E2943" s="17" t="s">
        <v>3257</v>
      </c>
      <c r="F2943" s="17"/>
      <c r="G2943" s="18"/>
      <c r="H2943" s="18"/>
    </row>
    <row r="2944" spans="1:8" ht="13.2">
      <c r="A2944" s="15" t="s">
        <v>3356</v>
      </c>
      <c r="B2944" s="28" t="s">
        <v>3357</v>
      </c>
      <c r="C2944" s="24">
        <v>6</v>
      </c>
      <c r="D2944" s="26" t="str">
        <f>HYPERLINK("https://github.com/magdy-hasan/competitive-programming/blob/00b274d42ecd0bd42d9fb3b3a10532e5dadcc7c7/uva-/uva%2011202%20-%20The%20least%20possible%20effort.cpp","Sol")</f>
        <v>Sol</v>
      </c>
      <c r="E2944" s="17" t="s">
        <v>3257</v>
      </c>
      <c r="F2944" s="17"/>
      <c r="G2944" s="18"/>
      <c r="H2944" s="18"/>
    </row>
    <row r="2945" spans="1:8" ht="13.2">
      <c r="A2945" s="19" t="str">
        <f>HYPERLINK("http://codeforces.com/contest/542/problem/C","CF542-D1-C")</f>
        <v>CF542-D1-C</v>
      </c>
      <c r="B2945" s="29" t="s">
        <v>3358</v>
      </c>
      <c r="C2945" s="17">
        <v>6</v>
      </c>
      <c r="D2945" s="18"/>
      <c r="E2945" s="17" t="s">
        <v>3257</v>
      </c>
      <c r="F2945" s="17"/>
      <c r="G2945" s="18"/>
      <c r="H2945" s="18"/>
    </row>
    <row r="2946" spans="1:8" ht="13.2">
      <c r="A2946" s="15" t="s">
        <v>3359</v>
      </c>
      <c r="B2946" s="30" t="s">
        <v>3360</v>
      </c>
      <c r="C2946" s="24">
        <v>6</v>
      </c>
      <c r="D2946" s="26" t="str">
        <f>HYPERLINK("https://github.com/Maverick10/Competitive-Programming/blob/master/Solutions/UVa/UVa%20-%2012118.cpp","Sol")</f>
        <v>Sol</v>
      </c>
      <c r="E2946" s="17" t="s">
        <v>3257</v>
      </c>
      <c r="F2946" s="17"/>
      <c r="G2946" s="18"/>
      <c r="H2946" s="18"/>
    </row>
    <row r="2947" spans="1:8" ht="13.2">
      <c r="A2947" s="15" t="s">
        <v>3361</v>
      </c>
      <c r="B2947" s="48" t="s">
        <v>3362</v>
      </c>
      <c r="C2947" s="31">
        <v>6</v>
      </c>
      <c r="D2947" s="18"/>
      <c r="E2947" s="17" t="s">
        <v>3257</v>
      </c>
      <c r="F2947" s="17"/>
      <c r="G2947" s="18"/>
      <c r="H2947" s="18"/>
    </row>
    <row r="2948" spans="1:8" ht="13.2">
      <c r="A2948" s="19" t="str">
        <f>HYPERLINK("http://codeforces.com/contest/368/problem/E","CF368-D2-E")</f>
        <v>CF368-D2-E</v>
      </c>
      <c r="B2948" s="15" t="s">
        <v>3284</v>
      </c>
      <c r="C2948" s="24">
        <v>6</v>
      </c>
      <c r="D2948" s="18"/>
      <c r="E2948" s="17" t="s">
        <v>3257</v>
      </c>
      <c r="F2948" s="17"/>
      <c r="G2948" s="18"/>
      <c r="H2948" s="18"/>
    </row>
    <row r="2949" spans="1:8" ht="13.2">
      <c r="A2949" s="19" t="str">
        <f>HYPERLINK("http://codeforces.com/contest/332/problem/D","CF332-D2-D")</f>
        <v>CF332-D2-D</v>
      </c>
      <c r="B2949" s="29" t="s">
        <v>3277</v>
      </c>
      <c r="C2949" s="17">
        <v>6</v>
      </c>
      <c r="D2949" s="18"/>
      <c r="E2949" s="17" t="s">
        <v>3257</v>
      </c>
      <c r="F2949" s="17"/>
      <c r="G2949" s="18"/>
      <c r="H2949" s="18"/>
    </row>
    <row r="2950" spans="1:8" ht="13.2">
      <c r="A2950" s="19" t="str">
        <f>HYPERLINK("http://codeforces.com/gym/101615/attachments/download/6308/20172018-acmicpc-pacific-northwest-regional-contest-div-1-en.pdf","CF101615-GYM-G")</f>
        <v>CF101615-GYM-G</v>
      </c>
      <c r="B2950" s="18" t="s">
        <v>3363</v>
      </c>
      <c r="C2950" s="17">
        <v>6</v>
      </c>
      <c r="D2950" s="26" t="str">
        <f>HYPERLINK("https://github.com/mostafa-saad/MyCompetitiveProgramming/blob/master/Codeforces/CF101615-GYM-G.txt","Sol")</f>
        <v>Sol</v>
      </c>
      <c r="E2950" s="17" t="s">
        <v>3257</v>
      </c>
      <c r="F2950" s="17"/>
      <c r="G2950" s="18"/>
      <c r="H2950" s="18"/>
    </row>
    <row r="2951" spans="1:8" ht="13.2">
      <c r="A2951" s="15" t="s">
        <v>3364</v>
      </c>
      <c r="B2951" s="28" t="s">
        <v>3365</v>
      </c>
      <c r="C2951" s="24">
        <v>6</v>
      </c>
      <c r="D2951" s="18"/>
      <c r="E2951" s="24" t="s">
        <v>3257</v>
      </c>
      <c r="F2951" s="17"/>
      <c r="G2951" s="18"/>
      <c r="H2951" s="18"/>
    </row>
    <row r="2952" spans="1:8" ht="13.2">
      <c r="A2952" s="15" t="s">
        <v>3366</v>
      </c>
      <c r="B2952" s="30" t="s">
        <v>3367</v>
      </c>
      <c r="C2952" s="40">
        <v>6</v>
      </c>
      <c r="D2952" s="18"/>
      <c r="E2952" s="17" t="s">
        <v>3257</v>
      </c>
      <c r="F2952" s="17"/>
      <c r="G2952" s="18"/>
      <c r="H2952" s="18"/>
    </row>
    <row r="2953" spans="1:8" ht="13.2">
      <c r="A2953" s="19" t="str">
        <f>HYPERLINK("http://codeforces.com/gym/101191/problem/G","CF101191-GYM-G")</f>
        <v>CF101191-GYM-G</v>
      </c>
      <c r="B2953" s="29" t="s">
        <v>3368</v>
      </c>
      <c r="C2953" s="17">
        <v>6</v>
      </c>
      <c r="D2953" s="18"/>
      <c r="E2953" s="17" t="s">
        <v>3257</v>
      </c>
      <c r="F2953" s="17"/>
      <c r="G2953" s="18"/>
      <c r="H2953" s="18"/>
    </row>
    <row r="2954" spans="1:8" ht="13.2">
      <c r="A2954" s="19" t="str">
        <f>HYPERLINK("http://codeforces.com/contest/275/problem/D","CF275-D2-D")</f>
        <v>CF275-D2-D</v>
      </c>
      <c r="B2954" s="29" t="s">
        <v>3369</v>
      </c>
      <c r="C2954" s="17">
        <v>6</v>
      </c>
      <c r="D2954" s="18"/>
      <c r="E2954" s="17" t="s">
        <v>3257</v>
      </c>
      <c r="F2954" s="17"/>
      <c r="G2954" s="18"/>
      <c r="H2954" s="18"/>
    </row>
    <row r="2955" spans="1:8" ht="13.2">
      <c r="A2955" s="15" t="s">
        <v>3370</v>
      </c>
      <c r="B2955" s="29" t="s">
        <v>3371</v>
      </c>
      <c r="C2955" s="17">
        <v>5.75</v>
      </c>
      <c r="D2955" s="26" t="str">
        <f>HYPERLINK("https://github.com/mostafa-saad/MyCompetitiveProgramming/blob/master/TopCoder/SRM608-D2-1000.txt","Sol")</f>
        <v>Sol</v>
      </c>
      <c r="E2955" s="17" t="s">
        <v>3257</v>
      </c>
      <c r="F2955" s="17" t="s">
        <v>154</v>
      </c>
      <c r="G2955" s="18"/>
      <c r="H2955" s="18"/>
    </row>
    <row r="2956" spans="1:8" ht="13.2">
      <c r="A2956" s="19" t="str">
        <f>HYPERLINK("https://beta.atcoder.jp/contests/arc103/tasks/arc103_c","AtCoder103-ARC-E")</f>
        <v>AtCoder103-ARC-E</v>
      </c>
      <c r="B2956" s="20" t="s">
        <v>3341</v>
      </c>
      <c r="C2956" s="21">
        <v>5.75</v>
      </c>
      <c r="D2956" s="26" t="str">
        <f>HYPERLINK("https://github.com/gs15120/CompetitveProgrammingDirectories/blob/master/Atcoder/AtCoder103-ARC-E","Sol")</f>
        <v>Sol</v>
      </c>
      <c r="E2956" s="17" t="s">
        <v>3257</v>
      </c>
      <c r="F2956" s="17" t="s">
        <v>1112</v>
      </c>
      <c r="G2956" s="18"/>
      <c r="H2956" s="18"/>
    </row>
    <row r="2957" spans="1:8" ht="13.2">
      <c r="A2957" s="19" t="str">
        <f>HYPERLINK("https://codeforces.com/contest/1311/problem/E","CF1311-D3-E")</f>
        <v>CF1311-D3-E</v>
      </c>
      <c r="B2957" s="20" t="s">
        <v>3372</v>
      </c>
      <c r="C2957" s="21">
        <v>5.75</v>
      </c>
      <c r="D2957" s="18"/>
      <c r="E2957" s="17" t="s">
        <v>3257</v>
      </c>
      <c r="F2957" s="17" t="s">
        <v>201</v>
      </c>
      <c r="G2957" s="18"/>
      <c r="H2957" s="18"/>
    </row>
    <row r="2958" spans="1:8" ht="13.2">
      <c r="A2958" s="19" t="str">
        <f>HYPERLINK("http://codeforces.com/contest/486/problem/D","CF486-D2-D")</f>
        <v>CF486-D2-D</v>
      </c>
      <c r="B2958" s="29" t="s">
        <v>3373</v>
      </c>
      <c r="C2958" s="17">
        <v>5.5</v>
      </c>
      <c r="D2958" s="18"/>
      <c r="E2958" s="17" t="s">
        <v>3257</v>
      </c>
      <c r="F2958" s="17" t="s">
        <v>1053</v>
      </c>
      <c r="G2958" s="18"/>
      <c r="H2958" s="18"/>
    </row>
    <row r="2959" spans="1:8" ht="13.2">
      <c r="A2959" s="19" t="str">
        <f>HYPERLINK("http://codeforces.com/contest/1041/problem/E","CF1041-D2-E")</f>
        <v>CF1041-D2-E</v>
      </c>
      <c r="B2959" s="20" t="s">
        <v>3374</v>
      </c>
      <c r="C2959" s="21">
        <v>5.5</v>
      </c>
      <c r="D2959" s="18"/>
      <c r="E2959" s="17" t="s">
        <v>3257</v>
      </c>
      <c r="F2959" s="17" t="s">
        <v>154</v>
      </c>
      <c r="G2959" s="18"/>
      <c r="H2959" s="18"/>
    </row>
    <row r="2960" spans="1:8" ht="13.2">
      <c r="A2960" s="19" t="str">
        <f>HYPERLINK("https://codeforces.com/contest/1269/problem/D","CF1269-D2-D")</f>
        <v>CF1269-D2-D</v>
      </c>
      <c r="B2960" s="20" t="s">
        <v>3375</v>
      </c>
      <c r="C2960" s="21">
        <v>5.5</v>
      </c>
      <c r="D2960" s="18"/>
      <c r="E2960" s="17" t="s">
        <v>3257</v>
      </c>
      <c r="F2960" s="17" t="s">
        <v>139</v>
      </c>
      <c r="G2960" s="18"/>
      <c r="H2960" s="18"/>
    </row>
    <row r="2961" spans="1:8" ht="13.2">
      <c r="A2961" s="15" t="s">
        <v>3376</v>
      </c>
      <c r="B2961" s="15" t="s">
        <v>3377</v>
      </c>
      <c r="C2961" s="17">
        <v>5.5</v>
      </c>
      <c r="D2961" s="26" t="str">
        <f>HYPERLINK("https://github.com/mostafa-saad/MyCompetitiveProgramming/blob/master/LiveArchive/LiveArchive_7616.txt","Sol")</f>
        <v>Sol</v>
      </c>
      <c r="E2961" s="17" t="s">
        <v>3257</v>
      </c>
      <c r="F2961" s="17" t="s">
        <v>139</v>
      </c>
      <c r="G2961" s="18"/>
      <c r="H2961" s="18"/>
    </row>
    <row r="2962" spans="1:8" ht="13.2">
      <c r="A2962" s="19" t="str">
        <f>HYPERLINK("http://codeforces.com/contest/233/problem/C","CF233-D2-C")</f>
        <v>CF233-D2-C</v>
      </c>
      <c r="B2962" s="29" t="s">
        <v>3378</v>
      </c>
      <c r="C2962" s="17">
        <v>5.5</v>
      </c>
      <c r="D2962" s="18"/>
      <c r="E2962" s="17" t="s">
        <v>3257</v>
      </c>
      <c r="F2962" s="17" t="s">
        <v>139</v>
      </c>
      <c r="G2962" s="18"/>
      <c r="H2962" s="18"/>
    </row>
    <row r="2963" spans="1:8" ht="13.2">
      <c r="A2963" s="19" t="str">
        <f>HYPERLINK("https://codeforces.com/contest/154/problem/C","CF154-D1-C")</f>
        <v>CF154-D1-C</v>
      </c>
      <c r="B2963" s="20" t="s">
        <v>3339</v>
      </c>
      <c r="C2963" s="17">
        <v>5.5</v>
      </c>
      <c r="D2963" s="18"/>
      <c r="E2963" s="17" t="s">
        <v>3257</v>
      </c>
      <c r="F2963" s="17" t="s">
        <v>139</v>
      </c>
      <c r="G2963" s="18"/>
      <c r="H2963" s="18"/>
    </row>
    <row r="2964" spans="1:8" ht="13.2">
      <c r="A2964" s="19" t="str">
        <f>HYPERLINK("http://codeforces.com/contest/797/problem/D","CF797-D12-D")</f>
        <v>CF797-D12-D</v>
      </c>
      <c r="B2964" s="18" t="s">
        <v>3379</v>
      </c>
      <c r="C2964" s="17">
        <v>5.5</v>
      </c>
      <c r="D2964" s="18"/>
      <c r="E2964" s="17" t="s">
        <v>3257</v>
      </c>
      <c r="F2964" s="17" t="s">
        <v>139</v>
      </c>
      <c r="G2964" s="18"/>
      <c r="H2964" s="18"/>
    </row>
    <row r="2965" spans="1:8" ht="13.2">
      <c r="A2965" s="19" t="str">
        <f>HYPERLINK("https://www.facebook.com/hackercup/problem/638251746380051/", "FbHkrCup 18-R2-B")</f>
        <v>FbHkrCup 18-R2-B</v>
      </c>
      <c r="B2965" s="20" t="s">
        <v>3380</v>
      </c>
      <c r="C2965" s="21">
        <v>5.5</v>
      </c>
      <c r="D2965" s="18"/>
      <c r="E2965" s="17" t="s">
        <v>3257</v>
      </c>
      <c r="F2965" s="17" t="s">
        <v>242</v>
      </c>
      <c r="G2965" s="18"/>
      <c r="H2965" s="18"/>
    </row>
    <row r="2966" spans="1:8" ht="13.2">
      <c r="A2966" s="19" t="str">
        <f>HYPERLINK("http://codeforces.com/contest/664/problem/D","CF664-D2-D")</f>
        <v>CF664-D2-D</v>
      </c>
      <c r="B2966" s="29" t="s">
        <v>3381</v>
      </c>
      <c r="C2966" s="17">
        <v>5.5</v>
      </c>
      <c r="D2966" s="18"/>
      <c r="E2966" s="17" t="s">
        <v>3257</v>
      </c>
      <c r="F2966" s="17"/>
      <c r="G2966" s="18"/>
      <c r="H2966" s="18"/>
    </row>
    <row r="2967" spans="1:8" ht="13.2">
      <c r="A2967" s="15" t="s">
        <v>3382</v>
      </c>
      <c r="B2967" s="35" t="s">
        <v>3383</v>
      </c>
      <c r="C2967" s="40">
        <v>5.5</v>
      </c>
      <c r="D2967" s="18"/>
      <c r="E2967" s="17" t="s">
        <v>3257</v>
      </c>
      <c r="F2967" s="17"/>
      <c r="G2967" s="18"/>
      <c r="H2967" s="18"/>
    </row>
    <row r="2968" spans="1:8" ht="13.2">
      <c r="A2968" s="19" t="str">
        <f>HYPERLINK("http://codeforces.com/contest/557/problem/D","CF557-D2-D")</f>
        <v>CF557-D2-D</v>
      </c>
      <c r="B2968" s="15" t="s">
        <v>3384</v>
      </c>
      <c r="C2968" s="24">
        <v>5.5</v>
      </c>
      <c r="D2968" s="18"/>
      <c r="E2968" s="17" t="s">
        <v>3257</v>
      </c>
      <c r="F2968" s="17"/>
      <c r="G2968" s="18"/>
      <c r="H2968" s="18"/>
    </row>
    <row r="2969" spans="1:8" ht="13.2">
      <c r="A2969" s="15" t="s">
        <v>3385</v>
      </c>
      <c r="B2969" s="29" t="s">
        <v>3277</v>
      </c>
      <c r="C2969" s="33">
        <v>5.5</v>
      </c>
      <c r="D2969" s="18"/>
      <c r="E2969" s="24" t="s">
        <v>3257</v>
      </c>
      <c r="F2969" s="17"/>
      <c r="G2969" s="18"/>
      <c r="H2969" s="18"/>
    </row>
    <row r="2970" spans="1:8" ht="13.2">
      <c r="A2970" s="15" t="s">
        <v>3386</v>
      </c>
      <c r="B2970" s="29" t="s">
        <v>3387</v>
      </c>
      <c r="C2970" s="24">
        <v>5.5</v>
      </c>
      <c r="D2970" s="18"/>
      <c r="E2970" s="17" t="s">
        <v>3257</v>
      </c>
      <c r="F2970" s="17"/>
      <c r="G2970" s="18"/>
      <c r="H2970" s="18"/>
    </row>
    <row r="2971" spans="1:8" ht="13.2">
      <c r="A2971" s="19" t="str">
        <f>HYPERLINK("https://agc005.contest.atcoder.jp/tasks/agc005_c","AtCoder005-AGC-C")</f>
        <v>AtCoder005-AGC-C</v>
      </c>
      <c r="B2971" s="15" t="s">
        <v>3388</v>
      </c>
      <c r="C2971" s="17">
        <v>5.5</v>
      </c>
      <c r="D2971" s="18"/>
      <c r="E2971" s="17" t="s">
        <v>3257</v>
      </c>
      <c r="F2971" s="17"/>
      <c r="G2971" s="18"/>
      <c r="H2971" s="18"/>
    </row>
    <row r="2972" spans="1:8" ht="13.2">
      <c r="A2972" s="19" t="str">
        <f>HYPERLINK("http://codeforces.com/contest/1003/problem/E","CF1003-D3-E")</f>
        <v>CF1003-D3-E</v>
      </c>
      <c r="B2972" s="20" t="s">
        <v>3389</v>
      </c>
      <c r="C2972" s="17">
        <v>5.5</v>
      </c>
      <c r="D2972" s="18"/>
      <c r="E2972" s="17" t="s">
        <v>3257</v>
      </c>
      <c r="F2972" s="17"/>
      <c r="G2972" s="18"/>
      <c r="H2972" s="18"/>
    </row>
    <row r="2973" spans="1:8" ht="13.2">
      <c r="A2973" s="15" t="s">
        <v>3390</v>
      </c>
      <c r="B2973" s="30" t="s">
        <v>3391</v>
      </c>
      <c r="C2973" s="17">
        <v>5</v>
      </c>
      <c r="D2973" s="18"/>
      <c r="E2973" s="17" t="s">
        <v>3257</v>
      </c>
      <c r="F2973" s="17" t="s">
        <v>255</v>
      </c>
      <c r="G2973" s="18"/>
      <c r="H2973" s="18"/>
    </row>
    <row r="2974" spans="1:8" ht="13.2">
      <c r="A2974" s="19" t="str">
        <f>HYPERLINK("http://codeforces.com/contest/125/problem/C","CF125-D12-C")</f>
        <v>CF125-D12-C</v>
      </c>
      <c r="B2974" s="15" t="s">
        <v>3392</v>
      </c>
      <c r="C2974" s="17">
        <v>5</v>
      </c>
      <c r="D2974" s="26" t="str">
        <f>HYPERLINK("https://github.com/AhmedElsisy/CompetitiveProgramming/blob/master/Codeforces/CF125-D12-C.cpp","Sol")</f>
        <v>Sol</v>
      </c>
      <c r="E2974" s="17" t="s">
        <v>3257</v>
      </c>
      <c r="F2974" s="17" t="s">
        <v>139</v>
      </c>
      <c r="G2974" s="18"/>
      <c r="H2974" s="18"/>
    </row>
    <row r="2975" spans="1:8" ht="13.2">
      <c r="A2975" s="19" t="str">
        <f>HYPERLINK("http://codeforces.com/contest/550/problem/D","CF550-D2-D")</f>
        <v>CF550-D2-D</v>
      </c>
      <c r="B2975" s="29" t="s">
        <v>3393</v>
      </c>
      <c r="C2975" s="17">
        <v>5</v>
      </c>
      <c r="D2975" s="18"/>
      <c r="E2975" s="17" t="s">
        <v>3257</v>
      </c>
      <c r="F2975" s="17" t="s">
        <v>139</v>
      </c>
      <c r="G2975" s="18"/>
      <c r="H2975" s="18"/>
    </row>
    <row r="2976" spans="1:8" ht="13.2">
      <c r="A2976" s="19" t="str">
        <f>HYPERLINK("https://codeforces.com/contest/1146/problem/D","CF1146-D12-D")</f>
        <v>CF1146-D12-D</v>
      </c>
      <c r="B2976" s="15" t="s">
        <v>3394</v>
      </c>
      <c r="C2976" s="17">
        <v>5</v>
      </c>
      <c r="D2976" s="18"/>
      <c r="E2976" s="17" t="s">
        <v>3257</v>
      </c>
      <c r="F2976" s="17" t="s">
        <v>139</v>
      </c>
      <c r="G2976" s="18"/>
      <c r="H2976" s="18"/>
    </row>
    <row r="2977" spans="1:8" ht="13.2">
      <c r="A2977" s="19" t="str">
        <f>HYPERLINK("https://codeforces.com/contest/1060/problem/D","CF1060-D12-D")</f>
        <v>CF1060-D12-D</v>
      </c>
      <c r="B2977" s="20" t="s">
        <v>3284</v>
      </c>
      <c r="C2977" s="21">
        <v>5</v>
      </c>
      <c r="D2977" s="18"/>
      <c r="E2977" s="17" t="s">
        <v>3257</v>
      </c>
      <c r="F2977" s="17" t="s">
        <v>139</v>
      </c>
      <c r="G2977" s="18"/>
      <c r="H2977" s="18"/>
    </row>
    <row r="2978" spans="1:8" ht="13.2">
      <c r="A2978" s="15" t="s">
        <v>3395</v>
      </c>
      <c r="B2978" s="28" t="s">
        <v>3396</v>
      </c>
      <c r="C2978" s="24">
        <v>5</v>
      </c>
      <c r="D2978" s="26" t="str">
        <f>HYPERLINK("https://github.com/mostafa-saad/MyCompetitiveProgramming/blob/master/UVA/UVA_10982.txt","Sol")</f>
        <v>Sol</v>
      </c>
      <c r="E2978" s="17" t="s">
        <v>3257</v>
      </c>
      <c r="F2978" s="17" t="s">
        <v>139</v>
      </c>
      <c r="G2978" s="18"/>
      <c r="H2978" s="18"/>
    </row>
    <row r="2979" spans="1:8" ht="13.2">
      <c r="A2979" s="19" t="str">
        <f>HYPERLINK("https://codeforces.com/gym/102001/problem/G", "CF102001-GYM-G")</f>
        <v>CF102001-GYM-G</v>
      </c>
      <c r="B2979" s="15" t="s">
        <v>3397</v>
      </c>
      <c r="C2979" s="17">
        <v>5</v>
      </c>
      <c r="D2979" s="26" t="str">
        <f>HYPERLINK("https://github.com/YazanZebak/CompetitiveProgramming/blob/master/Codeforces/CF102001-GYM-G.cpp", "Sol")</f>
        <v>Sol</v>
      </c>
      <c r="E2979" s="17" t="s">
        <v>3257</v>
      </c>
      <c r="F2979" s="17" t="s">
        <v>201</v>
      </c>
      <c r="G2979" s="18"/>
      <c r="H2979" s="18"/>
    </row>
    <row r="2980" spans="1:8" ht="13.2">
      <c r="A2980" s="19" t="str">
        <f>HYPERLINK("https://tenka1-2018.contest.atcoder.jp/tasks/tenka1_2018_d","AtCoder-Tenka118-D")</f>
        <v>AtCoder-Tenka118-D</v>
      </c>
      <c r="B2980" s="23" t="s">
        <v>3398</v>
      </c>
      <c r="C2980" s="17">
        <v>5</v>
      </c>
      <c r="D2980" s="18"/>
      <c r="E2980" s="17" t="s">
        <v>3257</v>
      </c>
      <c r="F2980" s="17" t="s">
        <v>201</v>
      </c>
      <c r="G2980" s="18"/>
      <c r="H2980" s="18"/>
    </row>
    <row r="2981" spans="1:8" ht="13.2">
      <c r="A2981" s="19" t="str">
        <f>HYPERLINK("https://codeforces.com/contest/1082/problem/D","CF1082-D12-D")</f>
        <v>CF1082-D12-D</v>
      </c>
      <c r="B2981" s="20" t="s">
        <v>3399</v>
      </c>
      <c r="C2981" s="21">
        <v>5</v>
      </c>
      <c r="D2981" s="18"/>
      <c r="E2981" s="17" t="s">
        <v>3257</v>
      </c>
      <c r="F2981" s="17" t="s">
        <v>201</v>
      </c>
      <c r="G2981" s="18"/>
      <c r="H2981" s="18"/>
    </row>
    <row r="2982" spans="1:8" ht="13.2">
      <c r="A2982" s="19" t="str">
        <f>HYPERLINK("https://codeforces.com/contest/1296/problem/F","CF1296-D3-F")</f>
        <v>CF1296-D3-F</v>
      </c>
      <c r="B2982" s="20" t="s">
        <v>3368</v>
      </c>
      <c r="C2982" s="17">
        <v>5</v>
      </c>
      <c r="D2982" s="18"/>
      <c r="E2982" s="17" t="s">
        <v>3257</v>
      </c>
      <c r="F2982" s="17" t="s">
        <v>201</v>
      </c>
      <c r="G2982" s="18"/>
      <c r="H2982" s="18"/>
    </row>
    <row r="2983" spans="1:8" ht="13.2">
      <c r="A2983" s="19" t="str">
        <f>HYPERLINK("https://codeforces.com/contest/1189/problem/D2","CF1189-D2-D2")</f>
        <v>CF1189-D2-D2</v>
      </c>
      <c r="B2983" s="23" t="s">
        <v>3400</v>
      </c>
      <c r="C2983" s="17">
        <v>5</v>
      </c>
      <c r="D2983" s="18"/>
      <c r="E2983" s="17" t="s">
        <v>3257</v>
      </c>
      <c r="F2983" s="17" t="s">
        <v>201</v>
      </c>
      <c r="G2983" s="18"/>
      <c r="H2983" s="18"/>
    </row>
    <row r="2984" spans="1:8" ht="13.2">
      <c r="A2984" s="15" t="s">
        <v>3401</v>
      </c>
      <c r="B2984" s="29" t="s">
        <v>3402</v>
      </c>
      <c r="C2984" s="24">
        <v>5</v>
      </c>
      <c r="D2984" s="18"/>
      <c r="E2984" s="17" t="s">
        <v>3257</v>
      </c>
      <c r="F2984" s="17" t="s">
        <v>537</v>
      </c>
      <c r="G2984" s="18"/>
      <c r="H2984" s="18"/>
    </row>
    <row r="2985" spans="1:8" ht="13.2">
      <c r="A2985" s="19" t="str">
        <f>HYPERLINK("http://codeforces.com/contest/430/problem/C","CF430-D2-C")</f>
        <v>CF430-D2-C</v>
      </c>
      <c r="B2985" s="29" t="s">
        <v>3331</v>
      </c>
      <c r="C2985" s="17">
        <v>5</v>
      </c>
      <c r="D2985" s="18"/>
      <c r="E2985" s="17" t="s">
        <v>3257</v>
      </c>
      <c r="F2985" s="17"/>
      <c r="G2985" s="18"/>
      <c r="H2985" s="18"/>
    </row>
    <row r="2986" spans="1:8" ht="13.2">
      <c r="A2986" s="19" t="str">
        <f>HYPERLINK("http://codeforces.com/contest/741/problem/C","CF741-D1-C")</f>
        <v>CF741-D1-C</v>
      </c>
      <c r="B2986" s="37" t="s">
        <v>3322</v>
      </c>
      <c r="C2986" s="24">
        <v>5</v>
      </c>
      <c r="D2986" s="18"/>
      <c r="E2986" s="17" t="s">
        <v>3257</v>
      </c>
      <c r="F2986" s="17"/>
      <c r="G2986" s="18"/>
      <c r="H2986" s="18"/>
    </row>
    <row r="2987" spans="1:8" ht="13.2">
      <c r="A2987" s="15" t="s">
        <v>3403</v>
      </c>
      <c r="B2987" s="28" t="s">
        <v>3404</v>
      </c>
      <c r="C2987" s="24">
        <v>5</v>
      </c>
      <c r="D2987" s="18"/>
      <c r="E2987" s="24" t="s">
        <v>3257</v>
      </c>
      <c r="F2987" s="17"/>
      <c r="G2987" s="18"/>
      <c r="H2987" s="18"/>
    </row>
    <row r="2988" spans="1:8" ht="13.2">
      <c r="A2988" s="19" t="str">
        <f>HYPERLINK("https://www.facebook.com/hackercup/problem/988017871357549/","FbHkrCup 18-R2-A")</f>
        <v>FbHkrCup 18-R2-A</v>
      </c>
      <c r="B2988" s="20" t="s">
        <v>3398</v>
      </c>
      <c r="C2988" s="21">
        <v>5</v>
      </c>
      <c r="D2988" s="18"/>
      <c r="E2988" s="17" t="s">
        <v>3257</v>
      </c>
      <c r="F2988" s="17"/>
      <c r="G2988" s="18"/>
      <c r="H2988" s="18"/>
    </row>
    <row r="2989" spans="1:8" ht="13.2">
      <c r="A2989" s="19" t="str">
        <f>HYPERLINK("http://codeforces.com/contest/363/problem/D","CF363-D2-D")</f>
        <v>CF363-D2-D</v>
      </c>
      <c r="B2989" s="29" t="s">
        <v>3405</v>
      </c>
      <c r="C2989" s="17">
        <v>5</v>
      </c>
      <c r="D2989" s="18"/>
      <c r="E2989" s="17" t="s">
        <v>3257</v>
      </c>
      <c r="F2989" s="17"/>
      <c r="G2989" s="18"/>
      <c r="H2989" s="18"/>
    </row>
    <row r="2990" spans="1:8" ht="13.2">
      <c r="A2990" s="15" t="s">
        <v>3406</v>
      </c>
      <c r="B2990" s="29" t="s">
        <v>3407</v>
      </c>
      <c r="C2990" s="17">
        <v>5</v>
      </c>
      <c r="D2990" s="18"/>
      <c r="E2990" s="24" t="s">
        <v>3257</v>
      </c>
      <c r="F2990" s="17"/>
      <c r="G2990" s="18"/>
      <c r="H2990" s="18"/>
    </row>
    <row r="2991" spans="1:8" ht="13.2">
      <c r="A2991" s="19" t="str">
        <f>HYPERLINK("https://codeforces.com/contest/1277/problem/E","CF1277-D2-E")</f>
        <v>CF1277-D2-E</v>
      </c>
      <c r="B2991" s="20" t="s">
        <v>3277</v>
      </c>
      <c r="C2991" s="21">
        <v>5</v>
      </c>
      <c r="D2991" s="18"/>
      <c r="E2991" s="17" t="s">
        <v>3257</v>
      </c>
      <c r="F2991" s="17"/>
      <c r="G2991" s="18"/>
      <c r="H2991" s="18"/>
    </row>
    <row r="2992" spans="1:8" ht="13.2">
      <c r="A2992" s="15" t="s">
        <v>3408</v>
      </c>
      <c r="B2992" s="29" t="s">
        <v>3409</v>
      </c>
      <c r="C2992" s="17">
        <v>5</v>
      </c>
      <c r="D2992" s="18"/>
      <c r="E2992" s="24" t="s">
        <v>3257</v>
      </c>
      <c r="F2992" s="17"/>
      <c r="G2992" s="18"/>
      <c r="H2992" s="18"/>
    </row>
    <row r="2993" spans="1:8" ht="13.2">
      <c r="A2993" s="15" t="s">
        <v>3410</v>
      </c>
      <c r="B2993" s="30" t="s">
        <v>3391</v>
      </c>
      <c r="C2993" s="40">
        <v>5</v>
      </c>
      <c r="D2993" s="18"/>
      <c r="E2993" s="17" t="s">
        <v>3257</v>
      </c>
      <c r="F2993" s="17"/>
      <c r="G2993" s="18"/>
      <c r="H2993" s="18"/>
    </row>
    <row r="2994" spans="1:8" ht="13.2">
      <c r="A2994" s="15" t="s">
        <v>3411</v>
      </c>
      <c r="B2994" s="30" t="s">
        <v>3412</v>
      </c>
      <c r="C2994" s="24">
        <v>5</v>
      </c>
      <c r="D2994" s="18"/>
      <c r="E2994" s="17" t="s">
        <v>3257</v>
      </c>
      <c r="F2994" s="17"/>
      <c r="G2994" s="18"/>
      <c r="H2994" s="18"/>
    </row>
    <row r="2995" spans="1:8" ht="13.2">
      <c r="A2995" s="15" t="s">
        <v>3413</v>
      </c>
      <c r="B2995" s="28" t="s">
        <v>3414</v>
      </c>
      <c r="C2995" s="24">
        <v>4.5</v>
      </c>
      <c r="D2995" s="18"/>
      <c r="E2995" s="24" t="s">
        <v>3257</v>
      </c>
      <c r="F2995" s="17" t="s">
        <v>201</v>
      </c>
      <c r="G2995" s="18"/>
      <c r="H2995" s="18"/>
    </row>
    <row r="2996" spans="1:8" ht="13.2">
      <c r="A2996" s="15" t="s">
        <v>3415</v>
      </c>
      <c r="B2996" s="34" t="s">
        <v>3331</v>
      </c>
      <c r="C2996" s="24">
        <v>4.5</v>
      </c>
      <c r="D2996" s="18"/>
      <c r="E2996" s="17" t="s">
        <v>3257</v>
      </c>
      <c r="F2996" s="17"/>
      <c r="G2996" s="18"/>
      <c r="H2996" s="18"/>
    </row>
    <row r="2997" spans="1:8" ht="13.2">
      <c r="A2997" s="19" t="str">
        <f>HYPERLINK("https://codeforces.com/contest/764/problem/C","CF764-D2-C")</f>
        <v>CF764-D2-C</v>
      </c>
      <c r="B2997" s="15" t="s">
        <v>3340</v>
      </c>
      <c r="C2997" s="17">
        <v>4</v>
      </c>
      <c r="D2997" s="18"/>
      <c r="E2997" s="17" t="s">
        <v>3257</v>
      </c>
      <c r="F2997" s="17" t="s">
        <v>139</v>
      </c>
      <c r="G2997" s="18"/>
      <c r="H2997" s="18"/>
    </row>
    <row r="2998" spans="1:8" ht="13.2">
      <c r="A2998" s="19" t="str">
        <f>HYPERLINK("http://codeforces.com/contest/902/problem/C","CF902-D2-C")</f>
        <v>CF902-D2-C</v>
      </c>
      <c r="B2998" s="29" t="s">
        <v>3416</v>
      </c>
      <c r="C2998" s="17">
        <v>4</v>
      </c>
      <c r="D2998" s="18"/>
      <c r="E2998" s="17" t="s">
        <v>3257</v>
      </c>
      <c r="F2998" s="17" t="s">
        <v>139</v>
      </c>
      <c r="G2998" s="18"/>
      <c r="H2998" s="18"/>
    </row>
    <row r="2999" spans="1:8" ht="13.2">
      <c r="A2999" s="15" t="s">
        <v>3417</v>
      </c>
      <c r="B2999" s="15" t="s">
        <v>3256</v>
      </c>
      <c r="C2999" s="21">
        <v>4</v>
      </c>
      <c r="D2999" s="18"/>
      <c r="E2999" s="17" t="s">
        <v>3257</v>
      </c>
      <c r="F2999" s="17" t="s">
        <v>201</v>
      </c>
      <c r="G2999" s="18"/>
      <c r="H2999" s="18"/>
    </row>
    <row r="3000" spans="1:8" ht="13.2">
      <c r="A3000" s="19" t="str">
        <f>HYPERLINK("https://codeforces.com/contest/1068/problem/C","CF1068-D2-C")</f>
        <v>CF1068-D2-C</v>
      </c>
      <c r="B3000" s="15" t="s">
        <v>3348</v>
      </c>
      <c r="C3000" s="17">
        <v>4</v>
      </c>
      <c r="D3000" s="18"/>
      <c r="E3000" s="17" t="s">
        <v>3257</v>
      </c>
      <c r="F3000" s="17" t="s">
        <v>201</v>
      </c>
      <c r="G3000" s="18"/>
      <c r="H3000" s="18"/>
    </row>
    <row r="3001" spans="1:8" ht="13.2">
      <c r="A3001" s="19" t="str">
        <f>HYPERLINK("http://codeforces.com/contest/61/problem/D","CF61-D2-D")</f>
        <v>CF61-D2-D</v>
      </c>
      <c r="B3001" s="29" t="s">
        <v>3418</v>
      </c>
      <c r="C3001" s="17">
        <v>4</v>
      </c>
      <c r="D3001" s="18"/>
      <c r="E3001" s="17" t="s">
        <v>3257</v>
      </c>
      <c r="F3001" s="17" t="s">
        <v>201</v>
      </c>
      <c r="G3001" s="18"/>
      <c r="H3001" s="18"/>
    </row>
    <row r="3002" spans="1:8" ht="13.2">
      <c r="A3002" s="19" t="str">
        <f>HYPERLINK("https://uva.onlinejudge.org/index.php?option=com_onlinejudge&amp;Itemid=8&amp;page=show_problem&amp;problem=556","UVA 615")</f>
        <v>UVA 615</v>
      </c>
      <c r="B3002" s="29" t="s">
        <v>3368</v>
      </c>
      <c r="C3002" s="17">
        <v>4</v>
      </c>
      <c r="D3002" s="18"/>
      <c r="E3002" s="17" t="s">
        <v>3257</v>
      </c>
      <c r="F3002" s="17" t="s">
        <v>242</v>
      </c>
      <c r="G3002" s="18"/>
      <c r="H3002" s="18"/>
    </row>
    <row r="3003" spans="1:8" ht="13.2">
      <c r="A3003" s="19" t="str">
        <f>HYPERLINK("http://codeforces.com/contest/106/problem/D","CF106-D2-D")</f>
        <v>CF106-D2-D</v>
      </c>
      <c r="B3003" s="18" t="s">
        <v>3256</v>
      </c>
      <c r="C3003" s="17">
        <v>4</v>
      </c>
      <c r="D3003" s="18"/>
      <c r="E3003" s="17" t="s">
        <v>3257</v>
      </c>
      <c r="F3003" s="17"/>
      <c r="G3003" s="18"/>
      <c r="H3003" s="18"/>
    </row>
    <row r="3004" spans="1:8" ht="13.2">
      <c r="A3004" s="19" t="str">
        <f>HYPERLINK("http://codeforces.com/contest/246/problem/D","CF246-D2-D")</f>
        <v>CF246-D2-D</v>
      </c>
      <c r="B3004" s="18" t="s">
        <v>3256</v>
      </c>
      <c r="C3004" s="17">
        <v>4</v>
      </c>
      <c r="D3004" s="18"/>
      <c r="E3004" s="17" t="s">
        <v>3257</v>
      </c>
      <c r="F3004" s="17"/>
      <c r="G3004" s="18"/>
      <c r="H3004" s="18"/>
    </row>
    <row r="3005" spans="1:8" ht="13.2">
      <c r="A3005" s="19" t="str">
        <f>HYPERLINK("http://codeforces.com/contest/586/problem/D","CF586-D2-D")</f>
        <v>CF586-D2-D</v>
      </c>
      <c r="B3005" s="18" t="s">
        <v>3256</v>
      </c>
      <c r="C3005" s="17">
        <v>4</v>
      </c>
      <c r="D3005" s="18"/>
      <c r="E3005" s="17" t="s">
        <v>3257</v>
      </c>
      <c r="F3005" s="17"/>
      <c r="G3005" s="18"/>
      <c r="H3005" s="18"/>
    </row>
    <row r="3006" spans="1:8" ht="13.2">
      <c r="A3006" s="19" t="str">
        <f>HYPERLINK("https://csacademy.com/contest/round-41/task/bfs-dfs/statement/","CSA41-D")</f>
        <v>CSA41-D</v>
      </c>
      <c r="B3006" s="15" t="s">
        <v>3256</v>
      </c>
      <c r="C3006" s="17">
        <v>4</v>
      </c>
      <c r="D3006" s="18"/>
      <c r="E3006" s="17" t="s">
        <v>3257</v>
      </c>
      <c r="F3006" s="17"/>
      <c r="G3006" s="18"/>
      <c r="H3006" s="18"/>
    </row>
    <row r="3007" spans="1:8" ht="13.2">
      <c r="A3007" s="15" t="s">
        <v>3419</v>
      </c>
      <c r="B3007" s="38" t="s">
        <v>3331</v>
      </c>
      <c r="C3007" s="17">
        <v>4</v>
      </c>
      <c r="D3007" s="18"/>
      <c r="E3007" s="17" t="s">
        <v>3257</v>
      </c>
      <c r="F3007" s="17"/>
      <c r="G3007" s="18"/>
      <c r="H3007" s="18"/>
    </row>
    <row r="3008" spans="1:8" ht="13.2">
      <c r="A3008" s="15" t="s">
        <v>3420</v>
      </c>
      <c r="B3008" s="28" t="s">
        <v>3421</v>
      </c>
      <c r="C3008" s="24">
        <v>4</v>
      </c>
      <c r="D3008" s="26" t="str">
        <f>HYPERLINK("https://github.com/TheRealImaginary/CompetitiveProgramming/blob/master/UVA/UVA_656_OptimalPrograms.java","Sol")</f>
        <v>Sol</v>
      </c>
      <c r="E3008" s="17" t="s">
        <v>3257</v>
      </c>
      <c r="F3008" s="17"/>
      <c r="G3008" s="18"/>
      <c r="H3008" s="18"/>
    </row>
    <row r="3009" spans="1:8" ht="13.2">
      <c r="A3009" s="15" t="s">
        <v>3422</v>
      </c>
      <c r="B3009" s="30" t="s">
        <v>3423</v>
      </c>
      <c r="C3009" s="17">
        <v>4</v>
      </c>
      <c r="D3009" s="18"/>
      <c r="E3009" s="17" t="s">
        <v>3257</v>
      </c>
      <c r="F3009" s="17"/>
      <c r="G3009" s="18"/>
      <c r="H3009" s="18"/>
    </row>
    <row r="3010" spans="1:8" ht="13.2">
      <c r="A3010" s="15" t="s">
        <v>3424</v>
      </c>
      <c r="B3010" s="15" t="s">
        <v>3425</v>
      </c>
      <c r="C3010" s="24">
        <v>4</v>
      </c>
      <c r="D3010" s="26" t="str">
        <f>HYPERLINK("http://ideone.com/2aIxpi","Sol")</f>
        <v>Sol</v>
      </c>
      <c r="E3010" s="17" t="s">
        <v>3257</v>
      </c>
      <c r="F3010" s="17"/>
      <c r="G3010" s="18"/>
      <c r="H3010" s="18"/>
    </row>
    <row r="3011" spans="1:8" ht="13.2">
      <c r="A3011" s="15" t="s">
        <v>3426</v>
      </c>
      <c r="B3011" s="35" t="s">
        <v>3340</v>
      </c>
      <c r="C3011" s="17">
        <v>4</v>
      </c>
      <c r="D3011" s="18"/>
      <c r="E3011" s="17" t="s">
        <v>3257</v>
      </c>
      <c r="F3011" s="17"/>
      <c r="G3011" s="18"/>
      <c r="H3011" s="18"/>
    </row>
    <row r="3012" spans="1:8" ht="13.2">
      <c r="A3012" s="15" t="s">
        <v>3427</v>
      </c>
      <c r="B3012" s="15" t="s">
        <v>3277</v>
      </c>
      <c r="C3012" s="24">
        <v>4</v>
      </c>
      <c r="D3012" s="18"/>
      <c r="E3012" s="17" t="s">
        <v>3257</v>
      </c>
      <c r="F3012" s="17"/>
      <c r="G3012" s="18"/>
      <c r="H3012" s="18"/>
    </row>
    <row r="3013" spans="1:8" ht="13.2">
      <c r="A3013" s="15" t="s">
        <v>3428</v>
      </c>
      <c r="B3013" s="30" t="s">
        <v>3429</v>
      </c>
      <c r="C3013" s="17">
        <v>4</v>
      </c>
      <c r="D3013" s="26" t="str">
        <f>HYPERLINK("https://www.facebook.com/groups/160725894286891/permalink/412072809152197/","FB")</f>
        <v>FB</v>
      </c>
      <c r="E3013" s="17" t="s">
        <v>3257</v>
      </c>
      <c r="F3013" s="17"/>
      <c r="G3013" s="18"/>
      <c r="H3013" s="18"/>
    </row>
    <row r="3014" spans="1:8" ht="13.2">
      <c r="A3014" s="15" t="s">
        <v>3430</v>
      </c>
      <c r="B3014" s="16" t="s">
        <v>3256</v>
      </c>
      <c r="C3014" s="17">
        <v>3</v>
      </c>
      <c r="D3014" s="18"/>
      <c r="E3014" s="17" t="s">
        <v>3257</v>
      </c>
      <c r="F3014" s="17"/>
      <c r="G3014" s="18"/>
      <c r="H3014" s="18"/>
    </row>
    <row r="3015" spans="1:8" ht="13.2">
      <c r="A3015" s="19" t="str">
        <f>HYPERLINK("https://uva.onlinejudge.org/index.php?option=onlinejudge&amp;page=show_problem&amp;problem=1393","UVA 10452")</f>
        <v>UVA 10452</v>
      </c>
      <c r="B3015" s="29" t="s">
        <v>3256</v>
      </c>
      <c r="C3015" s="17">
        <v>3</v>
      </c>
      <c r="D3015" s="18"/>
      <c r="E3015" s="17" t="s">
        <v>3257</v>
      </c>
      <c r="F3015" s="17"/>
      <c r="G3015" s="18"/>
      <c r="H3015" s="18"/>
    </row>
    <row r="3016" spans="1:8" ht="13.2">
      <c r="A3016" s="15" t="s">
        <v>3431</v>
      </c>
      <c r="B3016" s="29" t="s">
        <v>3432</v>
      </c>
      <c r="C3016" s="24">
        <v>3</v>
      </c>
      <c r="D3016" s="18"/>
      <c r="E3016" s="17" t="s">
        <v>3257</v>
      </c>
      <c r="F3016" s="17"/>
      <c r="G3016" s="18"/>
      <c r="H3016" s="18"/>
    </row>
    <row r="3017" spans="1:8" ht="13.2">
      <c r="A3017" s="15" t="s">
        <v>3433</v>
      </c>
      <c r="B3017" s="29" t="s">
        <v>3284</v>
      </c>
      <c r="C3017" s="17">
        <v>3</v>
      </c>
      <c r="D3017" s="18"/>
      <c r="E3017" s="17" t="s">
        <v>3257</v>
      </c>
      <c r="F3017" s="17"/>
      <c r="G3017" s="18"/>
      <c r="H3017" s="18"/>
    </row>
    <row r="3018" spans="1:8" ht="13.2">
      <c r="A3018" s="19" t="str">
        <f>HYPERLINK("https://uva.onlinejudge.org/index.php?option=com_onlinejudge&amp;Itemid=8&amp;page=show_problem&amp;problem=58","UVA 122")</f>
        <v>UVA 122</v>
      </c>
      <c r="B3018" s="29" t="s">
        <v>3368</v>
      </c>
      <c r="C3018" s="17">
        <v>3</v>
      </c>
      <c r="D3018" s="18"/>
      <c r="E3018" s="17" t="s">
        <v>3257</v>
      </c>
      <c r="F3018" s="17"/>
      <c r="G3018" s="18"/>
      <c r="H3018" s="18"/>
    </row>
    <row r="3019" spans="1:8" ht="13.2">
      <c r="A3019" s="19" t="str">
        <f>HYPERLINK("http://codeforces.com/contest/441/problem/C","CF441-D2-C")</f>
        <v>CF441-D2-C</v>
      </c>
      <c r="B3019" s="36" t="s">
        <v>3322</v>
      </c>
      <c r="C3019" s="17">
        <v>2</v>
      </c>
      <c r="D3019" s="18"/>
      <c r="E3019" s="17" t="s">
        <v>3257</v>
      </c>
      <c r="F3019" s="17"/>
      <c r="G3019" s="18"/>
      <c r="H3019" s="18"/>
    </row>
    <row r="3020" spans="1:8" ht="13.2">
      <c r="A3020" s="19" t="s">
        <v>3434</v>
      </c>
      <c r="B3020" s="25" t="s">
        <v>3435</v>
      </c>
      <c r="C3020" s="17"/>
      <c r="D3020" s="26" t="str">
        <f>HYPERLINK("https://github.com/taow-com-prog/problemsolving/blob/master/CodeForces/CF102394-A.cpp","Sol")</f>
        <v>Sol</v>
      </c>
      <c r="E3020" s="17" t="s">
        <v>3257</v>
      </c>
      <c r="F3020" s="17" t="s">
        <v>139</v>
      </c>
      <c r="G3020" s="18"/>
      <c r="H3020" s="18"/>
    </row>
    <row r="3021" spans="1:8" ht="13.2">
      <c r="A3021" s="19" t="str">
        <f>HYPERLINK("https://codeforces.com/problemset/problem/1225/F", "CF1225-D12-F")</f>
        <v>CF1225-D12-F</v>
      </c>
      <c r="B3021" s="20" t="s">
        <v>3436</v>
      </c>
      <c r="C3021" s="17"/>
      <c r="D3021" s="18"/>
      <c r="E3021" s="17" t="s">
        <v>3257</v>
      </c>
      <c r="F3021" s="17" t="s">
        <v>139</v>
      </c>
      <c r="G3021" s="18"/>
      <c r="H3021" s="18"/>
    </row>
    <row r="3022" spans="1:8" ht="13.2">
      <c r="A3022" s="15" t="s">
        <v>3437</v>
      </c>
      <c r="B3022" s="15" t="s">
        <v>3438</v>
      </c>
      <c r="C3022" s="17">
        <v>8.5</v>
      </c>
      <c r="D3022" s="18"/>
      <c r="E3022" s="17" t="s">
        <v>3439</v>
      </c>
      <c r="F3022" s="17"/>
      <c r="G3022" s="18"/>
      <c r="H3022" s="18"/>
    </row>
    <row r="3023" spans="1:8" ht="13.2">
      <c r="A3023" s="15" t="s">
        <v>3440</v>
      </c>
      <c r="B3023" s="18" t="s">
        <v>3441</v>
      </c>
      <c r="C3023" s="17">
        <v>8.5</v>
      </c>
      <c r="D3023" s="18"/>
      <c r="E3023" s="17" t="s">
        <v>3439</v>
      </c>
      <c r="F3023" s="17"/>
      <c r="G3023" s="18"/>
      <c r="H3023" s="18"/>
    </row>
    <row r="3024" spans="1:8" ht="13.2">
      <c r="A3024" s="15" t="s">
        <v>3442</v>
      </c>
      <c r="B3024" s="29" t="s">
        <v>3443</v>
      </c>
      <c r="C3024" s="17">
        <v>7.75</v>
      </c>
      <c r="D3024" s="18"/>
      <c r="E3024" s="17" t="s">
        <v>3439</v>
      </c>
      <c r="F3024" s="17"/>
      <c r="G3024" s="18"/>
      <c r="H3024" s="18"/>
    </row>
    <row r="3025" spans="1:8" ht="13.2">
      <c r="A3025" s="19" t="s">
        <v>3444</v>
      </c>
      <c r="B3025" s="29" t="s">
        <v>3443</v>
      </c>
      <c r="C3025" s="24">
        <v>7.5</v>
      </c>
      <c r="D3025" s="18" t="s">
        <v>2519</v>
      </c>
      <c r="E3025" s="17" t="s">
        <v>3439</v>
      </c>
      <c r="F3025" s="17"/>
      <c r="G3025" s="18"/>
      <c r="H3025" s="18"/>
    </row>
    <row r="3026" spans="1:8" ht="13.2">
      <c r="A3026" s="15" t="s">
        <v>3445</v>
      </c>
      <c r="B3026" s="30" t="s">
        <v>3446</v>
      </c>
      <c r="C3026" s="17">
        <v>7</v>
      </c>
      <c r="D3026" s="18"/>
      <c r="E3026" s="17" t="s">
        <v>3439</v>
      </c>
      <c r="F3026" s="17" t="s">
        <v>201</v>
      </c>
      <c r="G3026" s="18"/>
      <c r="H3026" s="18"/>
    </row>
    <row r="3027" spans="1:8" ht="13.2">
      <c r="A3027" s="15" t="s">
        <v>3447</v>
      </c>
      <c r="B3027" s="30" t="s">
        <v>3448</v>
      </c>
      <c r="C3027" s="24">
        <v>7</v>
      </c>
      <c r="D3027" s="18"/>
      <c r="E3027" s="17" t="s">
        <v>3439</v>
      </c>
      <c r="F3027" s="17"/>
      <c r="G3027" s="18"/>
      <c r="H3027" s="18"/>
    </row>
    <row r="3028" spans="1:8" ht="13.2">
      <c r="A3028" s="15" t="s">
        <v>3449</v>
      </c>
      <c r="B3028" s="30" t="s">
        <v>3448</v>
      </c>
      <c r="C3028" s="24">
        <v>7</v>
      </c>
      <c r="D3028" s="18"/>
      <c r="E3028" s="17" t="s">
        <v>3439</v>
      </c>
      <c r="F3028" s="17"/>
      <c r="G3028" s="18"/>
      <c r="H3028" s="18"/>
    </row>
    <row r="3029" spans="1:8" ht="13.2">
      <c r="A3029" s="15" t="s">
        <v>3450</v>
      </c>
      <c r="B3029" s="30" t="s">
        <v>3451</v>
      </c>
      <c r="C3029" s="24">
        <v>6.75</v>
      </c>
      <c r="D3029" s="18"/>
      <c r="E3029" s="17" t="s">
        <v>3439</v>
      </c>
      <c r="F3029" s="17"/>
      <c r="G3029" s="18"/>
      <c r="H3029" s="18"/>
    </row>
    <row r="3030" spans="1:8" ht="13.2">
      <c r="A3030" s="15" t="s">
        <v>3452</v>
      </c>
      <c r="B3030" s="30" t="s">
        <v>3453</v>
      </c>
      <c r="C3030" s="17">
        <v>6.25</v>
      </c>
      <c r="D3030" s="26" t="str">
        <f>HYPERLINK("https://github.com/mostafa-saad/MyCompetitiveProgramming/blob/master/UVA/UVA_11090.txt","Sol")</f>
        <v>Sol</v>
      </c>
      <c r="E3030" s="17" t="s">
        <v>3439</v>
      </c>
      <c r="F3030" s="17" t="s">
        <v>154</v>
      </c>
      <c r="G3030" s="18"/>
      <c r="H3030" s="18"/>
    </row>
    <row r="3031" spans="1:8" ht="13.2">
      <c r="A3031" s="19" t="str">
        <f>HYPERLINK("http://codeforces.com/gym/101498/problem/L","CF101498-GYM-L")</f>
        <v>CF101498-GYM-L</v>
      </c>
      <c r="B3031" s="15" t="s">
        <v>3454</v>
      </c>
      <c r="C3031" s="17">
        <v>6</v>
      </c>
      <c r="D3031" s="26" t="str">
        <f>HYPERLINK("https://github.com/mostafa-saad/MyCompetitiveProgramming/blob/master/Codeforces/CF101498-GYM-L.txt","Sol")</f>
        <v>Sol</v>
      </c>
      <c r="E3031" s="17" t="s">
        <v>3439</v>
      </c>
      <c r="F3031" s="17" t="s">
        <v>154</v>
      </c>
      <c r="G3031" s="18"/>
      <c r="H3031" s="18"/>
    </row>
    <row r="3032" spans="1:8" ht="13.2">
      <c r="A3032" s="15" t="s">
        <v>3455</v>
      </c>
      <c r="B3032" s="35" t="s">
        <v>3456</v>
      </c>
      <c r="C3032" s="40">
        <v>6</v>
      </c>
      <c r="D3032" s="26" t="str">
        <f>HYPERLINK("https://github.com/ryuzmukhametov/CompetitiveProgramming/blob/master/Topcoder/SRM270-D1-500.cpp", "Sol")</f>
        <v>Sol</v>
      </c>
      <c r="E3032" s="17" t="s">
        <v>3439</v>
      </c>
      <c r="F3032" s="17" t="s">
        <v>139</v>
      </c>
      <c r="G3032" s="18"/>
      <c r="H3032" s="18"/>
    </row>
    <row r="3033" spans="1:8" ht="13.2">
      <c r="A3033" s="15" t="s">
        <v>3457</v>
      </c>
      <c r="B3033" s="29" t="s">
        <v>3458</v>
      </c>
      <c r="C3033" s="24">
        <v>6</v>
      </c>
      <c r="D3033" s="26" t="str">
        <f>HYPERLINK("https://github.com/goswami-rahul/competitive-coding/blob/master/CompetitiveProgramming/uva/11721.cpp","Sol")</f>
        <v>Sol</v>
      </c>
      <c r="E3033" s="17" t="s">
        <v>3439</v>
      </c>
      <c r="F3033" s="17" t="s">
        <v>201</v>
      </c>
      <c r="G3033" s="18"/>
      <c r="H3033" s="18"/>
    </row>
    <row r="3034" spans="1:8" ht="13.2">
      <c r="A3034" s="15" t="s">
        <v>3459</v>
      </c>
      <c r="B3034" s="30" t="s">
        <v>3448</v>
      </c>
      <c r="C3034" s="24">
        <v>5.5</v>
      </c>
      <c r="D3034" s="26" t="str">
        <f>HYPERLINK("https://github.com/ryuzmukhametov/CompetitiveProgramming/blob/master/livearchive/LIVEARCHIVE%204509.cpp", "Sol")</f>
        <v>Sol</v>
      </c>
      <c r="E3034" s="17" t="s">
        <v>3439</v>
      </c>
      <c r="F3034" s="17" t="s">
        <v>229</v>
      </c>
      <c r="G3034" s="18"/>
      <c r="H3034" s="18"/>
    </row>
    <row r="3035" spans="1:8" ht="13.2">
      <c r="A3035" s="19" t="str">
        <f>HYPERLINK("https://www.codechef.com/problems/AVGSHORT","CODECHEF AVGSHORT")</f>
        <v>CODECHEF AVGSHORT</v>
      </c>
      <c r="B3035" s="15" t="s">
        <v>3460</v>
      </c>
      <c r="C3035" s="17">
        <v>5.5</v>
      </c>
      <c r="D3035" s="18"/>
      <c r="E3035" s="17" t="s">
        <v>3439</v>
      </c>
      <c r="F3035" s="17"/>
      <c r="G3035" s="18"/>
      <c r="H3035" s="18"/>
    </row>
    <row r="3036" spans="1:8" ht="13.2">
      <c r="A3036" s="15" t="s">
        <v>3461</v>
      </c>
      <c r="B3036" s="29" t="s">
        <v>3448</v>
      </c>
      <c r="C3036" s="24">
        <v>4</v>
      </c>
      <c r="D3036" s="18"/>
      <c r="E3036" s="17" t="s">
        <v>3439</v>
      </c>
      <c r="F3036" s="17"/>
      <c r="G3036" s="18"/>
      <c r="H3036" s="18"/>
    </row>
    <row r="3037" spans="1:8" ht="13.2">
      <c r="A3037" s="15" t="s">
        <v>3462</v>
      </c>
      <c r="B3037" s="29" t="s">
        <v>3443</v>
      </c>
      <c r="C3037" s="24">
        <v>4</v>
      </c>
      <c r="D3037" s="18"/>
      <c r="E3037" s="17" t="s">
        <v>3439</v>
      </c>
      <c r="F3037" s="17"/>
      <c r="G3037" s="18"/>
      <c r="H3037" s="18"/>
    </row>
    <row r="3038" spans="1:8" ht="13.2">
      <c r="A3038" s="15" t="s">
        <v>3463</v>
      </c>
      <c r="B3038" s="29" t="s">
        <v>3448</v>
      </c>
      <c r="C3038" s="24">
        <v>3.5</v>
      </c>
      <c r="D3038" s="18"/>
      <c r="E3038" s="17" t="s">
        <v>3439</v>
      </c>
      <c r="F3038" s="17" t="s">
        <v>306</v>
      </c>
      <c r="G3038" s="18"/>
      <c r="H3038" s="18"/>
    </row>
    <row r="3039" spans="1:8" ht="13.2">
      <c r="A3039" s="15" t="s">
        <v>3464</v>
      </c>
      <c r="B3039" s="30" t="s">
        <v>3448</v>
      </c>
      <c r="C3039" s="17">
        <v>3</v>
      </c>
      <c r="D3039" s="18"/>
      <c r="E3039" s="17" t="s">
        <v>3439</v>
      </c>
      <c r="F3039" s="17" t="s">
        <v>306</v>
      </c>
      <c r="G3039" s="18"/>
      <c r="H3039" s="18"/>
    </row>
    <row r="3040" spans="1:8" ht="13.2">
      <c r="A3040" s="15" t="s">
        <v>3465</v>
      </c>
      <c r="B3040" s="16" t="s">
        <v>3466</v>
      </c>
      <c r="C3040" s="17">
        <v>9</v>
      </c>
      <c r="D3040" s="18"/>
      <c r="E3040" s="17" t="s">
        <v>3467</v>
      </c>
      <c r="F3040" s="17"/>
      <c r="G3040" s="18"/>
      <c r="H3040" s="18"/>
    </row>
    <row r="3041" spans="1:8" ht="13.2">
      <c r="A3041" s="15" t="s">
        <v>3468</v>
      </c>
      <c r="B3041" s="30" t="s">
        <v>3469</v>
      </c>
      <c r="C3041" s="24">
        <v>8</v>
      </c>
      <c r="D3041" s="18"/>
      <c r="E3041" s="17" t="s">
        <v>3467</v>
      </c>
      <c r="F3041" s="17"/>
      <c r="G3041" s="18"/>
      <c r="H3041" s="18"/>
    </row>
    <row r="3042" spans="1:8" ht="13.2">
      <c r="A3042" s="19" t="str">
        <f>HYPERLINK("http://codeforces.com/contest/29/problem/E","CF29-D2-E")</f>
        <v>CF29-D2-E</v>
      </c>
      <c r="B3042" s="29" t="s">
        <v>3466</v>
      </c>
      <c r="C3042" s="17">
        <v>7.75</v>
      </c>
      <c r="D3042" s="18"/>
      <c r="E3042" s="17" t="s">
        <v>3467</v>
      </c>
      <c r="F3042" s="17"/>
      <c r="G3042" s="18"/>
      <c r="H3042" s="18"/>
    </row>
    <row r="3043" spans="1:8" ht="13.2">
      <c r="A3043" s="19" t="str">
        <f>HYPERLINK("http://codeforces.com/contest/591/problem/E","CF591-D2-E")</f>
        <v>CF591-D2-E</v>
      </c>
      <c r="B3043" s="29" t="s">
        <v>3466</v>
      </c>
      <c r="C3043" s="17">
        <v>7.75</v>
      </c>
      <c r="D3043" s="18"/>
      <c r="E3043" s="17" t="s">
        <v>3467</v>
      </c>
      <c r="F3043" s="17"/>
      <c r="G3043" s="18"/>
      <c r="H3043" s="18"/>
    </row>
    <row r="3044" spans="1:8" ht="13.2">
      <c r="A3044" s="19" t="str">
        <f>HYPERLINK("http://codeforces.com/problemset/problem/1031/F", "CF1031-D12-F")</f>
        <v>CF1031-D12-F</v>
      </c>
      <c r="B3044" s="20" t="s">
        <v>3470</v>
      </c>
      <c r="C3044" s="21">
        <v>7.5</v>
      </c>
      <c r="D3044" s="18"/>
      <c r="E3044" s="17" t="s">
        <v>3467</v>
      </c>
      <c r="F3044" s="17" t="s">
        <v>139</v>
      </c>
      <c r="G3044" s="18"/>
      <c r="H3044" s="18"/>
    </row>
    <row r="3045" spans="1:8" ht="13.2">
      <c r="A3045" s="19" t="str">
        <f>HYPERLINK("https://www.codechef.com/problems/BLOCKDRO","CODECHEF BLOCKDRO")</f>
        <v>CODECHEF BLOCKDRO</v>
      </c>
      <c r="B3045" s="18" t="s">
        <v>3471</v>
      </c>
      <c r="C3045" s="17">
        <v>7.5</v>
      </c>
      <c r="D3045" s="18"/>
      <c r="E3045" s="17" t="s">
        <v>3467</v>
      </c>
      <c r="F3045" s="17" t="s">
        <v>201</v>
      </c>
      <c r="G3045" s="18"/>
      <c r="H3045" s="18"/>
    </row>
    <row r="3046" spans="1:8" ht="13.2">
      <c r="A3046" s="15" t="s">
        <v>3472</v>
      </c>
      <c r="B3046" s="48" t="s">
        <v>3466</v>
      </c>
      <c r="C3046" s="31">
        <v>7.5</v>
      </c>
      <c r="D3046" s="18"/>
      <c r="E3046" s="17" t="s">
        <v>3467</v>
      </c>
      <c r="F3046" s="17"/>
      <c r="G3046" s="18"/>
      <c r="H3046" s="18"/>
    </row>
    <row r="3047" spans="1:8" ht="13.2">
      <c r="A3047" s="15" t="s">
        <v>3473</v>
      </c>
      <c r="B3047" s="41" t="s">
        <v>3474</v>
      </c>
      <c r="C3047" s="17">
        <v>7.25</v>
      </c>
      <c r="D3047" s="18"/>
      <c r="E3047" s="17" t="s">
        <v>3467</v>
      </c>
      <c r="F3047" s="17"/>
      <c r="G3047" s="18"/>
      <c r="H3047" s="18"/>
    </row>
    <row r="3048" spans="1:8" ht="13.2">
      <c r="A3048" s="15" t="s">
        <v>3475</v>
      </c>
      <c r="B3048" s="30" t="s">
        <v>3476</v>
      </c>
      <c r="C3048" s="24">
        <v>7.25</v>
      </c>
      <c r="D3048" s="18"/>
      <c r="E3048" s="17" t="s">
        <v>3467</v>
      </c>
      <c r="F3048" s="17"/>
      <c r="G3048" s="18"/>
      <c r="H3048" s="18"/>
    </row>
    <row r="3049" spans="1:8" ht="13.2">
      <c r="A3049" s="15" t="s">
        <v>3477</v>
      </c>
      <c r="B3049" s="38" t="s">
        <v>3478</v>
      </c>
      <c r="C3049" s="17">
        <v>7</v>
      </c>
      <c r="D3049" s="18"/>
      <c r="E3049" s="17" t="s">
        <v>3467</v>
      </c>
      <c r="F3049" s="17" t="s">
        <v>139</v>
      </c>
      <c r="G3049" s="18"/>
      <c r="H3049" s="18"/>
    </row>
    <row r="3050" spans="1:8" ht="13.2">
      <c r="A3050" s="19" t="str">
        <f>HYPERLINK("http://codeforces.com/contest/716/problem/D","CF716-D2-D")</f>
        <v>CF716-D2-D</v>
      </c>
      <c r="B3050" s="29" t="s">
        <v>3466</v>
      </c>
      <c r="C3050" s="24">
        <v>7</v>
      </c>
      <c r="D3050" s="18"/>
      <c r="E3050" s="17" t="s">
        <v>3467</v>
      </c>
      <c r="F3050" s="17"/>
      <c r="G3050" s="18"/>
      <c r="H3050" s="18"/>
    </row>
    <row r="3051" spans="1:8" ht="13.2">
      <c r="A3051" s="15" t="s">
        <v>3479</v>
      </c>
      <c r="B3051" s="34" t="s">
        <v>3466</v>
      </c>
      <c r="C3051" s="31">
        <v>7</v>
      </c>
      <c r="D3051" s="18"/>
      <c r="E3051" s="17" t="s">
        <v>3467</v>
      </c>
      <c r="F3051" s="17"/>
      <c r="G3051" s="18"/>
      <c r="H3051" s="18"/>
    </row>
    <row r="3052" spans="1:8" ht="13.2">
      <c r="A3052" s="15" t="s">
        <v>3480</v>
      </c>
      <c r="B3052" s="30" t="s">
        <v>3466</v>
      </c>
      <c r="C3052" s="17">
        <v>7</v>
      </c>
      <c r="D3052" s="18"/>
      <c r="E3052" s="17" t="s">
        <v>3467</v>
      </c>
      <c r="F3052" s="17"/>
      <c r="G3052" s="18"/>
      <c r="H3052" s="18"/>
    </row>
    <row r="3053" spans="1:8" ht="13.2">
      <c r="A3053" s="15" t="s">
        <v>3481</v>
      </c>
      <c r="B3053" s="29" t="s">
        <v>3482</v>
      </c>
      <c r="C3053" s="17">
        <v>7</v>
      </c>
      <c r="D3053" s="18"/>
      <c r="E3053" s="17" t="s">
        <v>3467</v>
      </c>
      <c r="F3053" s="17"/>
      <c r="G3053" s="18"/>
      <c r="H3053" s="18"/>
    </row>
    <row r="3054" spans="1:8" ht="13.2">
      <c r="A3054" s="19" t="str">
        <f>HYPERLINK("http://codeforces.com/contest/414/problem/D","CF414-D1-D")</f>
        <v>CF414-D1-D</v>
      </c>
      <c r="B3054" s="15" t="s">
        <v>3483</v>
      </c>
      <c r="C3054" s="24">
        <v>7</v>
      </c>
      <c r="D3054" s="18"/>
      <c r="E3054" s="17" t="s">
        <v>3467</v>
      </c>
      <c r="F3054" s="17"/>
      <c r="G3054" s="18"/>
      <c r="H3054" s="18"/>
    </row>
    <row r="3055" spans="1:8" ht="13.2">
      <c r="A3055" s="15" t="s">
        <v>3484</v>
      </c>
      <c r="B3055" s="30" t="s">
        <v>3485</v>
      </c>
      <c r="C3055" s="24">
        <v>7</v>
      </c>
      <c r="D3055" s="18"/>
      <c r="E3055" s="17" t="s">
        <v>3467</v>
      </c>
      <c r="F3055" s="17"/>
      <c r="G3055" s="18"/>
      <c r="H3055" s="18"/>
    </row>
    <row r="3056" spans="1:8" ht="13.2">
      <c r="A3056" s="15" t="s">
        <v>3486</v>
      </c>
      <c r="B3056" s="30" t="s">
        <v>3487</v>
      </c>
      <c r="C3056" s="24">
        <v>7</v>
      </c>
      <c r="D3056" s="18"/>
      <c r="E3056" s="17" t="s">
        <v>3467</v>
      </c>
      <c r="F3056" s="17"/>
      <c r="G3056" s="18"/>
      <c r="H3056" s="18"/>
    </row>
    <row r="3057" spans="1:8" ht="13.2">
      <c r="A3057" s="19" t="str">
        <f>HYPERLINK("http://codeforces.com/contest/354/problem/D","CF354-D1-D")</f>
        <v>CF354-D1-D</v>
      </c>
      <c r="B3057" s="15" t="s">
        <v>3488</v>
      </c>
      <c r="C3057" s="24">
        <v>7</v>
      </c>
      <c r="D3057" s="18"/>
      <c r="E3057" s="17" t="s">
        <v>3467</v>
      </c>
      <c r="F3057" s="17"/>
      <c r="G3057" s="18"/>
      <c r="H3057" s="18"/>
    </row>
    <row r="3058" spans="1:8" ht="13.2">
      <c r="A3058" s="15" t="s">
        <v>3489</v>
      </c>
      <c r="B3058" s="15" t="s">
        <v>3490</v>
      </c>
      <c r="C3058" s="17">
        <v>7</v>
      </c>
      <c r="D3058" s="26" t="str">
        <f>HYPERLINK("https://www.geeksforgeeks.org/0-1-bfs-shortest-path-binary-graph/","Study bfs trick for 0/1 graphs")</f>
        <v>Study bfs trick for 0/1 graphs</v>
      </c>
      <c r="E3058" s="17" t="s">
        <v>3467</v>
      </c>
      <c r="F3058" s="17"/>
      <c r="G3058" s="18"/>
      <c r="H3058" s="18"/>
    </row>
    <row r="3059" spans="1:8" ht="13.2">
      <c r="A3059" s="15" t="s">
        <v>3491</v>
      </c>
      <c r="B3059" s="28" t="s">
        <v>3492</v>
      </c>
      <c r="C3059" s="24">
        <v>7</v>
      </c>
      <c r="D3059" s="18"/>
      <c r="E3059" s="17" t="s">
        <v>3467</v>
      </c>
      <c r="F3059" s="17"/>
      <c r="G3059" s="18"/>
      <c r="H3059" s="18"/>
    </row>
    <row r="3060" spans="1:8" ht="13.2">
      <c r="A3060" s="19" t="str">
        <f>HYPERLINK("http://codeforces.com/contest/789/problem/E", "CF789-D2-E")</f>
        <v>CF789-D2-E</v>
      </c>
      <c r="B3060" s="20" t="s">
        <v>3493</v>
      </c>
      <c r="C3060" s="21">
        <v>6.8</v>
      </c>
      <c r="D3060" s="26" t="str">
        <f>HYPERLINK("https://github.com/tmwilliamlin168/CompetitiveProgramming/blob/master/CodeForces/CF789-D2-E.java", "Sol")</f>
        <v>Sol</v>
      </c>
      <c r="E3060" s="17" t="s">
        <v>3467</v>
      </c>
      <c r="F3060" s="17" t="s">
        <v>139</v>
      </c>
      <c r="G3060" s="18"/>
      <c r="H3060" s="18"/>
    </row>
    <row r="3061" spans="1:8" ht="13.2">
      <c r="A3061" s="19" t="str">
        <f>HYPERLINK("http://acm.timus.ru/problem.aspx?space=1&amp;num=2034","TIMUS 2034")</f>
        <v>TIMUS 2034</v>
      </c>
      <c r="B3061" s="15" t="s">
        <v>3466</v>
      </c>
      <c r="C3061" s="17">
        <v>6.75</v>
      </c>
      <c r="D3061" s="26" t="str">
        <f>HYPERLINK("https://github.com/antimirage/Problems-solutions/blob/master/Корованы.cpp","Sol")</f>
        <v>Sol</v>
      </c>
      <c r="E3061" s="17" t="s">
        <v>3467</v>
      </c>
      <c r="F3061" s="17" t="s">
        <v>139</v>
      </c>
      <c r="G3061" s="18"/>
      <c r="H3061" s="18"/>
    </row>
    <row r="3062" spans="1:8" ht="13.2">
      <c r="A3062" s="19" t="str">
        <f>HYPERLINK("http://codeforces.com/contest/369/problem/D","CF369-D2-D")</f>
        <v>CF369-D2-D</v>
      </c>
      <c r="B3062" s="29" t="s">
        <v>3494</v>
      </c>
      <c r="C3062" s="17">
        <v>6.75</v>
      </c>
      <c r="D3062" s="18"/>
      <c r="E3062" s="17" t="s">
        <v>3467</v>
      </c>
      <c r="F3062" s="17"/>
      <c r="G3062" s="18"/>
      <c r="H3062" s="18"/>
    </row>
    <row r="3063" spans="1:8" ht="13.2">
      <c r="A3063" s="19" t="str">
        <f>HYPERLINK("https://onlinejudge.org/index.php?option=onlinejudge&amp;page=show_problem&amp;problem=1689","UVA 10748")</f>
        <v>UVA 10748</v>
      </c>
      <c r="B3063" s="30" t="s">
        <v>3495</v>
      </c>
      <c r="C3063" s="17">
        <v>6.5</v>
      </c>
      <c r="D3063" s="26" t="str">
        <f>HYPERLINK("http://www.algorithmist.com/index.php/UVa_10748","Sol")</f>
        <v>Sol</v>
      </c>
      <c r="E3063" s="17" t="s">
        <v>3467</v>
      </c>
      <c r="F3063" s="17" t="s">
        <v>139</v>
      </c>
      <c r="G3063" s="18"/>
      <c r="H3063" s="18"/>
    </row>
    <row r="3064" spans="1:8" ht="13.2">
      <c r="A3064" s="15" t="s">
        <v>3496</v>
      </c>
      <c r="B3064" s="30" t="s">
        <v>3466</v>
      </c>
      <c r="C3064" s="24">
        <v>6.5</v>
      </c>
      <c r="D3064" s="18"/>
      <c r="E3064" s="17" t="s">
        <v>3467</v>
      </c>
      <c r="F3064" s="17"/>
      <c r="G3064" s="18"/>
      <c r="H3064" s="18"/>
    </row>
    <row r="3065" spans="1:8" ht="13.2">
      <c r="A3065" s="19" t="str">
        <f>HYPERLINK("http://codeforces.com/contest/651/problem/E","CF651-D2-E")</f>
        <v>CF651-D2-E</v>
      </c>
      <c r="B3065" s="29" t="s">
        <v>3497</v>
      </c>
      <c r="C3065" s="17">
        <v>6.5</v>
      </c>
      <c r="D3065" s="18"/>
      <c r="E3065" s="17" t="s">
        <v>3467</v>
      </c>
      <c r="F3065" s="17"/>
      <c r="G3065" s="18"/>
      <c r="H3065" s="18"/>
    </row>
    <row r="3066" spans="1:8" ht="13.2">
      <c r="A3066" s="15" t="s">
        <v>3498</v>
      </c>
      <c r="B3066" s="29" t="s">
        <v>3499</v>
      </c>
      <c r="C3066" s="17">
        <v>6.5</v>
      </c>
      <c r="D3066" s="18"/>
      <c r="E3066" s="17" t="s">
        <v>3467</v>
      </c>
      <c r="F3066" s="17"/>
      <c r="G3066" s="18"/>
      <c r="H3066" s="18"/>
    </row>
    <row r="3067" spans="1:8" ht="13.2">
      <c r="A3067" s="19" t="str">
        <f>HYPERLINK("http://codeforces.com/contest/1037/problem/E","CF1037-D12-E")</f>
        <v>CF1037-D12-E</v>
      </c>
      <c r="B3067" s="20" t="s">
        <v>3500</v>
      </c>
      <c r="C3067" s="21">
        <v>6.25</v>
      </c>
      <c r="D3067" s="18"/>
      <c r="E3067" s="17" t="s">
        <v>3467</v>
      </c>
      <c r="F3067" s="17" t="s">
        <v>139</v>
      </c>
      <c r="G3067" s="18"/>
      <c r="H3067" s="18"/>
    </row>
    <row r="3068" spans="1:8" ht="13.2">
      <c r="A3068" s="19" t="str">
        <f>HYPERLINK("https://codeforces.com/contest/187/problem/C","CF187-D1-C")</f>
        <v>CF187-D1-C</v>
      </c>
      <c r="B3068" s="15" t="s">
        <v>3501</v>
      </c>
      <c r="C3068" s="17">
        <v>6.25</v>
      </c>
      <c r="D3068" s="18"/>
      <c r="E3068" s="17" t="s">
        <v>3467</v>
      </c>
      <c r="F3068" s="17" t="s">
        <v>201</v>
      </c>
      <c r="G3068" s="18"/>
      <c r="H3068" s="18"/>
    </row>
    <row r="3069" spans="1:8" ht="13.2">
      <c r="A3069" s="15" t="s">
        <v>3502</v>
      </c>
      <c r="B3069" s="15" t="s">
        <v>3503</v>
      </c>
      <c r="C3069" s="24">
        <v>6.25</v>
      </c>
      <c r="D3069" s="18"/>
      <c r="E3069" s="17" t="s">
        <v>3467</v>
      </c>
      <c r="F3069" s="17" t="s">
        <v>201</v>
      </c>
      <c r="G3069" s="18"/>
      <c r="H3069" s="18"/>
    </row>
    <row r="3070" spans="1:8" ht="13.2">
      <c r="A3070" s="15" t="s">
        <v>3504</v>
      </c>
      <c r="B3070" s="30" t="s">
        <v>3505</v>
      </c>
      <c r="C3070" s="24">
        <v>6.25</v>
      </c>
      <c r="D3070" s="18"/>
      <c r="E3070" s="17" t="s">
        <v>3467</v>
      </c>
      <c r="F3070" s="17"/>
      <c r="G3070" s="18"/>
      <c r="H3070" s="18"/>
    </row>
    <row r="3071" spans="1:8" ht="13.2">
      <c r="A3071" s="15" t="s">
        <v>3506</v>
      </c>
      <c r="B3071" s="29" t="s">
        <v>3507</v>
      </c>
      <c r="C3071" s="24">
        <v>6.25</v>
      </c>
      <c r="D3071" s="18"/>
      <c r="E3071" s="17" t="s">
        <v>3467</v>
      </c>
      <c r="F3071" s="17"/>
      <c r="G3071" s="18"/>
      <c r="H3071" s="18"/>
    </row>
    <row r="3072" spans="1:8" ht="13.2">
      <c r="A3072" s="19" t="str">
        <f>HYPERLINK("http://codeforces.com/contest/679/problem/C","CF679-D1-C")</f>
        <v>CF679-D1-C</v>
      </c>
      <c r="B3072" s="29" t="s">
        <v>3508</v>
      </c>
      <c r="C3072" s="17">
        <v>6</v>
      </c>
      <c r="D3072" s="26" t="str">
        <f>HYPERLINK("https://github.com/andriy-zhuk/CompetitiveProgramming/blob/master/Codeforces/CF679-D1-C.cpp","Sol")</f>
        <v>Sol</v>
      </c>
      <c r="E3072" s="17" t="s">
        <v>3467</v>
      </c>
      <c r="F3072" s="17" t="s">
        <v>139</v>
      </c>
      <c r="G3072" s="18"/>
      <c r="H3072" s="18"/>
    </row>
    <row r="3073" spans="1:8" ht="13.2">
      <c r="A3073" s="19" t="str">
        <f>HYPERLINK("https://codeforces.com/contest/1262/problem/E","CF1262-D2-E")</f>
        <v>CF1262-D2-E</v>
      </c>
      <c r="B3073" s="20" t="s">
        <v>3509</v>
      </c>
      <c r="C3073" s="21">
        <v>6</v>
      </c>
      <c r="D3073" s="18"/>
      <c r="E3073" s="17" t="s">
        <v>3467</v>
      </c>
      <c r="F3073" s="17" t="s">
        <v>139</v>
      </c>
      <c r="G3073" s="18"/>
      <c r="H3073" s="18"/>
    </row>
    <row r="3074" spans="1:8" ht="13.2">
      <c r="A3074" s="15" t="s">
        <v>3510</v>
      </c>
      <c r="B3074" s="38" t="s">
        <v>3466</v>
      </c>
      <c r="C3074" s="17">
        <v>6</v>
      </c>
      <c r="D3074" s="26" t="str">
        <f>HYPERLINK("https://github.com/dasannagariraja/CompetitiveProgramming/blob/master/UVA/UVA%2010985.cpp","Sol")</f>
        <v>Sol</v>
      </c>
      <c r="E3074" s="17" t="s">
        <v>3467</v>
      </c>
      <c r="F3074" s="17" t="s">
        <v>201</v>
      </c>
      <c r="G3074" s="18"/>
      <c r="H3074" s="18"/>
    </row>
    <row r="3075" spans="1:8" ht="13.2">
      <c r="A3075" s="19" t="str">
        <f>HYPERLINK("http://codeforces.com/contest/269/problem/C","CF269-D1-C")</f>
        <v>CF269-D1-C</v>
      </c>
      <c r="B3075" s="29" t="s">
        <v>3466</v>
      </c>
      <c r="C3075" s="17">
        <v>6</v>
      </c>
      <c r="D3075" s="18"/>
      <c r="E3075" s="17" t="s">
        <v>3467</v>
      </c>
      <c r="F3075" s="17"/>
      <c r="G3075" s="18"/>
      <c r="H3075" s="18"/>
    </row>
    <row r="3076" spans="1:8" ht="13.2">
      <c r="A3076" s="15" t="s">
        <v>3511</v>
      </c>
      <c r="B3076" s="34" t="s">
        <v>3466</v>
      </c>
      <c r="C3076" s="31">
        <v>6</v>
      </c>
      <c r="D3076" s="18"/>
      <c r="E3076" s="17" t="s">
        <v>3467</v>
      </c>
      <c r="F3076" s="17"/>
      <c r="G3076" s="18"/>
      <c r="H3076" s="18"/>
    </row>
    <row r="3077" spans="1:8" ht="13.2">
      <c r="A3077" s="15" t="s">
        <v>3512</v>
      </c>
      <c r="B3077" s="20" t="s">
        <v>3466</v>
      </c>
      <c r="C3077" s="17">
        <v>6</v>
      </c>
      <c r="D3077" s="18"/>
      <c r="E3077" s="17" t="s">
        <v>3467</v>
      </c>
      <c r="F3077" s="17"/>
      <c r="G3077" s="18"/>
      <c r="H3077" s="18"/>
    </row>
    <row r="3078" spans="1:8" ht="13.2">
      <c r="A3078" s="15" t="s">
        <v>3513</v>
      </c>
      <c r="B3078" s="30" t="s">
        <v>3466</v>
      </c>
      <c r="C3078" s="24">
        <v>6</v>
      </c>
      <c r="D3078" s="18"/>
      <c r="E3078" s="17" t="s">
        <v>3467</v>
      </c>
      <c r="F3078" s="17"/>
      <c r="G3078" s="18"/>
      <c r="H3078" s="18"/>
    </row>
    <row r="3079" spans="1:8" ht="13.2">
      <c r="A3079" s="15" t="s">
        <v>3514</v>
      </c>
      <c r="B3079" s="29" t="s">
        <v>3466</v>
      </c>
      <c r="C3079" s="17">
        <v>6</v>
      </c>
      <c r="D3079" s="18"/>
      <c r="E3079" s="17" t="s">
        <v>3467</v>
      </c>
      <c r="F3079" s="17"/>
      <c r="G3079" s="18"/>
      <c r="H3079" s="18"/>
    </row>
    <row r="3080" spans="1:8" ht="13.2">
      <c r="A3080" s="19" t="str">
        <f>HYPERLINK("http://codeforces.com/contest/359/problem/E","CF359-D2-E")</f>
        <v>CF359-D2-E</v>
      </c>
      <c r="B3080" s="29" t="s">
        <v>3515</v>
      </c>
      <c r="C3080" s="17">
        <v>6</v>
      </c>
      <c r="D3080" s="18"/>
      <c r="E3080" s="17" t="s">
        <v>3467</v>
      </c>
      <c r="F3080" s="17"/>
      <c r="G3080" s="18"/>
      <c r="H3080" s="18"/>
    </row>
    <row r="3081" spans="1:8" ht="13.2">
      <c r="A3081" s="15" t="s">
        <v>3516</v>
      </c>
      <c r="B3081" s="16" t="s">
        <v>3517</v>
      </c>
      <c r="C3081" s="17">
        <v>6</v>
      </c>
      <c r="D3081" s="18"/>
      <c r="E3081" s="17" t="s">
        <v>3467</v>
      </c>
      <c r="F3081" s="17"/>
      <c r="G3081" s="18"/>
      <c r="H3081" s="18"/>
    </row>
    <row r="3082" spans="1:8" ht="13.2">
      <c r="A3082" s="15" t="s">
        <v>3518</v>
      </c>
      <c r="B3082" s="18" t="s">
        <v>3519</v>
      </c>
      <c r="C3082" s="17">
        <v>6</v>
      </c>
      <c r="D3082" s="18"/>
      <c r="E3082" s="17" t="s">
        <v>3467</v>
      </c>
      <c r="F3082" s="17"/>
      <c r="G3082" s="18"/>
      <c r="H3082" s="18"/>
    </row>
    <row r="3083" spans="1:8" ht="13.2">
      <c r="A3083" s="15" t="s">
        <v>3520</v>
      </c>
      <c r="B3083" s="18" t="s">
        <v>3521</v>
      </c>
      <c r="C3083" s="31">
        <v>6</v>
      </c>
      <c r="D3083" s="18"/>
      <c r="E3083" s="17" t="s">
        <v>3467</v>
      </c>
      <c r="F3083" s="17"/>
      <c r="G3083" s="18"/>
      <c r="H3083" s="18"/>
    </row>
    <row r="3084" spans="1:8" ht="13.2">
      <c r="A3084" s="15" t="s">
        <v>3522</v>
      </c>
      <c r="B3084" s="41" t="s">
        <v>3523</v>
      </c>
      <c r="C3084" s="17">
        <v>6</v>
      </c>
      <c r="D3084" s="18"/>
      <c r="E3084" s="17" t="s">
        <v>3467</v>
      </c>
      <c r="F3084" s="17"/>
      <c r="G3084" s="18"/>
      <c r="H3084" s="18"/>
    </row>
    <row r="3085" spans="1:8" ht="13.2">
      <c r="A3085" s="19" t="str">
        <f>HYPERLINK("http://codeforces.com/contest/225/problem/D","CF225-D2-D")</f>
        <v>CF225-D2-D</v>
      </c>
      <c r="B3085" s="29" t="s">
        <v>3524</v>
      </c>
      <c r="C3085" s="17">
        <v>6</v>
      </c>
      <c r="D3085" s="18"/>
      <c r="E3085" s="17" t="s">
        <v>3467</v>
      </c>
      <c r="F3085" s="17"/>
      <c r="G3085" s="18"/>
      <c r="H3085" s="18"/>
    </row>
    <row r="3086" spans="1:8" ht="13.2">
      <c r="A3086" s="19" t="str">
        <f>HYPERLINK("https://uva.onlinejudge.org/index.php?option=com_onlinejudge&amp;Itemid=8&amp;category=24&amp;page=show_problem&amp;problem=1858","UVA 10917")</f>
        <v>UVA 10917</v>
      </c>
      <c r="B3086" s="18" t="s">
        <v>3494</v>
      </c>
      <c r="C3086" s="17">
        <v>6</v>
      </c>
      <c r="D3086" s="18"/>
      <c r="E3086" s="17" t="s">
        <v>3467</v>
      </c>
      <c r="F3086" s="17"/>
      <c r="G3086" s="18"/>
      <c r="H3086" s="18"/>
    </row>
    <row r="3087" spans="1:8" ht="13.2">
      <c r="A3087" s="19" t="str">
        <f>HYPERLINK("http://codeforces.com/contest/525/problem/D","CF525-D2-D")</f>
        <v>CF525-D2-D</v>
      </c>
      <c r="B3087" s="15" t="s">
        <v>3525</v>
      </c>
      <c r="C3087" s="24">
        <v>6</v>
      </c>
      <c r="D3087" s="18"/>
      <c r="E3087" s="17" t="s">
        <v>3467</v>
      </c>
      <c r="F3087" s="17"/>
      <c r="G3087" s="18"/>
      <c r="H3087" s="18"/>
    </row>
    <row r="3088" spans="1:8" ht="13.2">
      <c r="A3088" s="15" t="s">
        <v>3526</v>
      </c>
      <c r="B3088" s="30" t="s">
        <v>3527</v>
      </c>
      <c r="C3088" s="24">
        <v>6</v>
      </c>
      <c r="D3088" s="18"/>
      <c r="E3088" s="17" t="s">
        <v>3467</v>
      </c>
      <c r="F3088" s="17"/>
      <c r="G3088" s="18"/>
      <c r="H3088" s="18"/>
    </row>
    <row r="3089" spans="1:8" ht="13.2">
      <c r="A3089" s="19" t="str">
        <f>HYPERLINK("http://codeforces.com/contest/1065/problem/D","CF1065-D12-D")</f>
        <v>CF1065-D12-D</v>
      </c>
      <c r="B3089" s="15" t="s">
        <v>3528</v>
      </c>
      <c r="C3089" s="17">
        <v>6</v>
      </c>
      <c r="D3089" s="18"/>
      <c r="E3089" s="17" t="s">
        <v>3467</v>
      </c>
      <c r="F3089" s="17"/>
      <c r="G3089" s="18"/>
      <c r="H3089" s="18"/>
    </row>
    <row r="3090" spans="1:8" ht="13.2">
      <c r="A3090" s="19" t="str">
        <f>HYPERLINK("http://codeforces.com/contest/59/problem/E","CF59-D12-E")</f>
        <v>CF59-D12-E</v>
      </c>
      <c r="B3090" s="15" t="s">
        <v>3529</v>
      </c>
      <c r="C3090" s="17">
        <v>6</v>
      </c>
      <c r="D3090" s="18"/>
      <c r="E3090" s="17" t="s">
        <v>3467</v>
      </c>
      <c r="F3090" s="17"/>
      <c r="G3090" s="18"/>
      <c r="H3090" s="18"/>
    </row>
    <row r="3091" spans="1:8" ht="13.2">
      <c r="A3091" s="19" t="str">
        <f>HYPERLINK("http://codeforces.com/contest/821/problem/D","CF821-D2-D")</f>
        <v>CF821-D2-D</v>
      </c>
      <c r="B3091" s="15" t="s">
        <v>3466</v>
      </c>
      <c r="C3091" s="17">
        <v>5.75</v>
      </c>
      <c r="D3091" s="18"/>
      <c r="E3091" s="17" t="s">
        <v>3467</v>
      </c>
      <c r="F3091" s="17" t="s">
        <v>139</v>
      </c>
      <c r="G3091" s="18"/>
      <c r="H3091" s="18"/>
    </row>
    <row r="3092" spans="1:8" ht="13.2">
      <c r="A3092" s="15" t="s">
        <v>3530</v>
      </c>
      <c r="B3092" s="18" t="s">
        <v>3531</v>
      </c>
      <c r="C3092" s="17">
        <v>5.5</v>
      </c>
      <c r="D3092" s="18"/>
      <c r="E3092" s="17" t="s">
        <v>3467</v>
      </c>
      <c r="F3092" s="17" t="s">
        <v>229</v>
      </c>
      <c r="G3092" s="18"/>
      <c r="H3092" s="18"/>
    </row>
    <row r="3093" spans="1:8" ht="13.2">
      <c r="A3093" s="19" t="str">
        <f>HYPERLINK("http://codeforces.com/contest/1005/problem/F","CF1005-D3-F")</f>
        <v>CF1005-D3-F</v>
      </c>
      <c r="B3093" s="20" t="s">
        <v>3466</v>
      </c>
      <c r="C3093" s="21">
        <v>5.5</v>
      </c>
      <c r="D3093" s="18"/>
      <c r="E3093" s="17" t="s">
        <v>3467</v>
      </c>
      <c r="F3093" s="17" t="s">
        <v>154</v>
      </c>
      <c r="G3093" s="18"/>
      <c r="H3093" s="18"/>
    </row>
    <row r="3094" spans="1:8" ht="13.2">
      <c r="A3094" s="19" t="str">
        <f>HYPERLINK("http://codeforces.com/contest/877/problem/D","CF877-D2-D")</f>
        <v>CF877-D2-D</v>
      </c>
      <c r="B3094" s="15" t="s">
        <v>3466</v>
      </c>
      <c r="C3094" s="17">
        <v>5.5</v>
      </c>
      <c r="D3094" s="18"/>
      <c r="E3094" s="17" t="s">
        <v>3467</v>
      </c>
      <c r="F3094" s="17" t="s">
        <v>139</v>
      </c>
      <c r="G3094" s="18"/>
      <c r="H3094" s="18"/>
    </row>
    <row r="3095" spans="1:8" ht="13.2">
      <c r="A3095" s="15" t="s">
        <v>3532</v>
      </c>
      <c r="B3095" s="15" t="s">
        <v>3533</v>
      </c>
      <c r="C3095" s="17">
        <v>5.5</v>
      </c>
      <c r="D3095" s="26" t="str">
        <f>HYPERLINK("https://github.com/ahmedsamir221/CompetitiveProgramming/blob/master/SPOJ/SPOJ%20MULTII.cpp","Sol")</f>
        <v>Sol</v>
      </c>
      <c r="E3095" s="17" t="s">
        <v>3467</v>
      </c>
      <c r="F3095" s="17" t="s">
        <v>139</v>
      </c>
      <c r="G3095" s="18"/>
      <c r="H3095" s="18"/>
    </row>
    <row r="3096" spans="1:8" ht="13.2">
      <c r="A3096" s="19" t="str">
        <f>HYPERLINK("https://codeforces.com/contest/1206/problem/D","CF1206-D2-D")</f>
        <v>CF1206-D2-D</v>
      </c>
      <c r="B3096" s="37" t="s">
        <v>3534</v>
      </c>
      <c r="C3096" s="17">
        <v>5.5</v>
      </c>
      <c r="D3096" s="18"/>
      <c r="E3096" s="17" t="s">
        <v>3467</v>
      </c>
      <c r="F3096" s="17" t="s">
        <v>139</v>
      </c>
      <c r="G3096" s="18"/>
      <c r="H3096" s="18"/>
    </row>
    <row r="3097" spans="1:8" ht="13.2">
      <c r="A3097" s="15" t="s">
        <v>3535</v>
      </c>
      <c r="B3097" s="28" t="s">
        <v>3494</v>
      </c>
      <c r="C3097" s="24">
        <v>5.5</v>
      </c>
      <c r="D3097" s="18"/>
      <c r="E3097" s="17" t="s">
        <v>3467</v>
      </c>
      <c r="F3097" s="17" t="s">
        <v>139</v>
      </c>
      <c r="G3097" s="18"/>
      <c r="H3097" s="18"/>
    </row>
    <row r="3098" spans="1:8" ht="13.2">
      <c r="A3098" s="15" t="s">
        <v>3536</v>
      </c>
      <c r="B3098" s="30" t="s">
        <v>3537</v>
      </c>
      <c r="C3098" s="24">
        <v>5.5</v>
      </c>
      <c r="D3098" s="26" t="str">
        <f>HYPERLINK("https://github.com/goswami-rahul/competitive-coding/blob/master/CompetitiveProgramming/UVA/12544.cpp","Sol")</f>
        <v>Sol</v>
      </c>
      <c r="E3098" s="17" t="s">
        <v>3467</v>
      </c>
      <c r="F3098" s="17" t="s">
        <v>201</v>
      </c>
      <c r="G3098" s="18"/>
      <c r="H3098" s="18"/>
    </row>
    <row r="3099" spans="1:8" ht="13.2">
      <c r="A3099" s="19" t="str">
        <f>HYPERLINK("http://codeforces.com/contest/787/problem/C","CF787-D2-C")</f>
        <v>CF787-D2-C</v>
      </c>
      <c r="B3099" s="29" t="s">
        <v>3538</v>
      </c>
      <c r="C3099" s="17">
        <v>5.5</v>
      </c>
      <c r="D3099" s="18"/>
      <c r="E3099" s="17" t="s">
        <v>3467</v>
      </c>
      <c r="F3099" s="17" t="s">
        <v>201</v>
      </c>
      <c r="G3099" s="18"/>
      <c r="H3099" s="18"/>
    </row>
    <row r="3100" spans="1:8" ht="13.2">
      <c r="A3100" s="15" t="s">
        <v>3539</v>
      </c>
      <c r="B3100" s="18" t="s">
        <v>3466</v>
      </c>
      <c r="C3100" s="17">
        <v>5.5</v>
      </c>
      <c r="D3100" s="18"/>
      <c r="E3100" s="17" t="s">
        <v>3467</v>
      </c>
      <c r="F3100" s="17"/>
      <c r="G3100" s="18"/>
      <c r="H3100" s="18"/>
    </row>
    <row r="3101" spans="1:8" ht="13.2">
      <c r="A3101" s="15" t="s">
        <v>3540</v>
      </c>
      <c r="B3101" s="34" t="s">
        <v>3466</v>
      </c>
      <c r="C3101" s="31">
        <v>5.5</v>
      </c>
      <c r="D3101" s="18"/>
      <c r="E3101" s="17" t="s">
        <v>3467</v>
      </c>
      <c r="F3101" s="17"/>
      <c r="G3101" s="18"/>
      <c r="H3101" s="18"/>
    </row>
    <row r="3102" spans="1:8" ht="13.2">
      <c r="A3102" s="15" t="s">
        <v>3541</v>
      </c>
      <c r="B3102" s="30" t="s">
        <v>3466</v>
      </c>
      <c r="C3102" s="24">
        <v>5.5</v>
      </c>
      <c r="D3102" s="18"/>
      <c r="E3102" s="17" t="s">
        <v>3467</v>
      </c>
      <c r="F3102" s="17"/>
      <c r="G3102" s="18"/>
      <c r="H3102" s="18"/>
    </row>
    <row r="3103" spans="1:8" ht="13.2">
      <c r="A3103" s="15" t="s">
        <v>3542</v>
      </c>
      <c r="B3103" s="28" t="s">
        <v>3466</v>
      </c>
      <c r="C3103" s="17">
        <v>5.5</v>
      </c>
      <c r="D3103" s="18"/>
      <c r="E3103" s="17" t="s">
        <v>3467</v>
      </c>
      <c r="F3103" s="17"/>
      <c r="G3103" s="18"/>
      <c r="H3103" s="18"/>
    </row>
    <row r="3104" spans="1:8" ht="13.2">
      <c r="A3104" s="15" t="s">
        <v>3543</v>
      </c>
      <c r="B3104" s="18" t="s">
        <v>3544</v>
      </c>
      <c r="C3104" s="17">
        <v>5.5</v>
      </c>
      <c r="D3104" s="26" t="str">
        <f>HYPERLINK("https://github.com/AbdelrahmanRamadan/competitive-programming/blob/master/Topcoder/SRM368%20Jumping%20Board.cpp","Sol")</f>
        <v>Sol</v>
      </c>
      <c r="E3104" s="17" t="s">
        <v>3467</v>
      </c>
      <c r="F3104" s="17"/>
      <c r="G3104" s="18"/>
      <c r="H3104" s="18"/>
    </row>
    <row r="3105" spans="1:8" ht="13.2">
      <c r="A3105" s="15" t="s">
        <v>3545</v>
      </c>
      <c r="B3105" s="28" t="s">
        <v>3546</v>
      </c>
      <c r="C3105" s="24">
        <v>5.5</v>
      </c>
      <c r="D3105" s="18"/>
      <c r="E3105" s="17" t="s">
        <v>3467</v>
      </c>
      <c r="F3105" s="17"/>
      <c r="G3105" s="18"/>
      <c r="H3105" s="18"/>
    </row>
    <row r="3106" spans="1:8" ht="13.2">
      <c r="A3106" s="15" t="s">
        <v>3547</v>
      </c>
      <c r="B3106" s="29" t="s">
        <v>3548</v>
      </c>
      <c r="C3106" s="24">
        <v>5</v>
      </c>
      <c r="D3106" s="26" t="str">
        <f>HYPERLINK("https://github.com/mostafa-saad/MyCompetitiveProgramming/blob/master/UVA/UVA_11573.txt","Sol - must read")</f>
        <v>Sol - must read</v>
      </c>
      <c r="E3106" s="17" t="s">
        <v>3467</v>
      </c>
      <c r="F3106" s="17" t="s">
        <v>154</v>
      </c>
      <c r="G3106" s="18"/>
      <c r="H3106" s="18"/>
    </row>
    <row r="3107" spans="1:8" ht="13.2">
      <c r="A3107" s="15" t="s">
        <v>3549</v>
      </c>
      <c r="B3107" s="15" t="s">
        <v>3466</v>
      </c>
      <c r="C3107" s="17">
        <v>5</v>
      </c>
      <c r="D3107" s="18"/>
      <c r="E3107" s="17" t="s">
        <v>3467</v>
      </c>
      <c r="F3107" s="17" t="s">
        <v>139</v>
      </c>
      <c r="G3107" s="18"/>
      <c r="H3107" s="18"/>
    </row>
    <row r="3108" spans="1:8" ht="13.2">
      <c r="A3108" s="19" t="str">
        <f>HYPERLINK("https://www.hackerearth.com/practice/algorithms/graphs/breadth-first-search/practice-problems/algorithm/pasha-jumps-on-a-permutation-june-easy-19-9e608b68/","HACKER pasha-jumps-on-a-permutation")</f>
        <v>HACKER pasha-jumps-on-a-permutation</v>
      </c>
      <c r="B3108" s="20" t="s">
        <v>3550</v>
      </c>
      <c r="C3108" s="17">
        <v>5</v>
      </c>
      <c r="D3108" s="18"/>
      <c r="E3108" s="17" t="s">
        <v>3467</v>
      </c>
      <c r="F3108" s="17" t="s">
        <v>139</v>
      </c>
      <c r="G3108" s="18"/>
      <c r="H3108" s="18"/>
    </row>
    <row r="3109" spans="1:8" ht="13.2">
      <c r="A3109" s="15" t="s">
        <v>3551</v>
      </c>
      <c r="B3109" s="29" t="s">
        <v>3552</v>
      </c>
      <c r="C3109" s="17">
        <v>5</v>
      </c>
      <c r="D3109" s="18"/>
      <c r="E3109" s="17" t="s">
        <v>3467</v>
      </c>
      <c r="F3109" s="17" t="s">
        <v>139</v>
      </c>
      <c r="G3109" s="18"/>
      <c r="H3109" s="18"/>
    </row>
    <row r="3110" spans="1:8" ht="13.2">
      <c r="A3110" s="15" t="s">
        <v>3553</v>
      </c>
      <c r="B3110" s="30" t="s">
        <v>3554</v>
      </c>
      <c r="C3110" s="24">
        <v>5</v>
      </c>
      <c r="D3110" s="18"/>
      <c r="E3110" s="17" t="s">
        <v>3467</v>
      </c>
      <c r="F3110" s="17" t="s">
        <v>139</v>
      </c>
      <c r="G3110" s="18"/>
      <c r="H3110" s="18"/>
    </row>
    <row r="3111" spans="1:8" ht="13.2">
      <c r="A3111" s="19" t="str">
        <f>HYPERLINK("https://codeforces.com/contest/1105/problem/D","CF1105-D2-D")</f>
        <v>CF1105-D2-D</v>
      </c>
      <c r="B3111" s="15" t="s">
        <v>3488</v>
      </c>
      <c r="C3111" s="17">
        <v>5</v>
      </c>
      <c r="D3111" s="18"/>
      <c r="E3111" s="17" t="s">
        <v>3467</v>
      </c>
      <c r="F3111" s="17" t="s">
        <v>139</v>
      </c>
      <c r="G3111" s="18"/>
      <c r="H3111" s="18"/>
    </row>
    <row r="3112" spans="1:8" ht="13.2">
      <c r="A3112" s="19" t="str">
        <f>HYPERLINK("http://codeforces.com/contest/811/problem/D","CF811-D2-D")</f>
        <v>CF811-D2-D</v>
      </c>
      <c r="B3112" s="29" t="s">
        <v>3555</v>
      </c>
      <c r="C3112" s="24">
        <v>5</v>
      </c>
      <c r="D3112" s="18"/>
      <c r="E3112" s="17" t="s">
        <v>3467</v>
      </c>
      <c r="F3112" s="17" t="s">
        <v>139</v>
      </c>
      <c r="G3112" s="18"/>
      <c r="H3112" s="18"/>
    </row>
    <row r="3113" spans="1:8" ht="13.2">
      <c r="A3113" s="15" t="s">
        <v>3556</v>
      </c>
      <c r="B3113" s="15" t="s">
        <v>3557</v>
      </c>
      <c r="C3113" s="17">
        <v>5</v>
      </c>
      <c r="D3113" s="26" t="str">
        <f>HYPERLINK("https://github.com/A7medgamal/CompetitiveProgramming/blob/master/SPOJ/SPOJ%20A_W_S_N.cpp","Sol")</f>
        <v>Sol</v>
      </c>
      <c r="E3113" s="17" t="s">
        <v>3467</v>
      </c>
      <c r="F3113" s="17" t="s">
        <v>139</v>
      </c>
      <c r="G3113" s="18"/>
      <c r="H3113" s="18"/>
    </row>
    <row r="3114" spans="1:8" ht="13.2">
      <c r="A3114" s="15" t="s">
        <v>3558</v>
      </c>
      <c r="B3114" s="29" t="s">
        <v>3559</v>
      </c>
      <c r="C3114" s="17">
        <v>5</v>
      </c>
      <c r="D3114" s="18"/>
      <c r="E3114" s="17" t="s">
        <v>3467</v>
      </c>
      <c r="F3114" s="17" t="s">
        <v>201</v>
      </c>
      <c r="G3114" s="18"/>
      <c r="H3114" s="18"/>
    </row>
    <row r="3115" spans="1:8" ht="13.2">
      <c r="A3115" s="19" t="str">
        <f>HYPERLINK("http://codeforces.com/contest/253/problem/C","CF253-D2-C")</f>
        <v>CF253-D2-C</v>
      </c>
      <c r="B3115" s="29" t="s">
        <v>3560</v>
      </c>
      <c r="C3115" s="17">
        <v>5</v>
      </c>
      <c r="D3115" s="18"/>
      <c r="E3115" s="17" t="s">
        <v>3467</v>
      </c>
      <c r="F3115" s="17" t="s">
        <v>201</v>
      </c>
      <c r="G3115" s="18"/>
      <c r="H3115" s="18"/>
    </row>
    <row r="3116" spans="1:8" ht="13.2">
      <c r="A3116" s="19" t="str">
        <f>HYPERLINK("https://codeforces.com/contest/131/problem/D","CF131-D2-D")</f>
        <v>CF131-D2-D</v>
      </c>
      <c r="B3116" s="15" t="s">
        <v>3561</v>
      </c>
      <c r="C3116" s="17">
        <v>5</v>
      </c>
      <c r="D3116" s="18"/>
      <c r="E3116" s="17" t="s">
        <v>3467</v>
      </c>
      <c r="F3116" s="17" t="s">
        <v>201</v>
      </c>
      <c r="G3116" s="18"/>
      <c r="H3116" s="18"/>
    </row>
    <row r="3117" spans="1:8" ht="13.2">
      <c r="A3117" s="19" t="str">
        <f>HYPERLINK("http://codeforces.com/problemset/problem/786/A","CF786-D1-A")</f>
        <v>CF786-D1-A</v>
      </c>
      <c r="B3117" s="15" t="s">
        <v>3466</v>
      </c>
      <c r="C3117" s="21">
        <v>5</v>
      </c>
      <c r="D3117" s="18"/>
      <c r="E3117" s="17" t="s">
        <v>3467</v>
      </c>
      <c r="F3117" s="17" t="s">
        <v>242</v>
      </c>
      <c r="G3117" s="18"/>
      <c r="H3117" s="18"/>
    </row>
    <row r="3118" spans="1:8" ht="13.2">
      <c r="A3118" s="15" t="s">
        <v>3562</v>
      </c>
      <c r="B3118" s="35" t="s">
        <v>3563</v>
      </c>
      <c r="C3118" s="17">
        <v>5</v>
      </c>
      <c r="D3118" s="18"/>
      <c r="E3118" s="17" t="s">
        <v>3467</v>
      </c>
      <c r="F3118" s="17" t="s">
        <v>242</v>
      </c>
      <c r="G3118" s="18"/>
      <c r="H3118" s="18"/>
    </row>
    <row r="3119" spans="1:8" ht="13.2">
      <c r="A3119" s="15" t="s">
        <v>3564</v>
      </c>
      <c r="B3119" s="18" t="s">
        <v>3565</v>
      </c>
      <c r="C3119" s="17">
        <v>5</v>
      </c>
      <c r="D3119" s="18"/>
      <c r="E3119" s="17" t="s">
        <v>3467</v>
      </c>
      <c r="F3119" s="17" t="s">
        <v>242</v>
      </c>
      <c r="G3119" s="18"/>
      <c r="H3119" s="18"/>
    </row>
    <row r="3120" spans="1:8" ht="13.2">
      <c r="A3120" s="15" t="s">
        <v>3566</v>
      </c>
      <c r="B3120" s="34" t="s">
        <v>3466</v>
      </c>
      <c r="C3120" s="31">
        <v>5</v>
      </c>
      <c r="D3120" s="18"/>
      <c r="E3120" s="17" t="s">
        <v>3467</v>
      </c>
      <c r="F3120" s="17"/>
      <c r="G3120" s="18"/>
      <c r="H3120" s="18"/>
    </row>
    <row r="3121" spans="1:8" ht="13.2">
      <c r="A3121" s="15" t="s">
        <v>3567</v>
      </c>
      <c r="B3121" s="34" t="s">
        <v>3466</v>
      </c>
      <c r="C3121" s="31">
        <v>5</v>
      </c>
      <c r="D3121" s="18"/>
      <c r="E3121" s="17" t="s">
        <v>3467</v>
      </c>
      <c r="F3121" s="17"/>
      <c r="G3121" s="18"/>
      <c r="H3121" s="18"/>
    </row>
    <row r="3122" spans="1:8" ht="13.2">
      <c r="A3122" s="15" t="s">
        <v>3568</v>
      </c>
      <c r="B3122" s="30" t="s">
        <v>3466</v>
      </c>
      <c r="C3122" s="40">
        <v>5</v>
      </c>
      <c r="D3122" s="18"/>
      <c r="E3122" s="17" t="s">
        <v>3467</v>
      </c>
      <c r="F3122" s="17"/>
      <c r="G3122" s="18"/>
      <c r="H3122" s="18"/>
    </row>
    <row r="3123" spans="1:8" ht="13.2">
      <c r="A3123" s="15" t="s">
        <v>3569</v>
      </c>
      <c r="B3123" s="30" t="s">
        <v>3466</v>
      </c>
      <c r="C3123" s="40">
        <v>5</v>
      </c>
      <c r="D3123" s="18"/>
      <c r="E3123" s="17" t="s">
        <v>3467</v>
      </c>
      <c r="F3123" s="17"/>
      <c r="G3123" s="18"/>
      <c r="H3123" s="18"/>
    </row>
    <row r="3124" spans="1:8" ht="13.2">
      <c r="A3124" s="15" t="s">
        <v>3570</v>
      </c>
      <c r="B3124" s="28" t="s">
        <v>3466</v>
      </c>
      <c r="C3124" s="24">
        <v>5</v>
      </c>
      <c r="D3124" s="18"/>
      <c r="E3124" s="17" t="s">
        <v>3467</v>
      </c>
      <c r="F3124" s="17"/>
      <c r="G3124" s="18"/>
      <c r="H3124" s="18"/>
    </row>
    <row r="3125" spans="1:8" ht="13.2">
      <c r="A3125" s="15" t="s">
        <v>3571</v>
      </c>
      <c r="B3125" s="28" t="s">
        <v>3466</v>
      </c>
      <c r="C3125" s="24">
        <v>5</v>
      </c>
      <c r="D3125" s="18"/>
      <c r="E3125" s="17" t="s">
        <v>3467</v>
      </c>
      <c r="F3125" s="17"/>
      <c r="G3125" s="18"/>
      <c r="H3125" s="18"/>
    </row>
    <row r="3126" spans="1:8" ht="13.2">
      <c r="A3126" s="19" t="str">
        <f>HYPERLINK("http://www.spoj.com/problems/MLASERP/","SPOJ MLASERP")</f>
        <v>SPOJ MLASERP</v>
      </c>
      <c r="B3126" s="28" t="s">
        <v>3572</v>
      </c>
      <c r="C3126" s="17">
        <v>5</v>
      </c>
      <c r="D3126" s="26" t="str">
        <f>HYPERLINK("https://github.com/cacophonix/SPOJ/blob/master/MLASERP.cpp","Sol")</f>
        <v>Sol</v>
      </c>
      <c r="E3126" s="17" t="s">
        <v>3467</v>
      </c>
      <c r="F3126" s="17"/>
      <c r="G3126" s="18"/>
      <c r="H3126" s="18"/>
    </row>
    <row r="3127" spans="1:8" ht="13.2">
      <c r="A3127" s="15" t="s">
        <v>3573</v>
      </c>
      <c r="B3127" s="30" t="s">
        <v>3574</v>
      </c>
      <c r="C3127" s="17">
        <v>5</v>
      </c>
      <c r="D3127" s="18"/>
      <c r="E3127" s="17" t="s">
        <v>3467</v>
      </c>
      <c r="F3127" s="17"/>
      <c r="G3127" s="18"/>
      <c r="H3127" s="18"/>
    </row>
    <row r="3128" spans="1:8" ht="13.2">
      <c r="A3128" s="19" t="str">
        <f>HYPERLINK("http://codeforces.com/problemset/problem/667/D","CF667-D2-D")</f>
        <v>CF667-D2-D</v>
      </c>
      <c r="B3128" s="18" t="s">
        <v>3575</v>
      </c>
      <c r="C3128" s="17">
        <v>5</v>
      </c>
      <c r="D3128" s="18"/>
      <c r="E3128" s="17" t="s">
        <v>3467</v>
      </c>
      <c r="F3128" s="17"/>
      <c r="G3128" s="18"/>
      <c r="H3128" s="18"/>
    </row>
    <row r="3129" spans="1:8" ht="13.2">
      <c r="A3129" s="15" t="s">
        <v>3576</v>
      </c>
      <c r="B3129" s="30" t="s">
        <v>3577</v>
      </c>
      <c r="C3129" s="24">
        <v>5</v>
      </c>
      <c r="D3129" s="18"/>
      <c r="E3129" s="17" t="s">
        <v>3467</v>
      </c>
      <c r="F3129" s="17"/>
      <c r="G3129" s="18"/>
      <c r="H3129" s="18"/>
    </row>
    <row r="3130" spans="1:8" ht="13.2">
      <c r="A3130" s="15" t="s">
        <v>3578</v>
      </c>
      <c r="B3130" s="34" t="s">
        <v>3579</v>
      </c>
      <c r="C3130" s="17">
        <v>5</v>
      </c>
      <c r="D3130" s="18"/>
      <c r="E3130" s="17" t="s">
        <v>3467</v>
      </c>
      <c r="F3130" s="17"/>
      <c r="G3130" s="18"/>
      <c r="H3130" s="18"/>
    </row>
    <row r="3131" spans="1:8" ht="13.2">
      <c r="A3131" s="15" t="s">
        <v>3580</v>
      </c>
      <c r="B3131" s="28" t="s">
        <v>3581</v>
      </c>
      <c r="C3131" s="24">
        <v>5</v>
      </c>
      <c r="D3131" s="18"/>
      <c r="E3131" s="17" t="s">
        <v>3467</v>
      </c>
      <c r="F3131" s="17"/>
      <c r="G3131" s="18"/>
      <c r="H3131" s="18"/>
    </row>
    <row r="3132" spans="1:8" ht="13.2">
      <c r="A3132" s="19" t="str">
        <f>HYPERLINK("http://codeforces.com/contest/954/problem/D","CF954-D2-D")</f>
        <v>CF954-D2-D</v>
      </c>
      <c r="B3132" s="20" t="s">
        <v>3582</v>
      </c>
      <c r="C3132" s="17">
        <v>5</v>
      </c>
      <c r="D3132" s="18"/>
      <c r="E3132" s="17" t="s">
        <v>3467</v>
      </c>
      <c r="F3132" s="17"/>
      <c r="G3132" s="18"/>
      <c r="H3132" s="18"/>
    </row>
    <row r="3133" spans="1:8" ht="13.2">
      <c r="A3133" s="19" t="str">
        <f>HYPERLINK("http://www.spoj.com/problems/ANARC08A/","SPOJ ANARC08A")</f>
        <v>SPOJ ANARC08A</v>
      </c>
      <c r="B3133" s="29" t="s">
        <v>3583</v>
      </c>
      <c r="C3133" s="17">
        <v>5</v>
      </c>
      <c r="D3133" s="26" t="str">
        <f>HYPERLINK("https://github.com/mostafa-saad/MyCompetitiveProgramming/blob/master/SPOJ/SPOJ_ANARC08A.txt","Sol")</f>
        <v>Sol</v>
      </c>
      <c r="E3133" s="17" t="s">
        <v>3467</v>
      </c>
      <c r="F3133" s="17"/>
      <c r="G3133" s="18"/>
      <c r="H3133" s="18"/>
    </row>
    <row r="3134" spans="1:8" ht="13.2">
      <c r="A3134" s="19" t="str">
        <f>HYPERLINK("http://codeforces.com/contest/242/problem/C","CF242-D2-C")</f>
        <v>CF242-D2-C</v>
      </c>
      <c r="B3134" s="29" t="s">
        <v>3466</v>
      </c>
      <c r="C3134" s="17">
        <v>4.5</v>
      </c>
      <c r="D3134" s="18"/>
      <c r="E3134" s="17" t="s">
        <v>3467</v>
      </c>
      <c r="F3134" s="17" t="s">
        <v>229</v>
      </c>
      <c r="G3134" s="18"/>
      <c r="H3134" s="18"/>
    </row>
    <row r="3135" spans="1:8" ht="13.2">
      <c r="A3135" s="19" t="str">
        <f>HYPERLINK("http://www.spoj.com/problems/CERC07K/","SPOJ CERC07K")</f>
        <v>SPOJ CERC07K</v>
      </c>
      <c r="B3135" s="29" t="s">
        <v>3584</v>
      </c>
      <c r="C3135" s="17">
        <v>4.5</v>
      </c>
      <c r="D3135" s="18"/>
      <c r="E3135" s="17" t="s">
        <v>3467</v>
      </c>
      <c r="F3135" s="17" t="s">
        <v>201</v>
      </c>
      <c r="G3135" s="18"/>
      <c r="H3135" s="18"/>
    </row>
    <row r="3136" spans="1:8" ht="13.2">
      <c r="A3136" s="19" t="str">
        <f>HYPERLINK("http://codeforces.com/contest/676/problem/D","CF676-D2-D")</f>
        <v>CF676-D2-D</v>
      </c>
      <c r="B3136" s="29" t="s">
        <v>3488</v>
      </c>
      <c r="C3136" s="17">
        <v>4.5</v>
      </c>
      <c r="D3136" s="18"/>
      <c r="E3136" s="17" t="s">
        <v>3467</v>
      </c>
      <c r="F3136" s="17" t="s">
        <v>201</v>
      </c>
      <c r="G3136" s="18"/>
      <c r="H3136" s="18"/>
    </row>
    <row r="3137" spans="1:8" ht="13.2">
      <c r="A3137" s="19" t="str">
        <f>HYPERLINK("http://www.spoj.com/problems/QUEEN/","SPOJ QUEEN")</f>
        <v>SPOJ QUEEN</v>
      </c>
      <c r="B3137" s="29" t="s">
        <v>3466</v>
      </c>
      <c r="C3137" s="17">
        <v>4.5</v>
      </c>
      <c r="D3137" s="18"/>
      <c r="E3137" s="17" t="s">
        <v>3467</v>
      </c>
      <c r="F3137" s="17" t="s">
        <v>242</v>
      </c>
      <c r="G3137" s="18"/>
      <c r="H3137" s="18"/>
    </row>
    <row r="3138" spans="1:8" ht="13.2">
      <c r="A3138" s="19" t="str">
        <f>HYPERLINK("http://codeforces.com/contest/404/problem/C","CF404-D2-C")</f>
        <v>CF404-D2-C</v>
      </c>
      <c r="B3138" s="29" t="s">
        <v>3466</v>
      </c>
      <c r="C3138" s="17">
        <v>4.5</v>
      </c>
      <c r="D3138" s="18"/>
      <c r="E3138" s="17" t="s">
        <v>3467</v>
      </c>
      <c r="F3138" s="17"/>
      <c r="G3138" s="18"/>
      <c r="H3138" s="18"/>
    </row>
    <row r="3139" spans="1:8" ht="13.2">
      <c r="A3139" s="19" t="str">
        <f>HYPERLINK("http://codeforces.com/contest/489/problem/D","CF489-D2-D")</f>
        <v>CF489-D2-D</v>
      </c>
      <c r="B3139" s="18" t="s">
        <v>3466</v>
      </c>
      <c r="C3139" s="17">
        <v>4.5</v>
      </c>
      <c r="D3139" s="18"/>
      <c r="E3139" s="17" t="s">
        <v>3467</v>
      </c>
      <c r="F3139" s="17"/>
      <c r="G3139" s="18"/>
      <c r="H3139" s="18"/>
    </row>
    <row r="3140" spans="1:8" ht="13.2">
      <c r="A3140" s="15" t="s">
        <v>3585</v>
      </c>
      <c r="B3140" s="28" t="s">
        <v>3466</v>
      </c>
      <c r="C3140" s="24">
        <v>4.5</v>
      </c>
      <c r="D3140" s="18"/>
      <c r="E3140" s="17" t="s">
        <v>3467</v>
      </c>
      <c r="F3140" s="17"/>
      <c r="G3140" s="18"/>
      <c r="H3140" s="18"/>
    </row>
    <row r="3141" spans="1:8" ht="13.2">
      <c r="A3141" s="15" t="s">
        <v>3586</v>
      </c>
      <c r="B3141" s="28" t="s">
        <v>3466</v>
      </c>
      <c r="C3141" s="24">
        <v>4.5</v>
      </c>
      <c r="D3141" s="18"/>
      <c r="E3141" s="17" t="s">
        <v>3467</v>
      </c>
      <c r="F3141" s="17"/>
      <c r="G3141" s="18"/>
      <c r="H3141" s="18"/>
    </row>
    <row r="3142" spans="1:8" ht="13.2">
      <c r="A3142" s="15" t="s">
        <v>3587</v>
      </c>
      <c r="B3142" s="30" t="s">
        <v>3466</v>
      </c>
      <c r="C3142" s="17">
        <v>4.5</v>
      </c>
      <c r="D3142" s="18"/>
      <c r="E3142" s="17" t="s">
        <v>3467</v>
      </c>
      <c r="F3142" s="17"/>
      <c r="G3142" s="18"/>
      <c r="H3142" s="18"/>
    </row>
    <row r="3143" spans="1:8" ht="13.2">
      <c r="A3143" s="19" t="str">
        <f>HYPERLINK("http://www.spoj.com/problems/CATM/","SPOJ CATM")</f>
        <v>SPOJ CATM</v>
      </c>
      <c r="B3143" s="18" t="s">
        <v>3588</v>
      </c>
      <c r="C3143" s="17">
        <v>4.5</v>
      </c>
      <c r="D3143" s="26" t="str">
        <f>HYPERLINK("https://github.com/mostafa-saad/MyCompetitiveProgramming/blob/master/SPOJ/SPOJ_CATM.txt","Sol")</f>
        <v>Sol</v>
      </c>
      <c r="E3143" s="17" t="s">
        <v>3467</v>
      </c>
      <c r="F3143" s="17"/>
      <c r="G3143" s="18"/>
      <c r="H3143" s="18"/>
    </row>
    <row r="3144" spans="1:8" ht="13.2">
      <c r="A3144" s="19" t="str">
        <f>HYPERLINK("http://codeforces.com/contest/230/problem/D","CF230-D2-D")</f>
        <v>CF230-D2-D</v>
      </c>
      <c r="B3144" s="18" t="s">
        <v>3589</v>
      </c>
      <c r="C3144" s="17">
        <v>4.5</v>
      </c>
      <c r="D3144" s="18"/>
      <c r="E3144" s="17" t="s">
        <v>3467</v>
      </c>
      <c r="F3144" s="17"/>
      <c r="G3144" s="18"/>
      <c r="H3144" s="18"/>
    </row>
    <row r="3145" spans="1:8" ht="13.2">
      <c r="A3145" s="19" t="str">
        <f>HYPERLINK("http://www.spoj.com/problems/CLEANRBT/","SPOJ CLEANRBT")</f>
        <v>SPOJ CLEANRBT</v>
      </c>
      <c r="B3145" s="29" t="s">
        <v>3590</v>
      </c>
      <c r="C3145" s="17">
        <v>4.5</v>
      </c>
      <c r="D3145" s="18"/>
      <c r="E3145" s="17" t="s">
        <v>3467</v>
      </c>
      <c r="F3145" s="17"/>
      <c r="G3145" s="18"/>
      <c r="H3145" s="18"/>
    </row>
    <row r="3146" spans="1:8" ht="13.2">
      <c r="A3146" s="15" t="s">
        <v>3591</v>
      </c>
      <c r="B3146" s="16" t="s">
        <v>3476</v>
      </c>
      <c r="C3146" s="24">
        <v>4.5</v>
      </c>
      <c r="D3146" s="18"/>
      <c r="E3146" s="17" t="s">
        <v>3467</v>
      </c>
      <c r="F3146" s="17"/>
      <c r="G3146" s="18"/>
      <c r="H3146" s="18"/>
    </row>
    <row r="3147" spans="1:8" ht="13.2">
      <c r="A3147" s="15" t="s">
        <v>3592</v>
      </c>
      <c r="B3147" s="16" t="s">
        <v>3476</v>
      </c>
      <c r="C3147" s="24">
        <v>4.5</v>
      </c>
      <c r="D3147" s="18"/>
      <c r="E3147" s="17" t="s">
        <v>3467</v>
      </c>
      <c r="F3147" s="17"/>
      <c r="G3147" s="18"/>
      <c r="H3147" s="18"/>
    </row>
    <row r="3148" spans="1:8" ht="13.2">
      <c r="A3148" s="15" t="s">
        <v>3593</v>
      </c>
      <c r="B3148" s="28" t="s">
        <v>3594</v>
      </c>
      <c r="C3148" s="24">
        <v>4.5</v>
      </c>
      <c r="D3148" s="18"/>
      <c r="E3148" s="17" t="s">
        <v>3467</v>
      </c>
      <c r="F3148" s="17"/>
      <c r="G3148" s="18"/>
      <c r="H3148" s="18"/>
    </row>
    <row r="3149" spans="1:8" ht="13.2">
      <c r="A3149" s="15" t="s">
        <v>3595</v>
      </c>
      <c r="B3149" s="29" t="s">
        <v>3596</v>
      </c>
      <c r="C3149" s="24">
        <v>4.5</v>
      </c>
      <c r="D3149" s="18"/>
      <c r="E3149" s="17" t="s">
        <v>3467</v>
      </c>
      <c r="F3149" s="17"/>
      <c r="G3149" s="18"/>
      <c r="H3149" s="18"/>
    </row>
    <row r="3150" spans="1:8" ht="13.2">
      <c r="A3150" s="15" t="s">
        <v>3597</v>
      </c>
      <c r="B3150" s="16" t="s">
        <v>3515</v>
      </c>
      <c r="C3150" s="17">
        <v>4</v>
      </c>
      <c r="D3150" s="18"/>
      <c r="E3150" s="17" t="s">
        <v>3467</v>
      </c>
      <c r="F3150" s="17" t="s">
        <v>255</v>
      </c>
      <c r="G3150" s="18"/>
      <c r="H3150" s="18"/>
    </row>
    <row r="3151" spans="1:8" ht="13.2">
      <c r="A3151" s="15" t="s">
        <v>3598</v>
      </c>
      <c r="B3151" s="16" t="s">
        <v>3466</v>
      </c>
      <c r="C3151" s="33">
        <v>4</v>
      </c>
      <c r="D3151" s="18"/>
      <c r="E3151" s="17" t="s">
        <v>3467</v>
      </c>
      <c r="F3151" s="17" t="s">
        <v>229</v>
      </c>
      <c r="G3151" s="18"/>
      <c r="H3151" s="18"/>
    </row>
    <row r="3152" spans="1:8" ht="13.2">
      <c r="A3152" s="19" t="str">
        <f>HYPERLINK("https://codeforces.com/contest/1183/problem/E","CF1183-D3-E")</f>
        <v>CF1183-D3-E</v>
      </c>
      <c r="B3152" s="15" t="s">
        <v>3466</v>
      </c>
      <c r="C3152" s="17">
        <v>4</v>
      </c>
      <c r="D3152" s="18"/>
      <c r="E3152" s="17" t="s">
        <v>3467</v>
      </c>
      <c r="F3152" s="17" t="s">
        <v>139</v>
      </c>
      <c r="G3152" s="18"/>
      <c r="H3152" s="18"/>
    </row>
    <row r="3153" spans="1:8" ht="13.2">
      <c r="A3153" s="19" t="str">
        <f>HYPERLINK("https://uva.onlinejudge.org/index.php?option=com_onlinejudge&amp;Itemid=8&amp;page=show_problem&amp;problem=512","UVA 571")</f>
        <v>UVA 571</v>
      </c>
      <c r="B3153" s="29" t="s">
        <v>3466</v>
      </c>
      <c r="C3153" s="17">
        <v>4</v>
      </c>
      <c r="D3153" s="18"/>
      <c r="E3153" s="17" t="s">
        <v>3467</v>
      </c>
      <c r="F3153" s="17" t="s">
        <v>242</v>
      </c>
      <c r="G3153" s="18"/>
      <c r="H3153" s="18"/>
    </row>
    <row r="3154" spans="1:8" ht="13.2">
      <c r="A3154" s="19" t="str">
        <f>HYPERLINK("https://arc005.contest.atcoder.jp/tasks/arc005_3","AtCoder005-ARC-C")</f>
        <v>AtCoder005-ARC-C</v>
      </c>
      <c r="B3154" s="20" t="s">
        <v>3550</v>
      </c>
      <c r="C3154" s="21">
        <v>4</v>
      </c>
      <c r="D3154" s="26" t="str">
        <f>HYPERLINK("https://github.com/MedoN11/CompetitiveProgramming/blob/master/Atcoder/ARC_005.java","Sol")</f>
        <v>Sol</v>
      </c>
      <c r="E3154" s="17" t="s">
        <v>3467</v>
      </c>
      <c r="F3154" s="17" t="s">
        <v>242</v>
      </c>
      <c r="G3154" s="18"/>
      <c r="H3154" s="18"/>
    </row>
    <row r="3155" spans="1:8" ht="13.2">
      <c r="A3155" s="15" t="s">
        <v>3599</v>
      </c>
      <c r="B3155" s="15" t="s">
        <v>3600</v>
      </c>
      <c r="C3155" s="33">
        <v>4</v>
      </c>
      <c r="D3155" s="18"/>
      <c r="E3155" s="17" t="s">
        <v>3467</v>
      </c>
      <c r="F3155" s="17" t="s">
        <v>242</v>
      </c>
      <c r="G3155" s="18"/>
      <c r="H3155" s="18"/>
    </row>
    <row r="3156" spans="1:8" ht="13.2">
      <c r="A3156" s="19" t="str">
        <f>HYPERLINK("http://codeforces.com/contest/35/problem/C","CF35-D2-C")</f>
        <v>CF35-D2-C</v>
      </c>
      <c r="B3156" s="18" t="s">
        <v>3466</v>
      </c>
      <c r="C3156" s="17">
        <v>4</v>
      </c>
      <c r="D3156" s="18"/>
      <c r="E3156" s="17" t="s">
        <v>3467</v>
      </c>
      <c r="F3156" s="17"/>
      <c r="G3156" s="18"/>
      <c r="H3156" s="18"/>
    </row>
    <row r="3157" spans="1:8" ht="13.2">
      <c r="A3157" s="19" t="str">
        <f>HYPERLINK("http://www.spoj.com/problems/TOE1/","SPOJ TOE1")</f>
        <v>SPOJ TOE1</v>
      </c>
      <c r="B3157" s="29" t="s">
        <v>3466</v>
      </c>
      <c r="C3157" s="17">
        <v>4</v>
      </c>
      <c r="D3157" s="18"/>
      <c r="E3157" s="17" t="s">
        <v>3467</v>
      </c>
      <c r="F3157" s="17"/>
      <c r="G3157" s="18"/>
      <c r="H3157" s="18"/>
    </row>
    <row r="3158" spans="1:8" ht="13.2">
      <c r="A3158" s="19" t="str">
        <f>HYPERLINK("http://www.spoj.com/problems/TOE2/","SPOJ TOE2")</f>
        <v>SPOJ TOE2</v>
      </c>
      <c r="B3158" s="29" t="s">
        <v>3466</v>
      </c>
      <c r="C3158" s="17">
        <v>4</v>
      </c>
      <c r="D3158" s="18"/>
      <c r="E3158" s="17" t="s">
        <v>3467</v>
      </c>
      <c r="F3158" s="17"/>
      <c r="G3158" s="18"/>
      <c r="H3158" s="18"/>
    </row>
    <row r="3159" spans="1:8" ht="13.2">
      <c r="A3159" s="15" t="s">
        <v>3601</v>
      </c>
      <c r="B3159" s="34" t="s">
        <v>3466</v>
      </c>
      <c r="C3159" s="33">
        <v>4</v>
      </c>
      <c r="D3159" s="18"/>
      <c r="E3159" s="17" t="s">
        <v>3467</v>
      </c>
      <c r="F3159" s="17"/>
      <c r="G3159" s="18"/>
      <c r="H3159" s="18"/>
    </row>
    <row r="3160" spans="1:8" ht="13.2">
      <c r="A3160" s="15" t="s">
        <v>3602</v>
      </c>
      <c r="B3160" s="30" t="s">
        <v>3466</v>
      </c>
      <c r="C3160" s="40">
        <v>4</v>
      </c>
      <c r="D3160" s="18"/>
      <c r="E3160" s="17" t="s">
        <v>3467</v>
      </c>
      <c r="F3160" s="17"/>
      <c r="G3160" s="18"/>
      <c r="H3160" s="18"/>
    </row>
    <row r="3161" spans="1:8" ht="13.2">
      <c r="A3161" s="15" t="s">
        <v>3603</v>
      </c>
      <c r="B3161" s="29" t="s">
        <v>3466</v>
      </c>
      <c r="C3161" s="17">
        <v>4</v>
      </c>
      <c r="D3161" s="18"/>
      <c r="E3161" s="17" t="s">
        <v>3467</v>
      </c>
      <c r="F3161" s="17"/>
      <c r="G3161" s="18"/>
      <c r="H3161" s="18"/>
    </row>
    <row r="3162" spans="1:8" ht="13.2">
      <c r="A3162" s="15" t="s">
        <v>3604</v>
      </c>
      <c r="B3162" s="28" t="s">
        <v>3466</v>
      </c>
      <c r="C3162" s="24">
        <v>4</v>
      </c>
      <c r="D3162" s="18"/>
      <c r="E3162" s="17" t="s">
        <v>3467</v>
      </c>
      <c r="F3162" s="17"/>
      <c r="G3162" s="18"/>
      <c r="H3162" s="18"/>
    </row>
    <row r="3163" spans="1:8" ht="13.2">
      <c r="A3163" s="15" t="s">
        <v>3605</v>
      </c>
      <c r="B3163" s="30" t="s">
        <v>3466</v>
      </c>
      <c r="C3163" s="17">
        <v>4</v>
      </c>
      <c r="D3163" s="18"/>
      <c r="E3163" s="17" t="s">
        <v>3467</v>
      </c>
      <c r="F3163" s="17"/>
      <c r="G3163" s="18"/>
      <c r="H3163" s="18"/>
    </row>
    <row r="3164" spans="1:8" ht="13.2">
      <c r="A3164" s="15" t="s">
        <v>3606</v>
      </c>
      <c r="B3164" s="30" t="s">
        <v>3466</v>
      </c>
      <c r="C3164" s="24">
        <v>4</v>
      </c>
      <c r="D3164" s="18"/>
      <c r="E3164" s="17" t="s">
        <v>3467</v>
      </c>
      <c r="F3164" s="17"/>
      <c r="G3164" s="18"/>
      <c r="H3164" s="18"/>
    </row>
    <row r="3165" spans="1:8" ht="13.2">
      <c r="A3165" s="15" t="s">
        <v>3607</v>
      </c>
      <c r="B3165" s="34" t="s">
        <v>3608</v>
      </c>
      <c r="C3165" s="17">
        <v>4</v>
      </c>
      <c r="D3165" s="18"/>
      <c r="E3165" s="17" t="s">
        <v>3467</v>
      </c>
      <c r="F3165" s="17"/>
      <c r="G3165" s="18"/>
      <c r="H3165" s="18"/>
    </row>
    <row r="3166" spans="1:8" ht="13.2">
      <c r="A3166" s="19" t="str">
        <f>HYPERLINK("http://codeforces.com/contest/174/problem/D","CF174-D2-D")</f>
        <v>CF174-D2-D</v>
      </c>
      <c r="B3166" s="29" t="s">
        <v>3609</v>
      </c>
      <c r="C3166" s="33">
        <v>4</v>
      </c>
      <c r="D3166" s="18"/>
      <c r="E3166" s="17" t="s">
        <v>3467</v>
      </c>
      <c r="F3166" s="17"/>
      <c r="G3166" s="18"/>
      <c r="H3166" s="18"/>
    </row>
    <row r="3167" spans="1:8" ht="13.2">
      <c r="A3167" s="15" t="s">
        <v>3610</v>
      </c>
      <c r="B3167" s="28" t="s">
        <v>3577</v>
      </c>
      <c r="C3167" s="24">
        <v>4</v>
      </c>
      <c r="D3167" s="18"/>
      <c r="E3167" s="17" t="s">
        <v>3467</v>
      </c>
      <c r="F3167" s="17"/>
      <c r="G3167" s="18"/>
      <c r="H3167" s="18"/>
    </row>
    <row r="3168" spans="1:8" ht="13.2">
      <c r="A3168" s="15" t="s">
        <v>3611</v>
      </c>
      <c r="B3168" s="30" t="s">
        <v>3577</v>
      </c>
      <c r="C3168" s="24">
        <v>4</v>
      </c>
      <c r="D3168" s="18"/>
      <c r="E3168" s="17" t="s">
        <v>3467</v>
      </c>
      <c r="F3168" s="17"/>
      <c r="G3168" s="18"/>
      <c r="H3168" s="18"/>
    </row>
    <row r="3169" spans="1:8" ht="13.2">
      <c r="A3169" s="19" t="str">
        <f>HYPERLINK("https://uva.onlinejudge.org/index.php?option=com_onlinejudge&amp;Itemid=8&amp;page=show_problem&amp;problem=380","UVA 439")</f>
        <v>UVA 439</v>
      </c>
      <c r="B3169" s="29" t="s">
        <v>3612</v>
      </c>
      <c r="C3169" s="17">
        <v>4</v>
      </c>
      <c r="D3169" s="18"/>
      <c r="E3169" s="17" t="s">
        <v>3467</v>
      </c>
      <c r="F3169" s="17"/>
      <c r="G3169" s="18"/>
      <c r="H3169" s="18"/>
    </row>
    <row r="3170" spans="1:8" ht="13.2">
      <c r="A3170" s="15" t="s">
        <v>3613</v>
      </c>
      <c r="B3170" s="34" t="s">
        <v>3525</v>
      </c>
      <c r="C3170" s="17">
        <v>4</v>
      </c>
      <c r="D3170" s="18"/>
      <c r="E3170" s="17" t="s">
        <v>3467</v>
      </c>
      <c r="F3170" s="17"/>
      <c r="G3170" s="18"/>
      <c r="H3170" s="18"/>
    </row>
    <row r="3171" spans="1:8" ht="13.2">
      <c r="A3171" s="19" t="str">
        <f>HYPERLINK("http://www.spoj.com/problems/CHMAZE/","SPOJ CHMAZE")</f>
        <v>SPOJ CHMAZE</v>
      </c>
      <c r="B3171" s="18" t="s">
        <v>3577</v>
      </c>
      <c r="C3171" s="17">
        <v>3.5</v>
      </c>
      <c r="D3171" s="18"/>
      <c r="E3171" s="17" t="s">
        <v>3467</v>
      </c>
      <c r="F3171" s="17" t="s">
        <v>229</v>
      </c>
      <c r="G3171" s="18"/>
      <c r="H3171" s="18"/>
    </row>
    <row r="3172" spans="1:8" ht="13.2">
      <c r="A3172" s="15" t="s">
        <v>3614</v>
      </c>
      <c r="B3172" s="30" t="s">
        <v>3615</v>
      </c>
      <c r="C3172" s="17">
        <v>3.5</v>
      </c>
      <c r="D3172" s="18"/>
      <c r="E3172" s="17" t="s">
        <v>3467</v>
      </c>
      <c r="F3172" s="17"/>
      <c r="G3172" s="18"/>
      <c r="H3172" s="18"/>
    </row>
    <row r="3173" spans="1:8" ht="13.2">
      <c r="A3173" s="15" t="s">
        <v>3616</v>
      </c>
      <c r="B3173" s="16" t="s">
        <v>3466</v>
      </c>
      <c r="C3173" s="24">
        <v>3</v>
      </c>
      <c r="D3173" s="18"/>
      <c r="E3173" s="17" t="s">
        <v>3467</v>
      </c>
      <c r="F3173" s="17" t="s">
        <v>229</v>
      </c>
      <c r="G3173" s="18"/>
      <c r="H3173" s="18"/>
    </row>
    <row r="3174" spans="1:8" ht="13.2">
      <c r="A3174" s="15" t="s">
        <v>3617</v>
      </c>
      <c r="B3174" s="16" t="s">
        <v>3618</v>
      </c>
      <c r="C3174" s="17">
        <v>3</v>
      </c>
      <c r="D3174" s="18"/>
      <c r="E3174" s="17" t="s">
        <v>3467</v>
      </c>
      <c r="F3174" s="17" t="s">
        <v>229</v>
      </c>
      <c r="G3174" s="18"/>
      <c r="H3174" s="18"/>
    </row>
    <row r="3175" spans="1:8" ht="13.2">
      <c r="A3175" s="19" t="str">
        <f>HYPERLINK("http://www.spoj.com/problems/BITMAP/","SPOJ BITMAP")</f>
        <v>SPOJ BITMAP</v>
      </c>
      <c r="B3175" s="29" t="s">
        <v>3619</v>
      </c>
      <c r="C3175" s="17">
        <v>3</v>
      </c>
      <c r="D3175" s="18"/>
      <c r="E3175" s="17" t="s">
        <v>3467</v>
      </c>
      <c r="F3175" s="17" t="s">
        <v>139</v>
      </c>
      <c r="G3175" s="18"/>
      <c r="H3175" s="18"/>
    </row>
    <row r="3176" spans="1:8" ht="13.2">
      <c r="A3176" s="15" t="s">
        <v>3620</v>
      </c>
      <c r="B3176" s="15" t="s">
        <v>3466</v>
      </c>
      <c r="C3176" s="17">
        <v>3</v>
      </c>
      <c r="D3176" s="26" t="str">
        <f>HYPERLINK("https://github.com/A7medgamal/SPOJ__-DCEPC706---Meeting-For-Party/blob/master/main.cpp","Sol")</f>
        <v>Sol</v>
      </c>
      <c r="E3176" s="17" t="s">
        <v>3467</v>
      </c>
      <c r="F3176" s="17" t="s">
        <v>201</v>
      </c>
      <c r="G3176" s="18"/>
      <c r="H3176" s="18"/>
    </row>
    <row r="3177" spans="1:8" ht="13.2">
      <c r="A3177" s="19" t="str">
        <f>HYPERLINK("http://codeforces.com/contest/199/problem/D","CF199-D2-D")</f>
        <v>CF199-D2-D</v>
      </c>
      <c r="B3177" s="18" t="s">
        <v>3466</v>
      </c>
      <c r="C3177" s="17">
        <v>3</v>
      </c>
      <c r="D3177" s="18"/>
      <c r="E3177" s="17" t="s">
        <v>3467</v>
      </c>
      <c r="F3177" s="17"/>
      <c r="G3177" s="18"/>
      <c r="H3177" s="18"/>
    </row>
    <row r="3178" spans="1:8" ht="13.2">
      <c r="A3178" s="19" t="str">
        <f>HYPERLINK("http://codeforces.com/contest/330/problem/D","CF330-D2-D")</f>
        <v>CF330-D2-D</v>
      </c>
      <c r="B3178" s="18" t="s">
        <v>3466</v>
      </c>
      <c r="C3178" s="17">
        <v>3</v>
      </c>
      <c r="D3178" s="18"/>
      <c r="E3178" s="17" t="s">
        <v>3467</v>
      </c>
      <c r="F3178" s="17"/>
      <c r="G3178" s="18"/>
      <c r="H3178" s="18"/>
    </row>
    <row r="3179" spans="1:8" ht="13.2">
      <c r="A3179" s="15" t="s">
        <v>3621</v>
      </c>
      <c r="B3179" s="30" t="s">
        <v>3466</v>
      </c>
      <c r="C3179" s="24">
        <v>3</v>
      </c>
      <c r="D3179" s="18"/>
      <c r="E3179" s="17" t="s">
        <v>3467</v>
      </c>
      <c r="F3179" s="17"/>
      <c r="G3179" s="18"/>
      <c r="H3179" s="18"/>
    </row>
    <row r="3180" spans="1:8" ht="13.2">
      <c r="A3180" s="19" t="str">
        <f>HYPERLINK("http://www.spoj.com/problems/POUR1/","SPOJ POUR1")</f>
        <v>SPOJ POUR1</v>
      </c>
      <c r="B3180" s="29" t="s">
        <v>3466</v>
      </c>
      <c r="C3180" s="17">
        <v>3</v>
      </c>
      <c r="D3180" s="18"/>
      <c r="E3180" s="17" t="s">
        <v>3467</v>
      </c>
      <c r="F3180" s="17"/>
      <c r="G3180" s="18"/>
      <c r="H3180" s="18"/>
    </row>
    <row r="3181" spans="1:8" ht="13.2">
      <c r="A3181" s="15" t="s">
        <v>3622</v>
      </c>
      <c r="B3181" s="28" t="s">
        <v>3466</v>
      </c>
      <c r="C3181" s="40">
        <v>3</v>
      </c>
      <c r="D3181" s="18"/>
      <c r="E3181" s="17" t="s">
        <v>3467</v>
      </c>
      <c r="F3181" s="17"/>
      <c r="G3181" s="18"/>
      <c r="H3181" s="18"/>
    </row>
    <row r="3182" spans="1:8" ht="13.2">
      <c r="A3182" s="15" t="s">
        <v>3623</v>
      </c>
      <c r="B3182" s="30" t="s">
        <v>3466</v>
      </c>
      <c r="C3182" s="24">
        <v>3</v>
      </c>
      <c r="D3182" s="18"/>
      <c r="E3182" s="17" t="s">
        <v>3467</v>
      </c>
      <c r="F3182" s="17"/>
      <c r="G3182" s="18"/>
      <c r="H3182" s="18"/>
    </row>
    <row r="3183" spans="1:8" ht="13.2">
      <c r="A3183" s="15" t="s">
        <v>3624</v>
      </c>
      <c r="B3183" s="30" t="s">
        <v>3615</v>
      </c>
      <c r="C3183" s="24">
        <v>3</v>
      </c>
      <c r="D3183" s="18"/>
      <c r="E3183" s="17" t="s">
        <v>3467</v>
      </c>
      <c r="F3183" s="17"/>
      <c r="G3183" s="18"/>
      <c r="H3183" s="18"/>
    </row>
    <row r="3184" spans="1:8" ht="13.2">
      <c r="A3184" s="15" t="s">
        <v>3625</v>
      </c>
      <c r="B3184" s="43" t="s">
        <v>3626</v>
      </c>
      <c r="C3184" s="24">
        <v>3</v>
      </c>
      <c r="D3184" s="18"/>
      <c r="E3184" s="17" t="s">
        <v>3467</v>
      </c>
      <c r="F3184" s="17"/>
      <c r="G3184" s="18"/>
      <c r="H3184" s="18"/>
    </row>
    <row r="3185" spans="1:8" ht="13.2">
      <c r="A3185" s="15" t="s">
        <v>3627</v>
      </c>
      <c r="B3185" s="28" t="s">
        <v>3628</v>
      </c>
      <c r="C3185" s="17">
        <v>3</v>
      </c>
      <c r="D3185" s="18"/>
      <c r="E3185" s="17" t="s">
        <v>3467</v>
      </c>
      <c r="F3185" s="17"/>
      <c r="G3185" s="18"/>
      <c r="H3185" s="18"/>
    </row>
    <row r="3186" spans="1:8" ht="13.2">
      <c r="A3186" s="15" t="s">
        <v>3629</v>
      </c>
      <c r="B3186" s="28" t="s">
        <v>3630</v>
      </c>
      <c r="C3186" s="24">
        <v>3</v>
      </c>
      <c r="D3186" s="18"/>
      <c r="E3186" s="17" t="s">
        <v>3467</v>
      </c>
      <c r="F3186" s="17"/>
      <c r="G3186" s="18"/>
      <c r="H3186" s="18"/>
    </row>
    <row r="3187" spans="1:8" ht="13.2">
      <c r="A3187" s="15" t="s">
        <v>3631</v>
      </c>
      <c r="B3187" s="30" t="s">
        <v>3466</v>
      </c>
      <c r="C3187" s="24">
        <v>2</v>
      </c>
      <c r="D3187" s="18"/>
      <c r="E3187" s="17" t="s">
        <v>3467</v>
      </c>
      <c r="F3187" s="17"/>
      <c r="G3187" s="18"/>
      <c r="H3187" s="18"/>
    </row>
    <row r="3188" spans="1:8" ht="13.2">
      <c r="A3188" s="19" t="str">
        <f>HYPERLINK("http://codeforces.com/contest/911/problem/F","CF911-D12-F")</f>
        <v>CF911-D12-F</v>
      </c>
      <c r="B3188" s="29" t="s">
        <v>3632</v>
      </c>
      <c r="C3188" s="17">
        <v>6.5</v>
      </c>
      <c r="D3188" s="18"/>
      <c r="E3188" s="17" t="s">
        <v>3633</v>
      </c>
      <c r="F3188" s="17" t="s">
        <v>154</v>
      </c>
      <c r="G3188" s="18"/>
      <c r="H3188" s="18"/>
    </row>
    <row r="3189" spans="1:8" ht="13.2">
      <c r="A3189" s="15" t="s">
        <v>3634</v>
      </c>
      <c r="B3189" s="28" t="s">
        <v>3635</v>
      </c>
      <c r="C3189" s="24">
        <v>5.75</v>
      </c>
      <c r="D3189" s="18"/>
      <c r="E3189" s="17" t="s">
        <v>3633</v>
      </c>
      <c r="F3189" s="17" t="s">
        <v>201</v>
      </c>
      <c r="G3189" s="18"/>
      <c r="H3189" s="18"/>
    </row>
    <row r="3190" spans="1:8" ht="13.2">
      <c r="A3190" s="19" t="str">
        <f>HYPERLINK("http://codeforces.com/contest/592/problem/D","CF592-D2-D")</f>
        <v>CF592-D2-D</v>
      </c>
      <c r="B3190" s="29" t="s">
        <v>3636</v>
      </c>
      <c r="C3190" s="17">
        <v>5.5</v>
      </c>
      <c r="D3190" s="26" t="str">
        <f>HYPERLINK("https://github.com/racsosabe/CompetitiveProgramming/blob/master/CodeForces/CF592-D2-D.cpp","Sol")</f>
        <v>Sol</v>
      </c>
      <c r="E3190" s="17" t="s">
        <v>3633</v>
      </c>
      <c r="F3190" s="17" t="s">
        <v>2843</v>
      </c>
      <c r="G3190" s="18"/>
      <c r="H3190" s="18"/>
    </row>
    <row r="3191" spans="1:8" ht="13.2">
      <c r="A3191" s="19" t="str">
        <f>HYPERLINK("http://codeforces.com/contest/734/problem/E","CF734-D2-E")</f>
        <v>CF734-D2-E</v>
      </c>
      <c r="B3191" s="29" t="s">
        <v>3637</v>
      </c>
      <c r="C3191" s="17">
        <v>5.5</v>
      </c>
      <c r="D3191" s="18"/>
      <c r="E3191" s="17" t="s">
        <v>3633</v>
      </c>
      <c r="F3191" s="17" t="s">
        <v>1053</v>
      </c>
      <c r="G3191" s="18"/>
      <c r="H3191" s="18"/>
    </row>
    <row r="3192" spans="1:8" ht="13.2">
      <c r="A3192" s="19" t="str">
        <f>HYPERLINK("https://codeforces.com/contest/1182/problem/D","CF1182-D2-D")</f>
        <v>CF1182-D2-D</v>
      </c>
      <c r="B3192" s="15" t="s">
        <v>3635</v>
      </c>
      <c r="C3192" s="17">
        <v>5.5</v>
      </c>
      <c r="D3192" s="18"/>
      <c r="E3192" s="17" t="s">
        <v>3633</v>
      </c>
      <c r="F3192" s="17" t="s">
        <v>139</v>
      </c>
      <c r="G3192" s="18"/>
      <c r="H3192" s="18"/>
    </row>
    <row r="3193" spans="1:8" ht="13.2">
      <c r="A3193" s="19" t="str">
        <f>HYPERLINK("http://codeforces.com/contest/14/problem/D","CF14-D2-D")</f>
        <v>CF14-D2-D</v>
      </c>
      <c r="B3193" s="29" t="s">
        <v>3636</v>
      </c>
      <c r="C3193" s="17">
        <v>5.5</v>
      </c>
      <c r="D3193" s="18"/>
      <c r="E3193" s="17" t="s">
        <v>3633</v>
      </c>
      <c r="F3193" s="17" t="s">
        <v>201</v>
      </c>
      <c r="G3193" s="18"/>
      <c r="H3193" s="18"/>
    </row>
    <row r="3194" spans="1:8" ht="13.2">
      <c r="A3194" s="19" t="str">
        <f>HYPERLINK("http://codeforces.com/contest/456/problem/E","CF456-D2-E")</f>
        <v>CF456-D2-E</v>
      </c>
      <c r="B3194" s="15" t="s">
        <v>3635</v>
      </c>
      <c r="C3194" s="17">
        <v>5.25</v>
      </c>
      <c r="D3194" s="18"/>
      <c r="E3194" s="17" t="s">
        <v>3633</v>
      </c>
      <c r="F3194" s="17"/>
      <c r="G3194" s="18"/>
      <c r="H3194" s="18"/>
    </row>
    <row r="3195" spans="1:8" ht="13.2">
      <c r="A3195" s="19" t="str">
        <f>HYPERLINK("https://agc001.contest.atcoder.jp/tasks/agc001_c","AtCoder001-AGC-C")</f>
        <v>AtCoder001-AGC-C</v>
      </c>
      <c r="B3195" s="15" t="s">
        <v>3638</v>
      </c>
      <c r="C3195" s="17">
        <v>5.25</v>
      </c>
      <c r="D3195" s="26" t="str">
        <f>HYPERLINK("https://github.com/Triplem5ds/Competitve-Programming/blob/master/atcoder/AtCoder001-AGC-C.cpp","Sol. See editorials")</f>
        <v>Sol. See editorials</v>
      </c>
      <c r="E3195" s="17" t="s">
        <v>3633</v>
      </c>
      <c r="F3195" s="17"/>
      <c r="G3195" s="18"/>
      <c r="H3195" s="18"/>
    </row>
    <row r="3196" spans="1:8" ht="13.2">
      <c r="A3196" s="15" t="s">
        <v>3639</v>
      </c>
      <c r="B3196" s="28" t="s">
        <v>3635</v>
      </c>
      <c r="C3196" s="24">
        <v>5</v>
      </c>
      <c r="D3196" s="18"/>
      <c r="E3196" s="17" t="s">
        <v>3633</v>
      </c>
      <c r="F3196" s="17"/>
      <c r="G3196" s="18"/>
      <c r="H3196" s="18"/>
    </row>
    <row r="3197" spans="1:8" ht="13.2">
      <c r="A3197" s="19" t="str">
        <f>HYPERLINK("https://uva.onlinejudge.org/index.php?option=onlinejudge&amp;page=show_problem&amp;problem=1400","UVA 10459")</f>
        <v>UVA 10459</v>
      </c>
      <c r="B3197" s="29" t="s">
        <v>3635</v>
      </c>
      <c r="C3197" s="17">
        <v>4.5</v>
      </c>
      <c r="D3197" s="26" t="str">
        <f>HYPERLINK("https://github.com/VAMPIER000001/CompetitiveProgramming/blob/master/UVA/V-104/UVA%2010459.Cpp","Sol")</f>
        <v>Sol</v>
      </c>
      <c r="E3197" s="17" t="s">
        <v>3633</v>
      </c>
      <c r="F3197" s="17" t="s">
        <v>139</v>
      </c>
      <c r="G3197" s="18"/>
      <c r="H3197" s="18"/>
    </row>
    <row r="3198" spans="1:8" ht="13.2">
      <c r="A3198" s="15" t="s">
        <v>3640</v>
      </c>
      <c r="B3198" s="28" t="s">
        <v>3635</v>
      </c>
      <c r="C3198" s="24">
        <v>4</v>
      </c>
      <c r="D3198" s="18"/>
      <c r="E3198" s="17" t="s">
        <v>3633</v>
      </c>
      <c r="F3198" s="17"/>
      <c r="G3198" s="18"/>
      <c r="H3198" s="18"/>
    </row>
    <row r="3199" spans="1:8" ht="13.2">
      <c r="A3199" s="19" t="str">
        <f>HYPERLINK("https://uva.onlinejudge.org/index.php?option=onlinejudge&amp;page=show_problem&amp;problem=3801","UVA 12379")</f>
        <v>UVA 12379</v>
      </c>
      <c r="B3199" s="29" t="s">
        <v>3641</v>
      </c>
      <c r="C3199" s="17">
        <v>4</v>
      </c>
      <c r="D3199" s="26" t="str">
        <f>HYPERLINK("https://github.com/abdullaAshraf/Problem-Solving/blob/master/UVA/12379.cpp","Sol")</f>
        <v>Sol</v>
      </c>
      <c r="E3199" s="17" t="s">
        <v>3633</v>
      </c>
      <c r="F3199" s="17"/>
      <c r="G3199" s="18"/>
      <c r="H3199" s="18"/>
    </row>
    <row r="3200" spans="1:8" ht="13.2">
      <c r="A3200" s="15" t="s">
        <v>3642</v>
      </c>
      <c r="B3200" s="28" t="s">
        <v>3643</v>
      </c>
      <c r="C3200" s="24">
        <v>3</v>
      </c>
      <c r="D3200" s="18"/>
      <c r="E3200" s="17" t="s">
        <v>3633</v>
      </c>
      <c r="F3200" s="17" t="s">
        <v>229</v>
      </c>
      <c r="G3200" s="18"/>
      <c r="H3200" s="18"/>
    </row>
    <row r="3201" spans="1:8" ht="13.2">
      <c r="A3201" s="15" t="s">
        <v>3644</v>
      </c>
      <c r="B3201" s="28" t="s">
        <v>3645</v>
      </c>
      <c r="C3201" s="24">
        <v>3</v>
      </c>
      <c r="D3201" s="18"/>
      <c r="E3201" s="24" t="s">
        <v>3633</v>
      </c>
      <c r="F3201" s="17" t="s">
        <v>201</v>
      </c>
      <c r="G3201" s="18"/>
      <c r="H3201" s="18"/>
    </row>
    <row r="3202" spans="1:8" ht="13.2">
      <c r="A3202" s="15" t="s">
        <v>3646</v>
      </c>
      <c r="B3202" s="28" t="s">
        <v>3635</v>
      </c>
      <c r="C3202" s="40">
        <v>3</v>
      </c>
      <c r="D3202" s="18"/>
      <c r="E3202" s="17" t="s">
        <v>3633</v>
      </c>
      <c r="F3202" s="17"/>
      <c r="G3202" s="18"/>
      <c r="H3202" s="18"/>
    </row>
    <row r="3203" spans="1:8" ht="13.2">
      <c r="A3203" s="19" t="str">
        <f>HYPERLINK("https://uva.onlinejudge.org/index.php?option=com_onlinejudge&amp;Itemid=8&amp;page=show_problem&amp;problem=1249","UVA 10308")</f>
        <v>UVA 10308</v>
      </c>
      <c r="B3203" s="29" t="s">
        <v>3635</v>
      </c>
      <c r="C3203" s="17">
        <v>3</v>
      </c>
      <c r="D3203" s="26" t="str">
        <f>HYPERLINK("https://github.com/ilyesG/Competitive-Programming/blob/master/UVA/UVA%2010308.cpp","Sol")</f>
        <v>Sol</v>
      </c>
      <c r="E3203" s="17" t="s">
        <v>3633</v>
      </c>
      <c r="F3203" s="17"/>
      <c r="G3203" s="18"/>
      <c r="H3203" s="18"/>
    </row>
    <row r="3204" spans="1:8" ht="13.2">
      <c r="A3204" s="19" t="str">
        <f>HYPERLINK("http://www.spoj.com/problems/PT07Z/","SPOJ PT07Z")</f>
        <v>SPOJ PT07Z</v>
      </c>
      <c r="B3204" s="29" t="s">
        <v>3647</v>
      </c>
      <c r="C3204" s="17">
        <v>3</v>
      </c>
      <c r="D3204" s="26" t="str">
        <f>HYPERLINK("https://github.com/abdullaAshraf/Problem-Solving/blob/master/SPOJ/PT07Z.cpp","Sol")</f>
        <v>Sol</v>
      </c>
      <c r="E3204" s="17" t="s">
        <v>3633</v>
      </c>
      <c r="F3204" s="17"/>
      <c r="G3204" s="18"/>
      <c r="H3204" s="18"/>
    </row>
    <row r="3205" spans="1:8" ht="13.2">
      <c r="A3205" s="15" t="s">
        <v>3648</v>
      </c>
      <c r="B3205" s="16" t="s">
        <v>3649</v>
      </c>
      <c r="C3205" s="17">
        <v>8.5</v>
      </c>
      <c r="D3205" s="18"/>
      <c r="E3205" s="17" t="s">
        <v>3650</v>
      </c>
      <c r="F3205" s="17"/>
      <c r="G3205" s="18"/>
      <c r="H3205" s="18"/>
    </row>
    <row r="3206" spans="1:8" ht="13.2">
      <c r="A3206" s="15" t="s">
        <v>3651</v>
      </c>
      <c r="B3206" s="16" t="s">
        <v>3649</v>
      </c>
      <c r="C3206" s="17">
        <v>8.5</v>
      </c>
      <c r="D3206" s="18"/>
      <c r="E3206" s="17" t="s">
        <v>3650</v>
      </c>
      <c r="F3206" s="17"/>
      <c r="G3206" s="18"/>
      <c r="H3206" s="18"/>
    </row>
    <row r="3207" spans="1:8" ht="13.2">
      <c r="A3207" s="15" t="s">
        <v>3652</v>
      </c>
      <c r="B3207" s="16" t="s">
        <v>3649</v>
      </c>
      <c r="C3207" s="17">
        <v>8.5</v>
      </c>
      <c r="D3207" s="18"/>
      <c r="E3207" s="17" t="s">
        <v>3650</v>
      </c>
      <c r="F3207" s="17"/>
      <c r="G3207" s="18"/>
      <c r="H3207" s="18"/>
    </row>
    <row r="3208" spans="1:8" ht="13.2">
      <c r="A3208" s="15" t="s">
        <v>3653</v>
      </c>
      <c r="B3208" s="16" t="s">
        <v>3654</v>
      </c>
      <c r="C3208" s="17">
        <v>8.5</v>
      </c>
      <c r="D3208" s="18"/>
      <c r="E3208" s="17" t="s">
        <v>3650</v>
      </c>
      <c r="F3208" s="17"/>
      <c r="G3208" s="18"/>
      <c r="H3208" s="18"/>
    </row>
    <row r="3209" spans="1:8" ht="13.2">
      <c r="A3209" s="15" t="s">
        <v>3655</v>
      </c>
      <c r="B3209" s="15" t="s">
        <v>3649</v>
      </c>
      <c r="C3209" s="17">
        <v>8</v>
      </c>
      <c r="D3209" s="18" t="s">
        <v>3656</v>
      </c>
      <c r="E3209" s="17" t="s">
        <v>3650</v>
      </c>
      <c r="F3209" s="17" t="s">
        <v>173</v>
      </c>
      <c r="G3209" s="18"/>
      <c r="H3209" s="18"/>
    </row>
    <row r="3210" spans="1:8" ht="13.2">
      <c r="A3210" s="19" t="str">
        <f>HYPERLINK("http://codeforces.com/contest/430/problem/E","CF430-D2-E")</f>
        <v>CF430-D2-E</v>
      </c>
      <c r="B3210" s="29" t="s">
        <v>3657</v>
      </c>
      <c r="C3210" s="17">
        <v>8</v>
      </c>
      <c r="D3210" s="18"/>
      <c r="E3210" s="17" t="s">
        <v>3650</v>
      </c>
      <c r="F3210" s="17"/>
      <c r="G3210" s="18"/>
      <c r="H3210" s="18"/>
    </row>
    <row r="3211" spans="1:8" ht="13.2">
      <c r="A3211" s="19" t="str">
        <f>HYPERLINK("http://codeforces.com/contest/671/problem/D","CF671-D1-D")</f>
        <v>CF671-D1-D</v>
      </c>
      <c r="B3211" s="15" t="s">
        <v>3658</v>
      </c>
      <c r="C3211" s="24">
        <v>8</v>
      </c>
      <c r="D3211" s="18"/>
      <c r="E3211" s="17" t="s">
        <v>3650</v>
      </c>
      <c r="F3211" s="17"/>
      <c r="G3211" s="18"/>
      <c r="H3211" s="18"/>
    </row>
    <row r="3212" spans="1:8" ht="13.2">
      <c r="A3212" s="19" t="str">
        <f>HYPERLINK("https://codeforces.com/contest/858/problem/F","CF858-D12-F")</f>
        <v>CF858-D12-F</v>
      </c>
      <c r="B3212" s="15" t="s">
        <v>3649</v>
      </c>
      <c r="C3212" s="17">
        <v>7.5</v>
      </c>
      <c r="D3212" s="26" t="str">
        <f>HYPERLINK("https://codeforces.com/blog/entry/68138","Reading later")</f>
        <v>Reading later</v>
      </c>
      <c r="E3212" s="17" t="s">
        <v>3650</v>
      </c>
      <c r="F3212" s="17" t="s">
        <v>139</v>
      </c>
      <c r="G3212" s="18"/>
      <c r="H3212" s="18"/>
    </row>
    <row r="3213" spans="1:8" ht="13.2">
      <c r="A3213" s="15" t="s">
        <v>3659</v>
      </c>
      <c r="B3213" s="28" t="s">
        <v>3660</v>
      </c>
      <c r="C3213" s="24">
        <v>7.5</v>
      </c>
      <c r="D3213" s="18"/>
      <c r="E3213" s="24" t="s">
        <v>3650</v>
      </c>
      <c r="F3213" s="17" t="s">
        <v>201</v>
      </c>
      <c r="G3213" s="18"/>
      <c r="H3213" s="18"/>
    </row>
    <row r="3214" spans="1:8" ht="13.2">
      <c r="A3214" s="19" t="str">
        <f>HYPERLINK("http://codeforces.com/contest/406/problem/C","CF406-D1-C")</f>
        <v>CF406-D1-C</v>
      </c>
      <c r="B3214" s="29" t="s">
        <v>3649</v>
      </c>
      <c r="C3214" s="17">
        <v>7.5</v>
      </c>
      <c r="D3214" s="18"/>
      <c r="E3214" s="17" t="s">
        <v>3650</v>
      </c>
      <c r="F3214" s="17"/>
      <c r="G3214" s="18"/>
      <c r="H3214" s="18"/>
    </row>
    <row r="3215" spans="1:8" ht="13.2">
      <c r="A3215" s="19" t="str">
        <f>HYPERLINK("http://codeforces.com/contest/73/problem/D","CF73-D12-D")</f>
        <v>CF73-D12-D</v>
      </c>
      <c r="B3215" s="28" t="s">
        <v>3661</v>
      </c>
      <c r="C3215" s="24">
        <v>7.5</v>
      </c>
      <c r="D3215" s="18"/>
      <c r="E3215" s="17" t="s">
        <v>3650</v>
      </c>
      <c r="F3215" s="17"/>
      <c r="G3215" s="18"/>
      <c r="H3215" s="18"/>
    </row>
    <row r="3216" spans="1:8" ht="13.2">
      <c r="A3216" s="19" t="str">
        <f>HYPERLINK("https://www.codechef.com/problems/TAPAIR","CODECHEF TAPAIR")</f>
        <v>CODECHEF TAPAIR</v>
      </c>
      <c r="B3216" s="18" t="s">
        <v>3662</v>
      </c>
      <c r="C3216" s="17">
        <v>7.5</v>
      </c>
      <c r="D3216" s="18"/>
      <c r="E3216" s="17" t="s">
        <v>3650</v>
      </c>
      <c r="F3216" s="17"/>
      <c r="G3216" s="18"/>
      <c r="H3216" s="18"/>
    </row>
    <row r="3217" spans="1:8" ht="13.2">
      <c r="A3217" s="19" t="str">
        <f>HYPERLINK("http://codeforces.com/contest/982/problem/F","CF982-D2-F")</f>
        <v>CF982-D2-F</v>
      </c>
      <c r="B3217" s="20" t="s">
        <v>3663</v>
      </c>
      <c r="C3217" s="21">
        <v>7.25</v>
      </c>
      <c r="D3217" s="26" t="str">
        <f>HYPERLINK("https://github.com/timpostuvan/CompetitiveProgramming/blob/master/Codeforces/CF982-D2-F.cpp","Sol")</f>
        <v>Sol</v>
      </c>
      <c r="E3217" s="17" t="s">
        <v>3650</v>
      </c>
      <c r="F3217" s="17" t="s">
        <v>154</v>
      </c>
      <c r="G3217" s="18"/>
      <c r="H3217" s="18"/>
    </row>
    <row r="3218" spans="1:8" ht="13.2">
      <c r="A3218" s="19" t="str">
        <f>HYPERLINK("http://agc024.contest.atcoder.jp/tasks/agc024_d","AtCoder024-AGC-D")</f>
        <v>AtCoder024-AGC-D</v>
      </c>
      <c r="B3218" s="15" t="s">
        <v>3649</v>
      </c>
      <c r="C3218" s="17">
        <v>7.25</v>
      </c>
      <c r="D3218" s="18"/>
      <c r="E3218" s="17" t="s">
        <v>3650</v>
      </c>
      <c r="F3218" s="17" t="s">
        <v>139</v>
      </c>
      <c r="G3218" s="18"/>
      <c r="H3218" s="18"/>
    </row>
    <row r="3219" spans="1:8" ht="13.2">
      <c r="A3219" s="19" t="str">
        <f>HYPERLINK("http://agc018.contest.atcoder.jp/tasks/agc018_d","AtCoder018-AGC-D")</f>
        <v>AtCoder018-AGC-D</v>
      </c>
      <c r="B3219" s="15" t="s">
        <v>3664</v>
      </c>
      <c r="C3219" s="17">
        <v>7.25</v>
      </c>
      <c r="D3219" s="18"/>
      <c r="E3219" s="17" t="s">
        <v>3650</v>
      </c>
      <c r="F3219" s="17" t="s">
        <v>139</v>
      </c>
      <c r="G3219" s="18"/>
      <c r="H3219" s="18"/>
    </row>
    <row r="3220" spans="1:8" ht="13.2">
      <c r="A3220" s="15" t="s">
        <v>3665</v>
      </c>
      <c r="B3220" s="28" t="s">
        <v>3649</v>
      </c>
      <c r="C3220" s="24">
        <v>7.25</v>
      </c>
      <c r="D3220" s="18"/>
      <c r="E3220" s="17" t="s">
        <v>3650</v>
      </c>
      <c r="F3220" s="17"/>
      <c r="G3220" s="18"/>
      <c r="H3220" s="18"/>
    </row>
    <row r="3221" spans="1:8" ht="13.2">
      <c r="A3221" s="19" t="str">
        <f>HYPERLINK("http://codeforces.com/contest/1103/problem/C","CF1103-D2-C")</f>
        <v>CF1103-D2-C</v>
      </c>
      <c r="B3221" s="15" t="s">
        <v>3649</v>
      </c>
      <c r="C3221" s="17">
        <v>7</v>
      </c>
      <c r="D3221" s="18"/>
      <c r="E3221" s="17" t="s">
        <v>3650</v>
      </c>
      <c r="F3221" s="17" t="s">
        <v>139</v>
      </c>
      <c r="G3221" s="18"/>
      <c r="H3221" s="18"/>
    </row>
    <row r="3222" spans="1:8" ht="13.2">
      <c r="A3222" s="19" t="str">
        <f>HYPERLINK("http://codeforces.com/contest/19/problem/E","CF19-D12-E")</f>
        <v>CF19-D12-E</v>
      </c>
      <c r="B3222" s="15" t="s">
        <v>3666</v>
      </c>
      <c r="C3222" s="24">
        <v>7</v>
      </c>
      <c r="D3222" s="26" t="str">
        <f>HYPERLINK("https://codeforces.com/blog/entry/68138","Reading after trial")</f>
        <v>Reading after trial</v>
      </c>
      <c r="E3222" s="17" t="s">
        <v>3650</v>
      </c>
      <c r="F3222" s="17" t="s">
        <v>139</v>
      </c>
      <c r="G3222" s="18"/>
      <c r="H3222" s="18"/>
    </row>
    <row r="3223" spans="1:8" ht="13.2">
      <c r="A3223" s="19" t="str">
        <f>HYPERLINK("https://agc009.contest.atcoder.jp/tasks/agc009_d","AtCoder009-AGC-D")</f>
        <v>AtCoder009-AGC-D</v>
      </c>
      <c r="B3223" s="15" t="s">
        <v>3667</v>
      </c>
      <c r="C3223" s="17">
        <v>7</v>
      </c>
      <c r="D3223" s="26" t="str">
        <f>HYPERLINK("https://github.com/MetalBall887/Competitive-Programming/blob/master/AtCoder/AtCoder009-AGC-D.cpp","Sol")</f>
        <v>Sol</v>
      </c>
      <c r="E3223" s="17" t="s">
        <v>3650</v>
      </c>
      <c r="F3223" s="17" t="s">
        <v>139</v>
      </c>
      <c r="G3223" s="18"/>
      <c r="H3223" s="18"/>
    </row>
    <row r="3224" spans="1:8" ht="13.2">
      <c r="A3224" s="15" t="s">
        <v>3668</v>
      </c>
      <c r="B3224" s="15" t="s">
        <v>3649</v>
      </c>
      <c r="C3224" s="17">
        <v>7</v>
      </c>
      <c r="D3224" s="18"/>
      <c r="E3224" s="17" t="s">
        <v>3650</v>
      </c>
      <c r="F3224" s="17"/>
      <c r="G3224" s="18"/>
      <c r="H3224" s="18"/>
    </row>
    <row r="3225" spans="1:8" ht="13.2">
      <c r="A3225" s="19" t="str">
        <f>HYPERLINK("https://www.codechef.com/problems/EXACTWAL", "CODECHEF EXACTWAL")</f>
        <v>CODECHEF EXACTWAL</v>
      </c>
      <c r="B3225" s="20" t="s">
        <v>3649</v>
      </c>
      <c r="C3225" s="21">
        <v>7</v>
      </c>
      <c r="D3225" s="26" t="str">
        <f>HYPERLINK("https://github.com/tmwilliamlin168/CompetitiveProgramming/blob/master/CodeChef/EXACTWAL.cpp", "Sol")</f>
        <v>Sol</v>
      </c>
      <c r="E3225" s="17" t="s">
        <v>3650</v>
      </c>
      <c r="F3225" s="17"/>
      <c r="G3225" s="18"/>
      <c r="H3225" s="18"/>
    </row>
    <row r="3226" spans="1:8" ht="13.2">
      <c r="A3226" s="15" t="s">
        <v>3669</v>
      </c>
      <c r="B3226" s="28" t="s">
        <v>3670</v>
      </c>
      <c r="C3226" s="24">
        <v>7</v>
      </c>
      <c r="D3226" s="18"/>
      <c r="E3226" s="17" t="s">
        <v>3650</v>
      </c>
      <c r="F3226" s="17"/>
      <c r="G3226" s="18"/>
      <c r="H3226" s="18"/>
    </row>
    <row r="3227" spans="1:8" ht="13.2">
      <c r="A3227" s="19" t="str">
        <f>HYPERLINK("http://codeforces.com/contest/605/problem/D","CF605-D1-D")</f>
        <v>CF605-D1-D</v>
      </c>
      <c r="B3227" s="29" t="s">
        <v>3671</v>
      </c>
      <c r="C3227" s="17">
        <v>7</v>
      </c>
      <c r="D3227" s="18"/>
      <c r="E3227" s="17" t="s">
        <v>3650</v>
      </c>
      <c r="F3227" s="17"/>
      <c r="G3227" s="18"/>
      <c r="H3227" s="18"/>
    </row>
    <row r="3228" spans="1:8" ht="13.2">
      <c r="A3228" s="15" t="s">
        <v>3672</v>
      </c>
      <c r="B3228" s="30" t="s">
        <v>3673</v>
      </c>
      <c r="C3228" s="17">
        <v>7</v>
      </c>
      <c r="D3228" s="18"/>
      <c r="E3228" s="24" t="s">
        <v>3650</v>
      </c>
      <c r="F3228" s="17"/>
      <c r="G3228" s="18"/>
      <c r="H3228" s="18"/>
    </row>
    <row r="3229" spans="1:8" ht="13.2">
      <c r="A3229" s="19" t="str">
        <f>HYPERLINK("http://codeforces.com/contest/85/problem/C","CF85-D12-C")</f>
        <v>CF85-D12-C</v>
      </c>
      <c r="B3229" s="29" t="s">
        <v>3674</v>
      </c>
      <c r="C3229" s="17">
        <v>7</v>
      </c>
      <c r="D3229" s="18"/>
      <c r="E3229" s="17" t="s">
        <v>3650</v>
      </c>
      <c r="F3229" s="17"/>
      <c r="G3229" s="18"/>
      <c r="H3229" s="18"/>
    </row>
    <row r="3230" spans="1:8" ht="13.2">
      <c r="A3230" s="19" t="str">
        <f>HYPERLINK("http://codeforces.com/contest/348/problem/B","CF348-D1-B")</f>
        <v>CF348-D1-B</v>
      </c>
      <c r="B3230" s="15" t="s">
        <v>3675</v>
      </c>
      <c r="C3230" s="21">
        <v>7</v>
      </c>
      <c r="D3230" s="18"/>
      <c r="E3230" s="17" t="s">
        <v>3650</v>
      </c>
      <c r="F3230" s="17"/>
      <c r="G3230" s="18"/>
      <c r="H3230" s="18"/>
    </row>
    <row r="3231" spans="1:8" ht="13.2">
      <c r="A3231" s="15" t="s">
        <v>3676</v>
      </c>
      <c r="B3231" s="30" t="s">
        <v>3677</v>
      </c>
      <c r="C3231" s="24">
        <v>7</v>
      </c>
      <c r="D3231" s="18"/>
      <c r="E3231" s="17" t="s">
        <v>3650</v>
      </c>
      <c r="F3231" s="17"/>
      <c r="G3231" s="18"/>
      <c r="H3231" s="18"/>
    </row>
    <row r="3232" spans="1:8" ht="13.2">
      <c r="A3232" s="19" t="str">
        <f>HYPERLINK("http://codeforces.com/contest/506/problem/D","CF506-D1-D")</f>
        <v>CF506-D1-D</v>
      </c>
      <c r="B3232" s="29" t="s">
        <v>3678</v>
      </c>
      <c r="C3232" s="17">
        <v>6.75</v>
      </c>
      <c r="D3232" s="26" t="str">
        <f>HYPERLINK("https://github.com/tfg50/Competitive-Programming/blob/master/Codeforces/CF506-D1-D.cpp","Sol")</f>
        <v>Sol</v>
      </c>
      <c r="E3232" s="17" t="s">
        <v>3650</v>
      </c>
      <c r="F3232" s="17" t="s">
        <v>139</v>
      </c>
      <c r="G3232" s="18"/>
      <c r="H3232" s="18"/>
    </row>
    <row r="3233" spans="1:8" ht="13.2">
      <c r="A3233" s="19" t="str">
        <f>HYPERLINK("https://atcoder.jp/contests/abc155/tasks/abc155_f","AtCoder155-ABC-F")</f>
        <v>AtCoder155-ABC-F</v>
      </c>
      <c r="B3233" s="20" t="s">
        <v>3679</v>
      </c>
      <c r="C3233" s="21">
        <v>6.75</v>
      </c>
      <c r="D3233" s="18"/>
      <c r="E3233" s="17" t="s">
        <v>3650</v>
      </c>
      <c r="F3233" s="17" t="s">
        <v>139</v>
      </c>
      <c r="G3233" s="18"/>
      <c r="H3233" s="18"/>
    </row>
    <row r="3234" spans="1:8" ht="13.2">
      <c r="A3234" s="15" t="s">
        <v>3680</v>
      </c>
      <c r="B3234" s="16" t="s">
        <v>3681</v>
      </c>
      <c r="C3234" s="17">
        <v>6.75</v>
      </c>
      <c r="D3234" s="18"/>
      <c r="E3234" s="17" t="s">
        <v>3650</v>
      </c>
      <c r="F3234" s="17" t="s">
        <v>139</v>
      </c>
      <c r="G3234" s="18"/>
      <c r="H3234" s="18"/>
    </row>
    <row r="3235" spans="1:8" ht="13.2">
      <c r="A3235" s="19" t="str">
        <f>HYPERLINK("http://codeforces.com/gym/101806/problem/X","CF101806-gym-X")</f>
        <v>CF101806-gym-X</v>
      </c>
      <c r="B3235" s="15" t="s">
        <v>3682</v>
      </c>
      <c r="C3235" s="17">
        <v>6.75</v>
      </c>
      <c r="D3235" s="26" t="str">
        <f>HYPERLINK("https://github.com/stefdasca/CompetitiveProgramming/blob/master/Codeforces/Gym/CF101806-GYM-X.cpp","Sol")</f>
        <v>Sol</v>
      </c>
      <c r="E3235" s="17" t="s">
        <v>3650</v>
      </c>
      <c r="F3235" s="17" t="s">
        <v>139</v>
      </c>
      <c r="G3235" s="18"/>
      <c r="H3235" s="18"/>
    </row>
    <row r="3236" spans="1:8" ht="13.2">
      <c r="A3236" s="19" t="str">
        <f>HYPERLINK("https://arc079.contest.atcoder.jp/tasks/arc079_d", "AtCoder079-ARC-F")</f>
        <v>AtCoder079-ARC-F</v>
      </c>
      <c r="B3236" s="15" t="s">
        <v>3649</v>
      </c>
      <c r="C3236" s="17">
        <v>6.75</v>
      </c>
      <c r="D3236" s="26" t="str">
        <f>HYPERLINK("https://github.com/tmwilliamlin168/CompetitiveProgramming/blob/master/AtCoder/079-ARC-F.java", "Sol")</f>
        <v>Sol</v>
      </c>
      <c r="E3236" s="17" t="s">
        <v>3650</v>
      </c>
      <c r="F3236" s="17" t="s">
        <v>201</v>
      </c>
      <c r="G3236" s="18"/>
      <c r="H3236" s="18"/>
    </row>
    <row r="3237" spans="1:8" ht="13.2">
      <c r="A3237" s="15" t="s">
        <v>3683</v>
      </c>
      <c r="B3237" s="28" t="s">
        <v>3684</v>
      </c>
      <c r="C3237" s="24">
        <v>6.75</v>
      </c>
      <c r="D3237" s="18"/>
      <c r="E3237" s="17" t="s">
        <v>3650</v>
      </c>
      <c r="F3237" s="17"/>
      <c r="G3237" s="18"/>
      <c r="H3237" s="18"/>
    </row>
    <row r="3238" spans="1:8" ht="13.2">
      <c r="A3238" s="19" t="str">
        <f>HYPERLINK("http://codeforces.com/contest/190/problem/E", "CF190-D2-E")</f>
        <v>CF190-D2-E</v>
      </c>
      <c r="B3238" s="20" t="s">
        <v>3657</v>
      </c>
      <c r="C3238" s="21">
        <v>6.75</v>
      </c>
      <c r="D3238" s="18"/>
      <c r="E3238" s="17" t="s">
        <v>3650</v>
      </c>
      <c r="F3238" s="17"/>
      <c r="G3238" s="18"/>
      <c r="H3238" s="18"/>
    </row>
    <row r="3239" spans="1:8" ht="13.2">
      <c r="A3239" s="15" t="s">
        <v>3685</v>
      </c>
      <c r="B3239" s="30" t="s">
        <v>3686</v>
      </c>
      <c r="C3239" s="24">
        <v>6.75</v>
      </c>
      <c r="D3239" s="18"/>
      <c r="E3239" s="24" t="s">
        <v>3650</v>
      </c>
      <c r="F3239" s="17"/>
      <c r="G3239" s="18"/>
      <c r="H3239" s="18"/>
    </row>
    <row r="3240" spans="1:8" ht="13.2">
      <c r="A3240" s="19" t="str">
        <f>HYPERLINK("https://uva.onlinejudge.org/index.php?option=com_onlinejudge&amp;Itemid=8&amp;page=show_problem&amp;problem=470","UVA 529")</f>
        <v>UVA 529</v>
      </c>
      <c r="B3240" s="29" t="s">
        <v>3687</v>
      </c>
      <c r="C3240" s="17">
        <v>6.5</v>
      </c>
      <c r="D3240" s="26" t="str">
        <f>HYPERLINK("https://github.com/mostafa-saad/MyCompetitiveProgramming/blob/master/UVA/UVA_529.txt","Sol")</f>
        <v>Sol</v>
      </c>
      <c r="E3240" s="17" t="s">
        <v>3650</v>
      </c>
      <c r="F3240" s="17" t="s">
        <v>154</v>
      </c>
      <c r="G3240" s="18"/>
      <c r="H3240" s="18"/>
    </row>
    <row r="3241" spans="1:8" ht="13.2">
      <c r="A3241" s="19" t="str">
        <f>HYPERLINK("http://codeforces.com/contest/659/problem/F","CF659-D2-F")</f>
        <v>CF659-D2-F</v>
      </c>
      <c r="B3241" s="29" t="s">
        <v>3688</v>
      </c>
      <c r="C3241" s="17">
        <v>6.5</v>
      </c>
      <c r="D3241" s="18"/>
      <c r="E3241" s="17" t="s">
        <v>3650</v>
      </c>
      <c r="F3241" s="17" t="s">
        <v>139</v>
      </c>
      <c r="G3241" s="18"/>
      <c r="H3241" s="18"/>
    </row>
    <row r="3242" spans="1:8" ht="13.2">
      <c r="A3242" s="19" t="str">
        <f>HYPERLINK("https://codeforces.com/contest/1159/problem/E","CF1159-D2-E")</f>
        <v>CF1159-D2-E</v>
      </c>
      <c r="B3242" s="20" t="s">
        <v>3689</v>
      </c>
      <c r="C3242" s="17">
        <v>6.5</v>
      </c>
      <c r="D3242" s="18"/>
      <c r="E3242" s="17" t="s">
        <v>3650</v>
      </c>
      <c r="F3242" s="17" t="s">
        <v>139</v>
      </c>
      <c r="G3242" s="18"/>
      <c r="H3242" s="18"/>
    </row>
    <row r="3243" spans="1:8" ht="13.2">
      <c r="A3243" s="19" t="str">
        <f>HYPERLINK("https://codeforces.com/contest/1174/problem/F", "CF1174-D2-F")</f>
        <v>CF1174-D2-F</v>
      </c>
      <c r="B3243" s="15" t="s">
        <v>3690</v>
      </c>
      <c r="C3243" s="53">
        <v>6.5</v>
      </c>
      <c r="D3243" s="18"/>
      <c r="E3243" s="17" t="s">
        <v>3650</v>
      </c>
      <c r="F3243" s="17" t="s">
        <v>139</v>
      </c>
      <c r="G3243" s="18"/>
      <c r="H3243" s="18"/>
    </row>
    <row r="3244" spans="1:8" ht="13.2">
      <c r="A3244" s="15" t="s">
        <v>3691</v>
      </c>
      <c r="B3244" s="41" t="s">
        <v>3692</v>
      </c>
      <c r="C3244" s="17">
        <v>6.5</v>
      </c>
      <c r="D3244" s="26" t="str">
        <f>HYPERLINK("https://github.com/Huvok/CompetitiveProgramming/blob/master/UVA/1343.cpp","Sol")</f>
        <v>Sol</v>
      </c>
      <c r="E3244" s="17" t="s">
        <v>3650</v>
      </c>
      <c r="F3244" s="17" t="s">
        <v>139</v>
      </c>
      <c r="G3244" s="18"/>
      <c r="H3244" s="18"/>
    </row>
    <row r="3245" spans="1:8" ht="13.2">
      <c r="A3245" s="15" t="s">
        <v>3693</v>
      </c>
      <c r="B3245" s="28" t="s">
        <v>3649</v>
      </c>
      <c r="C3245" s="24">
        <v>6.5</v>
      </c>
      <c r="D3245" s="18"/>
      <c r="E3245" s="17" t="s">
        <v>3650</v>
      </c>
      <c r="F3245" s="17"/>
      <c r="G3245" s="18"/>
      <c r="H3245" s="18"/>
    </row>
    <row r="3246" spans="1:8" ht="13.2">
      <c r="A3246" s="15" t="s">
        <v>3694</v>
      </c>
      <c r="B3246" s="30" t="s">
        <v>3649</v>
      </c>
      <c r="C3246" s="24">
        <v>6.5</v>
      </c>
      <c r="D3246" s="18"/>
      <c r="E3246" s="17" t="s">
        <v>3650</v>
      </c>
      <c r="F3246" s="17"/>
      <c r="G3246" s="18"/>
      <c r="H3246" s="18"/>
    </row>
    <row r="3247" spans="1:8" ht="13.2">
      <c r="A3247" s="15" t="s">
        <v>3695</v>
      </c>
      <c r="B3247" s="23" t="s">
        <v>3649</v>
      </c>
      <c r="C3247" s="17">
        <v>6.5</v>
      </c>
      <c r="D3247" s="18"/>
      <c r="E3247" s="17" t="s">
        <v>3650</v>
      </c>
      <c r="F3247" s="17"/>
      <c r="G3247" s="18"/>
      <c r="H3247" s="18"/>
    </row>
    <row r="3248" spans="1:8" ht="13.2">
      <c r="A3248" s="19" t="str">
        <f>HYPERLINK("http://codeforces.com/contest/135/problem/D","CF135-D1-D")</f>
        <v>CF135-D1-D</v>
      </c>
      <c r="B3248" s="15" t="s">
        <v>3696</v>
      </c>
      <c r="C3248" s="24">
        <v>6.5</v>
      </c>
      <c r="D3248" s="18"/>
      <c r="E3248" s="17" t="s">
        <v>3650</v>
      </c>
      <c r="F3248" s="17"/>
      <c r="G3248" s="18"/>
      <c r="H3248" s="18"/>
    </row>
    <row r="3249" spans="1:8" ht="13.2">
      <c r="A3249" s="19" t="str">
        <f>HYPERLINK("http://codeforces.com/contest/441/problem/D","CF441-D2-D")</f>
        <v>CF441-D2-D</v>
      </c>
      <c r="B3249" s="29" t="s">
        <v>3697</v>
      </c>
      <c r="C3249" s="17">
        <v>6.5</v>
      </c>
      <c r="D3249" s="18"/>
      <c r="E3249" s="17" t="s">
        <v>3650</v>
      </c>
      <c r="F3249" s="17"/>
      <c r="G3249" s="18"/>
      <c r="H3249" s="18"/>
    </row>
    <row r="3250" spans="1:8" ht="13.2">
      <c r="A3250" s="15" t="s">
        <v>3698</v>
      </c>
      <c r="B3250" s="16" t="s">
        <v>3699</v>
      </c>
      <c r="C3250" s="17">
        <v>6.25</v>
      </c>
      <c r="D3250" s="18"/>
      <c r="E3250" s="17" t="s">
        <v>3650</v>
      </c>
      <c r="F3250" s="17" t="s">
        <v>154</v>
      </c>
      <c r="G3250" s="18"/>
      <c r="H3250" s="18"/>
    </row>
    <row r="3251" spans="1:8" ht="13.2">
      <c r="A3251" s="19" t="str">
        <f>HYPERLINK("http://codeforces.com/contest/686/problem/D","CF686-D2-D")</f>
        <v>CF686-D2-D</v>
      </c>
      <c r="B3251" s="29" t="s">
        <v>3700</v>
      </c>
      <c r="C3251" s="17">
        <v>6.25</v>
      </c>
      <c r="D3251" s="18" t="s">
        <v>3701</v>
      </c>
      <c r="E3251" s="17" t="s">
        <v>3650</v>
      </c>
      <c r="F3251" s="17" t="s">
        <v>139</v>
      </c>
      <c r="G3251" s="18"/>
      <c r="H3251" s="18"/>
    </row>
    <row r="3252" spans="1:8" ht="13.2">
      <c r="A3252" s="15" t="s">
        <v>3702</v>
      </c>
      <c r="B3252" s="15" t="s">
        <v>3703</v>
      </c>
      <c r="C3252" s="17">
        <v>6.1</v>
      </c>
      <c r="D3252" s="26" t="str">
        <f>HYPERLINK("https://github.com/ahmedsamir221/CompetitiveProgramming/blob/master/SPOJ/SPOJ%20AMR10J.cpp","Sol")</f>
        <v>Sol</v>
      </c>
      <c r="E3252" s="17" t="s">
        <v>3650</v>
      </c>
      <c r="F3252" s="17" t="s">
        <v>154</v>
      </c>
      <c r="G3252" s="18"/>
      <c r="H3252" s="18"/>
    </row>
    <row r="3253" spans="1:8" ht="13.2">
      <c r="A3253" s="15" t="s">
        <v>3704</v>
      </c>
      <c r="B3253" s="15" t="s">
        <v>3705</v>
      </c>
      <c r="C3253" s="17">
        <v>6.1</v>
      </c>
      <c r="D3253" s="26" t="str">
        <f>HYPERLINK("https://github.com/goswami-rahul/competitive-coding/blob/master/CompetitiveProgramming/spoj/CAC.cpp","Sol")</f>
        <v>Sol</v>
      </c>
      <c r="E3253" s="17" t="s">
        <v>3650</v>
      </c>
      <c r="F3253" s="17" t="s">
        <v>154</v>
      </c>
      <c r="G3253" s="18"/>
      <c r="H3253" s="18"/>
    </row>
    <row r="3254" spans="1:8" ht="13.2">
      <c r="A3254" s="19" t="str">
        <f>HYPERLINK("https://codeforces.com/contest/1076/problem/E","CF1076-D12-E")</f>
        <v>CF1076-D12-E</v>
      </c>
      <c r="B3254" s="15" t="s">
        <v>3706</v>
      </c>
      <c r="C3254" s="17">
        <v>6</v>
      </c>
      <c r="D3254" s="18"/>
      <c r="E3254" s="17" t="s">
        <v>3650</v>
      </c>
      <c r="F3254" s="17" t="s">
        <v>139</v>
      </c>
      <c r="G3254" s="18"/>
      <c r="H3254" s="18"/>
    </row>
    <row r="3255" spans="1:8" ht="13.2">
      <c r="A3255" s="19" t="str">
        <f>HYPERLINK("http://codeforces.com/contest/701/problem/E","CF701-D2-E")</f>
        <v>CF701-D2-E</v>
      </c>
      <c r="B3255" s="18" t="s">
        <v>3707</v>
      </c>
      <c r="C3255" s="17">
        <v>6</v>
      </c>
      <c r="D3255" s="18"/>
      <c r="E3255" s="17" t="s">
        <v>3650</v>
      </c>
      <c r="F3255" s="17" t="s">
        <v>139</v>
      </c>
      <c r="G3255" s="18"/>
      <c r="H3255" s="18"/>
    </row>
    <row r="3256" spans="1:8" ht="13.2">
      <c r="A3256" s="19" t="str">
        <f>HYPERLINK("http://codeforces.com/contest/22/problem/E","CF22-D2-E")</f>
        <v>CF22-D2-E</v>
      </c>
      <c r="B3256" s="29" t="s">
        <v>3708</v>
      </c>
      <c r="C3256" s="33">
        <v>6</v>
      </c>
      <c r="D3256" s="18"/>
      <c r="E3256" s="17" t="s">
        <v>3650</v>
      </c>
      <c r="F3256" s="17" t="s">
        <v>139</v>
      </c>
      <c r="G3256" s="18"/>
      <c r="H3256" s="18"/>
    </row>
    <row r="3257" spans="1:8" ht="13.2">
      <c r="A3257" s="19" t="str">
        <f>HYPERLINK("http://codeforces.com/contest/846/problem/E","CF846-D12-E")</f>
        <v>CF846-D12-E</v>
      </c>
      <c r="B3257" s="15" t="s">
        <v>3709</v>
      </c>
      <c r="C3257" s="17">
        <v>6</v>
      </c>
      <c r="D3257" s="18"/>
      <c r="E3257" s="17" t="s">
        <v>3650</v>
      </c>
      <c r="F3257" s="17" t="s">
        <v>139</v>
      </c>
      <c r="G3257" s="18"/>
      <c r="H3257" s="18"/>
    </row>
    <row r="3258" spans="1:8" ht="13.2">
      <c r="A3258" s="19" t="str">
        <f>HYPERLINK("http://codeforces.com/contest/707/problem/D","CF707-D2-D")</f>
        <v>CF707-D2-D</v>
      </c>
      <c r="B3258" s="29" t="s">
        <v>3710</v>
      </c>
      <c r="C3258" s="17">
        <v>6</v>
      </c>
      <c r="D3258" s="26" t="str">
        <f>HYPERLINK("https://github.com/AbdelrahmanRamadan/competitive-programming/blob/master/Codeforces/CF707-D2-D.cpp","Sol")</f>
        <v>Sol</v>
      </c>
      <c r="E3258" s="17" t="s">
        <v>3650</v>
      </c>
      <c r="F3258" s="17" t="s">
        <v>139</v>
      </c>
      <c r="G3258" s="18"/>
      <c r="H3258" s="18"/>
    </row>
    <row r="3259" spans="1:8" ht="13.2">
      <c r="A3259" s="19" t="str">
        <f>HYPERLINK("http://codeforces.com/contest/117/problem/C","CF117-D12-C")</f>
        <v>CF117-D12-C</v>
      </c>
      <c r="B3259" s="15" t="s">
        <v>3660</v>
      </c>
      <c r="C3259" s="17">
        <v>6</v>
      </c>
      <c r="D3259" s="18"/>
      <c r="E3259" s="17" t="s">
        <v>3650</v>
      </c>
      <c r="F3259" s="17" t="s">
        <v>139</v>
      </c>
      <c r="G3259" s="18"/>
      <c r="H3259" s="18"/>
    </row>
    <row r="3260" spans="1:8" ht="13.2">
      <c r="A3260" s="19" t="str">
        <f>HYPERLINK("http://codeforces.com/contest/920/problem/E","CF920-D2-E")</f>
        <v>CF920-D2-E</v>
      </c>
      <c r="B3260" s="15" t="s">
        <v>3711</v>
      </c>
      <c r="C3260" s="17">
        <v>6</v>
      </c>
      <c r="D3260" s="18" t="s">
        <v>3712</v>
      </c>
      <c r="E3260" s="17" t="s">
        <v>3650</v>
      </c>
      <c r="F3260" s="17" t="s">
        <v>139</v>
      </c>
      <c r="G3260" s="18"/>
      <c r="H3260" s="18"/>
    </row>
    <row r="3261" spans="1:8" ht="13.2">
      <c r="A3261" s="19" t="str">
        <f>HYPERLINK("http://codeforces.com/contest/604/problem/D","CF604-D2-D")</f>
        <v>CF604-D2-D</v>
      </c>
      <c r="B3261" s="29" t="s">
        <v>3713</v>
      </c>
      <c r="C3261" s="17">
        <v>6</v>
      </c>
      <c r="D3261" s="26" t="str">
        <f>HYPERLINK("https://github.com/MohamedNabil97/CompetitiveProgramming/blob/master/CodeForces/CF604-D2-D.cpp","Sol")</f>
        <v>Sol</v>
      </c>
      <c r="E3261" s="17" t="s">
        <v>3650</v>
      </c>
      <c r="F3261" s="17" t="s">
        <v>139</v>
      </c>
      <c r="G3261" s="18"/>
      <c r="H3261" s="18"/>
    </row>
    <row r="3262" spans="1:8" ht="13.2">
      <c r="A3262" s="19" t="str">
        <f>HYPERLINK("http://codeforces.com/gym/101102/problem/K","CF101102-GYM-K")</f>
        <v>CF101102-GYM-K</v>
      </c>
      <c r="B3262" s="28" t="s">
        <v>3714</v>
      </c>
      <c r="C3262" s="17">
        <v>6</v>
      </c>
      <c r="D3262" s="26" t="str">
        <f>HYPERLINK("https://github.com/mostafa-saad/MyCompetitiveProgramming/blob/master/Codeforces/CF101102-GYM-K.txt","Sol")</f>
        <v>Sol</v>
      </c>
      <c r="E3262" s="17" t="s">
        <v>3650</v>
      </c>
      <c r="F3262" s="17" t="s">
        <v>227</v>
      </c>
      <c r="G3262" s="18"/>
      <c r="H3262" s="18"/>
    </row>
    <row r="3263" spans="1:8" ht="13.2">
      <c r="A3263" s="19" t="str">
        <f>HYPERLINK("http://codeforces.com/contest/653/problem/E","CF653-D12-E")</f>
        <v>CF653-D12-E</v>
      </c>
      <c r="B3263" s="29" t="s">
        <v>3649</v>
      </c>
      <c r="C3263" s="17">
        <v>6</v>
      </c>
      <c r="D3263" s="18"/>
      <c r="E3263" s="17" t="s">
        <v>3650</v>
      </c>
      <c r="F3263" s="17" t="s">
        <v>201</v>
      </c>
      <c r="G3263" s="18"/>
      <c r="H3263" s="18"/>
    </row>
    <row r="3264" spans="1:8" ht="13.2">
      <c r="A3264" s="15" t="s">
        <v>3715</v>
      </c>
      <c r="B3264" s="18" t="s">
        <v>3716</v>
      </c>
      <c r="C3264" s="31">
        <v>6</v>
      </c>
      <c r="D3264" s="18"/>
      <c r="E3264" s="17" t="s">
        <v>3650</v>
      </c>
      <c r="F3264" s="17" t="s">
        <v>201</v>
      </c>
      <c r="G3264" s="18"/>
      <c r="H3264" s="18"/>
    </row>
    <row r="3265" spans="1:8" ht="13.2">
      <c r="A3265" s="19" t="str">
        <f>HYPERLINK("http://codeforces.com/contest/506/problem/B","CF506-D1-B")</f>
        <v>CF506-D1-B</v>
      </c>
      <c r="B3265" s="29" t="s">
        <v>3717</v>
      </c>
      <c r="C3265" s="17">
        <v>6</v>
      </c>
      <c r="D3265" s="18"/>
      <c r="E3265" s="17" t="s">
        <v>3650</v>
      </c>
      <c r="F3265" s="17" t="s">
        <v>201</v>
      </c>
      <c r="G3265" s="18"/>
      <c r="H3265" s="18"/>
    </row>
    <row r="3266" spans="1:8" ht="13.2">
      <c r="A3266" s="19" t="str">
        <f>HYPERLINK("https://beta.atcoder.jp/contests/soundhound2018-summer-qual/tasks/soundhound2018_summer_qual_e","SoundHound 18-E")</f>
        <v>SoundHound 18-E</v>
      </c>
      <c r="B3266" s="20" t="s">
        <v>3718</v>
      </c>
      <c r="C3266" s="21">
        <v>6</v>
      </c>
      <c r="D3266" s="18"/>
      <c r="E3266" s="17" t="s">
        <v>3650</v>
      </c>
      <c r="F3266" s="17" t="s">
        <v>242</v>
      </c>
      <c r="G3266" s="18"/>
      <c r="H3266" s="18"/>
    </row>
    <row r="3267" spans="1:8" ht="13.2">
      <c r="A3267" s="19" t="str">
        <f>HYPERLINK("http://codeforces.com/gym/100517/problem/L","CF100517-GYM-L")</f>
        <v>CF100517-GYM-L</v>
      </c>
      <c r="B3267" s="20" t="s">
        <v>3649</v>
      </c>
      <c r="C3267" s="17">
        <v>6</v>
      </c>
      <c r="D3267" s="26" t="str">
        <f>HYPERLINK("https://github.com/osamahatem/CompetitiveProgramming/blob/master/Codeforces/100517L.%20Least%20Common%20Ancestor.cpp","Sol")</f>
        <v>Sol</v>
      </c>
      <c r="E3267" s="17" t="s">
        <v>3650</v>
      </c>
      <c r="F3267" s="17"/>
      <c r="G3267" s="18"/>
      <c r="H3267" s="18"/>
    </row>
    <row r="3268" spans="1:8" ht="13.2">
      <c r="A3268" s="19" t="str">
        <f>HYPERLINK("http://codeforces.com/contest/596/problem/E","CF596-D2-E")</f>
        <v>CF596-D2-E</v>
      </c>
      <c r="B3268" s="15" t="s">
        <v>3649</v>
      </c>
      <c r="C3268" s="24">
        <v>6</v>
      </c>
      <c r="D3268" s="18"/>
      <c r="E3268" s="17" t="s">
        <v>3650</v>
      </c>
      <c r="F3268" s="17"/>
      <c r="G3268" s="18"/>
      <c r="H3268" s="18"/>
    </row>
    <row r="3269" spans="1:8" ht="13.2">
      <c r="A3269" s="15" t="s">
        <v>3719</v>
      </c>
      <c r="B3269" s="28" t="s">
        <v>3649</v>
      </c>
      <c r="C3269" s="24">
        <v>6</v>
      </c>
      <c r="D3269" s="18"/>
      <c r="E3269" s="17" t="s">
        <v>3650</v>
      </c>
      <c r="F3269" s="17"/>
      <c r="G3269" s="18"/>
      <c r="H3269" s="18"/>
    </row>
    <row r="3270" spans="1:8" ht="13.2">
      <c r="A3270" s="19" t="str">
        <f>HYPERLINK("https://codeforces.com/problemset/problem/1147/D", "CF1147-D1-D")</f>
        <v>CF1147-D1-D</v>
      </c>
      <c r="B3270" s="20" t="s">
        <v>3720</v>
      </c>
      <c r="C3270" s="17">
        <v>6</v>
      </c>
      <c r="D3270" s="18"/>
      <c r="E3270" s="17" t="s">
        <v>3650</v>
      </c>
      <c r="F3270" s="17"/>
      <c r="G3270" s="18"/>
      <c r="H3270" s="18"/>
    </row>
    <row r="3271" spans="1:8" ht="13.2">
      <c r="A3271" s="15" t="s">
        <v>3721</v>
      </c>
      <c r="B3271" s="29" t="s">
        <v>3722</v>
      </c>
      <c r="C3271" s="17">
        <v>6</v>
      </c>
      <c r="D3271" s="18"/>
      <c r="E3271" s="24" t="s">
        <v>3650</v>
      </c>
      <c r="F3271" s="17"/>
      <c r="G3271" s="18"/>
      <c r="H3271" s="18"/>
    </row>
    <row r="3272" spans="1:8" ht="13.2">
      <c r="A3272" s="15" t="s">
        <v>3723</v>
      </c>
      <c r="B3272" s="15" t="s">
        <v>3724</v>
      </c>
      <c r="C3272" s="24">
        <v>6</v>
      </c>
      <c r="D3272" s="18"/>
      <c r="E3272" s="17" t="s">
        <v>3650</v>
      </c>
      <c r="F3272" s="17"/>
      <c r="G3272" s="18"/>
      <c r="H3272" s="18"/>
    </row>
    <row r="3273" spans="1:8" ht="13.2">
      <c r="A3273" s="19" t="str">
        <f>HYPERLINK("http://codeforces.com/contest/859/problem/E","CF859-D12-E")</f>
        <v>CF859-D12-E</v>
      </c>
      <c r="B3273" s="15" t="s">
        <v>3725</v>
      </c>
      <c r="C3273" s="17">
        <v>6</v>
      </c>
      <c r="D3273" s="18"/>
      <c r="E3273" s="17" t="s">
        <v>3650</v>
      </c>
      <c r="F3273" s="17"/>
      <c r="G3273" s="18"/>
      <c r="H3273" s="18"/>
    </row>
    <row r="3274" spans="1:8" ht="13.2">
      <c r="A3274" s="19" t="str">
        <f>HYPERLINK("https://uva.onlinejudge.org/index.php?option=com_onlinejudge&amp;Itemid=8&amp;page=show_problem&amp;problem=648","UVA 707")</f>
        <v>UVA 707</v>
      </c>
      <c r="B3274" s="29" t="s">
        <v>3726</v>
      </c>
      <c r="C3274" s="17">
        <v>5.75</v>
      </c>
      <c r="D3274" s="26" t="str">
        <f>HYPERLINK("https://github.com/mostafa-saad/MyCompetitiveProgramming/blob/master/UVA/UVA_707.txt","Sol")</f>
        <v>Sol</v>
      </c>
      <c r="E3274" s="17" t="s">
        <v>3650</v>
      </c>
      <c r="F3274" s="17" t="s">
        <v>139</v>
      </c>
      <c r="G3274" s="18"/>
      <c r="H3274" s="18"/>
    </row>
    <row r="3275" spans="1:8" ht="13.2">
      <c r="A3275" s="19" t="str">
        <f>HYPERLINK("http://codeforces.com/contest/197/problem/D","CF197-D2-D")</f>
        <v>CF197-D2-D</v>
      </c>
      <c r="B3275" s="29" t="s">
        <v>3649</v>
      </c>
      <c r="C3275" s="17">
        <v>5.75</v>
      </c>
      <c r="D3275" s="18"/>
      <c r="E3275" s="17" t="s">
        <v>3650</v>
      </c>
      <c r="F3275" s="17"/>
      <c r="G3275" s="18"/>
      <c r="H3275" s="18"/>
    </row>
    <row r="3276" spans="1:8" ht="13.2">
      <c r="A3276" s="15" t="s">
        <v>3727</v>
      </c>
      <c r="B3276" s="15" t="s">
        <v>3649</v>
      </c>
      <c r="C3276" s="17">
        <v>5.5</v>
      </c>
      <c r="D3276" s="26" t="str">
        <f>HYPERLINK("https://github.com/A7medgamal/CompetitiveProgramming/blob/master/LiveArchive/LiveArchive%206590.cpp","Sol")</f>
        <v>Sol</v>
      </c>
      <c r="E3276" s="17" t="s">
        <v>3650</v>
      </c>
      <c r="F3276" s="17" t="s">
        <v>154</v>
      </c>
      <c r="G3276" s="18"/>
      <c r="H3276" s="18"/>
    </row>
    <row r="3277" spans="1:8" ht="13.2">
      <c r="A3277" s="19" t="str">
        <f>HYPERLINK("http://codeforces.com/contest/915/problem/D","CF915-D12-D")</f>
        <v>CF915-D12-D</v>
      </c>
      <c r="B3277" s="15" t="s">
        <v>3660</v>
      </c>
      <c r="C3277" s="17">
        <v>5.5</v>
      </c>
      <c r="D3277" s="18"/>
      <c r="E3277" s="17" t="s">
        <v>3650</v>
      </c>
      <c r="F3277" s="17" t="s">
        <v>154</v>
      </c>
      <c r="G3277" s="18"/>
      <c r="H3277" s="18"/>
    </row>
    <row r="3278" spans="1:8" ht="13.2">
      <c r="A3278" s="19" t="str">
        <f>HYPERLINK("https://codeforces.com/contest/1187/problem/E","CF1187-D12-E")</f>
        <v>CF1187-D12-E</v>
      </c>
      <c r="B3278" s="15" t="s">
        <v>3728</v>
      </c>
      <c r="C3278" s="17">
        <v>5.5</v>
      </c>
      <c r="D3278" s="18"/>
      <c r="E3278" s="17" t="s">
        <v>3650</v>
      </c>
      <c r="F3278" s="17" t="s">
        <v>139</v>
      </c>
      <c r="G3278" s="18"/>
      <c r="H3278" s="18"/>
    </row>
    <row r="3279" spans="1:8" ht="13.2">
      <c r="A3279" s="19" t="str">
        <f>HYPERLINK("http://codeforces.com/contest/237/problem/D","CF237-D2-D")</f>
        <v>CF237-D2-D</v>
      </c>
      <c r="B3279" s="29" t="s">
        <v>3661</v>
      </c>
      <c r="C3279" s="17">
        <v>5.5</v>
      </c>
      <c r="D3279" s="18"/>
      <c r="E3279" s="17" t="s">
        <v>3650</v>
      </c>
      <c r="F3279" s="17" t="s">
        <v>242</v>
      </c>
      <c r="G3279" s="18"/>
      <c r="H3279" s="18"/>
    </row>
    <row r="3280" spans="1:8" ht="13.2">
      <c r="A3280" s="15" t="s">
        <v>3729</v>
      </c>
      <c r="B3280" s="28" t="s">
        <v>3730</v>
      </c>
      <c r="C3280" s="24">
        <v>5.5</v>
      </c>
      <c r="D3280" s="26" t="str">
        <f>HYPERLINK("https://github.com/aboodJAD/CompetitiveProgramming/blob/master/SPOJ/SPOJ%20LEGO.cpp","Sol")</f>
        <v>Sol</v>
      </c>
      <c r="E3280" s="17" t="s">
        <v>3650</v>
      </c>
      <c r="F3280" s="17"/>
      <c r="G3280" s="18"/>
      <c r="H3280" s="18"/>
    </row>
    <row r="3281" spans="1:8" ht="13.2">
      <c r="A3281" s="19" t="str">
        <f>HYPERLINK("https://agc004.contest.atcoder.jp/tasks/agc004_d","AtCoder004-AGC-D")</f>
        <v>AtCoder004-AGC-D</v>
      </c>
      <c r="B3281" s="15" t="s">
        <v>3731</v>
      </c>
      <c r="C3281" s="17">
        <v>5.5</v>
      </c>
      <c r="D3281" s="18"/>
      <c r="E3281" s="17" t="s">
        <v>3650</v>
      </c>
      <c r="F3281" s="17"/>
      <c r="G3281" s="18"/>
      <c r="H3281" s="18"/>
    </row>
    <row r="3282" spans="1:8" ht="13.2">
      <c r="A3282" s="19" t="str">
        <f>HYPERLINK("http://codeforces.com/contest/1006/problem/E", "CF1006-D3-E")</f>
        <v>CF1006-D3-E</v>
      </c>
      <c r="B3282" s="20" t="s">
        <v>3732</v>
      </c>
      <c r="C3282" s="21">
        <v>5.5</v>
      </c>
      <c r="D3282" s="18"/>
      <c r="E3282" s="17" t="s">
        <v>3650</v>
      </c>
      <c r="F3282" s="17"/>
      <c r="G3282" s="18"/>
      <c r="H3282" s="18"/>
    </row>
    <row r="3283" spans="1:8" ht="13.2">
      <c r="A3283" s="15" t="s">
        <v>3733</v>
      </c>
      <c r="B3283" s="15" t="s">
        <v>3734</v>
      </c>
      <c r="C3283" s="17">
        <v>5</v>
      </c>
      <c r="D3283" s="26" t="str">
        <f>HYPERLINK("https://github.com/mostafa-saad/MyCompetitiveProgramming/blob/master/SPOJ/SPOJ-HOLI.txt","Sol")</f>
        <v>Sol</v>
      </c>
      <c r="E3283" s="17" t="s">
        <v>3650</v>
      </c>
      <c r="F3283" s="17" t="s">
        <v>139</v>
      </c>
      <c r="G3283" s="18"/>
      <c r="H3283" s="18"/>
    </row>
    <row r="3284" spans="1:8" ht="13.2">
      <c r="A3284" s="19" t="str">
        <f>HYPERLINK("https://codeforces.com/contest/1093/problem/D","CF1093-D12-D")</f>
        <v>CF1093-D12-D</v>
      </c>
      <c r="B3284" s="20" t="s">
        <v>3735</v>
      </c>
      <c r="C3284" s="17">
        <v>5</v>
      </c>
      <c r="D3284" s="18"/>
      <c r="E3284" s="17" t="s">
        <v>3650</v>
      </c>
      <c r="F3284" s="17" t="s">
        <v>139</v>
      </c>
      <c r="G3284" s="18"/>
      <c r="H3284" s="18"/>
    </row>
    <row r="3285" spans="1:8" ht="13.2">
      <c r="A3285" s="19" t="str">
        <f>HYPERLINK("http://codeforces.com/contest/711/problem/D","CF711-D2-D")</f>
        <v>CF711-D2-D</v>
      </c>
      <c r="B3285" s="29" t="s">
        <v>3736</v>
      </c>
      <c r="C3285" s="17">
        <v>5</v>
      </c>
      <c r="D3285" s="18"/>
      <c r="E3285" s="17" t="s">
        <v>3650</v>
      </c>
      <c r="F3285" s="17" t="s">
        <v>139</v>
      </c>
      <c r="G3285" s="18"/>
      <c r="H3285" s="18"/>
    </row>
    <row r="3286" spans="1:8" ht="13.2">
      <c r="A3286" s="19" t="str">
        <f>HYPERLINK("http://codeforces.com/contest/1075/problem/D","CF1075-D2-D")</f>
        <v>CF1075-D2-D</v>
      </c>
      <c r="B3286" s="20" t="s">
        <v>3737</v>
      </c>
      <c r="C3286" s="21">
        <v>5</v>
      </c>
      <c r="D3286" s="18" t="s">
        <v>2160</v>
      </c>
      <c r="E3286" s="17" t="s">
        <v>3650</v>
      </c>
      <c r="F3286" s="17" t="s">
        <v>139</v>
      </c>
      <c r="G3286" s="18"/>
      <c r="H3286" s="18"/>
    </row>
    <row r="3287" spans="1:8" ht="13.2">
      <c r="A3287" s="19" t="str">
        <f>HYPERLINK("https://codeforces.com/contest/1056/problem/D","CF1056-D12-D")</f>
        <v>CF1056-D12-D</v>
      </c>
      <c r="B3287" s="15" t="s">
        <v>3738</v>
      </c>
      <c r="C3287" s="17">
        <v>5</v>
      </c>
      <c r="D3287" s="18"/>
      <c r="E3287" s="17" t="s">
        <v>3650</v>
      </c>
      <c r="F3287" s="17" t="s">
        <v>139</v>
      </c>
      <c r="G3287" s="18"/>
      <c r="H3287" s="18"/>
    </row>
    <row r="3288" spans="1:8" ht="13.2">
      <c r="A3288" s="19" t="str">
        <f>HYPERLINK("http://codeforces.com/contest/861/problem/F","CF861-D12-F")</f>
        <v>CF861-D12-F</v>
      </c>
      <c r="B3288" s="15" t="s">
        <v>3649</v>
      </c>
      <c r="C3288" s="17">
        <v>5</v>
      </c>
      <c r="D3288" s="18"/>
      <c r="E3288" s="17" t="s">
        <v>3650</v>
      </c>
      <c r="F3288" s="17" t="s">
        <v>201</v>
      </c>
      <c r="G3288" s="18"/>
      <c r="H3288" s="18"/>
    </row>
    <row r="3289" spans="1:8" ht="13.2">
      <c r="A3289" s="15" t="s">
        <v>3739</v>
      </c>
      <c r="B3289" s="30" t="s">
        <v>3740</v>
      </c>
      <c r="C3289" s="24">
        <v>5</v>
      </c>
      <c r="D3289" s="18" t="s">
        <v>118</v>
      </c>
      <c r="E3289" s="17" t="s">
        <v>3650</v>
      </c>
      <c r="F3289" s="17" t="s">
        <v>201</v>
      </c>
      <c r="G3289" s="18"/>
      <c r="H3289" s="18"/>
    </row>
    <row r="3290" spans="1:8" ht="13.2">
      <c r="A3290" s="19" t="str">
        <f>HYPERLINK("http://codeforces.com/contest/1027/problem/D","CF1027-D2-D")</f>
        <v>CF1027-D2-D</v>
      </c>
      <c r="B3290" s="20" t="s">
        <v>3741</v>
      </c>
      <c r="C3290" s="17">
        <v>5</v>
      </c>
      <c r="D3290" s="18"/>
      <c r="E3290" s="17" t="s">
        <v>3650</v>
      </c>
      <c r="F3290" s="17" t="s">
        <v>201</v>
      </c>
      <c r="G3290" s="18"/>
      <c r="H3290" s="18"/>
    </row>
    <row r="3291" spans="1:8" ht="13.2">
      <c r="A3291" s="19" t="str">
        <f>HYPERLINK("http://codeforces.com/problemset/gymProblem/101064/G","CF101064-GYM-G")</f>
        <v>CF101064-GYM-G</v>
      </c>
      <c r="B3291" s="29" t="s">
        <v>3649</v>
      </c>
      <c r="C3291" s="17">
        <v>5</v>
      </c>
      <c r="D3291" s="18"/>
      <c r="E3291" s="17" t="s">
        <v>3650</v>
      </c>
      <c r="F3291" s="17"/>
      <c r="G3291" s="18"/>
      <c r="H3291" s="18"/>
    </row>
    <row r="3292" spans="1:8" ht="13.2">
      <c r="A3292" s="19" t="str">
        <f>HYPERLINK("http://codeforces.com/contest/263/problem/D","CF263-D2-D")</f>
        <v>CF263-D2-D</v>
      </c>
      <c r="B3292" s="29" t="s">
        <v>3649</v>
      </c>
      <c r="C3292" s="17">
        <v>5</v>
      </c>
      <c r="D3292" s="18"/>
      <c r="E3292" s="17" t="s">
        <v>3650</v>
      </c>
      <c r="F3292" s="17"/>
      <c r="G3292" s="18"/>
      <c r="H3292" s="18"/>
    </row>
    <row r="3293" spans="1:8" ht="13.2">
      <c r="A3293" s="19" t="str">
        <f>HYPERLINK("http://www.spoj.com/problems/CDOWN/","SPOJ CDOWN")</f>
        <v>SPOJ CDOWN</v>
      </c>
      <c r="B3293" s="18" t="s">
        <v>3649</v>
      </c>
      <c r="C3293" s="17">
        <v>5</v>
      </c>
      <c r="D3293" s="18"/>
      <c r="E3293" s="17" t="s">
        <v>3650</v>
      </c>
      <c r="F3293" s="17"/>
      <c r="G3293" s="18"/>
      <c r="H3293" s="18"/>
    </row>
    <row r="3294" spans="1:8" ht="13.2">
      <c r="A3294" s="15" t="s">
        <v>3742</v>
      </c>
      <c r="B3294" s="28" t="s">
        <v>3743</v>
      </c>
      <c r="C3294" s="31">
        <v>5</v>
      </c>
      <c r="D3294" s="18"/>
      <c r="E3294" s="17" t="s">
        <v>3650</v>
      </c>
      <c r="F3294" s="17"/>
      <c r="G3294" s="18"/>
      <c r="H3294" s="18"/>
    </row>
    <row r="3295" spans="1:8" ht="13.2">
      <c r="A3295" s="19" t="str">
        <f>HYPERLINK("http://codeforces.com/contest/219/problem/D","CF219-D2-D")</f>
        <v>CF219-D2-D</v>
      </c>
      <c r="B3295" s="29" t="s">
        <v>3744</v>
      </c>
      <c r="C3295" s="17">
        <v>5</v>
      </c>
      <c r="D3295" s="18"/>
      <c r="E3295" s="17" t="s">
        <v>3650</v>
      </c>
      <c r="F3295" s="17"/>
      <c r="G3295" s="18"/>
      <c r="H3295" s="18"/>
    </row>
    <row r="3296" spans="1:8" ht="13.2">
      <c r="A3296" s="19" t="str">
        <f>HYPERLINK("http://codeforces.com/gym/101484/problem/F","CF101484-GYM-F")</f>
        <v>CF101484-GYM-F</v>
      </c>
      <c r="B3296" s="15" t="s">
        <v>3745</v>
      </c>
      <c r="C3296" s="31">
        <v>5</v>
      </c>
      <c r="D3296" s="26" t="str">
        <f>HYPERLINK("https://github.com/HosamEissa/Competitive-programming-/blob/master/Codeforces/CF101484-GYM-F.cpp","Sol")</f>
        <v>Sol</v>
      </c>
      <c r="E3296" s="17" t="s">
        <v>3650</v>
      </c>
      <c r="F3296" s="17"/>
      <c r="G3296" s="18"/>
      <c r="H3296" s="18"/>
    </row>
    <row r="3297" spans="1:8" ht="13.2">
      <c r="A3297" s="19" t="str">
        <f>HYPERLINK("http://codeforces.com/contest/939/problem/D","CF939-D2-D")</f>
        <v>CF939-D2-D</v>
      </c>
      <c r="B3297" s="20" t="s">
        <v>3746</v>
      </c>
      <c r="C3297" s="17">
        <v>5</v>
      </c>
      <c r="D3297" s="18"/>
      <c r="E3297" s="17" t="s">
        <v>3650</v>
      </c>
      <c r="F3297" s="17"/>
      <c r="G3297" s="18"/>
      <c r="H3297" s="18"/>
    </row>
    <row r="3298" spans="1:8" ht="13.2">
      <c r="A3298" s="19" t="str">
        <f>HYPERLINK("https://codeforces.com/contest/1282/problem/E","CF1282-D2-E")</f>
        <v>CF1282-D2-E</v>
      </c>
      <c r="B3298" s="20" t="s">
        <v>3747</v>
      </c>
      <c r="C3298" s="21">
        <v>5</v>
      </c>
      <c r="D3298" s="18"/>
      <c r="E3298" s="17" t="s">
        <v>3650</v>
      </c>
      <c r="F3298" s="17"/>
      <c r="G3298" s="18"/>
      <c r="H3298" s="18"/>
    </row>
    <row r="3299" spans="1:8" ht="13.2">
      <c r="A3299" s="19" t="str">
        <f>HYPERLINK("http://codeforces.com/contest/194/problem/C","CF194-D2-C")</f>
        <v>CF194-D2-C</v>
      </c>
      <c r="B3299" s="29" t="s">
        <v>3748</v>
      </c>
      <c r="C3299" s="17">
        <v>4.5</v>
      </c>
      <c r="D3299" s="18"/>
      <c r="E3299" s="17" t="s">
        <v>3650</v>
      </c>
      <c r="F3299" s="17" t="s">
        <v>227</v>
      </c>
      <c r="G3299" s="18"/>
      <c r="H3299" s="18"/>
    </row>
    <row r="3300" spans="1:8" ht="13.2">
      <c r="A3300" s="15" t="s">
        <v>3749</v>
      </c>
      <c r="B3300" s="30" t="s">
        <v>3649</v>
      </c>
      <c r="C3300" s="17">
        <v>4.5</v>
      </c>
      <c r="D3300" s="18"/>
      <c r="E3300" s="17" t="s">
        <v>3650</v>
      </c>
      <c r="F3300" s="17" t="s">
        <v>201</v>
      </c>
      <c r="G3300" s="18"/>
      <c r="H3300" s="18"/>
    </row>
    <row r="3301" spans="1:8" ht="13.2">
      <c r="A3301" s="19" t="str">
        <f>HYPERLINK("http://codeforces.com/contest/378/problem/C","CF378-D2-C")</f>
        <v>CF378-D2-C</v>
      </c>
      <c r="B3301" s="29" t="s">
        <v>3750</v>
      </c>
      <c r="C3301" s="17">
        <v>4.5</v>
      </c>
      <c r="D3301" s="18"/>
      <c r="E3301" s="17" t="s">
        <v>3650</v>
      </c>
      <c r="F3301" s="17" t="s">
        <v>242</v>
      </c>
      <c r="G3301" s="18"/>
      <c r="H3301" s="18"/>
    </row>
    <row r="3302" spans="1:8" ht="13.2">
      <c r="A3302" s="19" t="str">
        <f>HYPERLINK("https://uva.onlinejudge.org/index.php?option=onlinejudge&amp;page=show_problem&amp;problem=1054","UVA 10113")</f>
        <v>UVA 10113</v>
      </c>
      <c r="B3302" s="29" t="s">
        <v>3682</v>
      </c>
      <c r="C3302" s="17">
        <v>4.5</v>
      </c>
      <c r="D3302" s="18"/>
      <c r="E3302" s="17" t="s">
        <v>3650</v>
      </c>
      <c r="F3302" s="17" t="s">
        <v>242</v>
      </c>
      <c r="G3302" s="18"/>
      <c r="H3302" s="18"/>
    </row>
    <row r="3303" spans="1:8" ht="13.2">
      <c r="A3303" s="19" t="str">
        <f>HYPERLINK("http://codeforces.com/contest/540/problem/C","CF540-D2-C")</f>
        <v>CF540-D2-C</v>
      </c>
      <c r="B3303" s="29" t="s">
        <v>3649</v>
      </c>
      <c r="C3303" s="17">
        <v>4.5</v>
      </c>
      <c r="D3303" s="18"/>
      <c r="E3303" s="17" t="s">
        <v>3650</v>
      </c>
      <c r="F3303" s="17"/>
      <c r="G3303" s="18"/>
      <c r="H3303" s="18"/>
    </row>
    <row r="3304" spans="1:8" ht="13.2">
      <c r="A3304" s="19" t="str">
        <f>HYPERLINK("http://codeforces.com/contest/982/problem/C", "CF982-D2-C")</f>
        <v>CF982-D2-C</v>
      </c>
      <c r="B3304" s="20" t="s">
        <v>3649</v>
      </c>
      <c r="C3304" s="17">
        <v>4.5</v>
      </c>
      <c r="D3304" s="18"/>
      <c r="E3304" s="17" t="s">
        <v>3650</v>
      </c>
      <c r="F3304" s="17"/>
      <c r="G3304" s="18"/>
      <c r="H3304" s="18"/>
    </row>
    <row r="3305" spans="1:8" ht="13.2">
      <c r="A3305" s="15" t="s">
        <v>3751</v>
      </c>
      <c r="B3305" s="29" t="s">
        <v>3649</v>
      </c>
      <c r="C3305" s="24">
        <v>4.5</v>
      </c>
      <c r="D3305" s="18"/>
      <c r="E3305" s="17" t="s">
        <v>3650</v>
      </c>
      <c r="F3305" s="17"/>
      <c r="G3305" s="18"/>
      <c r="H3305" s="18"/>
    </row>
    <row r="3306" spans="1:8" ht="13.2">
      <c r="A3306" s="15" t="s">
        <v>3752</v>
      </c>
      <c r="B3306" s="28" t="s">
        <v>3649</v>
      </c>
      <c r="C3306" s="17">
        <v>4.5</v>
      </c>
      <c r="D3306" s="26" t="str">
        <f>HYPERLINK("https://github.com/yazanKabbany/CompetitiveProgramming/blob/master/Timus/1437.cpp","Sol")</f>
        <v>Sol</v>
      </c>
      <c r="E3306" s="17" t="s">
        <v>3650</v>
      </c>
      <c r="F3306" s="17"/>
      <c r="G3306" s="18"/>
      <c r="H3306" s="18"/>
    </row>
    <row r="3307" spans="1:8" ht="13.2">
      <c r="A3307" s="15" t="s">
        <v>3753</v>
      </c>
      <c r="B3307" s="18" t="s">
        <v>3754</v>
      </c>
      <c r="C3307" s="17">
        <v>4.5</v>
      </c>
      <c r="D3307" s="18"/>
      <c r="E3307" s="17" t="s">
        <v>3650</v>
      </c>
      <c r="F3307" s="17"/>
      <c r="G3307" s="18"/>
      <c r="H3307" s="18"/>
    </row>
    <row r="3308" spans="1:8" ht="13.2">
      <c r="A3308" s="19" t="str">
        <f>HYPERLINK("http://codeforces.com/contest/742/problem/D","CF742-D2-D")</f>
        <v>CF742-D2-D</v>
      </c>
      <c r="B3308" s="29" t="s">
        <v>3755</v>
      </c>
      <c r="C3308" s="17">
        <v>4.5</v>
      </c>
      <c r="D3308" s="18"/>
      <c r="E3308" s="17" t="s">
        <v>3650</v>
      </c>
      <c r="F3308" s="17"/>
      <c r="G3308" s="18"/>
      <c r="H3308" s="18"/>
    </row>
    <row r="3309" spans="1:8" ht="13.2">
      <c r="A3309" s="19" t="str">
        <f>HYPERLINK("http://codeforces.com/contest/25/problem/C","CF25-D2-C")</f>
        <v>CF25-D2-C</v>
      </c>
      <c r="B3309" s="29" t="s">
        <v>3649</v>
      </c>
      <c r="C3309" s="17">
        <v>4</v>
      </c>
      <c r="D3309" s="18"/>
      <c r="E3309" s="17" t="s">
        <v>3650</v>
      </c>
      <c r="F3309" s="17" t="s">
        <v>201</v>
      </c>
      <c r="G3309" s="18"/>
      <c r="H3309" s="18"/>
    </row>
    <row r="3310" spans="1:8" ht="13.2">
      <c r="A3310" s="19" t="str">
        <f>HYPERLINK("http://codeforces.com/contest/546/problem/C","CF546-D2-C")</f>
        <v>CF546-D2-C</v>
      </c>
      <c r="B3310" s="29" t="s">
        <v>3649</v>
      </c>
      <c r="C3310" s="17">
        <v>4</v>
      </c>
      <c r="D3310" s="18"/>
      <c r="E3310" s="17" t="s">
        <v>3650</v>
      </c>
      <c r="F3310" s="17" t="s">
        <v>201</v>
      </c>
      <c r="G3310" s="18"/>
      <c r="H3310" s="18"/>
    </row>
    <row r="3311" spans="1:8" ht="13.2">
      <c r="A3311" s="19" t="str">
        <f>HYPERLINK("http://codeforces.com/contest/580/problem/C","CF580-D2-C")</f>
        <v>CF580-D2-C</v>
      </c>
      <c r="B3311" s="29" t="s">
        <v>3649</v>
      </c>
      <c r="C3311" s="17">
        <v>4</v>
      </c>
      <c r="D3311" s="18"/>
      <c r="E3311" s="17" t="s">
        <v>3650</v>
      </c>
      <c r="F3311" s="17" t="s">
        <v>201</v>
      </c>
      <c r="G3311" s="18"/>
      <c r="H3311" s="18"/>
    </row>
    <row r="3312" spans="1:8" ht="13.2">
      <c r="A3312" s="19" t="str">
        <f>HYPERLINK("http://codeforces.com/contest/116/problem/C","CF116-D2-C")</f>
        <v>CF116-D2-C</v>
      </c>
      <c r="B3312" s="29" t="s">
        <v>3649</v>
      </c>
      <c r="C3312" s="17">
        <v>4</v>
      </c>
      <c r="D3312" s="18"/>
      <c r="E3312" s="17" t="s">
        <v>3650</v>
      </c>
      <c r="F3312" s="17" t="s">
        <v>242</v>
      </c>
      <c r="G3312" s="18"/>
      <c r="H3312" s="18"/>
    </row>
    <row r="3313" spans="1:8" ht="13.2">
      <c r="A3313" s="19" t="str">
        <f>HYPERLINK("http://codeforces.com/contest/216/problem/B","CF216-D2-B")</f>
        <v>CF216-D2-B</v>
      </c>
      <c r="B3313" s="15" t="s">
        <v>3649</v>
      </c>
      <c r="C3313" s="17">
        <v>4</v>
      </c>
      <c r="D3313" s="18"/>
      <c r="E3313" s="17" t="s">
        <v>3650</v>
      </c>
      <c r="F3313" s="17"/>
      <c r="G3313" s="18"/>
      <c r="H3313" s="18"/>
    </row>
    <row r="3314" spans="1:8" ht="13.2">
      <c r="A3314" s="19" t="str">
        <f>HYPERLINK("http://codeforces.com/contest/327/problem/D","CF327-D2-D")</f>
        <v>CF327-D2-D</v>
      </c>
      <c r="B3314" s="29" t="s">
        <v>3649</v>
      </c>
      <c r="C3314" s="17">
        <v>4</v>
      </c>
      <c r="D3314" s="18"/>
      <c r="E3314" s="17" t="s">
        <v>3650</v>
      </c>
      <c r="F3314" s="17"/>
      <c r="G3314" s="18"/>
      <c r="H3314" s="18"/>
    </row>
    <row r="3315" spans="1:8" ht="13.2">
      <c r="A3315" s="19" t="str">
        <f>HYPERLINK("http://codeforces.com/contest/979/problem/C","CF979-D2-C")</f>
        <v>CF979-D2-C</v>
      </c>
      <c r="B3315" s="20" t="s">
        <v>3649</v>
      </c>
      <c r="C3315" s="21">
        <v>4</v>
      </c>
      <c r="D3315" s="18"/>
      <c r="E3315" s="17" t="s">
        <v>3650</v>
      </c>
      <c r="F3315" s="17"/>
      <c r="G3315" s="18"/>
      <c r="H3315" s="18"/>
    </row>
    <row r="3316" spans="1:8" ht="13.2">
      <c r="A3316" s="15" t="s">
        <v>3756</v>
      </c>
      <c r="B3316" s="37" t="s">
        <v>3649</v>
      </c>
      <c r="C3316" s="40">
        <v>4</v>
      </c>
      <c r="D3316" s="18"/>
      <c r="E3316" s="17" t="s">
        <v>3650</v>
      </c>
      <c r="F3316" s="17"/>
      <c r="G3316" s="18"/>
      <c r="H3316" s="18"/>
    </row>
    <row r="3317" spans="1:8" ht="13.2">
      <c r="A3317" s="15" t="s">
        <v>3757</v>
      </c>
      <c r="B3317" s="28" t="s">
        <v>3649</v>
      </c>
      <c r="C3317" s="24">
        <v>4</v>
      </c>
      <c r="D3317" s="18"/>
      <c r="E3317" s="17" t="s">
        <v>3650</v>
      </c>
      <c r="F3317" s="17"/>
      <c r="G3317" s="18"/>
      <c r="H3317" s="18"/>
    </row>
    <row r="3318" spans="1:8" ht="13.2">
      <c r="A3318" s="15" t="s">
        <v>3758</v>
      </c>
      <c r="B3318" s="28" t="s">
        <v>3759</v>
      </c>
      <c r="C3318" s="24">
        <v>4</v>
      </c>
      <c r="D3318" s="18"/>
      <c r="E3318" s="17" t="s">
        <v>3650</v>
      </c>
      <c r="F3318" s="17"/>
      <c r="G3318" s="18"/>
      <c r="H3318" s="18"/>
    </row>
    <row r="3319" spans="1:8" ht="13.2">
      <c r="A3319" s="15" t="s">
        <v>3760</v>
      </c>
      <c r="B3319" s="30" t="s">
        <v>3746</v>
      </c>
      <c r="C3319" s="17">
        <v>4</v>
      </c>
      <c r="D3319" s="18"/>
      <c r="E3319" s="17" t="s">
        <v>3650</v>
      </c>
      <c r="F3319" s="17"/>
      <c r="G3319" s="18"/>
      <c r="H3319" s="18"/>
    </row>
    <row r="3320" spans="1:8" ht="13.2">
      <c r="A3320" s="19" t="str">
        <f>HYPERLINK("http://codeforces.com/contest/382/problem/D","CF382-D2-D")</f>
        <v>CF382-D2-D</v>
      </c>
      <c r="B3320" s="29" t="s">
        <v>3660</v>
      </c>
      <c r="C3320" s="33">
        <v>4</v>
      </c>
      <c r="D3320" s="18"/>
      <c r="E3320" s="17" t="s">
        <v>3650</v>
      </c>
      <c r="F3320" s="17"/>
      <c r="G3320" s="18"/>
      <c r="H3320" s="18"/>
    </row>
    <row r="3321" spans="1:8" ht="13.2">
      <c r="A3321" s="19" t="str">
        <f>HYPERLINK("http://codeforces.com/contest/699/problem/D","CF699-D2-D")</f>
        <v>CF699-D2-D</v>
      </c>
      <c r="B3321" s="18" t="s">
        <v>3660</v>
      </c>
      <c r="C3321" s="17">
        <v>4</v>
      </c>
      <c r="D3321" s="18"/>
      <c r="E3321" s="17" t="s">
        <v>3650</v>
      </c>
      <c r="F3321" s="17"/>
      <c r="G3321" s="18"/>
      <c r="H3321" s="18"/>
    </row>
    <row r="3322" spans="1:8" ht="13.2">
      <c r="A3322" s="19" t="str">
        <f>HYPERLINK("http://codeforces.com/contest/682/problem/C","CF682-D2-C")</f>
        <v>CF682-D2-C</v>
      </c>
      <c r="B3322" s="29" t="s">
        <v>3649</v>
      </c>
      <c r="C3322" s="17">
        <v>3.5</v>
      </c>
      <c r="D3322" s="18"/>
      <c r="E3322" s="17" t="s">
        <v>3650</v>
      </c>
      <c r="F3322" s="17"/>
      <c r="G3322" s="18"/>
      <c r="H3322" s="18"/>
    </row>
    <row r="3323" spans="1:8" ht="13.2">
      <c r="A3323" s="15" t="s">
        <v>3761</v>
      </c>
      <c r="B3323" s="18" t="s">
        <v>3726</v>
      </c>
      <c r="C3323" s="24">
        <v>3.5</v>
      </c>
      <c r="D3323" s="18"/>
      <c r="E3323" s="17" t="s">
        <v>3650</v>
      </c>
      <c r="F3323" s="17"/>
      <c r="G3323" s="18"/>
      <c r="H3323" s="18"/>
    </row>
    <row r="3324" spans="1:8" ht="13.2">
      <c r="A3324" s="15" t="s">
        <v>3762</v>
      </c>
      <c r="B3324" s="30" t="s">
        <v>3763</v>
      </c>
      <c r="C3324" s="17">
        <v>3.5</v>
      </c>
      <c r="D3324" s="18"/>
      <c r="E3324" s="17" t="s">
        <v>3650</v>
      </c>
      <c r="F3324" s="17"/>
      <c r="G3324" s="18"/>
      <c r="H3324" s="18"/>
    </row>
    <row r="3325" spans="1:8" ht="13.2">
      <c r="A3325" s="15" t="s">
        <v>3764</v>
      </c>
      <c r="B3325" s="15" t="s">
        <v>3649</v>
      </c>
      <c r="C3325" s="17">
        <v>3</v>
      </c>
      <c r="D3325" s="26" t="str">
        <f>HYPERLINK("https://github.com/AhmedElsisy/CompetitiveProgramming/blob/master/SPOJ/SPOJ%20LEXSTR.cpp","Sol")</f>
        <v>Sol</v>
      </c>
      <c r="E3325" s="17" t="s">
        <v>3650</v>
      </c>
      <c r="F3325" s="17" t="s">
        <v>201</v>
      </c>
      <c r="G3325" s="18"/>
      <c r="H3325" s="18"/>
    </row>
    <row r="3326" spans="1:8" ht="13.2">
      <c r="A3326" s="15" t="s">
        <v>3765</v>
      </c>
      <c r="B3326" s="29" t="s">
        <v>3766</v>
      </c>
      <c r="C3326" s="24">
        <v>3</v>
      </c>
      <c r="D3326" s="18"/>
      <c r="E3326" s="17" t="s">
        <v>3650</v>
      </c>
      <c r="F3326" s="17" t="s">
        <v>242</v>
      </c>
      <c r="G3326" s="18"/>
      <c r="H3326" s="18"/>
    </row>
    <row r="3327" spans="1:8" ht="13.2">
      <c r="A3327" s="15" t="s">
        <v>3767</v>
      </c>
      <c r="B3327" s="30" t="s">
        <v>3649</v>
      </c>
      <c r="C3327" s="24">
        <v>3</v>
      </c>
      <c r="D3327" s="18"/>
      <c r="E3327" s="17" t="s">
        <v>3650</v>
      </c>
      <c r="F3327" s="17"/>
      <c r="G3327" s="18"/>
      <c r="H3327" s="18"/>
    </row>
    <row r="3328" spans="1:8" ht="13.2">
      <c r="A3328" s="15" t="s">
        <v>3768</v>
      </c>
      <c r="B3328" s="18" t="s">
        <v>3769</v>
      </c>
      <c r="C3328" s="17">
        <v>3</v>
      </c>
      <c r="D3328" s="18"/>
      <c r="E3328" s="17" t="s">
        <v>3650</v>
      </c>
      <c r="F3328" s="17"/>
      <c r="G3328" s="18"/>
      <c r="H3328" s="18"/>
    </row>
    <row r="3329" spans="1:8" ht="13.2">
      <c r="A3329" s="15" t="s">
        <v>3770</v>
      </c>
      <c r="B3329" s="30" t="s">
        <v>3771</v>
      </c>
      <c r="C3329" s="40">
        <v>3</v>
      </c>
      <c r="D3329" s="18"/>
      <c r="E3329" s="17" t="s">
        <v>3650</v>
      </c>
      <c r="F3329" s="17"/>
      <c r="G3329" s="18"/>
      <c r="H3329" s="18"/>
    </row>
    <row r="3330" spans="1:8" ht="13.2">
      <c r="A3330" s="15" t="s">
        <v>3772</v>
      </c>
      <c r="B3330" s="30" t="s">
        <v>3773</v>
      </c>
      <c r="C3330" s="24">
        <v>3</v>
      </c>
      <c r="D3330" s="18"/>
      <c r="E3330" s="17" t="s">
        <v>3650</v>
      </c>
      <c r="F3330" s="17"/>
      <c r="G3330" s="18"/>
      <c r="H3330" s="18"/>
    </row>
    <row r="3331" spans="1:8" ht="13.2">
      <c r="A3331" s="15" t="s">
        <v>3774</v>
      </c>
      <c r="B3331" s="28" t="s">
        <v>3775</v>
      </c>
      <c r="C3331" s="24">
        <v>3</v>
      </c>
      <c r="D3331" s="18"/>
      <c r="E3331" s="17" t="s">
        <v>3650</v>
      </c>
      <c r="F3331" s="17"/>
      <c r="G3331" s="18"/>
      <c r="H3331" s="18"/>
    </row>
    <row r="3332" spans="1:8" ht="13.2">
      <c r="A3332" s="15" t="s">
        <v>3776</v>
      </c>
      <c r="B3332" s="29" t="s">
        <v>3777</v>
      </c>
      <c r="C3332" s="24">
        <v>3</v>
      </c>
      <c r="D3332" s="26" t="str">
        <f>HYPERLINK("https://ideone.com/DiPcFo","Sol")</f>
        <v>Sol</v>
      </c>
      <c r="E3332" s="17" t="s">
        <v>3650</v>
      </c>
      <c r="F3332" s="17"/>
      <c r="G3332" s="18"/>
      <c r="H3332" s="18"/>
    </row>
    <row r="3333" spans="1:8" ht="13.2">
      <c r="A3333" s="15" t="s">
        <v>3778</v>
      </c>
      <c r="B3333" s="29" t="s">
        <v>3746</v>
      </c>
      <c r="C3333" s="17">
        <v>3</v>
      </c>
      <c r="D3333" s="26" t="str">
        <f>HYPERLINK("https://github.com/Maverick10/Competitive-Programming/blob/master/Solutions/UVa/UVa%20-%2010687.cpp","Sol")</f>
        <v>Sol</v>
      </c>
      <c r="E3333" s="17" t="s">
        <v>3650</v>
      </c>
      <c r="F3333" s="17"/>
      <c r="G3333" s="18"/>
      <c r="H3333" s="18"/>
    </row>
    <row r="3334" spans="1:8" ht="13.2">
      <c r="A3334" s="15" t="s">
        <v>3779</v>
      </c>
      <c r="B3334" s="29" t="s">
        <v>3649</v>
      </c>
      <c r="C3334" s="24">
        <v>2</v>
      </c>
      <c r="D3334" s="18"/>
      <c r="E3334" s="17" t="s">
        <v>3650</v>
      </c>
      <c r="F3334" s="17"/>
      <c r="G3334" s="18"/>
      <c r="H3334" s="18"/>
    </row>
    <row r="3335" spans="1:8" ht="13.2">
      <c r="A3335" s="15" t="s">
        <v>3780</v>
      </c>
      <c r="B3335" s="28" t="s">
        <v>3781</v>
      </c>
      <c r="C3335" s="17">
        <v>2</v>
      </c>
      <c r="D3335" s="18"/>
      <c r="E3335" s="17" t="s">
        <v>3650</v>
      </c>
      <c r="F3335" s="17"/>
      <c r="G3335" s="18"/>
      <c r="H3335" s="18"/>
    </row>
    <row r="3336" spans="1:8" ht="13.2">
      <c r="A3336" s="15" t="s">
        <v>3782</v>
      </c>
      <c r="B3336" s="16" t="s">
        <v>3783</v>
      </c>
      <c r="C3336" s="17">
        <v>8.5</v>
      </c>
      <c r="D3336" s="18"/>
      <c r="E3336" s="17" t="s">
        <v>3784</v>
      </c>
      <c r="F3336" s="17"/>
      <c r="G3336" s="18"/>
      <c r="H3336" s="18"/>
    </row>
    <row r="3337" spans="1:8" ht="13.2">
      <c r="A3337" s="15" t="s">
        <v>3785</v>
      </c>
      <c r="B3337" s="16" t="s">
        <v>3786</v>
      </c>
      <c r="C3337" s="17">
        <v>8.5</v>
      </c>
      <c r="D3337" s="18"/>
      <c r="E3337" s="17" t="s">
        <v>3784</v>
      </c>
      <c r="F3337" s="17"/>
      <c r="G3337" s="18"/>
      <c r="H3337" s="18"/>
    </row>
    <row r="3338" spans="1:8" ht="13.2">
      <c r="A3338" s="15" t="s">
        <v>3787</v>
      </c>
      <c r="B3338" s="16" t="s">
        <v>3788</v>
      </c>
      <c r="C3338" s="17">
        <v>8.5</v>
      </c>
      <c r="D3338" s="26" t="str">
        <f>HYPERLINK("https://apps.topcoder.com/forums/?module=Thread&amp;threadID=662332&amp;start=0&amp;mc=17","TC forum")</f>
        <v>TC forum</v>
      </c>
      <c r="E3338" s="17" t="s">
        <v>3784</v>
      </c>
      <c r="F3338" s="17"/>
      <c r="G3338" s="18"/>
      <c r="H3338" s="18"/>
    </row>
    <row r="3339" spans="1:8" ht="13.2">
      <c r="A3339" s="15" t="s">
        <v>3789</v>
      </c>
      <c r="B3339" s="16" t="s">
        <v>3790</v>
      </c>
      <c r="C3339" s="17">
        <v>8</v>
      </c>
      <c r="D3339" s="18"/>
      <c r="E3339" s="17" t="s">
        <v>3784</v>
      </c>
      <c r="F3339" s="17"/>
      <c r="G3339" s="18"/>
      <c r="H3339" s="18"/>
    </row>
    <row r="3340" spans="1:8" ht="13.2">
      <c r="A3340" s="19" t="str">
        <f>HYPERLINK("http://codeforces.com/contest/360/problem/E","CF360-D1-E")</f>
        <v>CF360-D1-E</v>
      </c>
      <c r="B3340" s="15" t="s">
        <v>3791</v>
      </c>
      <c r="C3340" s="24">
        <v>7.75</v>
      </c>
      <c r="D3340" s="18" t="s">
        <v>3792</v>
      </c>
      <c r="E3340" s="17" t="s">
        <v>3784</v>
      </c>
      <c r="F3340" s="17" t="s">
        <v>154</v>
      </c>
      <c r="G3340" s="18"/>
      <c r="H3340" s="18"/>
    </row>
    <row r="3341" spans="1:8" ht="13.2">
      <c r="A3341" s="15" t="s">
        <v>3793</v>
      </c>
      <c r="B3341" s="28" t="s">
        <v>3794</v>
      </c>
      <c r="C3341" s="17">
        <v>7.75</v>
      </c>
      <c r="D3341" s="18"/>
      <c r="E3341" s="24" t="s">
        <v>3784</v>
      </c>
      <c r="F3341" s="17"/>
      <c r="G3341" s="18"/>
      <c r="H3341" s="18"/>
    </row>
    <row r="3342" spans="1:8" ht="13.2">
      <c r="A3342" s="15" t="s">
        <v>3795</v>
      </c>
      <c r="B3342" s="30" t="s">
        <v>3796</v>
      </c>
      <c r="C3342" s="24">
        <v>7.5</v>
      </c>
      <c r="D3342" s="18"/>
      <c r="E3342" s="17" t="s">
        <v>3784</v>
      </c>
      <c r="F3342" s="17"/>
      <c r="G3342" s="18"/>
      <c r="H3342" s="18"/>
    </row>
    <row r="3343" spans="1:8" ht="13.2">
      <c r="A3343" s="19" t="str">
        <f>HYPERLINK("http://codeforces.com/contest/827/problem/F","CF827-D12-F")</f>
        <v>CF827-D12-F</v>
      </c>
      <c r="B3343" s="15" t="s">
        <v>3791</v>
      </c>
      <c r="C3343" s="17">
        <v>7.25</v>
      </c>
      <c r="D3343" s="18"/>
      <c r="E3343" s="17" t="s">
        <v>3784</v>
      </c>
      <c r="F3343" s="17" t="s">
        <v>154</v>
      </c>
      <c r="G3343" s="18"/>
      <c r="H3343" s="18"/>
    </row>
    <row r="3344" spans="1:8" ht="13.2">
      <c r="A3344" s="19" t="str">
        <f>HYPERLINK("https://www.codechef.com/problems/CROCDILE","CODECHEF CROCDILE")</f>
        <v>CODECHEF CROCDILE</v>
      </c>
      <c r="B3344" s="18" t="s">
        <v>3797</v>
      </c>
      <c r="C3344" s="17">
        <v>7</v>
      </c>
      <c r="D3344" s="18"/>
      <c r="E3344" s="17" t="s">
        <v>3784</v>
      </c>
      <c r="F3344" s="17"/>
      <c r="G3344" s="18"/>
      <c r="H3344" s="18"/>
    </row>
    <row r="3345" spans="1:8" ht="13.2">
      <c r="A3345" s="15" t="s">
        <v>3798</v>
      </c>
      <c r="B3345" s="16" t="s">
        <v>3799</v>
      </c>
      <c r="C3345" s="17">
        <v>7</v>
      </c>
      <c r="D3345" s="18"/>
      <c r="E3345" s="17" t="s">
        <v>3784</v>
      </c>
      <c r="F3345" s="17"/>
      <c r="G3345" s="18"/>
      <c r="H3345" s="18"/>
    </row>
    <row r="3346" spans="1:8" ht="13.2">
      <c r="A3346" s="15" t="s">
        <v>3800</v>
      </c>
      <c r="B3346" s="28" t="s">
        <v>3801</v>
      </c>
      <c r="C3346" s="24">
        <v>6.75</v>
      </c>
      <c r="D3346" s="18" t="s">
        <v>3802</v>
      </c>
      <c r="E3346" s="17" t="s">
        <v>3784</v>
      </c>
      <c r="F3346" s="17"/>
      <c r="G3346" s="18"/>
      <c r="H3346" s="18"/>
    </row>
    <row r="3347" spans="1:8" ht="13.2">
      <c r="A3347" s="19" t="str">
        <f>HYPERLINK("http://codeforces.com/contest/913/problem/E","CF913-D12-E")</f>
        <v>CF913-D12-E</v>
      </c>
      <c r="B3347" s="15" t="s">
        <v>3803</v>
      </c>
      <c r="C3347" s="17">
        <v>6.5</v>
      </c>
      <c r="D3347" s="18"/>
      <c r="E3347" s="17" t="s">
        <v>3784</v>
      </c>
      <c r="F3347" s="17" t="s">
        <v>201</v>
      </c>
      <c r="G3347" s="18"/>
      <c r="H3347" s="18"/>
    </row>
    <row r="3348" spans="1:8" ht="13.2">
      <c r="A3348" s="15" t="s">
        <v>3804</v>
      </c>
      <c r="B3348" s="16" t="s">
        <v>3805</v>
      </c>
      <c r="C3348" s="17">
        <v>6.5</v>
      </c>
      <c r="D3348" s="18"/>
      <c r="E3348" s="17" t="s">
        <v>3784</v>
      </c>
      <c r="F3348" s="17" t="s">
        <v>242</v>
      </c>
      <c r="G3348" s="18"/>
      <c r="H3348" s="18"/>
    </row>
    <row r="3349" spans="1:8" ht="13.2">
      <c r="A3349" s="19" t="str">
        <f>HYPERLINK("https://onlinejudge.org/index.php?option=onlinejudge&amp;Itemid=8&amp;page=show_problem&amp;problem=1207","UVA 10266")</f>
        <v>UVA 10266</v>
      </c>
      <c r="B3349" s="28" t="s">
        <v>3806</v>
      </c>
      <c r="C3349" s="24">
        <v>6.5</v>
      </c>
      <c r="D3349" s="18"/>
      <c r="E3349" s="17" t="s">
        <v>3784</v>
      </c>
      <c r="F3349" s="17"/>
      <c r="G3349" s="18"/>
      <c r="H3349" s="18"/>
    </row>
    <row r="3350" spans="1:8" ht="13.2">
      <c r="A3350" s="19" t="str">
        <f>HYPERLINK("https://onlinejudge.org/index.php?option=onlinejudge&amp;Itemid=8&amp;page=show_problem&amp;problem=4659","UVA 12794")</f>
        <v>UVA 12794</v>
      </c>
      <c r="B3350" s="30" t="s">
        <v>3807</v>
      </c>
      <c r="C3350" s="24">
        <v>6.5</v>
      </c>
      <c r="D3350" s="18"/>
      <c r="E3350" s="17" t="s">
        <v>3784</v>
      </c>
      <c r="F3350" s="17"/>
      <c r="G3350" s="18"/>
      <c r="H3350" s="18"/>
    </row>
    <row r="3351" spans="1:8" ht="13.2">
      <c r="A3351" s="15" t="s">
        <v>3808</v>
      </c>
      <c r="B3351" s="16" t="s">
        <v>3809</v>
      </c>
      <c r="C3351" s="17">
        <v>6.5</v>
      </c>
      <c r="D3351" s="18"/>
      <c r="E3351" s="17" t="s">
        <v>3784</v>
      </c>
      <c r="F3351" s="17"/>
      <c r="G3351" s="18"/>
      <c r="H3351" s="18"/>
    </row>
    <row r="3352" spans="1:8" ht="13.2">
      <c r="A3352" s="19" t="str">
        <f>HYPERLINK("http://codeforces.com/contest/715/problem/B","CF715-D1-B")</f>
        <v>CF715-D1-B</v>
      </c>
      <c r="B3352" s="29" t="s">
        <v>3810</v>
      </c>
      <c r="C3352" s="17">
        <v>6.25</v>
      </c>
      <c r="D3352" s="18"/>
      <c r="E3352" s="17" t="s">
        <v>3784</v>
      </c>
      <c r="F3352" s="17" t="s">
        <v>201</v>
      </c>
      <c r="G3352" s="18"/>
      <c r="H3352" s="18"/>
    </row>
    <row r="3353" spans="1:8" ht="13.2">
      <c r="A3353" s="19" t="str">
        <f>HYPERLINK("http://codeforces.com/contest/141/problem/D","CF141-D2-D")</f>
        <v>CF141-D2-D</v>
      </c>
      <c r="B3353" s="29" t="s">
        <v>3811</v>
      </c>
      <c r="C3353" s="17">
        <v>6.1</v>
      </c>
      <c r="D3353" s="26" t="str">
        <f>HYPERLINK("https://github.com/mostafa-saad/MyCompetitiveProgramming/blob/master/Codeforces/CF141-D2-D.txt","Sol")</f>
        <v>Sol</v>
      </c>
      <c r="E3353" s="17" t="s">
        <v>3784</v>
      </c>
      <c r="F3353" s="17" t="s">
        <v>139</v>
      </c>
      <c r="G3353" s="18"/>
      <c r="H3353" s="18"/>
    </row>
    <row r="3354" spans="1:8" ht="13.2">
      <c r="A3354" s="15" t="s">
        <v>3812</v>
      </c>
      <c r="B3354" s="18" t="s">
        <v>3813</v>
      </c>
      <c r="C3354" s="17">
        <v>6</v>
      </c>
      <c r="D3354" s="18"/>
      <c r="E3354" s="17" t="s">
        <v>3784</v>
      </c>
      <c r="F3354" s="17" t="s">
        <v>255</v>
      </c>
      <c r="G3354" s="18"/>
      <c r="H3354" s="18"/>
    </row>
    <row r="3355" spans="1:8" ht="13.2">
      <c r="A3355" s="15" t="s">
        <v>3814</v>
      </c>
      <c r="B3355" s="30" t="s">
        <v>3815</v>
      </c>
      <c r="C3355" s="24">
        <v>6</v>
      </c>
      <c r="D3355" s="26" t="str">
        <f>HYPERLINK("https://github.com/mostafa-saad/MyCompetitiveProgramming/blob/master/UVA/UVA_11883.txt","Sol")</f>
        <v>Sol</v>
      </c>
      <c r="E3355" s="17" t="s">
        <v>3784</v>
      </c>
      <c r="F3355" s="17" t="s">
        <v>139</v>
      </c>
      <c r="G3355" s="18"/>
      <c r="H3355" s="18"/>
    </row>
    <row r="3356" spans="1:8" ht="13.2">
      <c r="A3356" s="19" t="str">
        <f>HYPERLINK("http://codeforces.com/contest/567/problem/E","CF567-D2-E")</f>
        <v>CF567-D2-E</v>
      </c>
      <c r="B3356" s="15" t="s">
        <v>3816</v>
      </c>
      <c r="C3356" s="17">
        <v>6</v>
      </c>
      <c r="D3356" s="18"/>
      <c r="E3356" s="17" t="s">
        <v>3784</v>
      </c>
      <c r="F3356" s="17" t="s">
        <v>139</v>
      </c>
      <c r="G3356" s="18"/>
      <c r="H3356" s="18"/>
    </row>
    <row r="3357" spans="1:8" ht="13.2">
      <c r="A3357" s="15" t="s">
        <v>3817</v>
      </c>
      <c r="B3357" s="28" t="s">
        <v>3796</v>
      </c>
      <c r="C3357" s="24">
        <v>6</v>
      </c>
      <c r="D3357" s="18"/>
      <c r="E3357" s="17" t="s">
        <v>3784</v>
      </c>
      <c r="F3357" s="17" t="s">
        <v>201</v>
      </c>
      <c r="G3357" s="18"/>
      <c r="H3357" s="18"/>
    </row>
    <row r="3358" spans="1:8" ht="13.2">
      <c r="A3358" s="19" t="str">
        <f>HYPERLINK("http://codeforces.com/contest/553/problem/D","CF553-D1-D")</f>
        <v>CF553-D1-D</v>
      </c>
      <c r="B3358" s="29" t="s">
        <v>3818</v>
      </c>
      <c r="C3358" s="17">
        <v>6</v>
      </c>
      <c r="D3358" s="18"/>
      <c r="E3358" s="17" t="s">
        <v>3784</v>
      </c>
      <c r="F3358" s="17" t="s">
        <v>201</v>
      </c>
      <c r="G3358" s="18"/>
      <c r="H3358" s="18"/>
    </row>
    <row r="3359" spans="1:8" ht="13.2">
      <c r="A3359" s="15" t="s">
        <v>3819</v>
      </c>
      <c r="B3359" s="35" t="s">
        <v>3820</v>
      </c>
      <c r="C3359" s="40">
        <v>6</v>
      </c>
      <c r="D3359" s="18"/>
      <c r="E3359" s="17" t="s">
        <v>3784</v>
      </c>
      <c r="F3359" s="17" t="s">
        <v>242</v>
      </c>
      <c r="G3359" s="18"/>
      <c r="H3359" s="18"/>
    </row>
    <row r="3360" spans="1:8" ht="13.2">
      <c r="A3360" s="19" t="str">
        <f>HYPERLINK("https://icpcarchive.ecs.baylor.edu/index.php?option=com_onlinejudge&amp;Itemid=8&amp;page=show_problem&amp;problem=3865", "LIVEARCHIVE 5854")</f>
        <v>LIVEARCHIVE 5854</v>
      </c>
      <c r="B3360" s="20" t="s">
        <v>3791</v>
      </c>
      <c r="C3360" s="21">
        <v>6</v>
      </c>
      <c r="D3360" s="26" t="str">
        <f>HYPERLINK("https://github.com/tmwilliamlin168/CompetitiveProgramming/blob/master/LiveArchive/5854.cpp", "Sol")</f>
        <v>Sol</v>
      </c>
      <c r="E3360" s="17" t="s">
        <v>3784</v>
      </c>
      <c r="F3360" s="17"/>
      <c r="G3360" s="18"/>
      <c r="H3360" s="18"/>
    </row>
    <row r="3361" spans="1:8" ht="13.2">
      <c r="A3361" s="15" t="s">
        <v>3821</v>
      </c>
      <c r="B3361" s="30" t="s">
        <v>3791</v>
      </c>
      <c r="C3361" s="40">
        <v>6</v>
      </c>
      <c r="D3361" s="18"/>
      <c r="E3361" s="17" t="s">
        <v>3784</v>
      </c>
      <c r="F3361" s="17"/>
      <c r="G3361" s="18"/>
      <c r="H3361" s="18"/>
    </row>
    <row r="3362" spans="1:8" ht="13.2">
      <c r="A3362" s="15" t="s">
        <v>3822</v>
      </c>
      <c r="B3362" s="28" t="s">
        <v>3806</v>
      </c>
      <c r="C3362" s="24">
        <v>6</v>
      </c>
      <c r="D3362" s="18"/>
      <c r="E3362" s="17" t="s">
        <v>3784</v>
      </c>
      <c r="F3362" s="17"/>
      <c r="G3362" s="18"/>
      <c r="H3362" s="18"/>
    </row>
    <row r="3363" spans="1:8" ht="13.2">
      <c r="A3363" s="15" t="s">
        <v>3823</v>
      </c>
      <c r="B3363" s="29" t="s">
        <v>3824</v>
      </c>
      <c r="C3363" s="17">
        <v>6</v>
      </c>
      <c r="D3363" s="18"/>
      <c r="E3363" s="17" t="s">
        <v>3784</v>
      </c>
      <c r="F3363" s="17"/>
      <c r="G3363" s="18"/>
      <c r="H3363" s="18"/>
    </row>
    <row r="3364" spans="1:8" ht="13.2">
      <c r="A3364" s="15" t="s">
        <v>3825</v>
      </c>
      <c r="B3364" s="18" t="s">
        <v>3826</v>
      </c>
      <c r="C3364" s="17">
        <v>6</v>
      </c>
      <c r="D3364" s="18"/>
      <c r="E3364" s="17" t="s">
        <v>3784</v>
      </c>
      <c r="F3364" s="17"/>
      <c r="G3364" s="18"/>
      <c r="H3364" s="18"/>
    </row>
    <row r="3365" spans="1:8" ht="13.2">
      <c r="A3365" s="15" t="s">
        <v>3827</v>
      </c>
      <c r="B3365" s="30" t="s">
        <v>3828</v>
      </c>
      <c r="C3365" s="24">
        <v>6</v>
      </c>
      <c r="D3365" s="18"/>
      <c r="E3365" s="17" t="s">
        <v>3784</v>
      </c>
      <c r="F3365" s="17"/>
      <c r="G3365" s="18"/>
      <c r="H3365" s="18"/>
    </row>
    <row r="3366" spans="1:8" ht="13.2">
      <c r="A3366" s="15" t="s">
        <v>3829</v>
      </c>
      <c r="B3366" s="18" t="s">
        <v>3791</v>
      </c>
      <c r="C3366" s="17">
        <v>5.6</v>
      </c>
      <c r="D3366" s="26" t="str">
        <f>HYPERLINK("https://github.com/ilyesG/Competitive-Programming/blob/master/TopCoder/SRM626-D2-1000.cpp","Sol")</f>
        <v>Sol</v>
      </c>
      <c r="E3366" s="17" t="s">
        <v>3784</v>
      </c>
      <c r="F3366" s="17"/>
      <c r="G3366" s="18"/>
      <c r="H3366" s="18"/>
    </row>
    <row r="3367" spans="1:8" ht="13.2">
      <c r="A3367" s="19" t="str">
        <f>HYPERLINK("http://codeforces.com/gym/101666","CF101666-gym-D")</f>
        <v>CF101666-gym-D</v>
      </c>
      <c r="B3367" s="15" t="s">
        <v>3830</v>
      </c>
      <c r="C3367" s="17">
        <v>5.5</v>
      </c>
      <c r="D3367" s="26" t="str">
        <f>HYPERLINK("https://github.com/stefdasca/CompetitiveProgramming/blob/master/Codeforces/Gym/CF101666-gym-D.cpp","Sol")</f>
        <v>Sol</v>
      </c>
      <c r="E3367" s="17" t="s">
        <v>3784</v>
      </c>
      <c r="F3367" s="17" t="s">
        <v>154</v>
      </c>
      <c r="G3367" s="18"/>
      <c r="H3367" s="18"/>
    </row>
    <row r="3368" spans="1:8" ht="13.2">
      <c r="A3368" s="15" t="s">
        <v>3831</v>
      </c>
      <c r="B3368" s="29" t="s">
        <v>3832</v>
      </c>
      <c r="C3368" s="31">
        <v>5.5</v>
      </c>
      <c r="D3368" s="26" t="str">
        <f>HYPERLINK("https://github.com/mostafa-saad/MyCompetitiveProgramming/blob/master/UVA/UVA_10740.txt","Sol")</f>
        <v>Sol</v>
      </c>
      <c r="E3368" s="17" t="s">
        <v>3784</v>
      </c>
      <c r="F3368" s="17" t="s">
        <v>154</v>
      </c>
      <c r="G3368" s="18"/>
      <c r="H3368" s="18"/>
    </row>
    <row r="3369" spans="1:8" ht="13.2">
      <c r="A3369" s="15" t="s">
        <v>3833</v>
      </c>
      <c r="B3369" s="16" t="s">
        <v>3797</v>
      </c>
      <c r="C3369" s="17">
        <v>5.5</v>
      </c>
      <c r="D3369" s="18"/>
      <c r="E3369" s="17" t="s">
        <v>3784</v>
      </c>
      <c r="F3369" s="17" t="s">
        <v>139</v>
      </c>
      <c r="G3369" s="18"/>
      <c r="H3369" s="18"/>
    </row>
    <row r="3370" spans="1:8" ht="13.2">
      <c r="A3370" s="15" t="s">
        <v>3834</v>
      </c>
      <c r="B3370" s="29" t="s">
        <v>3835</v>
      </c>
      <c r="C3370" s="17">
        <v>5.5</v>
      </c>
      <c r="D3370" s="26" t="str">
        <f>HYPERLINK("https://ideone.com/x8zpRc","Sol - read the statement clarification")</f>
        <v>Sol - read the statement clarification</v>
      </c>
      <c r="E3370" s="17" t="s">
        <v>3784</v>
      </c>
      <c r="F3370" s="17" t="s">
        <v>139</v>
      </c>
      <c r="G3370" s="18"/>
      <c r="H3370" s="18"/>
    </row>
    <row r="3371" spans="1:8" ht="13.2">
      <c r="A3371" s="19" t="str">
        <f>HYPERLINK("http://codeforces.com/problemset/gymProblem/100812/G","CF100182-GYM-G")</f>
        <v>CF100182-GYM-G</v>
      </c>
      <c r="B3371" s="15" t="s">
        <v>3836</v>
      </c>
      <c r="C3371" s="17">
        <v>5.5</v>
      </c>
      <c r="D3371" s="26" t="str">
        <f>HYPERLINK("https://github.com/mostafa-saad/MyCompetitiveProgramming/blob/master/Codeforces/CF100182-GYM-G.txt","Sol")</f>
        <v>Sol</v>
      </c>
      <c r="E3371" s="17" t="s">
        <v>3784</v>
      </c>
      <c r="F3371" s="17" t="s">
        <v>139</v>
      </c>
      <c r="G3371" s="18"/>
      <c r="H3371" s="18"/>
    </row>
    <row r="3372" spans="1:8" ht="13.2">
      <c r="A3372" s="15" t="s">
        <v>3837</v>
      </c>
      <c r="B3372" s="16" t="s">
        <v>3838</v>
      </c>
      <c r="C3372" s="17">
        <v>5.5</v>
      </c>
      <c r="D3372" s="18"/>
      <c r="E3372" s="17" t="s">
        <v>3784</v>
      </c>
      <c r="F3372" s="17"/>
      <c r="G3372" s="18"/>
      <c r="H3372" s="18"/>
    </row>
    <row r="3373" spans="1:8" ht="13.2">
      <c r="A3373" s="15" t="s">
        <v>3839</v>
      </c>
      <c r="B3373" s="30" t="s">
        <v>3840</v>
      </c>
      <c r="C3373" s="24">
        <v>5.5</v>
      </c>
      <c r="D3373" s="18"/>
      <c r="E3373" s="17" t="s">
        <v>3784</v>
      </c>
      <c r="F3373" s="17"/>
      <c r="G3373" s="18"/>
      <c r="H3373" s="18"/>
    </row>
    <row r="3374" spans="1:8" ht="13.2">
      <c r="A3374" s="19" t="str">
        <f>HYPERLINK("http://codeforces.com/contest/96/problem/D","CF96-D2-D")</f>
        <v>CF96-D2-D</v>
      </c>
      <c r="B3374" s="29" t="s">
        <v>3841</v>
      </c>
      <c r="C3374" s="17">
        <v>5.25</v>
      </c>
      <c r="D3374" s="18"/>
      <c r="E3374" s="17" t="s">
        <v>3784</v>
      </c>
      <c r="F3374" s="17" t="s">
        <v>201</v>
      </c>
      <c r="G3374" s="18"/>
      <c r="H3374" s="18"/>
    </row>
    <row r="3375" spans="1:8" ht="13.2">
      <c r="A3375" s="15" t="s">
        <v>3842</v>
      </c>
      <c r="B3375" s="29" t="s">
        <v>3791</v>
      </c>
      <c r="C3375" s="24">
        <v>5</v>
      </c>
      <c r="D3375" s="26" t="str">
        <f>HYPERLINK("https://github.com/ilyesG/Competitive-Programming/blob/master/UVA/UVA%2012047.cpp","Sol")</f>
        <v>Sol</v>
      </c>
      <c r="E3375" s="17" t="s">
        <v>3784</v>
      </c>
      <c r="F3375" s="17" t="s">
        <v>139</v>
      </c>
      <c r="G3375" s="18"/>
      <c r="H3375" s="18"/>
    </row>
    <row r="3376" spans="1:8" ht="13.2">
      <c r="A3376" s="19" t="str">
        <f>HYPERLINK("http://codeforces.com/contest/1076/problem/D","CF1076-D12-D")</f>
        <v>CF1076-D12-D</v>
      </c>
      <c r="B3376" s="20" t="s">
        <v>3791</v>
      </c>
      <c r="C3376" s="21">
        <v>5</v>
      </c>
      <c r="D3376" s="18"/>
      <c r="E3376" s="17" t="s">
        <v>3784</v>
      </c>
      <c r="F3376" s="17" t="s">
        <v>201</v>
      </c>
      <c r="G3376" s="18"/>
      <c r="H3376" s="18"/>
    </row>
    <row r="3377" spans="1:8" ht="13.2">
      <c r="A3377" s="15" t="s">
        <v>3843</v>
      </c>
      <c r="B3377" s="29" t="s">
        <v>3791</v>
      </c>
      <c r="C3377" s="17">
        <v>5</v>
      </c>
      <c r="D3377" s="26" t="str">
        <f>HYPERLINK("https://github.com/BRAINOOO/CompetitiveProgramming/blob/master/UVA/V-116/UVA%2011635.Cpp","Sol")</f>
        <v>Sol</v>
      </c>
      <c r="E3377" s="17" t="s">
        <v>3784</v>
      </c>
      <c r="F3377" s="17" t="s">
        <v>201</v>
      </c>
      <c r="G3377" s="18"/>
      <c r="H3377" s="18"/>
    </row>
    <row r="3378" spans="1:8" ht="13.2">
      <c r="A3378" s="19" t="str">
        <f>HYPERLINK("http://codeforces.com/gym/100959","CF100959-gym-I")</f>
        <v>CF100959-gym-I</v>
      </c>
      <c r="B3378" s="29" t="s">
        <v>3791</v>
      </c>
      <c r="C3378" s="31">
        <v>5</v>
      </c>
      <c r="D3378" s="18"/>
      <c r="E3378" s="17" t="s">
        <v>3784</v>
      </c>
      <c r="F3378" s="17"/>
      <c r="G3378" s="18"/>
      <c r="H3378" s="18"/>
    </row>
    <row r="3379" spans="1:8" ht="13.2">
      <c r="A3379" s="19" t="str">
        <f>HYPERLINK("http://codeforces.com/contest/450/problem/D","CF450-D2-D")</f>
        <v>CF450-D2-D</v>
      </c>
      <c r="B3379" s="55" t="s">
        <v>3791</v>
      </c>
      <c r="C3379" s="17">
        <v>5</v>
      </c>
      <c r="D3379" s="18"/>
      <c r="E3379" s="17" t="s">
        <v>3784</v>
      </c>
      <c r="F3379" s="17"/>
      <c r="G3379" s="18"/>
      <c r="H3379" s="18"/>
    </row>
    <row r="3380" spans="1:8" ht="13.2">
      <c r="A3380" s="15" t="s">
        <v>3844</v>
      </c>
      <c r="B3380" s="29" t="s">
        <v>3791</v>
      </c>
      <c r="C3380" s="17">
        <v>5</v>
      </c>
      <c r="D3380" s="26" t="str">
        <f>HYPERLINK("https://github.com/Maverick10/Competitive-Programming/blob/master/Solutions/UVa/UVa%20-%2010758.cpp","Sol")</f>
        <v>Sol</v>
      </c>
      <c r="E3380" s="17" t="s">
        <v>3784</v>
      </c>
      <c r="F3380" s="17"/>
      <c r="G3380" s="18"/>
      <c r="H3380" s="18"/>
    </row>
    <row r="3381" spans="1:8" ht="13.2">
      <c r="A3381" s="15" t="s">
        <v>3845</v>
      </c>
      <c r="B3381" s="30" t="s">
        <v>3791</v>
      </c>
      <c r="C3381" s="24">
        <v>5</v>
      </c>
      <c r="D3381" s="18"/>
      <c r="E3381" s="17" t="s">
        <v>3784</v>
      </c>
      <c r="F3381" s="17"/>
      <c r="G3381" s="18"/>
      <c r="H3381" s="18"/>
    </row>
    <row r="3382" spans="1:8" ht="13.2">
      <c r="A3382" s="15" t="s">
        <v>3846</v>
      </c>
      <c r="B3382" s="38" t="s">
        <v>3791</v>
      </c>
      <c r="C3382" s="17">
        <v>5</v>
      </c>
      <c r="D3382" s="18"/>
      <c r="E3382" s="17" t="s">
        <v>3784</v>
      </c>
      <c r="F3382" s="17"/>
      <c r="G3382" s="18"/>
      <c r="H3382" s="18"/>
    </row>
    <row r="3383" spans="1:8" ht="13.2">
      <c r="A3383" s="15" t="s">
        <v>3847</v>
      </c>
      <c r="B3383" s="28" t="s">
        <v>3797</v>
      </c>
      <c r="C3383" s="24">
        <v>5</v>
      </c>
      <c r="D3383" s="18"/>
      <c r="E3383" s="24" t="s">
        <v>3784</v>
      </c>
      <c r="F3383" s="17"/>
      <c r="G3383" s="18"/>
      <c r="H3383" s="18"/>
    </row>
    <row r="3384" spans="1:8" ht="13.2">
      <c r="A3384" s="15" t="s">
        <v>3848</v>
      </c>
      <c r="B3384" s="28" t="s">
        <v>3849</v>
      </c>
      <c r="C3384" s="24">
        <v>5</v>
      </c>
      <c r="D3384" s="26" t="str">
        <f>HYPERLINK("https://www.youtube.com/watch?v=MR5APvYis-o&amp;feature=youtu.be","Video Sol")</f>
        <v>Video Sol</v>
      </c>
      <c r="E3384" s="17" t="s">
        <v>3784</v>
      </c>
      <c r="F3384" s="17"/>
      <c r="G3384" s="18"/>
      <c r="H3384" s="18"/>
    </row>
    <row r="3385" spans="1:8" ht="13.2">
      <c r="A3385" s="15" t="s">
        <v>3850</v>
      </c>
      <c r="B3385" s="28" t="s">
        <v>3806</v>
      </c>
      <c r="C3385" s="24">
        <v>5</v>
      </c>
      <c r="D3385" s="26" t="str">
        <f>HYPERLINK("https://github.com/Maverick10/Competitive-Programming/blob/master/Solutions/UVa/UVa%20-%2012144.cpp","Sol")</f>
        <v>Sol</v>
      </c>
      <c r="E3385" s="17" t="s">
        <v>3784</v>
      </c>
      <c r="F3385" s="17"/>
      <c r="G3385" s="18"/>
      <c r="H3385" s="18"/>
    </row>
    <row r="3386" spans="1:8" ht="13.2">
      <c r="A3386" s="19" t="str">
        <f>HYPERLINK("http://codeforces.com/problemset/problem/938/D","CF938-D12-D")</f>
        <v>CF938-D12-D</v>
      </c>
      <c r="B3386" s="15" t="s">
        <v>3851</v>
      </c>
      <c r="C3386" s="17">
        <v>5</v>
      </c>
      <c r="D3386" s="18"/>
      <c r="E3386" s="17" t="s">
        <v>3784</v>
      </c>
      <c r="F3386" s="17"/>
      <c r="G3386" s="18"/>
      <c r="H3386" s="18"/>
    </row>
    <row r="3387" spans="1:8" ht="13.2">
      <c r="A3387" s="19" t="str">
        <f>HYPERLINK("http://codeforces.com/contest/507/problem/E","CF507-D2-E")</f>
        <v>CF507-D2-E</v>
      </c>
      <c r="B3387" s="29" t="s">
        <v>3852</v>
      </c>
      <c r="C3387" s="31">
        <v>5</v>
      </c>
      <c r="D3387" s="18"/>
      <c r="E3387" s="17" t="s">
        <v>3784</v>
      </c>
      <c r="F3387" s="17"/>
      <c r="G3387" s="18"/>
      <c r="H3387" s="18"/>
    </row>
    <row r="3388" spans="1:8" ht="13.2">
      <c r="A3388" s="19" t="str">
        <f>HYPERLINK("http://arc064.contest.atcoder.jp/tasks/arc064_c","AtCoder064-ARC-C")</f>
        <v>AtCoder064-ARC-C</v>
      </c>
      <c r="B3388" s="29" t="s">
        <v>3853</v>
      </c>
      <c r="C3388" s="17">
        <v>5</v>
      </c>
      <c r="D3388" s="18"/>
      <c r="E3388" s="17" t="s">
        <v>3784</v>
      </c>
      <c r="F3388" s="17"/>
      <c r="G3388" s="18"/>
      <c r="H3388" s="18"/>
    </row>
    <row r="3389" spans="1:8" ht="13.2">
      <c r="A3389" s="19" t="str">
        <f>HYPERLINK("http://www.spoj.com/problems/MELE3/","SPOJ MELE3")</f>
        <v>SPOJ MELE3</v>
      </c>
      <c r="B3389" s="29" t="s">
        <v>3791</v>
      </c>
      <c r="C3389" s="17">
        <v>4.5</v>
      </c>
      <c r="D3389" s="26" t="str">
        <f>HYPERLINK("https://github.com/VAMPIER000001/CompetitiveProgramming/blob/a5d714fa4de45e50f87306d421ec6c3c02026f76/Spoj/SPOJ%20MELE3.Cpp","Sol")</f>
        <v>Sol</v>
      </c>
      <c r="E3389" s="17" t="s">
        <v>3784</v>
      </c>
      <c r="F3389" s="17" t="s">
        <v>229</v>
      </c>
      <c r="G3389" s="18"/>
      <c r="H3389" s="18"/>
    </row>
    <row r="3390" spans="1:8" ht="13.2">
      <c r="A3390" s="19" t="str">
        <f>HYPERLINK("http://www.spoj.com/problems/ROADS/en/","SPOJ ROADS")</f>
        <v>SPOJ ROADS</v>
      </c>
      <c r="B3390" s="29" t="s">
        <v>3797</v>
      </c>
      <c r="C3390" s="17">
        <v>4.5</v>
      </c>
      <c r="D3390" s="26" t="str">
        <f>HYPERLINK("https://github.com/mostafa-saad/MyCompetitiveProgramming/blob/master/SPOJ/SPOJ_ROADS.txt","Sol")</f>
        <v>Sol</v>
      </c>
      <c r="E3390" s="17" t="s">
        <v>3784</v>
      </c>
      <c r="F3390" s="17" t="s">
        <v>139</v>
      </c>
      <c r="G3390" s="18"/>
      <c r="H3390" s="18"/>
    </row>
    <row r="3391" spans="1:8" ht="13.2">
      <c r="A3391" s="19" t="str">
        <f>HYPERLINK("http://codeforces.com/contest/144/problem/D","CF144-D2-D")</f>
        <v>CF144-D2-D</v>
      </c>
      <c r="B3391" s="15" t="s">
        <v>3791</v>
      </c>
      <c r="C3391" s="17">
        <v>4.5</v>
      </c>
      <c r="D3391" s="18"/>
      <c r="E3391" s="17" t="s">
        <v>3784</v>
      </c>
      <c r="F3391" s="17" t="s">
        <v>201</v>
      </c>
      <c r="G3391" s="18"/>
      <c r="H3391" s="18"/>
    </row>
    <row r="3392" spans="1:8" ht="13.2">
      <c r="A3392" s="15" t="s">
        <v>3854</v>
      </c>
      <c r="B3392" s="30" t="s">
        <v>3855</v>
      </c>
      <c r="C3392" s="31">
        <v>4.5</v>
      </c>
      <c r="D3392" s="18"/>
      <c r="E3392" s="17" t="s">
        <v>3784</v>
      </c>
      <c r="F3392" s="17" t="s">
        <v>242</v>
      </c>
      <c r="G3392" s="18"/>
      <c r="H3392" s="18"/>
    </row>
    <row r="3393" spans="1:8" ht="13.2">
      <c r="A3393" s="15" t="s">
        <v>3856</v>
      </c>
      <c r="B3393" s="30" t="s">
        <v>3791</v>
      </c>
      <c r="C3393" s="24">
        <v>4.5</v>
      </c>
      <c r="D3393" s="18"/>
      <c r="E3393" s="17" t="s">
        <v>3784</v>
      </c>
      <c r="F3393" s="17"/>
      <c r="G3393" s="18"/>
      <c r="H3393" s="18"/>
    </row>
    <row r="3394" spans="1:8" ht="13.2">
      <c r="A3394" s="19" t="str">
        <f>HYPERLINK("https://uva.onlinejudge.org/index.php?option=onlinejudge&amp;page=show_problem&amp;problem=1742","UVA 10801")</f>
        <v>UVA 10801</v>
      </c>
      <c r="B3394" s="29" t="s">
        <v>3791</v>
      </c>
      <c r="C3394" s="17">
        <v>4.5</v>
      </c>
      <c r="D3394" s="18"/>
      <c r="E3394" s="17" t="s">
        <v>3784</v>
      </c>
      <c r="F3394" s="17"/>
      <c r="G3394" s="18"/>
      <c r="H3394" s="18"/>
    </row>
    <row r="3395" spans="1:8" ht="13.2">
      <c r="A3395" s="19" t="str">
        <f>HYPERLINK("https://uva.onlinejudge.org/index.php?option=com_onlinejudge&amp;Itemid=8&amp;page=show_problem&amp;problem=277","UVA 341")</f>
        <v>UVA 341</v>
      </c>
      <c r="B3395" s="18" t="s">
        <v>3857</v>
      </c>
      <c r="C3395" s="17">
        <v>4.5</v>
      </c>
      <c r="D3395" s="18"/>
      <c r="E3395" s="17" t="s">
        <v>3784</v>
      </c>
      <c r="F3395" s="17"/>
      <c r="G3395" s="18"/>
      <c r="H3395" s="18"/>
    </row>
    <row r="3396" spans="1:8" ht="13.2">
      <c r="A3396" s="19" t="str">
        <f>HYPERLINK("https://uva.onlinejudge.org/index.php?option=com_onlinejudge&amp;Itemid=8&amp;page=show_problem&amp;problem=370","UVA 429")</f>
        <v>UVA 429</v>
      </c>
      <c r="B3396" s="18" t="s">
        <v>3857</v>
      </c>
      <c r="C3396" s="17">
        <v>4.5</v>
      </c>
      <c r="D3396" s="18"/>
      <c r="E3396" s="17" t="s">
        <v>3784</v>
      </c>
      <c r="F3396" s="17"/>
      <c r="G3396" s="18"/>
      <c r="H3396" s="18"/>
    </row>
    <row r="3397" spans="1:8" ht="13.2">
      <c r="A3397" s="15" t="s">
        <v>3858</v>
      </c>
      <c r="B3397" s="28" t="s">
        <v>3806</v>
      </c>
      <c r="C3397" s="17">
        <v>4.5</v>
      </c>
      <c r="D3397" s="18"/>
      <c r="E3397" s="17" t="s">
        <v>3784</v>
      </c>
      <c r="F3397" s="17"/>
      <c r="G3397" s="18"/>
      <c r="H3397" s="18"/>
    </row>
    <row r="3398" spans="1:8" ht="13.2">
      <c r="A3398" s="19" t="str">
        <f>HYPERLINK("http://www.spoj.com/problems/GONDOR/","SPOJ GONDOR")</f>
        <v>SPOJ GONDOR</v>
      </c>
      <c r="B3398" s="18" t="s">
        <v>3859</v>
      </c>
      <c r="C3398" s="17">
        <v>4.5</v>
      </c>
      <c r="D3398" s="26" t="str">
        <f>HYPERLINK("https://github.com/VAMPIER000001/CompetitiveProgramming/blob/master/Spoj/SPOJ%20GONDOR.Cpp","Sol")</f>
        <v>Sol</v>
      </c>
      <c r="E3398" s="17" t="s">
        <v>3784</v>
      </c>
      <c r="F3398" s="17"/>
      <c r="G3398" s="18"/>
      <c r="H3398" s="18"/>
    </row>
    <row r="3399" spans="1:8" ht="13.2">
      <c r="A3399" s="19" t="str">
        <f>HYPERLINK("https://www.codechef.com/problems/CLIQUED","Codechef CLIQUED")</f>
        <v>Codechef CLIQUED</v>
      </c>
      <c r="B3399" s="20" t="s">
        <v>3791</v>
      </c>
      <c r="C3399" s="17">
        <v>4</v>
      </c>
      <c r="D3399" s="18"/>
      <c r="E3399" s="17" t="s">
        <v>3784</v>
      </c>
      <c r="F3399" s="17" t="s">
        <v>139</v>
      </c>
      <c r="G3399" s="18"/>
      <c r="H3399" s="18"/>
    </row>
    <row r="3400" spans="1:8" ht="13.2">
      <c r="A3400" s="19" t="str">
        <f>HYPERLINK("https://www.hackerrank.com/challenges/synchronous-shopping","HACKER synchronous-shopping")</f>
        <v>HACKER synchronous-shopping</v>
      </c>
      <c r="B3400" s="29" t="s">
        <v>3791</v>
      </c>
      <c r="C3400" s="17">
        <v>4</v>
      </c>
      <c r="D3400" s="18"/>
      <c r="E3400" s="17" t="s">
        <v>3784</v>
      </c>
      <c r="F3400" s="17"/>
      <c r="G3400" s="18"/>
      <c r="H3400" s="18"/>
    </row>
    <row r="3401" spans="1:8" ht="13.2">
      <c r="A3401" s="15" t="s">
        <v>3860</v>
      </c>
      <c r="B3401" s="29" t="s">
        <v>3791</v>
      </c>
      <c r="C3401" s="33">
        <v>4</v>
      </c>
      <c r="D3401" s="18"/>
      <c r="E3401" s="17" t="s">
        <v>3784</v>
      </c>
      <c r="F3401" s="17"/>
      <c r="G3401" s="18"/>
      <c r="H3401" s="18"/>
    </row>
    <row r="3402" spans="1:8" ht="13.2">
      <c r="A3402" s="15" t="s">
        <v>3861</v>
      </c>
      <c r="B3402" s="15" t="s">
        <v>3791</v>
      </c>
      <c r="C3402" s="24">
        <v>4</v>
      </c>
      <c r="D3402" s="18"/>
      <c r="E3402" s="17" t="s">
        <v>3784</v>
      </c>
      <c r="F3402" s="17"/>
      <c r="G3402" s="18"/>
      <c r="H3402" s="18"/>
    </row>
    <row r="3403" spans="1:8" ht="13.2">
      <c r="A3403" s="19" t="str">
        <f>HYPERLINK("https://uva.onlinejudge.org/index.php?option=com_onlinejudge&amp;Itemid=8&amp;page=show_problem&amp;problem=703","UVA 762")</f>
        <v>UVA 762</v>
      </c>
      <c r="B3403" s="18" t="s">
        <v>3862</v>
      </c>
      <c r="C3403" s="17">
        <v>4</v>
      </c>
      <c r="D3403" s="18"/>
      <c r="E3403" s="17" t="s">
        <v>3784</v>
      </c>
      <c r="F3403" s="17"/>
      <c r="G3403" s="18"/>
      <c r="H3403" s="18"/>
    </row>
    <row r="3404" spans="1:8" ht="13.2">
      <c r="A3404" s="15" t="s">
        <v>3863</v>
      </c>
      <c r="B3404" s="18" t="s">
        <v>3864</v>
      </c>
      <c r="C3404" s="17">
        <v>4</v>
      </c>
      <c r="D3404" s="26" t="str">
        <f>HYPERLINK("https://github.com/magdy-hasan/competitive-programming/blob/master/uva-/uva%2011813%20-%20Shopping.cpp","Sol")</f>
        <v>Sol</v>
      </c>
      <c r="E3404" s="17" t="s">
        <v>3784</v>
      </c>
      <c r="F3404" s="17"/>
      <c r="G3404" s="18"/>
      <c r="H3404" s="18"/>
    </row>
    <row r="3405" spans="1:8" ht="13.2">
      <c r="A3405" s="15" t="s">
        <v>3865</v>
      </c>
      <c r="B3405" s="28" t="s">
        <v>3866</v>
      </c>
      <c r="C3405" s="33">
        <v>4</v>
      </c>
      <c r="D3405" s="26" t="str">
        <f>HYPERLINK("https://github.com/AbdelrahmanRamadan/competitive-programming/blob/master/Topcoder/SRM368%20Jumping%20Board.cpp","Sol")</f>
        <v>Sol</v>
      </c>
      <c r="E3405" s="17" t="s">
        <v>3784</v>
      </c>
      <c r="F3405" s="17"/>
      <c r="G3405" s="18"/>
      <c r="H3405" s="18"/>
    </row>
    <row r="3406" spans="1:8" ht="13.2">
      <c r="A3406" s="15" t="s">
        <v>3867</v>
      </c>
      <c r="B3406" s="30" t="s">
        <v>3868</v>
      </c>
      <c r="C3406" s="33">
        <v>4</v>
      </c>
      <c r="D3406" s="18"/>
      <c r="E3406" s="17" t="s">
        <v>3784</v>
      </c>
      <c r="F3406" s="17"/>
      <c r="G3406" s="18"/>
      <c r="H3406" s="18"/>
    </row>
    <row r="3407" spans="1:8" ht="13.2">
      <c r="A3407" s="19" t="str">
        <f>HYPERLINK("http://www.spoj.com/problems/HIGHWAYS/","SPOJ HIGHWAYS")</f>
        <v>SPOJ HIGHWAYS</v>
      </c>
      <c r="B3407" s="29" t="s">
        <v>3791</v>
      </c>
      <c r="C3407" s="17">
        <v>3.5</v>
      </c>
      <c r="D3407" s="18"/>
      <c r="E3407" s="17" t="s">
        <v>3784</v>
      </c>
      <c r="F3407" s="17"/>
      <c r="G3407" s="18"/>
      <c r="H3407" s="18"/>
    </row>
    <row r="3408" spans="1:8" ht="13.2">
      <c r="A3408" s="15" t="s">
        <v>3869</v>
      </c>
      <c r="B3408" s="28" t="s">
        <v>3870</v>
      </c>
      <c r="C3408" s="17">
        <v>3.5</v>
      </c>
      <c r="D3408" s="18"/>
      <c r="E3408" s="17" t="s">
        <v>3784</v>
      </c>
      <c r="F3408" s="17"/>
      <c r="G3408" s="18"/>
      <c r="H3408" s="18"/>
    </row>
    <row r="3409" spans="1:8" ht="13.2">
      <c r="A3409" s="19" t="str">
        <f>HYPERLINK("http://www.spoj.com/problems/SHOP/","SPOJ SHOP")</f>
        <v>SPOJ SHOP</v>
      </c>
      <c r="B3409" s="29" t="s">
        <v>3791</v>
      </c>
      <c r="C3409" s="17">
        <v>3</v>
      </c>
      <c r="D3409" s="18"/>
      <c r="E3409" s="17" t="s">
        <v>3784</v>
      </c>
      <c r="F3409" s="17"/>
      <c r="G3409" s="18"/>
      <c r="H3409" s="18"/>
    </row>
    <row r="3410" spans="1:8" ht="13.2">
      <c r="A3410" s="19" t="str">
        <f>HYPERLINK("https://uva.onlinejudge.org/index.php?option=com_onlinejudge&amp;Itemid=8&amp;page=show_problem&amp;problem=1927","UVA 10986")</f>
        <v>UVA 10986</v>
      </c>
      <c r="B3410" s="29" t="s">
        <v>3791</v>
      </c>
      <c r="C3410" s="17">
        <v>3</v>
      </c>
      <c r="D3410" s="18"/>
      <c r="E3410" s="17" t="s">
        <v>3784</v>
      </c>
      <c r="F3410" s="17"/>
      <c r="G3410" s="18"/>
      <c r="H3410" s="18"/>
    </row>
    <row r="3411" spans="1:8" ht="13.2">
      <c r="A3411" s="15" t="s">
        <v>3871</v>
      </c>
      <c r="B3411" s="30" t="s">
        <v>3791</v>
      </c>
      <c r="C3411" s="24">
        <v>3</v>
      </c>
      <c r="D3411" s="18"/>
      <c r="E3411" s="17" t="s">
        <v>3784</v>
      </c>
      <c r="F3411" s="17"/>
      <c r="G3411" s="18"/>
      <c r="H3411" s="18"/>
    </row>
    <row r="3412" spans="1:8" ht="13.2">
      <c r="A3412" s="15" t="s">
        <v>3872</v>
      </c>
      <c r="B3412" s="28" t="s">
        <v>3862</v>
      </c>
      <c r="C3412" s="40">
        <v>3</v>
      </c>
      <c r="D3412" s="18"/>
      <c r="E3412" s="17" t="s">
        <v>3784</v>
      </c>
      <c r="F3412" s="17"/>
      <c r="G3412" s="18"/>
      <c r="H3412" s="18"/>
    </row>
    <row r="3413" spans="1:8" ht="13.2">
      <c r="A3413" s="15" t="s">
        <v>3873</v>
      </c>
      <c r="B3413" s="28" t="s">
        <v>3874</v>
      </c>
      <c r="C3413" s="24">
        <v>3</v>
      </c>
      <c r="D3413" s="18"/>
      <c r="E3413" s="17" t="s">
        <v>3784</v>
      </c>
      <c r="F3413" s="17"/>
      <c r="G3413" s="18"/>
      <c r="H3413" s="18"/>
    </row>
    <row r="3414" spans="1:8" ht="13.2">
      <c r="A3414" s="15" t="s">
        <v>3875</v>
      </c>
      <c r="B3414" s="30" t="s">
        <v>3791</v>
      </c>
      <c r="C3414" s="24">
        <v>2</v>
      </c>
      <c r="D3414" s="18"/>
      <c r="E3414" s="17" t="s">
        <v>3784</v>
      </c>
      <c r="F3414" s="17"/>
      <c r="G3414" s="18"/>
      <c r="H3414" s="18"/>
    </row>
    <row r="3415" spans="1:8" ht="13.2">
      <c r="A3415" s="15" t="s">
        <v>3876</v>
      </c>
      <c r="B3415" s="30" t="s">
        <v>3791</v>
      </c>
      <c r="C3415" s="24">
        <v>2</v>
      </c>
      <c r="D3415" s="18"/>
      <c r="E3415" s="17" t="s">
        <v>3784</v>
      </c>
      <c r="F3415" s="17"/>
      <c r="G3415" s="18"/>
      <c r="H3415" s="18"/>
    </row>
    <row r="3416" spans="1:8" ht="13.2">
      <c r="A3416" s="15" t="s">
        <v>3877</v>
      </c>
      <c r="B3416" s="29" t="s">
        <v>3878</v>
      </c>
      <c r="C3416" s="17">
        <v>2</v>
      </c>
      <c r="D3416" s="18"/>
      <c r="E3416" s="17" t="s">
        <v>3784</v>
      </c>
      <c r="F3416" s="17"/>
      <c r="G3416" s="18"/>
      <c r="H3416" s="18"/>
    </row>
    <row r="3417" spans="1:8" ht="13.2">
      <c r="A3417" s="15" t="s">
        <v>3879</v>
      </c>
      <c r="B3417" s="29" t="s">
        <v>3880</v>
      </c>
      <c r="C3417" s="24">
        <v>2</v>
      </c>
      <c r="D3417" s="18"/>
      <c r="E3417" s="17" t="s">
        <v>3784</v>
      </c>
      <c r="F3417" s="17"/>
      <c r="G3417" s="18"/>
      <c r="H3417" s="18"/>
    </row>
    <row r="3418" spans="1:8" ht="13.2">
      <c r="A3418" s="15" t="s">
        <v>3881</v>
      </c>
      <c r="B3418" s="16" t="s">
        <v>3882</v>
      </c>
      <c r="C3418" s="17">
        <v>8.5</v>
      </c>
      <c r="D3418" s="18"/>
      <c r="E3418" s="17" t="s">
        <v>3883</v>
      </c>
      <c r="F3418" s="17"/>
      <c r="G3418" s="18"/>
      <c r="H3418" s="18"/>
    </row>
    <row r="3419" spans="1:8" ht="13.2">
      <c r="A3419" s="19" t="str">
        <f>HYPERLINK("http://codeforces.com/contest/444/problem/E","CF444-D1-E")</f>
        <v>CF444-D1-E</v>
      </c>
      <c r="B3419" s="15" t="s">
        <v>3884</v>
      </c>
      <c r="C3419" s="24">
        <v>8</v>
      </c>
      <c r="D3419" s="18"/>
      <c r="E3419" s="17" t="s">
        <v>3883</v>
      </c>
      <c r="F3419" s="17" t="s">
        <v>139</v>
      </c>
      <c r="G3419" s="18"/>
      <c r="H3419" s="18"/>
    </row>
    <row r="3420" spans="1:8" ht="13.2">
      <c r="A3420" s="19" t="str">
        <f>HYPERLINK("http://codeforces.com/contest/36/problem/E","CF36-D12-E")</f>
        <v>CF36-D12-E</v>
      </c>
      <c r="B3420" s="29" t="s">
        <v>3885</v>
      </c>
      <c r="C3420" s="17">
        <v>8</v>
      </c>
      <c r="D3420" s="18"/>
      <c r="E3420" s="17" t="s">
        <v>3883</v>
      </c>
      <c r="F3420" s="17"/>
      <c r="G3420" s="18"/>
      <c r="H3420" s="18"/>
    </row>
    <row r="3421" spans="1:8" ht="13.2">
      <c r="A3421" s="19" t="str">
        <f>HYPERLINK("http://codeforces.com/contest/46/problem/F","CF46-D12-F")</f>
        <v>CF46-D12-F</v>
      </c>
      <c r="B3421" s="29" t="s">
        <v>3886</v>
      </c>
      <c r="C3421" s="17">
        <v>7.5</v>
      </c>
      <c r="D3421" s="18"/>
      <c r="E3421" s="17" t="s">
        <v>3883</v>
      </c>
      <c r="F3421" s="17"/>
      <c r="G3421" s="18"/>
      <c r="H3421" s="18"/>
    </row>
    <row r="3422" spans="1:8" ht="13.2">
      <c r="A3422" s="19" t="str">
        <f>HYPERLINK("http://codeforces.com/contest/92/problem/E","CF92-D2-E")</f>
        <v>CF92-D2-E</v>
      </c>
      <c r="B3422" s="15" t="s">
        <v>3887</v>
      </c>
      <c r="C3422" s="24">
        <v>7.3</v>
      </c>
      <c r="D3422" s="18"/>
      <c r="E3422" s="17" t="s">
        <v>3883</v>
      </c>
      <c r="F3422" s="17"/>
      <c r="G3422" s="18"/>
      <c r="H3422" s="18"/>
    </row>
    <row r="3423" spans="1:8" ht="13.2">
      <c r="A3423" s="19" t="str">
        <f>HYPERLINK("https://codeforces.com/contest/1236/problem/E","CF1236-D2-E")</f>
        <v>CF1236-D2-E</v>
      </c>
      <c r="B3423" s="15" t="s">
        <v>3888</v>
      </c>
      <c r="C3423" s="17">
        <v>7.1</v>
      </c>
      <c r="D3423" s="18"/>
      <c r="E3423" s="17" t="s">
        <v>3883</v>
      </c>
      <c r="F3423" s="17" t="s">
        <v>154</v>
      </c>
      <c r="G3423" s="18"/>
      <c r="H3423" s="18"/>
    </row>
    <row r="3424" spans="1:8" ht="13.2">
      <c r="A3424" s="19" t="str">
        <f>HYPERLINK("http://codeforces.com/contest/875/problem/F","CF875-D1-F")</f>
        <v>CF875-D1-F</v>
      </c>
      <c r="B3424" s="15" t="s">
        <v>3889</v>
      </c>
      <c r="C3424" s="17">
        <v>7</v>
      </c>
      <c r="D3424" s="18"/>
      <c r="E3424" s="17" t="s">
        <v>3883</v>
      </c>
      <c r="F3424" s="17" t="s">
        <v>139</v>
      </c>
      <c r="G3424" s="18"/>
      <c r="H3424" s="18"/>
    </row>
    <row r="3425" spans="1:8" ht="13.2">
      <c r="A3425" s="19" t="str">
        <f>HYPERLINK("http://codeforces.com/contest/87/problem/D","CF87-D1-D")</f>
        <v>CF87-D1-D</v>
      </c>
      <c r="B3425" s="20" t="s">
        <v>3890</v>
      </c>
      <c r="C3425" s="21">
        <v>7</v>
      </c>
      <c r="D3425" s="18"/>
      <c r="E3425" s="17" t="s">
        <v>3883</v>
      </c>
      <c r="F3425" s="17" t="s">
        <v>139</v>
      </c>
      <c r="G3425" s="18"/>
      <c r="H3425" s="18"/>
    </row>
    <row r="3426" spans="1:8" ht="13.2">
      <c r="A3426" s="19" t="str">
        <f>HYPERLINK("https://codeforces.com/gym/101194/problem/G","CF101194-GYM-G")</f>
        <v>CF101194-GYM-G</v>
      </c>
      <c r="B3426" s="15" t="s">
        <v>3891</v>
      </c>
      <c r="C3426" s="17">
        <v>7</v>
      </c>
      <c r="D3426" s="26" t="str">
        <f>HYPERLINK("https://github.com/nya-nya-meow/CompetitiveProgramming/blob/master/CodeForces/CF101194-GYM-G%20-%20Pandaria.cpp","Sol")</f>
        <v>Sol</v>
      </c>
      <c r="E3426" s="17" t="s">
        <v>3883</v>
      </c>
      <c r="F3426" s="17" t="s">
        <v>139</v>
      </c>
      <c r="G3426" s="18"/>
      <c r="H3426" s="18"/>
    </row>
    <row r="3427" spans="1:8" ht="13.2">
      <c r="A3427" s="19" t="str">
        <f>HYPERLINK("https://www.e-olymp.com/en/problems/3077","Eolymp 3077")</f>
        <v>Eolymp 3077</v>
      </c>
      <c r="B3427" s="38" t="s">
        <v>3892</v>
      </c>
      <c r="C3427" s="17">
        <v>7</v>
      </c>
      <c r="D3427" s="18"/>
      <c r="E3427" s="17" t="s">
        <v>3883</v>
      </c>
      <c r="F3427" s="17" t="s">
        <v>201</v>
      </c>
      <c r="G3427" s="18"/>
      <c r="H3427" s="18"/>
    </row>
    <row r="3428" spans="1:8" ht="13.2">
      <c r="A3428" s="15" t="s">
        <v>3893</v>
      </c>
      <c r="B3428" s="30" t="s">
        <v>3886</v>
      </c>
      <c r="C3428" s="54">
        <v>7</v>
      </c>
      <c r="D3428" s="18"/>
      <c r="E3428" s="17" t="s">
        <v>3883</v>
      </c>
      <c r="F3428" s="17"/>
      <c r="G3428" s="18"/>
      <c r="H3428" s="18"/>
    </row>
    <row r="3429" spans="1:8" ht="13.2">
      <c r="A3429" s="15" t="s">
        <v>3894</v>
      </c>
      <c r="B3429" s="30" t="s">
        <v>3886</v>
      </c>
      <c r="C3429" s="24">
        <v>7</v>
      </c>
      <c r="D3429" s="18"/>
      <c r="E3429" s="17" t="s">
        <v>3883</v>
      </c>
      <c r="F3429" s="17"/>
      <c r="G3429" s="18"/>
      <c r="H3429" s="18"/>
    </row>
    <row r="3430" spans="1:8" ht="13.2">
      <c r="A3430" s="19" t="str">
        <f>HYPERLINK("http://codeforces.com/contest/687/problem/D","CF687-D1-D")</f>
        <v>CF687-D1-D</v>
      </c>
      <c r="B3430" s="15" t="s">
        <v>3895</v>
      </c>
      <c r="C3430" s="24">
        <v>7</v>
      </c>
      <c r="D3430" s="18"/>
      <c r="E3430" s="17" t="s">
        <v>3883</v>
      </c>
      <c r="F3430" s="17"/>
      <c r="G3430" s="18"/>
      <c r="H3430" s="18"/>
    </row>
    <row r="3431" spans="1:8" ht="13.2">
      <c r="A3431" s="19" t="str">
        <f>HYPERLINK("http://codeforces.com/contest/156/problem/D","CF156-D1-D")</f>
        <v>CF156-D1-D</v>
      </c>
      <c r="B3431" s="15" t="s">
        <v>3896</v>
      </c>
      <c r="C3431" s="24">
        <v>7</v>
      </c>
      <c r="D3431" s="18"/>
      <c r="E3431" s="17" t="s">
        <v>3883</v>
      </c>
      <c r="F3431" s="17"/>
      <c r="G3431" s="18"/>
      <c r="H3431" s="18"/>
    </row>
    <row r="3432" spans="1:8" ht="13.2">
      <c r="A3432" s="19" t="str">
        <f>HYPERLINK("http://codeforces.com/contest/884/problem/E","CF884-D12-E")</f>
        <v>CF884-D12-E</v>
      </c>
      <c r="B3432" s="15" t="s">
        <v>3897</v>
      </c>
      <c r="C3432" s="17">
        <v>6.5</v>
      </c>
      <c r="D3432" s="18"/>
      <c r="E3432" s="17" t="s">
        <v>3883</v>
      </c>
      <c r="F3432" s="17" t="s">
        <v>154</v>
      </c>
      <c r="G3432" s="18"/>
      <c r="H3432" s="18"/>
    </row>
    <row r="3433" spans="1:8" ht="13.2">
      <c r="A3433" s="19" t="str">
        <f>HYPERLINK("https://codeforces.com/contest/1166/problem/F","CF1166-D2-F")</f>
        <v>CF1166-D2-F</v>
      </c>
      <c r="B3433" s="15" t="s">
        <v>3898</v>
      </c>
      <c r="C3433" s="17">
        <v>6.5</v>
      </c>
      <c r="D3433" s="18"/>
      <c r="E3433" s="17" t="s">
        <v>3883</v>
      </c>
      <c r="F3433" s="17" t="s">
        <v>139</v>
      </c>
      <c r="G3433" s="18"/>
      <c r="H3433" s="18"/>
    </row>
    <row r="3434" spans="1:8" ht="13.2">
      <c r="A3434" s="19" t="str">
        <f>HYPERLINK("https://agc012.contest.atcoder.jp/tasks/agc012_d","AtCoder012-AGC-D")</f>
        <v>AtCoder012-AGC-D</v>
      </c>
      <c r="B3434" s="15" t="s">
        <v>3899</v>
      </c>
      <c r="C3434" s="17">
        <v>6.5</v>
      </c>
      <c r="D3434" s="26" t="str">
        <f>HYPERLINK("https://github.com/MetalBall887/Competitive-Programming/blob/master/AtCoder/AtCoder012-AGC-D.cpp","Sol")</f>
        <v>Sol</v>
      </c>
      <c r="E3434" s="17" t="s">
        <v>3883</v>
      </c>
      <c r="F3434" s="17" t="s">
        <v>139</v>
      </c>
      <c r="G3434" s="18"/>
      <c r="H3434" s="18"/>
    </row>
    <row r="3435" spans="1:8" ht="13.2">
      <c r="A3435" s="19" t="str">
        <f>HYPERLINK("http://codeforces.com/contest/1074/problem/D","CF1075-D2-F")</f>
        <v>CF1075-D2-F</v>
      </c>
      <c r="B3435" s="20" t="s">
        <v>3900</v>
      </c>
      <c r="C3435" s="21">
        <v>6.5</v>
      </c>
      <c r="D3435" s="18"/>
      <c r="E3435" s="17" t="s">
        <v>3883</v>
      </c>
      <c r="F3435" s="17" t="s">
        <v>139</v>
      </c>
      <c r="G3435" s="18"/>
      <c r="H3435" s="18"/>
    </row>
    <row r="3436" spans="1:8" ht="13.2">
      <c r="A3436" s="19" t="str">
        <f>HYPERLINK("http://codeforces.com/contest/60/problem/D","CF60-D12-D")</f>
        <v>CF60-D12-D</v>
      </c>
      <c r="B3436" s="15" t="s">
        <v>3901</v>
      </c>
      <c r="C3436" s="24">
        <v>6.5</v>
      </c>
      <c r="D3436" s="26" t="str">
        <f>HYPERLINK("https://github.com/farmerboy95/CompetitiveProgramming/blob/master/Codeforces/CF60-D12-D.cpp","sol (not as editorial)")</f>
        <v>sol (not as editorial)</v>
      </c>
      <c r="E3436" s="17" t="s">
        <v>3883</v>
      </c>
      <c r="F3436" s="17" t="s">
        <v>139</v>
      </c>
      <c r="G3436" s="18"/>
      <c r="H3436" s="18"/>
    </row>
    <row r="3437" spans="1:8" ht="13.2">
      <c r="A3437" s="19" t="str">
        <f>HYPERLINK("https://www.hackerrank.com/contests/world-codesprint-13/challenges/landslide", "HACKR landslide")</f>
        <v>HACKR landslide</v>
      </c>
      <c r="B3437" s="20" t="s">
        <v>3902</v>
      </c>
      <c r="C3437" s="21">
        <v>6.5</v>
      </c>
      <c r="D3437" s="26" t="str">
        <f>HYPERLINK("https://github.com/tmwilliamlin168/CompetitiveProgramming/blob/master/Hackerrank/landslide.cpp", "Sol")</f>
        <v>Sol</v>
      </c>
      <c r="E3437" s="17" t="s">
        <v>3883</v>
      </c>
      <c r="F3437" s="17"/>
      <c r="G3437" s="18"/>
      <c r="H3437" s="18"/>
    </row>
    <row r="3438" spans="1:8" ht="13.2">
      <c r="A3438" s="19" t="str">
        <f>HYPERLINK("http://codeforces.com/contest/723/problem/F","CF723-D2-F")</f>
        <v>CF723-D2-F</v>
      </c>
      <c r="B3438" s="29" t="s">
        <v>3903</v>
      </c>
      <c r="C3438" s="24">
        <v>6.5</v>
      </c>
      <c r="D3438" s="18"/>
      <c r="E3438" s="17" t="s">
        <v>3883</v>
      </c>
      <c r="F3438" s="17"/>
      <c r="G3438" s="18"/>
      <c r="H3438" s="18"/>
    </row>
    <row r="3439" spans="1:8" ht="13.2">
      <c r="A3439" s="19" t="str">
        <f>HYPERLINK("http://codeforces.com/contest/160/problem/D","CF160-D2-D")</f>
        <v>CF160-D2-D</v>
      </c>
      <c r="B3439" s="29" t="s">
        <v>3904</v>
      </c>
      <c r="C3439" s="17">
        <v>6.3</v>
      </c>
      <c r="D3439" s="18"/>
      <c r="E3439" s="17" t="s">
        <v>3883</v>
      </c>
      <c r="F3439" s="17" t="s">
        <v>173</v>
      </c>
      <c r="G3439" s="18"/>
      <c r="H3439" s="18"/>
    </row>
    <row r="3440" spans="1:8" ht="13.2">
      <c r="A3440" s="19" t="str">
        <f>HYPERLINK("http://codeforces.com/contest/915/problem/F","CF915-D12-F")</f>
        <v>CF915-D12-F</v>
      </c>
      <c r="B3440" s="15" t="s">
        <v>3905</v>
      </c>
      <c r="C3440" s="17">
        <v>6.25</v>
      </c>
      <c r="D3440" s="18"/>
      <c r="E3440" s="17" t="s">
        <v>3883</v>
      </c>
      <c r="F3440" s="17" t="s">
        <v>154</v>
      </c>
      <c r="G3440" s="18"/>
      <c r="H3440" s="18"/>
    </row>
    <row r="3441" spans="1:8" ht="13.2">
      <c r="A3441" s="19" t="str">
        <f>HYPERLINK("http://codeforces.com/contest/260/problem/D","CF260-D2-D")</f>
        <v>CF260-D2-D</v>
      </c>
      <c r="B3441" s="29" t="s">
        <v>3906</v>
      </c>
      <c r="C3441" s="17">
        <v>6.25</v>
      </c>
      <c r="D3441" s="18"/>
      <c r="E3441" s="17" t="s">
        <v>3883</v>
      </c>
      <c r="F3441" s="17" t="s">
        <v>196</v>
      </c>
      <c r="G3441" s="18"/>
      <c r="H3441" s="18"/>
    </row>
    <row r="3442" spans="1:8" ht="13.2">
      <c r="A3442" s="19" t="str">
        <f>HYPERLINK("https://www.hackerrank.com/contests/moodys-analytics-2018-university-codesprint/challenges/brokers-predictions","MAUC 18-brokers-predictions")</f>
        <v>MAUC 18-brokers-predictions</v>
      </c>
      <c r="B3442" s="20" t="s">
        <v>3907</v>
      </c>
      <c r="C3442" s="21">
        <v>6.25</v>
      </c>
      <c r="D3442" s="26" t="str">
        <f>HYPERLINK("https://github.com/SpeedOfMagic/CompetitiveProgramming/blob/master/MAUC/18-brokers-prediction.cpp","Sol")</f>
        <v>Sol</v>
      </c>
      <c r="E3442" s="17" t="s">
        <v>3883</v>
      </c>
      <c r="F3442" s="17" t="s">
        <v>201</v>
      </c>
      <c r="G3442" s="18"/>
      <c r="H3442" s="18"/>
    </row>
    <row r="3443" spans="1:8" ht="13.2">
      <c r="A3443" s="19" t="str">
        <f>HYPERLINK("http://codeforces.com/contest/1040/problem/E","CF1040-D2-E")</f>
        <v>CF1040-D2-E</v>
      </c>
      <c r="B3443" s="20" t="s">
        <v>3886</v>
      </c>
      <c r="C3443" s="17">
        <v>6.25</v>
      </c>
      <c r="D3443" s="18"/>
      <c r="E3443" s="17" t="s">
        <v>3883</v>
      </c>
      <c r="F3443" s="17"/>
      <c r="G3443" s="18"/>
      <c r="H3443" s="18"/>
    </row>
    <row r="3444" spans="1:8" ht="13.2">
      <c r="A3444" s="19" t="str">
        <f>HYPERLINK("http://codeforces.com/gym/101669/problem/D","CF101669-GYM-D")</f>
        <v>CF101669-GYM-D</v>
      </c>
      <c r="B3444" s="20" t="s">
        <v>3908</v>
      </c>
      <c r="C3444" s="21">
        <v>6.1</v>
      </c>
      <c r="D3444" s="26" t="str">
        <f>HYPERLINK("https://github.com/swapnil119/CompetitiveProgramming/blob/master/CompetitiveProgramming/Codeforces/CF101669-GYM-D.cpp","Sol")</f>
        <v>Sol</v>
      </c>
      <c r="E3444" s="17" t="s">
        <v>3883</v>
      </c>
      <c r="F3444" s="17" t="s">
        <v>139</v>
      </c>
      <c r="G3444" s="18"/>
      <c r="H3444" s="18"/>
    </row>
    <row r="3445" spans="1:8" ht="13.2">
      <c r="A3445" s="19" t="str">
        <f>HYPERLINK("https://codeforces.com/gym/102299/problem/G", "CF102299-GYM-G")</f>
        <v>CF102299-GYM-G</v>
      </c>
      <c r="B3445" s="25" t="s">
        <v>3909</v>
      </c>
      <c r="C3445" s="21">
        <v>6</v>
      </c>
      <c r="D3445" s="26" t="str">
        <f>HYPERLINK("https://github.com/YazanZebak/CompetitiveProgramming/blob/master/Codeforces/CF102299-GYM-G.cpp", "Sol")</f>
        <v>Sol</v>
      </c>
      <c r="E3445" s="17" t="s">
        <v>3883</v>
      </c>
      <c r="F3445" s="17" t="s">
        <v>139</v>
      </c>
      <c r="G3445" s="18"/>
      <c r="H3445" s="18"/>
    </row>
    <row r="3446" spans="1:8" ht="13.2">
      <c r="A3446" s="15" t="s">
        <v>3910</v>
      </c>
      <c r="B3446" s="18" t="s">
        <v>3886</v>
      </c>
      <c r="C3446" s="17">
        <v>6</v>
      </c>
      <c r="D3446" s="26" t="str">
        <f>HYPERLINK("https://github.com/achrafmam2/CompetitiveProgramming/blob/master/SPOJ/CHAIN.cc","Sol")</f>
        <v>Sol</v>
      </c>
      <c r="E3446" s="17" t="s">
        <v>3883</v>
      </c>
      <c r="F3446" s="17" t="s">
        <v>3911</v>
      </c>
      <c r="G3446" s="18"/>
      <c r="H3446" s="18"/>
    </row>
    <row r="3447" spans="1:8" ht="13.2">
      <c r="A3447" s="15" t="s">
        <v>3912</v>
      </c>
      <c r="B3447" s="15" t="s">
        <v>3913</v>
      </c>
      <c r="C3447" s="24">
        <v>6</v>
      </c>
      <c r="D3447" s="26" t="str">
        <f>HYPERLINK("https://github.com/mostafa-saad/MyCompetitiveProgramming/blob/master/Timus/TIMUS_1682.txt","Sol")</f>
        <v>Sol</v>
      </c>
      <c r="E3447" s="17" t="s">
        <v>3883</v>
      </c>
      <c r="F3447" s="17" t="s">
        <v>242</v>
      </c>
      <c r="G3447" s="18"/>
      <c r="H3447" s="18"/>
    </row>
    <row r="3448" spans="1:8" ht="13.2">
      <c r="A3448" s="15" t="s">
        <v>3914</v>
      </c>
      <c r="B3448" s="28" t="s">
        <v>3886</v>
      </c>
      <c r="C3448" s="24">
        <v>6</v>
      </c>
      <c r="D3448" s="18"/>
      <c r="E3448" s="24" t="s">
        <v>3883</v>
      </c>
      <c r="F3448" s="17"/>
      <c r="G3448" s="18"/>
      <c r="H3448" s="18"/>
    </row>
    <row r="3449" spans="1:8" ht="13.2">
      <c r="A3449" s="15" t="s">
        <v>3915</v>
      </c>
      <c r="B3449" s="28" t="s">
        <v>3886</v>
      </c>
      <c r="C3449" s="24">
        <v>6</v>
      </c>
      <c r="D3449" s="26" t="str">
        <f>HYPERLINK("https://github.com/Maverick10/Competitive-Programming/blob/master/Solutions/SPOJ/SPOJ%20INVENT.cpp","Sol")</f>
        <v>Sol</v>
      </c>
      <c r="E3449" s="17" t="s">
        <v>3883</v>
      </c>
      <c r="F3449" s="17"/>
      <c r="G3449" s="18"/>
      <c r="H3449" s="18"/>
    </row>
    <row r="3450" spans="1:8" ht="13.2">
      <c r="A3450" s="15" t="s">
        <v>3916</v>
      </c>
      <c r="B3450" s="15" t="s">
        <v>3917</v>
      </c>
      <c r="C3450" s="17">
        <v>6</v>
      </c>
      <c r="D3450" s="26" t="str">
        <f>HYPERLINK("https://github.com/AMR-KELEG/Competitive-Programming/blob/master/ICPC-Archive/8028.cpp","Sol")</f>
        <v>Sol</v>
      </c>
      <c r="E3450" s="17" t="s">
        <v>3883</v>
      </c>
      <c r="F3450" s="17"/>
      <c r="G3450" s="18"/>
      <c r="H3450" s="18"/>
    </row>
    <row r="3451" spans="1:8" ht="13.2">
      <c r="A3451" s="15" t="s">
        <v>3918</v>
      </c>
      <c r="B3451" s="18" t="s">
        <v>3919</v>
      </c>
      <c r="C3451" s="17">
        <v>6</v>
      </c>
      <c r="D3451" s="18"/>
      <c r="E3451" s="17" t="s">
        <v>3883</v>
      </c>
      <c r="F3451" s="17"/>
      <c r="G3451" s="18"/>
      <c r="H3451" s="18"/>
    </row>
    <row r="3452" spans="1:8" ht="13.2">
      <c r="A3452" s="19" t="str">
        <f>HYPERLINK("http://codeforces.com/contest/433/problem/D","CF433-D2-D")</f>
        <v>CF433-D2-D</v>
      </c>
      <c r="B3452" s="32" t="s">
        <v>3920</v>
      </c>
      <c r="C3452" s="17">
        <v>6</v>
      </c>
      <c r="D3452" s="18"/>
      <c r="E3452" s="17" t="s">
        <v>3883</v>
      </c>
      <c r="F3452" s="17"/>
      <c r="G3452" s="18"/>
      <c r="H3452" s="18"/>
    </row>
    <row r="3453" spans="1:8" ht="13.2">
      <c r="A3453" s="19" t="str">
        <f>HYPERLINK("http://codeforces.com/contest/366/problem/D","CF366-D2-D")</f>
        <v>CF366-D2-D</v>
      </c>
      <c r="B3453" s="38" t="s">
        <v>3921</v>
      </c>
      <c r="C3453" s="17">
        <v>5.75</v>
      </c>
      <c r="D3453" s="18"/>
      <c r="E3453" s="17" t="s">
        <v>3883</v>
      </c>
      <c r="F3453" s="17" t="s">
        <v>154</v>
      </c>
      <c r="G3453" s="18"/>
      <c r="H3453" s="18"/>
    </row>
    <row r="3454" spans="1:8" ht="13.2">
      <c r="A3454" s="19" t="str">
        <f>HYPERLINK("https://codeforces.com/contest/1243/problem/D","CF1243-D2-D")</f>
        <v>CF1243-D2-D</v>
      </c>
      <c r="B3454" s="20" t="s">
        <v>3922</v>
      </c>
      <c r="C3454" s="17">
        <v>5.75</v>
      </c>
      <c r="D3454" s="26" t="str">
        <f>HYPERLINK("https://github.com/farmerboy95/CompetitiveProgramming/blob/master/Codeforces/CF1242-D1-B.cpp","Sol")</f>
        <v>Sol</v>
      </c>
      <c r="E3454" s="17" t="s">
        <v>3883</v>
      </c>
      <c r="F3454" s="17" t="s">
        <v>139</v>
      </c>
      <c r="G3454" s="18"/>
      <c r="H3454" s="18"/>
    </row>
    <row r="3455" spans="1:8" ht="13.2">
      <c r="A3455" s="19" t="str">
        <f>HYPERLINK("http://codeforces.com/contest/1012/problem/B","CF1012-D1-B")</f>
        <v>CF1012-D1-B</v>
      </c>
      <c r="B3455" s="29" t="s">
        <v>3886</v>
      </c>
      <c r="C3455" s="21">
        <v>5.75</v>
      </c>
      <c r="D3455" s="18"/>
      <c r="E3455" s="17" t="s">
        <v>3883</v>
      </c>
      <c r="F3455" s="17" t="s">
        <v>201</v>
      </c>
      <c r="G3455" s="18"/>
      <c r="H3455" s="18"/>
    </row>
    <row r="3456" spans="1:8" ht="13.2">
      <c r="A3456" s="15" t="s">
        <v>3923</v>
      </c>
      <c r="B3456" s="28" t="s">
        <v>3886</v>
      </c>
      <c r="C3456" s="24">
        <v>5.75</v>
      </c>
      <c r="D3456" s="18"/>
      <c r="E3456" s="17" t="s">
        <v>3883</v>
      </c>
      <c r="F3456" s="17"/>
      <c r="G3456" s="18"/>
      <c r="H3456" s="18"/>
    </row>
    <row r="3457" spans="1:8" ht="13.2">
      <c r="A3457" s="19" t="str">
        <f>HYPERLINK("http://codeforces.com/contest/292/problem/D","CF292-D12-D")</f>
        <v>CF292-D12-D</v>
      </c>
      <c r="B3457" s="29" t="s">
        <v>3924</v>
      </c>
      <c r="C3457" s="17">
        <v>5.5</v>
      </c>
      <c r="D3457" s="26" t="str">
        <f>HYPERLINK("https://codeforces.com/contest/292/submission/51947683","Don't use DFS/BFS approach. Read Editorials.")</f>
        <v>Don't use DFS/BFS approach. Read Editorials.</v>
      </c>
      <c r="E3457" s="17" t="s">
        <v>3883</v>
      </c>
      <c r="F3457" s="17" t="s">
        <v>139</v>
      </c>
      <c r="G3457" s="18"/>
      <c r="H3457" s="18"/>
    </row>
    <row r="3458" spans="1:8" ht="13.2">
      <c r="A3458" s="15" t="s">
        <v>3925</v>
      </c>
      <c r="B3458" s="29" t="s">
        <v>3926</v>
      </c>
      <c r="C3458" s="17">
        <v>5.5</v>
      </c>
      <c r="D3458" s="26" t="str">
        <f>HYPERLINK("https://github.com/mostafa-saad/MyCompetitiveProgramming/blob/master/UVA/UVA_12128.txt","Sol")</f>
        <v>Sol</v>
      </c>
      <c r="E3458" s="17" t="s">
        <v>3883</v>
      </c>
      <c r="F3458" s="17" t="s">
        <v>139</v>
      </c>
      <c r="G3458" s="18"/>
      <c r="H3458" s="18"/>
    </row>
    <row r="3459" spans="1:8" ht="13.2">
      <c r="A3459" s="19" t="str">
        <f>HYPERLINK("https://github.com/AliOsm/CompetitiveProgramming/blob/master/CodeForces%20Gyms/ACM%20International%20Collegiate%20Programming%20Contest%2C%20Tishreen%20Collegiate%20Programming%20Contest%20(2017)/J.%20The%20Volcano%20Eruption.cpp","CF101915-GYM-J")</f>
        <v>CF101915-GYM-J</v>
      </c>
      <c r="B3459" s="20" t="s">
        <v>3927</v>
      </c>
      <c r="C3459" s="17">
        <v>5.5</v>
      </c>
      <c r="D3459" s="26" t="str">
        <f>HYPERLINK("https://github.com/AliOsm/CompetitiveProgramming/blob/master/CodeForces%20Gyms/ACM%20International%20Collegiate%20Programming%20Contest%2C%20Tishreen%20Collegiate%20Programming%20Contest%20(2017)/J.%20The%20Volcano%20Eruption.cpp","Sol")</f>
        <v>Sol</v>
      </c>
      <c r="E3459" s="17" t="s">
        <v>3883</v>
      </c>
      <c r="F3459" s="17"/>
      <c r="G3459" s="18"/>
      <c r="H3459" s="18"/>
    </row>
    <row r="3460" spans="1:8" ht="13.2">
      <c r="A3460" s="19" t="str">
        <f>HYPERLINK("http://codeforces.com/contest/437/problem/D","CF437-D2-D")</f>
        <v>CF437-D2-D</v>
      </c>
      <c r="B3460" s="29" t="s">
        <v>3901</v>
      </c>
      <c r="C3460" s="17">
        <v>5</v>
      </c>
      <c r="D3460" s="26" t="str">
        <f>HYPERLINK("https://github.com/abdullaAshraf/Problem-Solving/blob/master/CodeForces/CF437-D2-D.cpp","Sol")</f>
        <v>Sol</v>
      </c>
      <c r="E3460" s="17" t="s">
        <v>3883</v>
      </c>
      <c r="F3460" s="17" t="s">
        <v>229</v>
      </c>
      <c r="G3460" s="18"/>
      <c r="H3460" s="18"/>
    </row>
    <row r="3461" spans="1:8" ht="13.2">
      <c r="A3461" s="19" t="str">
        <f>HYPERLINK("http://codeforces.com/contest/766/problem/D","CF766-D2-D")</f>
        <v>CF766-D2-D</v>
      </c>
      <c r="B3461" s="29" t="s">
        <v>3928</v>
      </c>
      <c r="C3461" s="17">
        <v>5</v>
      </c>
      <c r="D3461" s="18"/>
      <c r="E3461" s="17" t="s">
        <v>3883</v>
      </c>
      <c r="F3461" s="17" t="s">
        <v>139</v>
      </c>
      <c r="G3461" s="18"/>
      <c r="H3461" s="18"/>
    </row>
    <row r="3462" spans="1:8" ht="13.2">
      <c r="A3462" s="19" t="str">
        <f>HYPERLINK("https://www.facebook.com/hackercup/problem/294773441466017/","FbHkrCup 19-R2-B")</f>
        <v>FbHkrCup 19-R2-B</v>
      </c>
      <c r="B3462" s="20" t="s">
        <v>3929</v>
      </c>
      <c r="C3462" s="17">
        <v>5</v>
      </c>
      <c r="D3462" s="18"/>
      <c r="E3462" s="17" t="s">
        <v>3883</v>
      </c>
      <c r="F3462" s="17" t="s">
        <v>139</v>
      </c>
      <c r="G3462" s="18"/>
      <c r="H3462" s="18"/>
    </row>
    <row r="3463" spans="1:8" ht="13.2">
      <c r="A3463" s="19" t="str">
        <f>HYPERLINK("https://codeforces.com/contest/1131/problem/F","CF1131-D2-F")</f>
        <v>CF1131-D2-F</v>
      </c>
      <c r="B3463" s="20" t="s">
        <v>3886</v>
      </c>
      <c r="C3463" s="21">
        <v>5</v>
      </c>
      <c r="D3463" s="18"/>
      <c r="E3463" s="17" t="s">
        <v>3883</v>
      </c>
      <c r="F3463" s="17" t="s">
        <v>201</v>
      </c>
      <c r="G3463" s="18"/>
      <c r="H3463" s="18"/>
    </row>
    <row r="3464" spans="1:8" ht="13.2">
      <c r="A3464" s="19" t="str">
        <f>HYPERLINK("https://codeforces.com/contest/1245/problem/D","CF1245-D2-D")</f>
        <v>CF1245-D2-D</v>
      </c>
      <c r="B3464" s="20" t="s">
        <v>3930</v>
      </c>
      <c r="C3464" s="21">
        <v>5</v>
      </c>
      <c r="D3464" s="18"/>
      <c r="E3464" s="17" t="s">
        <v>3883</v>
      </c>
      <c r="F3464" s="17" t="s">
        <v>201</v>
      </c>
      <c r="G3464" s="18"/>
      <c r="H3464" s="18"/>
    </row>
    <row r="3465" spans="1:8" ht="13.2">
      <c r="A3465" s="19" t="str">
        <f>HYPERLINK("https://atcoder.jp/contests/abc120/tasks/abc120_d","AtCoder120-ABC-D")</f>
        <v>AtCoder120-ABC-D</v>
      </c>
      <c r="B3465" s="20" t="s">
        <v>3886</v>
      </c>
      <c r="C3465" s="21">
        <v>5</v>
      </c>
      <c r="D3465" s="18"/>
      <c r="E3465" s="17" t="s">
        <v>3883</v>
      </c>
      <c r="F3465" s="17"/>
      <c r="G3465" s="18"/>
      <c r="H3465" s="18"/>
    </row>
    <row r="3466" spans="1:8" ht="13.2">
      <c r="A3466" s="19" t="str">
        <f>HYPERLINK("http://codeforces.com/problemset/gymProblem/100923/H","CF100923-gym-H")</f>
        <v>CF100923-gym-H</v>
      </c>
      <c r="B3466" s="15" t="s">
        <v>3886</v>
      </c>
      <c r="C3466" s="31">
        <v>5</v>
      </c>
      <c r="D3466" s="26" t="str">
        <f>HYPERLINK("https://ideone.com/q7qCpK","Sol")</f>
        <v>Sol</v>
      </c>
      <c r="E3466" s="17" t="s">
        <v>3883</v>
      </c>
      <c r="F3466" s="17"/>
      <c r="G3466" s="18"/>
      <c r="H3466" s="18"/>
    </row>
    <row r="3467" spans="1:8" ht="13.2">
      <c r="A3467" s="15" t="s">
        <v>3931</v>
      </c>
      <c r="B3467" s="18" t="s">
        <v>3886</v>
      </c>
      <c r="C3467" s="31">
        <v>5</v>
      </c>
      <c r="D3467" s="18"/>
      <c r="E3467" s="17" t="s">
        <v>3883</v>
      </c>
      <c r="F3467" s="17"/>
      <c r="G3467" s="18"/>
      <c r="H3467" s="18"/>
    </row>
    <row r="3468" spans="1:8" ht="13.2">
      <c r="A3468" s="19" t="str">
        <f>HYPERLINK("http://codeforces.com/gym/100570/problem/D ","CF100570-GYM-D")</f>
        <v>CF100570-GYM-D</v>
      </c>
      <c r="B3468" s="28" t="s">
        <v>3932</v>
      </c>
      <c r="C3468" s="24">
        <v>5</v>
      </c>
      <c r="D3468" s="26" t="str">
        <f>HYPERLINK("https://github.com/HeartBlue/CompetitiveProgramming/blob/master/Codeforces/CF100570-GYM-D%20TROY%20Query.cpp","Sl")</f>
        <v>Sl</v>
      </c>
      <c r="E3468" s="17" t="s">
        <v>3883</v>
      </c>
      <c r="F3468" s="17"/>
      <c r="G3468" s="18"/>
      <c r="H3468" s="18"/>
    </row>
    <row r="3469" spans="1:8" ht="13.2">
      <c r="A3469" s="15" t="s">
        <v>3933</v>
      </c>
      <c r="B3469" s="28" t="s">
        <v>3934</v>
      </c>
      <c r="C3469" s="31">
        <v>5</v>
      </c>
      <c r="D3469" s="26" t="str">
        <f>HYPERLINK("https://github.com/AliOsm/CompetitiveProgramming/blob/master/SPOJ/RELINETS%20-%20Reliable%20Nets.cpp","Sol")</f>
        <v>Sol</v>
      </c>
      <c r="E3469" s="17" t="s">
        <v>3883</v>
      </c>
      <c r="F3469" s="17"/>
      <c r="G3469" s="18"/>
      <c r="H3469" s="18"/>
    </row>
    <row r="3470" spans="1:8" ht="13.2">
      <c r="A3470" s="15" t="s">
        <v>3935</v>
      </c>
      <c r="B3470" s="29" t="s">
        <v>3886</v>
      </c>
      <c r="C3470" s="17">
        <v>4.5</v>
      </c>
      <c r="D3470" s="26" t="str">
        <f>HYPERLINK("https://github.com/VAMPIER000001/CompetitiveProgramming/blob/master/UVA/V-119/UVA%2011987.Cpp","Sol")</f>
        <v>Sol</v>
      </c>
      <c r="E3470" s="17" t="s">
        <v>3883</v>
      </c>
      <c r="F3470" s="17" t="s">
        <v>139</v>
      </c>
      <c r="G3470" s="18"/>
      <c r="H3470" s="18"/>
    </row>
    <row r="3471" spans="1:8" ht="13.2">
      <c r="A3471" s="19" t="str">
        <f>HYPERLINK("http://codeforces.com/contest/104/problem/C","CF104-D2-C")</f>
        <v>CF104-D2-C</v>
      </c>
      <c r="B3471" s="29" t="s">
        <v>3886</v>
      </c>
      <c r="C3471" s="17">
        <v>4.5</v>
      </c>
      <c r="D3471" s="18"/>
      <c r="E3471" s="17" t="s">
        <v>3883</v>
      </c>
      <c r="F3471" s="17"/>
      <c r="G3471" s="18"/>
      <c r="H3471" s="18"/>
    </row>
    <row r="3472" spans="1:8" ht="13.2">
      <c r="A3472" s="19" t="str">
        <f>HYPERLINK("https://uva.onlinejudge.org/index.php?option=onlinejudge&amp;page=show_problem&amp;problem=1626","UVA 10685")</f>
        <v>UVA 10685</v>
      </c>
      <c r="B3472" s="29" t="s">
        <v>3886</v>
      </c>
      <c r="C3472" s="17">
        <v>4.5</v>
      </c>
      <c r="D3472" s="18"/>
      <c r="E3472" s="17" t="s">
        <v>3883</v>
      </c>
      <c r="F3472" s="17"/>
      <c r="G3472" s="18"/>
      <c r="H3472" s="18"/>
    </row>
    <row r="3473" spans="1:8" ht="13.2">
      <c r="A3473" s="19" t="str">
        <f>HYPERLINK("https://uva.onlinejudge.org/index.php?option=onlinejudge&amp;page=show_problem&amp;problem=1119","UVA 10178")</f>
        <v>UVA 10178</v>
      </c>
      <c r="B3473" s="29" t="s">
        <v>3936</v>
      </c>
      <c r="C3473" s="17">
        <v>4</v>
      </c>
      <c r="D3473" s="26" t="str">
        <f>HYPERLINK("https://en.wikipedia.org/wiki/Planar_graph#Euler's_formula","Read first Euler Formula")</f>
        <v>Read first Euler Formula</v>
      </c>
      <c r="E3473" s="17" t="s">
        <v>3883</v>
      </c>
      <c r="F3473" s="17" t="s">
        <v>201</v>
      </c>
      <c r="G3473" s="18"/>
      <c r="H3473" s="18"/>
    </row>
    <row r="3474" spans="1:8" ht="13.2">
      <c r="A3474" s="19" t="str">
        <f>HYPERLINK("http://codeforces.com/contest/278/problem/C","CF278-D2-C")</f>
        <v>CF278-D2-C</v>
      </c>
      <c r="B3474" s="29" t="s">
        <v>3886</v>
      </c>
      <c r="C3474" s="17">
        <v>4</v>
      </c>
      <c r="D3474" s="18"/>
      <c r="E3474" s="17" t="s">
        <v>3883</v>
      </c>
      <c r="F3474" s="17"/>
      <c r="G3474" s="18"/>
      <c r="H3474" s="18"/>
    </row>
    <row r="3475" spans="1:8" ht="13.2">
      <c r="A3475" s="15" t="s">
        <v>3937</v>
      </c>
      <c r="B3475" s="28" t="s">
        <v>3886</v>
      </c>
      <c r="C3475" s="33">
        <v>4</v>
      </c>
      <c r="D3475" s="18"/>
      <c r="E3475" s="24" t="s">
        <v>3883</v>
      </c>
      <c r="F3475" s="17"/>
      <c r="G3475" s="18"/>
      <c r="H3475" s="18"/>
    </row>
    <row r="3476" spans="1:8" ht="13.2">
      <c r="A3476" s="19" t="str">
        <f>HYPERLINK("https://uva.onlinejudge.org/index.php?option=onlinejudge&amp;page=show_problem&amp;problem=2498","UVA 11503")</f>
        <v>UVA 11503</v>
      </c>
      <c r="B3476" s="29" t="s">
        <v>3886</v>
      </c>
      <c r="C3476" s="17">
        <v>4</v>
      </c>
      <c r="D3476" s="18"/>
      <c r="E3476" s="17" t="s">
        <v>3883</v>
      </c>
      <c r="F3476" s="17"/>
      <c r="G3476" s="18"/>
      <c r="H3476" s="18"/>
    </row>
    <row r="3477" spans="1:8" ht="13.2">
      <c r="A3477" s="15" t="s">
        <v>3938</v>
      </c>
      <c r="B3477" s="30" t="s">
        <v>3886</v>
      </c>
      <c r="C3477" s="24">
        <v>4</v>
      </c>
      <c r="D3477" s="18"/>
      <c r="E3477" s="17" t="s">
        <v>3883</v>
      </c>
      <c r="F3477" s="17"/>
      <c r="G3477" s="18"/>
      <c r="H3477" s="18"/>
    </row>
    <row r="3478" spans="1:8" ht="13.2">
      <c r="A3478" s="15" t="s">
        <v>3939</v>
      </c>
      <c r="B3478" s="30" t="s">
        <v>3886</v>
      </c>
      <c r="C3478" s="40">
        <v>4</v>
      </c>
      <c r="D3478" s="18"/>
      <c r="E3478" s="17" t="s">
        <v>3883</v>
      </c>
      <c r="F3478" s="17"/>
      <c r="G3478" s="18"/>
      <c r="H3478" s="18"/>
    </row>
    <row r="3479" spans="1:8" ht="13.2">
      <c r="A3479" s="15" t="s">
        <v>3940</v>
      </c>
      <c r="B3479" s="28" t="s">
        <v>3941</v>
      </c>
      <c r="C3479" s="24">
        <v>4</v>
      </c>
      <c r="D3479" s="18"/>
      <c r="E3479" s="17" t="s">
        <v>3883</v>
      </c>
      <c r="F3479" s="17"/>
      <c r="G3479" s="18"/>
      <c r="H3479" s="18"/>
    </row>
    <row r="3480" spans="1:8" ht="13.2">
      <c r="A3480" s="19" t="str">
        <f>HYPERLINK("http://codeforces.com/contest/25/problem/D","CF25-D2-D")</f>
        <v>CF25-D2-D</v>
      </c>
      <c r="B3480" s="18" t="s">
        <v>3886</v>
      </c>
      <c r="C3480" s="17">
        <v>3.5</v>
      </c>
      <c r="D3480" s="18"/>
      <c r="E3480" s="17" t="s">
        <v>3883</v>
      </c>
      <c r="F3480" s="17"/>
      <c r="G3480" s="18"/>
      <c r="H3480" s="18"/>
    </row>
    <row r="3481" spans="1:8" ht="13.2">
      <c r="A3481" s="15" t="s">
        <v>3942</v>
      </c>
      <c r="B3481" s="28" t="s">
        <v>3943</v>
      </c>
      <c r="C3481" s="24">
        <v>3</v>
      </c>
      <c r="D3481" s="18"/>
      <c r="E3481" s="17" t="s">
        <v>3883</v>
      </c>
      <c r="F3481" s="17" t="s">
        <v>306</v>
      </c>
      <c r="G3481" s="18"/>
      <c r="H3481" s="18"/>
    </row>
    <row r="3482" spans="1:8" ht="13.2">
      <c r="A3482" s="15" t="s">
        <v>3944</v>
      </c>
      <c r="B3482" s="28" t="s">
        <v>3886</v>
      </c>
      <c r="C3482" s="24">
        <v>3</v>
      </c>
      <c r="D3482" s="26" t="str">
        <f>HYPERLINK("https://github.com/Maverick10/Competitive-Programming/blob/master/Solutions/SPOJ/SPOJ%20IITWPC4I.cpp","Sol")</f>
        <v>Sol</v>
      </c>
      <c r="E3482" s="17" t="s">
        <v>3883</v>
      </c>
      <c r="F3482" s="17"/>
      <c r="G3482" s="18"/>
      <c r="H3482" s="18"/>
    </row>
    <row r="3483" spans="1:8" ht="13.2">
      <c r="A3483" s="15" t="s">
        <v>3945</v>
      </c>
      <c r="B3483" s="30" t="s">
        <v>3886</v>
      </c>
      <c r="C3483" s="24">
        <v>3</v>
      </c>
      <c r="D3483" s="18"/>
      <c r="E3483" s="17" t="s">
        <v>3883</v>
      </c>
      <c r="F3483" s="17"/>
      <c r="G3483" s="18"/>
      <c r="H3483" s="18"/>
    </row>
    <row r="3484" spans="1:8" ht="13.2">
      <c r="A3484" s="15" t="s">
        <v>3946</v>
      </c>
      <c r="B3484" s="28" t="s">
        <v>3886</v>
      </c>
      <c r="C3484" s="24">
        <v>3</v>
      </c>
      <c r="D3484" s="18"/>
      <c r="E3484" s="17" t="s">
        <v>3883</v>
      </c>
      <c r="F3484" s="17"/>
      <c r="G3484" s="18"/>
      <c r="H3484" s="18"/>
    </row>
    <row r="3485" spans="1:8" ht="13.2">
      <c r="A3485" s="15" t="s">
        <v>3947</v>
      </c>
      <c r="B3485" s="30" t="s">
        <v>3948</v>
      </c>
      <c r="C3485" s="24">
        <v>3</v>
      </c>
      <c r="D3485" s="26" t="str">
        <f>HYPERLINK("https://discuss.codechef.com/questions/50257/spoj-question-iitkwpci-wrong-answer","Test case")</f>
        <v>Test case</v>
      </c>
      <c r="E3485" s="17" t="s">
        <v>3883</v>
      </c>
      <c r="F3485" s="17"/>
      <c r="G3485" s="18"/>
      <c r="H3485" s="18"/>
    </row>
    <row r="3486" spans="1:8" ht="13.2">
      <c r="A3486" s="15" t="s">
        <v>3949</v>
      </c>
      <c r="B3486" s="35" t="s">
        <v>3950</v>
      </c>
      <c r="C3486" s="24">
        <v>3</v>
      </c>
      <c r="D3486" s="18"/>
      <c r="E3486" s="17" t="s">
        <v>3883</v>
      </c>
      <c r="F3486" s="17"/>
      <c r="G3486" s="18"/>
      <c r="H3486" s="18"/>
    </row>
    <row r="3487" spans="1:8" ht="13.2">
      <c r="A3487" s="15" t="s">
        <v>3951</v>
      </c>
      <c r="B3487" s="18" t="s">
        <v>3886</v>
      </c>
      <c r="C3487" s="17">
        <v>2</v>
      </c>
      <c r="D3487" s="26" t="str">
        <f>HYPERLINK("https://github.com/VAMPIER000001/CompetitiveProgramming/blob/master/UVA/V-11/UVA%201174.Cpp","Sol")</f>
        <v>Sol</v>
      </c>
      <c r="E3487" s="17" t="s">
        <v>3883</v>
      </c>
      <c r="F3487" s="17"/>
      <c r="G3487" s="18"/>
      <c r="H3487" s="18"/>
    </row>
    <row r="3488" spans="1:8" ht="13.2">
      <c r="A3488" s="15" t="s">
        <v>3952</v>
      </c>
      <c r="B3488" s="28" t="s">
        <v>3953</v>
      </c>
      <c r="C3488" s="17">
        <v>2</v>
      </c>
      <c r="D3488" s="18"/>
      <c r="E3488" s="24" t="s">
        <v>3883</v>
      </c>
      <c r="F3488" s="17"/>
      <c r="G3488" s="18"/>
      <c r="H3488" s="18"/>
    </row>
    <row r="3489" spans="1:8" ht="13.2">
      <c r="A3489" s="19" t="str">
        <f>HYPERLINK("http://codeforces.com/contest/547/problem/D","CF547-D1-D")</f>
        <v>CF547-D1-D</v>
      </c>
      <c r="B3489" s="15" t="s">
        <v>3954</v>
      </c>
      <c r="C3489" s="24">
        <v>8</v>
      </c>
      <c r="D3489" s="18"/>
      <c r="E3489" s="17" t="s">
        <v>3955</v>
      </c>
      <c r="F3489" s="17" t="s">
        <v>139</v>
      </c>
      <c r="G3489" s="18"/>
      <c r="H3489" s="18"/>
    </row>
    <row r="3490" spans="1:8" ht="13.2">
      <c r="A3490" s="19" t="str">
        <f>HYPERLINK("https://onlinejudge.org/index.php?option=onlinejudge&amp;Itemid=8&amp;page=show_problem&amp;problem=5169","UVA 13246")</f>
        <v>UVA 13246</v>
      </c>
      <c r="B3490" s="15" t="s">
        <v>3956</v>
      </c>
      <c r="C3490" s="17">
        <v>7.5</v>
      </c>
      <c r="D3490" s="18"/>
      <c r="E3490" s="17" t="s">
        <v>3955</v>
      </c>
      <c r="F3490" s="17" t="s">
        <v>154</v>
      </c>
      <c r="G3490" s="18"/>
      <c r="H3490" s="18"/>
    </row>
    <row r="3491" spans="1:8" ht="13.2">
      <c r="A3491" s="19" t="str">
        <f>HYPERLINK("http://codeforces.com/problemset/problem/1012/E", "CF1012-D1-E")</f>
        <v>CF1012-D1-E</v>
      </c>
      <c r="B3491" s="20" t="s">
        <v>3957</v>
      </c>
      <c r="C3491" s="21">
        <v>7.5</v>
      </c>
      <c r="D3491" s="18"/>
      <c r="E3491" s="17" t="s">
        <v>3955</v>
      </c>
      <c r="F3491" s="17" t="s">
        <v>154</v>
      </c>
      <c r="G3491" s="18"/>
      <c r="H3491" s="18"/>
    </row>
    <row r="3492" spans="1:8" ht="13.2">
      <c r="A3492" s="19" t="str">
        <f>HYPERLINK("http://codeforces.com/gym/101666","CF101666-gym-H")</f>
        <v>CF101666-gym-H</v>
      </c>
      <c r="B3492" s="15" t="s">
        <v>3958</v>
      </c>
      <c r="C3492" s="17">
        <v>7.25</v>
      </c>
      <c r="D3492" s="18"/>
      <c r="E3492" s="17" t="s">
        <v>3955</v>
      </c>
      <c r="F3492" s="17" t="s">
        <v>139</v>
      </c>
      <c r="G3492" s="18"/>
      <c r="H3492" s="18"/>
    </row>
    <row r="3493" spans="1:8" ht="13.2">
      <c r="A3493" s="19" t="str">
        <f>HYPERLINK("http://codeforces.com/gym/101650","CF101650-gym-I")</f>
        <v>CF101650-gym-I</v>
      </c>
      <c r="B3493" s="15" t="s">
        <v>3959</v>
      </c>
      <c r="C3493" s="17">
        <v>7.25</v>
      </c>
      <c r="D3493" s="26" t="str">
        <f>HYPERLINK("https://github.com/pranavjangir/CompetitiveProgramming/blob/master/CodeForces/CF101650-GYM-I.cpp","Sol")</f>
        <v>Sol</v>
      </c>
      <c r="E3493" s="17" t="s">
        <v>3955</v>
      </c>
      <c r="F3493" s="17" t="s">
        <v>201</v>
      </c>
      <c r="G3493" s="18"/>
      <c r="H3493" s="18"/>
    </row>
    <row r="3494" spans="1:8" ht="13.2">
      <c r="A3494" s="15" t="s">
        <v>3960</v>
      </c>
      <c r="B3494" s="34" t="s">
        <v>3961</v>
      </c>
      <c r="C3494" s="33">
        <v>7</v>
      </c>
      <c r="D3494" s="18"/>
      <c r="E3494" s="17" t="s">
        <v>3955</v>
      </c>
      <c r="F3494" s="17"/>
      <c r="G3494" s="18"/>
      <c r="H3494" s="18"/>
    </row>
    <row r="3495" spans="1:8" ht="13.2">
      <c r="A3495" s="19" t="str">
        <f>HYPERLINK("http://codeforces.com/contest/358/problem/E","CF358-D2-E")</f>
        <v>CF358-D2-E</v>
      </c>
      <c r="B3495" s="29" t="s">
        <v>3962</v>
      </c>
      <c r="C3495" s="24">
        <v>6.75</v>
      </c>
      <c r="D3495" s="18"/>
      <c r="E3495" s="17" t="s">
        <v>3955</v>
      </c>
      <c r="F3495" s="17"/>
      <c r="G3495" s="18"/>
      <c r="H3495" s="18"/>
    </row>
    <row r="3496" spans="1:8" ht="13.2">
      <c r="A3496" s="15" t="s">
        <v>3963</v>
      </c>
      <c r="B3496" s="29" t="s">
        <v>3964</v>
      </c>
      <c r="C3496" s="24">
        <v>6.5</v>
      </c>
      <c r="D3496" s="18"/>
      <c r="E3496" s="17" t="s">
        <v>3955</v>
      </c>
      <c r="F3496" s="17" t="s">
        <v>154</v>
      </c>
      <c r="G3496" s="18"/>
      <c r="H3496" s="18"/>
    </row>
    <row r="3497" spans="1:8" ht="13.2">
      <c r="A3497" s="19" t="str">
        <f>HYPERLINK("https://codeforces.com/gym/102001/problem/C","CF102001-Gym-C")</f>
        <v>CF102001-Gym-C</v>
      </c>
      <c r="B3497" s="15" t="s">
        <v>3965</v>
      </c>
      <c r="C3497" s="17">
        <v>6.5</v>
      </c>
      <c r="D3497" s="26" t="str">
        <f>HYPERLINK("https://github.com/quangloc99/CompetitiveProgramming/blob/master/Codeforces/CF102001-Gym-C.cpp","Sol")</f>
        <v>Sol</v>
      </c>
      <c r="E3497" s="17" t="s">
        <v>3955</v>
      </c>
      <c r="F3497" s="17" t="s">
        <v>139</v>
      </c>
      <c r="G3497" s="18"/>
      <c r="H3497" s="18"/>
    </row>
    <row r="3498" spans="1:8" ht="13.2">
      <c r="A3498" s="19" t="str">
        <f>HYPERLINK("https://codeforces.com/contest/1132/problem/G","CF1132-D12-G")</f>
        <v>CF1132-D12-G</v>
      </c>
      <c r="B3498" s="15" t="s">
        <v>3966</v>
      </c>
      <c r="C3498" s="17">
        <v>6.5</v>
      </c>
      <c r="D3498" s="18"/>
      <c r="E3498" s="17" t="s">
        <v>3955</v>
      </c>
      <c r="F3498" s="17" t="s">
        <v>139</v>
      </c>
      <c r="G3498" s="18"/>
      <c r="H3498" s="18"/>
    </row>
    <row r="3499" spans="1:8" ht="13.2">
      <c r="A3499" s="19" t="str">
        <f>HYPERLINK("http://codeforces.com/contest/723/problem/E","CF723-D2-E")</f>
        <v>CF723-D2-E</v>
      </c>
      <c r="B3499" s="29" t="s">
        <v>3967</v>
      </c>
      <c r="C3499" s="17">
        <v>6.25</v>
      </c>
      <c r="D3499" s="18"/>
      <c r="E3499" s="17" t="s">
        <v>3955</v>
      </c>
      <c r="F3499" s="17" t="s">
        <v>154</v>
      </c>
      <c r="G3499" s="18"/>
      <c r="H3499" s="18"/>
    </row>
    <row r="3500" spans="1:8" ht="13.2">
      <c r="A3500" s="19" t="str">
        <f>HYPERLINK("https://codeforces.com/contest/1038/problem/E","CF1038-D2-E")</f>
        <v>CF1038-D2-E</v>
      </c>
      <c r="B3500" s="23" t="s">
        <v>3968</v>
      </c>
      <c r="C3500" s="17">
        <v>6.25</v>
      </c>
      <c r="D3500" s="18"/>
      <c r="E3500" s="17" t="s">
        <v>3955</v>
      </c>
      <c r="F3500" s="17" t="s">
        <v>154</v>
      </c>
      <c r="G3500" s="18"/>
      <c r="H3500" s="18"/>
    </row>
    <row r="3501" spans="1:8" ht="13.2">
      <c r="A3501" s="15" t="s">
        <v>3969</v>
      </c>
      <c r="B3501" s="30" t="s">
        <v>3970</v>
      </c>
      <c r="C3501" s="24">
        <v>6.1</v>
      </c>
      <c r="D3501" s="26" t="str">
        <f>HYPERLINK("https://github.com/mostafa-saad/MyCompetitiveProgramming/blob/master/UVA/UVA_10040.txt","Sol")</f>
        <v>Sol</v>
      </c>
      <c r="E3501" s="17" t="s">
        <v>3955</v>
      </c>
      <c r="F3501" s="17" t="s">
        <v>154</v>
      </c>
      <c r="G3501" s="18"/>
      <c r="H3501" s="18"/>
    </row>
    <row r="3502" spans="1:8" ht="13.2">
      <c r="A3502" s="15" t="s">
        <v>3971</v>
      </c>
      <c r="B3502" s="35" t="s">
        <v>3972</v>
      </c>
      <c r="C3502" s="17">
        <v>6.1</v>
      </c>
      <c r="D3502" s="26" t="str">
        <f>HYPERLINK("https://github.com/Huvok/CompetitiveProgramming/blob/master/Topcoder/SRM298-D1-500.cpp", "SolTMe")</f>
        <v>SolTMe</v>
      </c>
      <c r="E3502" s="17" t="s">
        <v>3955</v>
      </c>
      <c r="F3502" s="17" t="s">
        <v>139</v>
      </c>
      <c r="G3502" s="18"/>
      <c r="H3502" s="18"/>
    </row>
    <row r="3503" spans="1:8" ht="13.2">
      <c r="A3503" s="19" t="str">
        <f>HYPERLINK("http://codeforces.com/problemset/problem/789/D", "CF789-D2-D")</f>
        <v>CF789-D2-D</v>
      </c>
      <c r="B3503" s="20" t="s">
        <v>3973</v>
      </c>
      <c r="C3503" s="17">
        <v>6</v>
      </c>
      <c r="D3503" s="18"/>
      <c r="E3503" s="17" t="s">
        <v>3955</v>
      </c>
      <c r="F3503" s="17" t="s">
        <v>154</v>
      </c>
      <c r="G3503" s="18"/>
      <c r="H3503" s="18"/>
    </row>
    <row r="3504" spans="1:8" ht="13.2">
      <c r="A3504" s="19" t="str">
        <f>HYPERLINK("http://codeforces.com/contest/367/problem/C","CF367-D1-C")</f>
        <v>CF367-D1-C</v>
      </c>
      <c r="B3504" s="15" t="s">
        <v>3974</v>
      </c>
      <c r="C3504" s="21">
        <v>6</v>
      </c>
      <c r="D3504" s="18"/>
      <c r="E3504" s="17" t="s">
        <v>3955</v>
      </c>
      <c r="F3504" s="17" t="s">
        <v>139</v>
      </c>
      <c r="G3504" s="18"/>
      <c r="H3504" s="18"/>
    </row>
    <row r="3505" spans="1:8" ht="13.2">
      <c r="A3505" s="19" t="str">
        <f>HYPERLINK("http://codeforces.com/contest/62/problem/D","CF62-D12-D")</f>
        <v>CF62-D12-D</v>
      </c>
      <c r="B3505" s="29" t="s">
        <v>3975</v>
      </c>
      <c r="C3505" s="17">
        <v>6</v>
      </c>
      <c r="D3505" s="18"/>
      <c r="E3505" s="17" t="s">
        <v>3955</v>
      </c>
      <c r="F3505" s="17"/>
      <c r="G3505" s="18"/>
      <c r="H3505" s="18"/>
    </row>
    <row r="3506" spans="1:8" ht="13.2">
      <c r="A3506" s="15" t="s">
        <v>3976</v>
      </c>
      <c r="B3506" s="29" t="s">
        <v>3977</v>
      </c>
      <c r="C3506" s="17">
        <v>6</v>
      </c>
      <c r="D3506" s="18"/>
      <c r="E3506" s="17" t="s">
        <v>3955</v>
      </c>
      <c r="F3506" s="17"/>
      <c r="G3506" s="18"/>
      <c r="H3506" s="18"/>
    </row>
    <row r="3507" spans="1:8" ht="13.2">
      <c r="A3507" s="19" t="str">
        <f>HYPERLINK("http://codeforces.com/contest/1062/problem/D", "CF1062-D2-D")</f>
        <v>CF1062-D2-D</v>
      </c>
      <c r="B3507" s="20" t="s">
        <v>3978</v>
      </c>
      <c r="C3507" s="21">
        <v>5.5</v>
      </c>
      <c r="D3507" s="26" t="str">
        <f>HYPERLINK("https://github.com/nya-nya-meow/CompetitiveProgramming/blob/master/CodeForces/CF1062-D2-D.cpp","Sol - must read")</f>
        <v>Sol - must read</v>
      </c>
      <c r="E3507" s="17" t="s">
        <v>3955</v>
      </c>
      <c r="F3507" s="17" t="s">
        <v>154</v>
      </c>
      <c r="G3507" s="18"/>
      <c r="H3507" s="18"/>
    </row>
    <row r="3508" spans="1:8" ht="13.2">
      <c r="A3508" s="19" t="str">
        <f>HYPERLINK("http://codeforces.com/contest/21/problem/D","CF21-D12-D")</f>
        <v>CF21-D12-D</v>
      </c>
      <c r="B3508" s="15" t="s">
        <v>3979</v>
      </c>
      <c r="C3508" s="17">
        <v>5.5</v>
      </c>
      <c r="D3508" s="26" t="str">
        <f>HYPERLINK("https://github.com/WaleedAbdelhakim/Competitive-Programming/blob/master/CodeForces/CF21-D12-D.cpp","Sol")</f>
        <v>Sol</v>
      </c>
      <c r="E3508" s="17" t="s">
        <v>3955</v>
      </c>
      <c r="F3508" s="17" t="s">
        <v>139</v>
      </c>
      <c r="G3508" s="18"/>
      <c r="H3508" s="18"/>
    </row>
    <row r="3509" spans="1:8" ht="13.2">
      <c r="A3509" s="19" t="str">
        <f>HYPERLINK("http://codeforces.com/contest/508/problem/D","CF508-D2-D")</f>
        <v>CF508-D2-D</v>
      </c>
      <c r="B3509" s="30" t="s">
        <v>3980</v>
      </c>
      <c r="C3509" s="17">
        <v>5.5</v>
      </c>
      <c r="D3509" s="18"/>
      <c r="E3509" s="17" t="s">
        <v>3955</v>
      </c>
      <c r="F3509" s="17"/>
      <c r="G3509" s="18"/>
      <c r="H3509" s="18"/>
    </row>
    <row r="3510" spans="1:8" ht="13.2">
      <c r="A3510" s="15" t="s">
        <v>3981</v>
      </c>
      <c r="B3510" s="35" t="s">
        <v>3982</v>
      </c>
      <c r="C3510" s="17">
        <v>5</v>
      </c>
      <c r="D3510" s="26" t="str">
        <f>HYPERLINK("https://github.com/Huvok/CompetitiveProgramming/blob/master/Topcoder/SRM268-D1-500.cpp","Prove your solution")</f>
        <v>Prove your solution</v>
      </c>
      <c r="E3510" s="17" t="s">
        <v>3955</v>
      </c>
      <c r="F3510" s="17" t="s">
        <v>201</v>
      </c>
      <c r="G3510" s="18"/>
      <c r="H3510" s="18"/>
    </row>
    <row r="3511" spans="1:8" ht="13.2">
      <c r="A3511" s="15" t="s">
        <v>3983</v>
      </c>
      <c r="B3511" s="29" t="s">
        <v>3961</v>
      </c>
      <c r="C3511" s="24">
        <v>5</v>
      </c>
      <c r="D3511" s="18"/>
      <c r="E3511" s="17" t="s">
        <v>3955</v>
      </c>
      <c r="F3511" s="17"/>
      <c r="G3511" s="18"/>
      <c r="H3511" s="18"/>
    </row>
    <row r="3512" spans="1:8" ht="13.2">
      <c r="A3512" s="15" t="s">
        <v>3984</v>
      </c>
      <c r="B3512" s="29" t="s">
        <v>3961</v>
      </c>
      <c r="C3512" s="24">
        <v>5</v>
      </c>
      <c r="D3512" s="18"/>
      <c r="E3512" s="17" t="s">
        <v>3955</v>
      </c>
      <c r="F3512" s="17"/>
      <c r="G3512" s="18"/>
      <c r="H3512" s="18"/>
    </row>
    <row r="3513" spans="1:8" ht="13.2">
      <c r="A3513" s="15" t="s">
        <v>3985</v>
      </c>
      <c r="B3513" s="29" t="s">
        <v>3986</v>
      </c>
      <c r="C3513" s="24">
        <v>5</v>
      </c>
      <c r="D3513" s="18"/>
      <c r="E3513" s="17" t="s">
        <v>3955</v>
      </c>
      <c r="F3513" s="17"/>
      <c r="G3513" s="18"/>
      <c r="H3513" s="18"/>
    </row>
    <row r="3514" spans="1:8" ht="13.2">
      <c r="A3514" s="15" t="s">
        <v>3987</v>
      </c>
      <c r="B3514" s="29" t="s">
        <v>3961</v>
      </c>
      <c r="C3514" s="24">
        <v>4</v>
      </c>
      <c r="D3514" s="26" t="str">
        <f>HYPERLINK("https://github.com/shashank0107/CompetitiveProgramming/blob/master/UVA/10129.cpp","Sol")</f>
        <v>Sol</v>
      </c>
      <c r="E3514" s="17" t="s">
        <v>3955</v>
      </c>
      <c r="F3514" s="17" t="s">
        <v>139</v>
      </c>
      <c r="G3514" s="18"/>
      <c r="H3514" s="18"/>
    </row>
    <row r="3515" spans="1:8" ht="13.2">
      <c r="A3515" s="15" t="s">
        <v>3988</v>
      </c>
      <c r="B3515" s="28" t="s">
        <v>3989</v>
      </c>
      <c r="C3515" s="24">
        <v>3.5</v>
      </c>
      <c r="D3515" s="18"/>
      <c r="E3515" s="17" t="s">
        <v>3955</v>
      </c>
      <c r="F3515" s="17" t="s">
        <v>306</v>
      </c>
      <c r="G3515" s="18"/>
      <c r="H3515" s="18"/>
    </row>
    <row r="3516" spans="1:8" ht="13.2">
      <c r="A3516" s="15" t="s">
        <v>3990</v>
      </c>
      <c r="B3516" s="30" t="s">
        <v>3991</v>
      </c>
      <c r="C3516" s="24">
        <v>3.5</v>
      </c>
      <c r="D3516" s="18"/>
      <c r="E3516" s="17" t="s">
        <v>3955</v>
      </c>
      <c r="F3516" s="17" t="s">
        <v>201</v>
      </c>
      <c r="G3516" s="18"/>
      <c r="H3516" s="18"/>
    </row>
    <row r="3517" spans="1:8" ht="13.2">
      <c r="A3517" s="15" t="s">
        <v>3992</v>
      </c>
      <c r="B3517" s="29" t="s">
        <v>3993</v>
      </c>
      <c r="C3517" s="24">
        <v>3.5</v>
      </c>
      <c r="D3517" s="18"/>
      <c r="E3517" s="17" t="s">
        <v>3955</v>
      </c>
      <c r="F3517" s="17" t="s">
        <v>201</v>
      </c>
      <c r="G3517" s="18"/>
      <c r="H3517" s="18"/>
    </row>
    <row r="3518" spans="1:8" ht="13.2">
      <c r="A3518" s="15" t="s">
        <v>3994</v>
      </c>
      <c r="B3518" s="30" t="s">
        <v>3995</v>
      </c>
      <c r="C3518" s="17">
        <v>3.5</v>
      </c>
      <c r="D3518" s="26" t="str">
        <f>HYPERLINK("https://github.com/shashank0107/CompetitiveProgramming/blob/master/TIMUS/1137.cpp","Sol")</f>
        <v>Sol</v>
      </c>
      <c r="E3518" s="17" t="s">
        <v>3955</v>
      </c>
      <c r="F3518" s="17"/>
      <c r="G3518" s="18"/>
      <c r="H3518" s="18"/>
    </row>
    <row r="3519" spans="1:8" ht="13.2">
      <c r="A3519" s="15" t="s">
        <v>3996</v>
      </c>
      <c r="B3519" s="41" t="s">
        <v>3997</v>
      </c>
      <c r="C3519" s="17">
        <v>8</v>
      </c>
      <c r="D3519" s="18"/>
      <c r="E3519" s="17" t="s">
        <v>3998</v>
      </c>
      <c r="F3519" s="17"/>
      <c r="G3519" s="18"/>
      <c r="H3519" s="18"/>
    </row>
    <row r="3520" spans="1:8" ht="13.2">
      <c r="A3520" s="15" t="s">
        <v>3999</v>
      </c>
      <c r="B3520" s="41" t="s">
        <v>4000</v>
      </c>
      <c r="C3520" s="17">
        <v>6.75</v>
      </c>
      <c r="D3520" s="18"/>
      <c r="E3520" s="17" t="s">
        <v>3998</v>
      </c>
      <c r="F3520" s="17" t="s">
        <v>139</v>
      </c>
      <c r="G3520" s="18"/>
      <c r="H3520" s="18"/>
    </row>
    <row r="3521" spans="1:8" ht="13.2">
      <c r="A3521" s="15" t="s">
        <v>4001</v>
      </c>
      <c r="B3521" s="29" t="s">
        <v>4002</v>
      </c>
      <c r="C3521" s="24">
        <v>6.25</v>
      </c>
      <c r="D3521" s="18"/>
      <c r="E3521" s="17" t="s">
        <v>3998</v>
      </c>
      <c r="F3521" s="17"/>
      <c r="G3521" s="18"/>
      <c r="H3521" s="18"/>
    </row>
    <row r="3522" spans="1:8" ht="13.2">
      <c r="A3522" s="19" t="str">
        <f>HYPERLINK("http://codeforces.com/contest/416/problem/E","CF416-D2-E")</f>
        <v>CF416-D2-E</v>
      </c>
      <c r="B3522" s="15" t="s">
        <v>4003</v>
      </c>
      <c r="C3522" s="24">
        <v>6.1</v>
      </c>
      <c r="D3522" s="18"/>
      <c r="E3522" s="17" t="s">
        <v>3998</v>
      </c>
      <c r="F3522" s="17" t="s">
        <v>154</v>
      </c>
      <c r="G3522" s="18"/>
      <c r="H3522" s="18"/>
    </row>
    <row r="3523" spans="1:8" ht="13.2">
      <c r="A3523" s="15" t="s">
        <v>4004</v>
      </c>
      <c r="B3523" s="30" t="s">
        <v>4005</v>
      </c>
      <c r="C3523" s="24">
        <v>6</v>
      </c>
      <c r="D3523" s="18" t="s">
        <v>3299</v>
      </c>
      <c r="E3523" s="17" t="s">
        <v>3998</v>
      </c>
      <c r="F3523" s="17"/>
      <c r="G3523" s="18"/>
      <c r="H3523" s="18"/>
    </row>
    <row r="3524" spans="1:8" ht="13.2">
      <c r="A3524" s="19" t="str">
        <f>HYPERLINK("https://uva.onlinejudge.org/index.php?option=com_onlinejudge&amp;Itemid=8&amp;page=show_problem&amp;problem=40","UVA 104")</f>
        <v>UVA 104</v>
      </c>
      <c r="B3524" s="29" t="s">
        <v>4006</v>
      </c>
      <c r="C3524" s="17">
        <v>5.75</v>
      </c>
      <c r="D3524" s="26" t="str">
        <f>HYPERLINK("https://github.com/abdullaAshraf/Problem-Solving/blob/master/UVA/104.cpp","Sol")</f>
        <v>Sol</v>
      </c>
      <c r="E3524" s="17" t="s">
        <v>3998</v>
      </c>
      <c r="F3524" s="17" t="s">
        <v>201</v>
      </c>
      <c r="G3524" s="18"/>
      <c r="H3524" s="18"/>
    </row>
    <row r="3525" spans="1:8" ht="13.2">
      <c r="A3525" s="19" t="str">
        <f>HYPERLINK("https://uva.onlinejudge.org/index.php?option=onlinejudge&amp;page=show_problem&amp;problem=61","UVA 125")</f>
        <v>UVA 125</v>
      </c>
      <c r="B3525" s="29" t="s">
        <v>4007</v>
      </c>
      <c r="C3525" s="17">
        <v>5.5</v>
      </c>
      <c r="D3525" s="26" t="str">
        <f>HYPERLINK("https://github.com/mostafa-saad/MyCompetitiveProgramming/blob/master/UVA/UVA_125.txt","Sol")</f>
        <v>Sol</v>
      </c>
      <c r="E3525" s="17" t="s">
        <v>3998</v>
      </c>
      <c r="F3525" s="17" t="s">
        <v>173</v>
      </c>
      <c r="G3525" s="18"/>
      <c r="H3525" s="18"/>
    </row>
    <row r="3526" spans="1:8" ht="13.2">
      <c r="A3526" s="19" t="str">
        <f>HYPERLINK("https://uva.onlinejudge.org/index.php?option=onlinejudge&amp;page=show_problem&amp;problem=1928","UVA 10987")</f>
        <v>UVA 10987</v>
      </c>
      <c r="B3526" s="29" t="s">
        <v>4008</v>
      </c>
      <c r="C3526" s="17">
        <v>5.5</v>
      </c>
      <c r="D3526" s="26" t="str">
        <f>HYPERLINK("https://github.com/abdullaAshraf/Problem-Solving/blob/master/UVA/10987.cpp","Sol")</f>
        <v>Sol</v>
      </c>
      <c r="E3526" s="17" t="s">
        <v>3998</v>
      </c>
      <c r="F3526" s="17" t="s">
        <v>139</v>
      </c>
      <c r="G3526" s="18"/>
      <c r="H3526" s="18"/>
    </row>
    <row r="3527" spans="1:8" ht="13.2">
      <c r="A3527" s="19" t="str">
        <f>HYPERLINK("https://uva.onlinejudge.org/index.php?option=com_onlinejudge&amp;Itemid=8&amp;page=show_problem&amp;problem=1389","UVA 10448")</f>
        <v>UVA 10448</v>
      </c>
      <c r="B3527" s="29" t="s">
        <v>4009</v>
      </c>
      <c r="C3527" s="17">
        <v>5.5</v>
      </c>
      <c r="D3527" s="26" t="str">
        <f>HYPERLINK("https://www.youtube.com/watch?v=OWlJ8chpit0","Sol")</f>
        <v>Sol</v>
      </c>
      <c r="E3527" s="17" t="s">
        <v>3998</v>
      </c>
      <c r="F3527" s="17" t="s">
        <v>139</v>
      </c>
      <c r="G3527" s="18"/>
      <c r="H3527" s="18"/>
    </row>
    <row r="3528" spans="1:8" ht="13.2">
      <c r="A3528" s="15" t="s">
        <v>4010</v>
      </c>
      <c r="B3528" s="30" t="s">
        <v>4006</v>
      </c>
      <c r="C3528" s="24">
        <v>5.5</v>
      </c>
      <c r="D3528" s="18"/>
      <c r="E3528" s="17" t="s">
        <v>3998</v>
      </c>
      <c r="F3528" s="17" t="s">
        <v>242</v>
      </c>
      <c r="G3528" s="18"/>
      <c r="H3528" s="18"/>
    </row>
    <row r="3529" spans="1:8" ht="13.2">
      <c r="A3529" s="15" t="s">
        <v>4011</v>
      </c>
      <c r="B3529" s="29" t="s">
        <v>4006</v>
      </c>
      <c r="C3529" s="17">
        <v>5.5</v>
      </c>
      <c r="D3529" s="18"/>
      <c r="E3529" s="17" t="s">
        <v>3998</v>
      </c>
      <c r="F3529" s="17"/>
      <c r="G3529" s="18"/>
      <c r="H3529" s="18"/>
    </row>
    <row r="3530" spans="1:8" ht="13.2">
      <c r="A3530" s="15" t="s">
        <v>4012</v>
      </c>
      <c r="B3530" s="15" t="s">
        <v>4013</v>
      </c>
      <c r="C3530" s="24">
        <v>5.5</v>
      </c>
      <c r="D3530" s="18"/>
      <c r="E3530" s="17" t="s">
        <v>3998</v>
      </c>
      <c r="F3530" s="17"/>
      <c r="G3530" s="18"/>
      <c r="H3530" s="18"/>
    </row>
    <row r="3531" spans="1:8" ht="13.2">
      <c r="A3531" s="15" t="s">
        <v>4014</v>
      </c>
      <c r="B3531" s="28" t="s">
        <v>4015</v>
      </c>
      <c r="C3531" s="17">
        <v>5.5</v>
      </c>
      <c r="D3531" s="18"/>
      <c r="E3531" s="17" t="s">
        <v>3998</v>
      </c>
      <c r="F3531" s="17"/>
      <c r="G3531" s="18"/>
      <c r="H3531" s="18"/>
    </row>
    <row r="3532" spans="1:8" ht="13.2">
      <c r="A3532" s="19" t="str">
        <f>HYPERLINK("http://codeforces.com/contest/295/problem/B","CF295-D1-B")</f>
        <v>CF295-D1-B</v>
      </c>
      <c r="B3532" s="30" t="s">
        <v>4016</v>
      </c>
      <c r="C3532" s="24">
        <v>5</v>
      </c>
      <c r="D3532" s="18"/>
      <c r="E3532" s="17" t="s">
        <v>3998</v>
      </c>
      <c r="F3532" s="17" t="s">
        <v>154</v>
      </c>
      <c r="G3532" s="18"/>
      <c r="H3532" s="18"/>
    </row>
    <row r="3533" spans="1:8" ht="13.2">
      <c r="A3533" s="19" t="str">
        <f>HYPERLINK("https://codeforces.com/contest/1196/problem/F","CF1196-D3-F")</f>
        <v>CF1196-D3-F</v>
      </c>
      <c r="B3533" s="15" t="s">
        <v>4006</v>
      </c>
      <c r="C3533" s="17">
        <v>5</v>
      </c>
      <c r="D3533" s="18"/>
      <c r="E3533" s="17" t="s">
        <v>3998</v>
      </c>
      <c r="F3533" s="17" t="s">
        <v>139</v>
      </c>
      <c r="G3533" s="18"/>
      <c r="H3533" s="18"/>
    </row>
    <row r="3534" spans="1:8" ht="13.2">
      <c r="A3534" s="19" t="str">
        <f>HYPERLINK("http://codeforces.com/contest/189/problem/D","CF189-D2-D")</f>
        <v>CF189-D2-D</v>
      </c>
      <c r="B3534" s="29" t="s">
        <v>4006</v>
      </c>
      <c r="C3534" s="17">
        <v>5</v>
      </c>
      <c r="D3534" s="26" t="str">
        <f>HYPERLINK("https://github.com/OmarMekkawy/Problems-Solved-Codes/blob/master/CodeForces/189D.cpp","Sol")</f>
        <v>Sol</v>
      </c>
      <c r="E3534" s="17" t="s">
        <v>3998</v>
      </c>
      <c r="F3534" s="17" t="s">
        <v>139</v>
      </c>
      <c r="G3534" s="18"/>
      <c r="H3534" s="18"/>
    </row>
    <row r="3535" spans="1:8" ht="13.2">
      <c r="A3535" s="19" t="str">
        <f>HYPERLINK("http://codeforces.com/contest/296/problem/D","CF296-D2-D")</f>
        <v>CF296-D2-D</v>
      </c>
      <c r="B3535" s="29" t="s">
        <v>4006</v>
      </c>
      <c r="C3535" s="17">
        <v>5</v>
      </c>
      <c r="D3535" s="18"/>
      <c r="E3535" s="17" t="s">
        <v>3998</v>
      </c>
      <c r="F3535" s="17" t="s">
        <v>139</v>
      </c>
      <c r="G3535" s="18"/>
      <c r="H3535" s="18"/>
    </row>
    <row r="3536" spans="1:8" ht="13.2">
      <c r="A3536" s="19" t="str">
        <f>HYPERLINK("https://atcoder.jp/contests/abc143/tasks/abc143_e","AtCoder143-ABC-E")</f>
        <v>AtCoder143-ABC-E</v>
      </c>
      <c r="B3536" s="20" t="s">
        <v>4017</v>
      </c>
      <c r="C3536" s="21">
        <v>5</v>
      </c>
      <c r="D3536" s="18"/>
      <c r="E3536" s="17" t="s">
        <v>3998</v>
      </c>
      <c r="F3536" s="17" t="s">
        <v>139</v>
      </c>
      <c r="G3536" s="18"/>
      <c r="H3536" s="18"/>
    </row>
    <row r="3537" spans="1:8" ht="13.2">
      <c r="A3537" s="19" t="str">
        <f>HYPERLINK("http://codeforces.com/contest/400/problem/D","CF400-D2-D")</f>
        <v>CF400-D2-D</v>
      </c>
      <c r="B3537" s="29" t="s">
        <v>4018</v>
      </c>
      <c r="C3537" s="17">
        <v>5</v>
      </c>
      <c r="D3537" s="18"/>
      <c r="E3537" s="17" t="s">
        <v>3998</v>
      </c>
      <c r="F3537" s="17" t="s">
        <v>201</v>
      </c>
      <c r="G3537" s="18"/>
      <c r="H3537" s="18"/>
    </row>
    <row r="3538" spans="1:8" ht="13.2">
      <c r="A3538" s="19" t="str">
        <f>HYPERLINK("http://codeforces.com/contest/301/problem/B?mobile=false","CF301-D1-B")</f>
        <v>CF301-D1-B</v>
      </c>
      <c r="B3538" s="20" t="s">
        <v>4006</v>
      </c>
      <c r="C3538" s="17">
        <v>5</v>
      </c>
      <c r="D3538" s="18"/>
      <c r="E3538" s="17" t="s">
        <v>3998</v>
      </c>
      <c r="F3538" s="17"/>
      <c r="G3538" s="18"/>
      <c r="H3538" s="18"/>
    </row>
    <row r="3539" spans="1:8" ht="13.2">
      <c r="A3539" s="15" t="s">
        <v>4019</v>
      </c>
      <c r="B3539" s="29" t="s">
        <v>4006</v>
      </c>
      <c r="C3539" s="24">
        <v>5</v>
      </c>
      <c r="D3539" s="18"/>
      <c r="E3539" s="17" t="s">
        <v>3998</v>
      </c>
      <c r="F3539" s="17"/>
      <c r="G3539" s="18"/>
      <c r="H3539" s="18"/>
    </row>
    <row r="3540" spans="1:8" ht="13.2">
      <c r="A3540" s="15" t="s">
        <v>4020</v>
      </c>
      <c r="B3540" s="29" t="s">
        <v>4006</v>
      </c>
      <c r="C3540" s="17">
        <v>5</v>
      </c>
      <c r="D3540" s="26" t="str">
        <f>HYPERLINK("https://github.com/ahmedcpbl/CompetitiveProgramming/blob/master/UVA/1198.cpp","Sol")</f>
        <v>Sol</v>
      </c>
      <c r="E3540" s="17" t="s">
        <v>3998</v>
      </c>
      <c r="F3540" s="17"/>
      <c r="G3540" s="18"/>
      <c r="H3540" s="18"/>
    </row>
    <row r="3541" spans="1:8" ht="13.2">
      <c r="A3541" s="15" t="s">
        <v>4021</v>
      </c>
      <c r="B3541" s="28" t="s">
        <v>4022</v>
      </c>
      <c r="C3541" s="24">
        <v>5</v>
      </c>
      <c r="D3541" s="18"/>
      <c r="E3541" s="17" t="s">
        <v>3998</v>
      </c>
      <c r="F3541" s="17"/>
      <c r="G3541" s="18"/>
      <c r="H3541" s="18"/>
    </row>
    <row r="3542" spans="1:8" ht="13.2">
      <c r="A3542" s="15" t="s">
        <v>4023</v>
      </c>
      <c r="B3542" s="35" t="s">
        <v>4024</v>
      </c>
      <c r="C3542" s="17">
        <v>5</v>
      </c>
      <c r="D3542" s="18"/>
      <c r="E3542" s="17" t="s">
        <v>3998</v>
      </c>
      <c r="F3542" s="17"/>
      <c r="G3542" s="18"/>
      <c r="H3542" s="18"/>
    </row>
    <row r="3543" spans="1:8" ht="13.2">
      <c r="A3543" s="15" t="s">
        <v>4025</v>
      </c>
      <c r="B3543" s="16" t="s">
        <v>4026</v>
      </c>
      <c r="C3543" s="17">
        <v>5</v>
      </c>
      <c r="D3543" s="18"/>
      <c r="E3543" s="17" t="s">
        <v>3998</v>
      </c>
      <c r="F3543" s="17"/>
      <c r="G3543" s="18"/>
      <c r="H3543" s="18"/>
    </row>
    <row r="3544" spans="1:8" ht="13.2">
      <c r="A3544" s="15" t="s">
        <v>4027</v>
      </c>
      <c r="B3544" s="30" t="s">
        <v>4028</v>
      </c>
      <c r="C3544" s="24">
        <v>5</v>
      </c>
      <c r="D3544" s="18"/>
      <c r="E3544" s="17" t="s">
        <v>3998</v>
      </c>
      <c r="F3544" s="17"/>
      <c r="G3544" s="18"/>
      <c r="H3544" s="18"/>
    </row>
    <row r="3545" spans="1:8" ht="13.2">
      <c r="A3545" s="19" t="str">
        <f>HYPERLINK("https://uva.onlinejudge.org/index.php?option=com_onlinejudge&amp;Itemid=8&amp;page=show_problem&amp;problem=475","UVA 534")</f>
        <v>UVA 534</v>
      </c>
      <c r="B3545" s="29" t="s">
        <v>4029</v>
      </c>
      <c r="C3545" s="17">
        <v>4.5</v>
      </c>
      <c r="D3545" s="26" t="str">
        <f>HYPERLINK("https://github.com/ilyesG/Competitive-Programming/blob/master/UVA/UVA%20534.cpp","Sol")</f>
        <v>Sol</v>
      </c>
      <c r="E3545" s="17" t="s">
        <v>3998</v>
      </c>
      <c r="F3545" s="17" t="s">
        <v>154</v>
      </c>
      <c r="G3545" s="18"/>
      <c r="H3545" s="18"/>
    </row>
    <row r="3546" spans="1:8" ht="13.2">
      <c r="A3546" s="19" t="str">
        <f>HYPERLINK("https://uva.onlinejudge.org/index.php?option=onlinejudge&amp;page=show_problem&amp;problem=1757","UVA 10816")</f>
        <v>UVA 10816</v>
      </c>
      <c r="B3546" s="29" t="s">
        <v>4030</v>
      </c>
      <c r="C3546" s="17">
        <v>4.5</v>
      </c>
      <c r="D3546" s="26" t="str">
        <f>HYPERLINK("https://github.com/VAMPIER000001/CompetitiveProgramming/blob/master/UVA/V-108/UVA%2010816.Cpp","Sol")</f>
        <v>Sol</v>
      </c>
      <c r="E3546" s="17" t="s">
        <v>3998</v>
      </c>
      <c r="F3546" s="17" t="s">
        <v>201</v>
      </c>
      <c r="G3546" s="18"/>
      <c r="H3546" s="18"/>
    </row>
    <row r="3547" spans="1:8" ht="13.2">
      <c r="A3547" s="19" t="str">
        <f>HYPERLINK("http://codeforces.com/gym/100341/attachments","CF100341-GYM-J")</f>
        <v>CF100341-GYM-J</v>
      </c>
      <c r="B3547" s="38" t="s">
        <v>4006</v>
      </c>
      <c r="C3547" s="17">
        <v>4.5</v>
      </c>
      <c r="D3547" s="26" t="str">
        <f>HYPERLINK("https://github.com/Coder-Boy1/CodeForces/blob/master/100341-GYM-J","Sol")</f>
        <v>Sol</v>
      </c>
      <c r="E3547" s="17" t="s">
        <v>3998</v>
      </c>
      <c r="F3547" s="17"/>
      <c r="G3547" s="18"/>
      <c r="H3547" s="18"/>
    </row>
    <row r="3548" spans="1:8" ht="13.2">
      <c r="A3548" s="19" t="str">
        <f>HYPERLINK("https://uva.onlinejudge.org/index.php?option=com_onlinejudge&amp;Itemid=8&amp;page=show_problem&amp;problem=270","UVA 334")</f>
        <v>UVA 334</v>
      </c>
      <c r="B3548" s="29" t="s">
        <v>4006</v>
      </c>
      <c r="C3548" s="17">
        <v>4.5</v>
      </c>
      <c r="D3548" s="18"/>
      <c r="E3548" s="17" t="s">
        <v>3998</v>
      </c>
      <c r="F3548" s="17"/>
      <c r="G3548" s="18"/>
      <c r="H3548" s="18"/>
    </row>
    <row r="3549" spans="1:8" ht="13.2">
      <c r="A3549" s="19" t="str">
        <f>HYPERLINK("http://codeforces.com/contest/602/problem/C","CF602-D2-C")</f>
        <v>CF602-D2-C</v>
      </c>
      <c r="B3549" s="18" t="s">
        <v>4031</v>
      </c>
      <c r="C3549" s="17">
        <v>4.5</v>
      </c>
      <c r="D3549" s="18"/>
      <c r="E3549" s="17" t="s">
        <v>3998</v>
      </c>
      <c r="F3549" s="17"/>
      <c r="G3549" s="18"/>
      <c r="H3549" s="18"/>
    </row>
    <row r="3550" spans="1:8" ht="13.2">
      <c r="A3550" s="19" t="str">
        <f>HYPERLINK("https://uva.onlinejudge.org/index.php?option=onlinejudge&amp;page=show_problem&amp;problem=464","UVA 523")</f>
        <v>UVA 523</v>
      </c>
      <c r="B3550" s="18" t="s">
        <v>4032</v>
      </c>
      <c r="C3550" s="17">
        <v>4.5</v>
      </c>
      <c r="D3550" s="26" t="str">
        <f>HYPERLINK("https://github.com/abdullaAshraf/Problem-Solving/blob/master/UVA/523.cpp","Sol")</f>
        <v>Sol</v>
      </c>
      <c r="E3550" s="17" t="s">
        <v>3998</v>
      </c>
      <c r="F3550" s="17"/>
      <c r="G3550" s="18"/>
      <c r="H3550" s="18"/>
    </row>
    <row r="3551" spans="1:8" ht="13.2">
      <c r="A3551" s="15" t="s">
        <v>4033</v>
      </c>
      <c r="B3551" s="29" t="s">
        <v>4015</v>
      </c>
      <c r="C3551" s="24">
        <v>4.5</v>
      </c>
      <c r="D3551" s="26" t="str">
        <f>HYPERLINK("https://drive.google.com/file/d/0B8jkfQFfgLYXMzIzOWU3ZWItNzRmYy00NmNjLTgyZjktM2Y3NjdlMWQzMTA2/view?ddrp=1&amp;hl=en","See compleixty analysis for problem G")</f>
        <v>See compleixty analysis for problem G</v>
      </c>
      <c r="E3551" s="17" t="s">
        <v>3998</v>
      </c>
      <c r="F3551" s="17"/>
      <c r="G3551" s="18"/>
      <c r="H3551" s="18"/>
    </row>
    <row r="3552" spans="1:8" ht="13.2">
      <c r="A3552" s="15" t="s">
        <v>4034</v>
      </c>
      <c r="B3552" s="29" t="s">
        <v>4015</v>
      </c>
      <c r="C3552" s="24">
        <v>4.5</v>
      </c>
      <c r="D3552" s="18"/>
      <c r="E3552" s="17" t="s">
        <v>3998</v>
      </c>
      <c r="F3552" s="17"/>
      <c r="G3552" s="18"/>
      <c r="H3552" s="18"/>
    </row>
    <row r="3553" spans="1:8" ht="13.2">
      <c r="A3553" s="15" t="s">
        <v>4035</v>
      </c>
      <c r="B3553" s="16" t="s">
        <v>4036</v>
      </c>
      <c r="C3553" s="24">
        <v>4</v>
      </c>
      <c r="D3553" s="18"/>
      <c r="E3553" s="17" t="s">
        <v>3998</v>
      </c>
      <c r="F3553" s="17" t="s">
        <v>229</v>
      </c>
      <c r="G3553" s="18"/>
      <c r="H3553" s="18"/>
    </row>
    <row r="3554" spans="1:8" ht="13.2">
      <c r="A3554" s="19" t="str">
        <f>HYPERLINK("https://uva.onlinejudge.org/index.php?option=onlinejudge&amp;page=show_problem&amp;problem=122","UVA 186")</f>
        <v>UVA 186</v>
      </c>
      <c r="B3554" s="29" t="s">
        <v>4037</v>
      </c>
      <c r="C3554" s="17">
        <v>4</v>
      </c>
      <c r="D3554" s="26" t="str">
        <f>HYPERLINK("https://github.com/VAMPIER000001/CompetitiveProgramming/blob/master/UVA/V-1/UVA%20186.Cpp","Sol")</f>
        <v>Sol</v>
      </c>
      <c r="E3554" s="17" t="s">
        <v>3998</v>
      </c>
      <c r="F3554" s="17" t="s">
        <v>139</v>
      </c>
      <c r="G3554" s="18"/>
      <c r="H3554" s="18"/>
    </row>
    <row r="3555" spans="1:8" ht="13.2">
      <c r="A3555" s="19" t="str">
        <f>HYPERLINK("https://www.facebook.com/hackercup/problem/862237970786911/","FbHkrCup 19-R1-A")</f>
        <v>FbHkrCup 19-R1-A</v>
      </c>
      <c r="B3555" s="15" t="s">
        <v>4006</v>
      </c>
      <c r="C3555" s="17">
        <v>4</v>
      </c>
      <c r="D3555" s="18"/>
      <c r="E3555" s="17" t="s">
        <v>3998</v>
      </c>
      <c r="F3555" s="17" t="s">
        <v>201</v>
      </c>
      <c r="G3555" s="18"/>
      <c r="H3555" s="18"/>
    </row>
    <row r="3556" spans="1:8" ht="13.2">
      <c r="A3556" s="15" t="s">
        <v>4038</v>
      </c>
      <c r="B3556" s="35" t="s">
        <v>4024</v>
      </c>
      <c r="C3556" s="17">
        <v>4</v>
      </c>
      <c r="D3556" s="18"/>
      <c r="E3556" s="17" t="s">
        <v>3998</v>
      </c>
      <c r="F3556" s="17" t="s">
        <v>242</v>
      </c>
      <c r="G3556" s="18"/>
      <c r="H3556" s="18"/>
    </row>
    <row r="3557" spans="1:8" ht="13.2">
      <c r="A3557" s="15" t="s">
        <v>4039</v>
      </c>
      <c r="B3557" s="30" t="s">
        <v>4031</v>
      </c>
      <c r="C3557" s="24">
        <v>4</v>
      </c>
      <c r="D3557" s="26" t="str">
        <f>HYPERLINK("https://github.com/ahmedcpbl/CompetitiveProgramming/blob/master/UVA/12319.cpp","Sol")</f>
        <v>Sol</v>
      </c>
      <c r="E3557" s="17" t="s">
        <v>3998</v>
      </c>
      <c r="F3557" s="17"/>
      <c r="G3557" s="18"/>
      <c r="H3557" s="18"/>
    </row>
    <row r="3558" spans="1:8" ht="13.2">
      <c r="A3558" s="15" t="s">
        <v>4040</v>
      </c>
      <c r="B3558" s="37" t="s">
        <v>4041</v>
      </c>
      <c r="C3558" s="17">
        <v>4</v>
      </c>
      <c r="D3558" s="18"/>
      <c r="E3558" s="17" t="s">
        <v>3998</v>
      </c>
      <c r="F3558" s="17"/>
      <c r="G3558" s="18"/>
      <c r="H3558" s="18"/>
    </row>
    <row r="3559" spans="1:8" ht="13.2">
      <c r="A3559" s="15" t="s">
        <v>4042</v>
      </c>
      <c r="B3559" s="18" t="s">
        <v>4043</v>
      </c>
      <c r="C3559" s="17">
        <v>4</v>
      </c>
      <c r="D3559" s="18"/>
      <c r="E3559" s="17" t="s">
        <v>3998</v>
      </c>
      <c r="F3559" s="17"/>
      <c r="G3559" s="18"/>
      <c r="H3559" s="18"/>
    </row>
    <row r="3560" spans="1:8" ht="13.2">
      <c r="A3560" s="15" t="s">
        <v>4044</v>
      </c>
      <c r="B3560" s="38" t="s">
        <v>4043</v>
      </c>
      <c r="C3560" s="17">
        <v>4</v>
      </c>
      <c r="D3560" s="26" t="str">
        <f>HYPERLINK("https://github.com/ahmedcpbl/CompetitiveProgramming/blob/master/UVA/1233.cpp","Sol")</f>
        <v>Sol</v>
      </c>
      <c r="E3560" s="17" t="s">
        <v>3998</v>
      </c>
      <c r="F3560" s="17"/>
      <c r="G3560" s="18"/>
      <c r="H3560" s="18"/>
    </row>
    <row r="3561" spans="1:8" ht="13.2">
      <c r="A3561" s="15" t="s">
        <v>4045</v>
      </c>
      <c r="B3561" s="28" t="s">
        <v>4046</v>
      </c>
      <c r="C3561" s="33">
        <v>4</v>
      </c>
      <c r="D3561" s="18"/>
      <c r="E3561" s="17" t="s">
        <v>3998</v>
      </c>
      <c r="F3561" s="17"/>
      <c r="G3561" s="18"/>
      <c r="H3561" s="18"/>
    </row>
    <row r="3562" spans="1:8" ht="13.2">
      <c r="A3562" s="15" t="s">
        <v>4047</v>
      </c>
      <c r="B3562" s="30" t="s">
        <v>4048</v>
      </c>
      <c r="C3562" s="17">
        <v>4</v>
      </c>
      <c r="D3562" s="26" t="str">
        <f>HYPERLINK("http://ideone.com/mzXQ8U","Sol")</f>
        <v>Sol</v>
      </c>
      <c r="E3562" s="17" t="s">
        <v>3998</v>
      </c>
      <c r="F3562" s="17"/>
      <c r="G3562" s="18"/>
      <c r="H3562" s="18"/>
    </row>
    <row r="3563" spans="1:8" ht="13.2">
      <c r="A3563" s="15" t="s">
        <v>4049</v>
      </c>
      <c r="B3563" s="29" t="s">
        <v>4006</v>
      </c>
      <c r="C3563" s="17">
        <v>3.5</v>
      </c>
      <c r="D3563" s="18"/>
      <c r="E3563" s="17" t="s">
        <v>3998</v>
      </c>
      <c r="F3563" s="17"/>
      <c r="G3563" s="18"/>
      <c r="H3563" s="18"/>
    </row>
    <row r="3564" spans="1:8" ht="13.2">
      <c r="A3564" s="15" t="s">
        <v>4050</v>
      </c>
      <c r="B3564" s="28" t="s">
        <v>4006</v>
      </c>
      <c r="C3564" s="24">
        <v>3</v>
      </c>
      <c r="D3564" s="18" t="s">
        <v>4051</v>
      </c>
      <c r="E3564" s="24" t="s">
        <v>3998</v>
      </c>
      <c r="F3564" s="17"/>
      <c r="G3564" s="18"/>
      <c r="H3564" s="18"/>
    </row>
    <row r="3565" spans="1:8" ht="13.2">
      <c r="A3565" s="15" t="s">
        <v>4052</v>
      </c>
      <c r="B3565" s="35" t="s">
        <v>4006</v>
      </c>
      <c r="C3565" s="17">
        <v>3</v>
      </c>
      <c r="D3565" s="18"/>
      <c r="E3565" s="17" t="s">
        <v>3998</v>
      </c>
      <c r="F3565" s="17"/>
      <c r="G3565" s="18"/>
      <c r="H3565" s="18"/>
    </row>
    <row r="3566" spans="1:8" ht="13.2">
      <c r="A3566" s="15" t="s">
        <v>4053</v>
      </c>
      <c r="B3566" s="16" t="s">
        <v>4031</v>
      </c>
      <c r="C3566" s="17">
        <v>3</v>
      </c>
      <c r="D3566" s="18"/>
      <c r="E3566" s="17" t="s">
        <v>3998</v>
      </c>
      <c r="F3566" s="17"/>
      <c r="G3566" s="18"/>
      <c r="H3566" s="18"/>
    </row>
    <row r="3567" spans="1:8" ht="13.2">
      <c r="A3567" s="15" t="s">
        <v>4054</v>
      </c>
      <c r="B3567" s="30" t="s">
        <v>4055</v>
      </c>
      <c r="C3567" s="24">
        <v>3</v>
      </c>
      <c r="D3567" s="18"/>
      <c r="E3567" s="17" t="s">
        <v>3998</v>
      </c>
      <c r="F3567" s="17"/>
      <c r="G3567" s="18"/>
      <c r="H3567" s="18"/>
    </row>
    <row r="3568" spans="1:8" ht="13.2">
      <c r="A3568" s="15" t="s">
        <v>4056</v>
      </c>
      <c r="B3568" s="30" t="s">
        <v>4006</v>
      </c>
      <c r="C3568" s="17">
        <v>2</v>
      </c>
      <c r="D3568" s="18"/>
      <c r="E3568" s="17" t="s">
        <v>3998</v>
      </c>
      <c r="F3568" s="17"/>
      <c r="G3568" s="18"/>
      <c r="H3568" s="18"/>
    </row>
    <row r="3569" spans="1:8" ht="13.2">
      <c r="A3569" s="15" t="s">
        <v>4057</v>
      </c>
      <c r="B3569" s="28" t="s">
        <v>4058</v>
      </c>
      <c r="C3569" s="24">
        <v>2</v>
      </c>
      <c r="D3569" s="18"/>
      <c r="E3569" s="17" t="s">
        <v>3998</v>
      </c>
      <c r="F3569" s="17"/>
      <c r="G3569" s="18"/>
      <c r="H3569" s="18"/>
    </row>
    <row r="3570" spans="1:8" ht="13.2">
      <c r="A3570" s="19" t="str">
        <f>HYPERLINK("https://www.codechef.com/problems/ANUBTT","CODECHEF ANUBTT")</f>
        <v>CODECHEF ANUBTT</v>
      </c>
      <c r="B3570" s="29" t="s">
        <v>4059</v>
      </c>
      <c r="C3570" s="24">
        <v>9.5</v>
      </c>
      <c r="D3570" s="18"/>
      <c r="E3570" s="17" t="s">
        <v>4060</v>
      </c>
      <c r="F3570" s="17"/>
      <c r="G3570" s="18"/>
      <c r="H3570" s="18"/>
    </row>
    <row r="3571" spans="1:8" ht="13.2">
      <c r="A3571" s="19" t="str">
        <f>HYPERLINK("https://www.codechef.com/problems/CAKE2AM","CODECHEF CAKE2AM")</f>
        <v>CODECHEF CAKE2AM</v>
      </c>
      <c r="B3571" s="28" t="s">
        <v>4059</v>
      </c>
      <c r="C3571" s="24">
        <v>9.5</v>
      </c>
      <c r="D3571" s="18"/>
      <c r="E3571" s="17" t="s">
        <v>4060</v>
      </c>
      <c r="F3571" s="17"/>
      <c r="G3571" s="18"/>
      <c r="H3571" s="18"/>
    </row>
    <row r="3572" spans="1:8" ht="13.2">
      <c r="A3572" s="19" t="str">
        <f>HYPERLINK("https://www.codechef.com/problems/ORDERAAM","CODECHEF ORDERAAM")</f>
        <v>CODECHEF ORDERAAM</v>
      </c>
      <c r="B3572" s="28" t="s">
        <v>4059</v>
      </c>
      <c r="C3572" s="24">
        <v>9.5</v>
      </c>
      <c r="D3572" s="18"/>
      <c r="E3572" s="17" t="s">
        <v>4060</v>
      </c>
      <c r="F3572" s="17"/>
      <c r="G3572" s="18"/>
      <c r="H3572" s="18"/>
    </row>
    <row r="3573" spans="1:8" ht="13.2">
      <c r="A3573" s="15" t="s">
        <v>4061</v>
      </c>
      <c r="B3573" s="18" t="s">
        <v>4062</v>
      </c>
      <c r="C3573" s="17">
        <v>9.5</v>
      </c>
      <c r="D3573" s="18"/>
      <c r="E3573" s="17" t="s">
        <v>4060</v>
      </c>
      <c r="F3573" s="17"/>
      <c r="G3573" s="18"/>
      <c r="H3573" s="18"/>
    </row>
    <row r="3574" spans="1:8" ht="13.2">
      <c r="A3574" s="15" t="s">
        <v>4063</v>
      </c>
      <c r="B3574" s="56" t="s">
        <v>4064</v>
      </c>
      <c r="C3574" s="57">
        <v>9</v>
      </c>
      <c r="D3574" s="18"/>
      <c r="E3574" s="57" t="s">
        <v>4060</v>
      </c>
      <c r="F3574" s="17"/>
      <c r="G3574" s="18"/>
      <c r="H3574" s="18"/>
    </row>
    <row r="3575" spans="1:8" ht="13.2">
      <c r="A3575" s="19" t="str">
        <f>HYPERLINK("http://codeforces.com/contest/704/problem/D","CF704-D1-D")</f>
        <v>CF704-D1-D</v>
      </c>
      <c r="B3575" s="15" t="s">
        <v>4065</v>
      </c>
      <c r="C3575" s="24">
        <v>8.5</v>
      </c>
      <c r="D3575" s="18"/>
      <c r="E3575" s="17" t="s">
        <v>4060</v>
      </c>
      <c r="F3575" s="17" t="s">
        <v>139</v>
      </c>
      <c r="G3575" s="18"/>
      <c r="H3575" s="18"/>
    </row>
    <row r="3576" spans="1:8" ht="13.2">
      <c r="A3576" s="19" t="str">
        <f>HYPERLINK("https://www.codechef.com/problems/PARADE","CODECHEF PARADE")</f>
        <v>CODECHEF PARADE</v>
      </c>
      <c r="B3576" s="28" t="s">
        <v>4059</v>
      </c>
      <c r="C3576" s="24">
        <v>8.5</v>
      </c>
      <c r="D3576" s="18"/>
      <c r="E3576" s="17" t="s">
        <v>4060</v>
      </c>
      <c r="F3576" s="17"/>
      <c r="G3576" s="18"/>
      <c r="H3576" s="18"/>
    </row>
    <row r="3577" spans="1:8" ht="13.2">
      <c r="A3577" s="19" t="str">
        <f>HYPERLINK("https://www.codechef.com/problems/LONGART","CODECHEF LONGART")</f>
        <v>CODECHEF LONGART</v>
      </c>
      <c r="B3577" s="28" t="s">
        <v>4066</v>
      </c>
      <c r="C3577" s="24">
        <v>8.5</v>
      </c>
      <c r="D3577" s="18"/>
      <c r="E3577" s="17" t="s">
        <v>4060</v>
      </c>
      <c r="F3577" s="17"/>
      <c r="G3577" s="18"/>
      <c r="H3577" s="18"/>
    </row>
    <row r="3578" spans="1:8" ht="13.2">
      <c r="A3578" s="15" t="s">
        <v>4067</v>
      </c>
      <c r="B3578" s="16" t="s">
        <v>4068</v>
      </c>
      <c r="C3578" s="17">
        <v>8.5</v>
      </c>
      <c r="D3578" s="18"/>
      <c r="E3578" s="17" t="s">
        <v>4060</v>
      </c>
      <c r="F3578" s="17"/>
      <c r="G3578" s="18"/>
      <c r="H3578" s="18"/>
    </row>
    <row r="3579" spans="1:8" ht="13.2">
      <c r="A3579" s="15" t="s">
        <v>4069</v>
      </c>
      <c r="B3579" s="20" t="s">
        <v>4059</v>
      </c>
      <c r="C3579" s="21">
        <v>8</v>
      </c>
      <c r="D3579" s="26" t="str">
        <f>HYPERLINK("https://github.com/swapnil119/CompetitiveProgramming/blob/master/CompetitiveProgramming/Codeforces/CF101873-GYM-F.cpp","Dol")</f>
        <v>Dol</v>
      </c>
      <c r="E3579" s="17" t="s">
        <v>4060</v>
      </c>
      <c r="F3579" s="17" t="s">
        <v>154</v>
      </c>
      <c r="G3579" s="18"/>
      <c r="H3579" s="18"/>
    </row>
    <row r="3580" spans="1:8" ht="13.2">
      <c r="A3580" s="19" t="str">
        <f>HYPERLINK("http://codeforces.com/gym/101606/problem/K","CF101606-GYM-K")</f>
        <v>CF101606-GYM-K</v>
      </c>
      <c r="B3580" s="20" t="s">
        <v>4070</v>
      </c>
      <c r="C3580" s="21">
        <v>8</v>
      </c>
      <c r="D3580" s="26" t="str">
        <f>HYPERLINK("https://github.com/OmarHashim/Competitive-Programming/blob/master/CodeForces/CF101606-GYM-K","Sol")</f>
        <v>Sol</v>
      </c>
      <c r="E3580" s="17" t="s">
        <v>4060</v>
      </c>
      <c r="F3580" s="17"/>
      <c r="G3580" s="18"/>
      <c r="H3580" s="18"/>
    </row>
    <row r="3581" spans="1:8" ht="13.2">
      <c r="A3581" s="19" t="str">
        <f>HYPERLINK("http://codeforces.com/contest/708/problem/D","CF708-D1-D")</f>
        <v>CF708-D1-D</v>
      </c>
      <c r="B3581" s="29" t="s">
        <v>4071</v>
      </c>
      <c r="C3581" s="17">
        <v>8</v>
      </c>
      <c r="D3581" s="26" t="str">
        <f>HYPERLINK("http://codeforces.com/contest/708/submission/35136300","Walid Simplex")</f>
        <v>Walid Simplex</v>
      </c>
      <c r="E3581" s="17" t="s">
        <v>4060</v>
      </c>
      <c r="F3581" s="17"/>
      <c r="G3581" s="18"/>
      <c r="H3581" s="18"/>
    </row>
    <row r="3582" spans="1:8" ht="13.2">
      <c r="A3582" s="15" t="s">
        <v>4072</v>
      </c>
      <c r="B3582" s="39" t="s">
        <v>4073</v>
      </c>
      <c r="C3582" s="24">
        <v>8</v>
      </c>
      <c r="D3582" s="18"/>
      <c r="E3582" s="17" t="s">
        <v>4060</v>
      </c>
      <c r="F3582" s="17"/>
      <c r="G3582" s="18"/>
      <c r="H3582" s="18"/>
    </row>
    <row r="3583" spans="1:8" ht="13.2">
      <c r="A3583" s="19" t="str">
        <f>HYPERLINK("http://codeforces.com/contest/513/problem/F2","CF513-D12-F2")</f>
        <v>CF513-D12-F2</v>
      </c>
      <c r="B3583" s="15" t="s">
        <v>4059</v>
      </c>
      <c r="C3583" s="24">
        <v>7.75</v>
      </c>
      <c r="D3583" s="18"/>
      <c r="E3583" s="17" t="s">
        <v>4060</v>
      </c>
      <c r="F3583" s="17" t="s">
        <v>139</v>
      </c>
      <c r="G3583" s="18"/>
      <c r="H3583" s="18"/>
    </row>
    <row r="3584" spans="1:8" ht="13.2">
      <c r="A3584" s="19" t="str">
        <f>HYPERLINK("http://codeforces.com/gym/101656/problem/K","CF101656-GYM-K")</f>
        <v>CF101656-GYM-K</v>
      </c>
      <c r="B3584" s="15" t="s">
        <v>4059</v>
      </c>
      <c r="C3584" s="21">
        <v>7.5</v>
      </c>
      <c r="D3584" s="26" t="str">
        <f>HYPERLINK("https://github.com/OmarHashim/Competitive-Programming/blob/master/CodeForces/CF101656-GYM-K.cpp","Sol")</f>
        <v>Sol</v>
      </c>
      <c r="E3584" s="17" t="s">
        <v>4060</v>
      </c>
      <c r="F3584" s="17"/>
      <c r="G3584" s="18"/>
      <c r="H3584" s="18"/>
    </row>
    <row r="3585" spans="1:8" ht="13.2">
      <c r="A3585" s="19" t="str">
        <f>HYPERLINK("https://codeforces.com/gym/101908/problem/G","CF101908-GYM-G")</f>
        <v>CF101908-GYM-G</v>
      </c>
      <c r="B3585" s="20" t="s">
        <v>4074</v>
      </c>
      <c r="C3585" s="21">
        <v>7.5</v>
      </c>
      <c r="D3585" s="26" t="str">
        <f>HYPERLINK("https://github.com/swapnil119/CompetitiveProgramming/blob/master/CompetitiveProgramming/Codeforces/CF101908-GYM-G.cpp","Sol")</f>
        <v>Sol</v>
      </c>
      <c r="E3585" s="17" t="s">
        <v>4060</v>
      </c>
      <c r="F3585" s="17"/>
      <c r="G3585" s="18"/>
      <c r="H3585" s="18"/>
    </row>
    <row r="3586" spans="1:8" ht="13.2">
      <c r="A3586" s="15" t="s">
        <v>4075</v>
      </c>
      <c r="B3586" s="28" t="s">
        <v>4076</v>
      </c>
      <c r="C3586" s="24">
        <v>7.5</v>
      </c>
      <c r="D3586" s="26" t="str">
        <f>HYPERLINK("https://github.com/MohamedNabil97/CompetitiveProgramming/blob/master/TJU/2616.cpp","Sol")</f>
        <v>Sol</v>
      </c>
      <c r="E3586" s="24" t="s">
        <v>4060</v>
      </c>
      <c r="F3586" s="17"/>
      <c r="G3586" s="18"/>
      <c r="H3586" s="18"/>
    </row>
    <row r="3587" spans="1:8" ht="13.2">
      <c r="A3587" s="15" t="s">
        <v>4077</v>
      </c>
      <c r="B3587" s="29" t="s">
        <v>4078</v>
      </c>
      <c r="C3587" s="17">
        <v>7.5</v>
      </c>
      <c r="D3587" s="18"/>
      <c r="E3587" s="17" t="s">
        <v>4060</v>
      </c>
      <c r="F3587" s="17"/>
      <c r="G3587" s="18"/>
      <c r="H3587" s="18"/>
    </row>
    <row r="3588" spans="1:8" ht="13.2">
      <c r="A3588" s="15" t="s">
        <v>4079</v>
      </c>
      <c r="B3588" s="29" t="s">
        <v>4080</v>
      </c>
      <c r="C3588" s="17">
        <v>7.25</v>
      </c>
      <c r="D3588" s="26" t="str">
        <f>HYPERLINK("https://github.com/HeartBlue/CompetitiveProgramming/blob/master/SPOJ/SPOJ%20NWERC11D%20Piece%20it%20together.cpp","Sol")</f>
        <v>Sol</v>
      </c>
      <c r="E3588" s="17" t="s">
        <v>4060</v>
      </c>
      <c r="F3588" s="17" t="s">
        <v>201</v>
      </c>
      <c r="G3588" s="18"/>
      <c r="H3588" s="18"/>
    </row>
    <row r="3589" spans="1:8" ht="13.2">
      <c r="A3589" s="19" t="str">
        <f>HYPERLINK("https://codeforces.com/contest/1082/problem/G","CF1082-D12-G")</f>
        <v>CF1082-D12-G</v>
      </c>
      <c r="B3589" s="15" t="s">
        <v>4081</v>
      </c>
      <c r="C3589" s="17">
        <v>7</v>
      </c>
      <c r="D3589" s="18"/>
      <c r="E3589" s="17" t="s">
        <v>4060</v>
      </c>
      <c r="F3589" s="17" t="s">
        <v>154</v>
      </c>
      <c r="G3589" s="18"/>
      <c r="H3589" s="18"/>
    </row>
    <row r="3590" spans="1:8" ht="13.2">
      <c r="A3590" s="15" t="s">
        <v>4082</v>
      </c>
      <c r="B3590" s="16" t="s">
        <v>4083</v>
      </c>
      <c r="C3590" s="17">
        <v>7</v>
      </c>
      <c r="D3590" s="18"/>
      <c r="E3590" s="17" t="s">
        <v>4060</v>
      </c>
      <c r="F3590" s="17" t="s">
        <v>154</v>
      </c>
      <c r="G3590" s="18"/>
      <c r="H3590" s="18"/>
    </row>
    <row r="3591" spans="1:8" ht="13.2">
      <c r="A3591" s="15" t="s">
        <v>4084</v>
      </c>
      <c r="B3591" s="30" t="s">
        <v>4059</v>
      </c>
      <c r="C3591" s="24">
        <v>7</v>
      </c>
      <c r="D3591" s="26" t="str">
        <f>HYPERLINK("https://github.com/MohamedNabil97/CompetitiveProgramming/blob/master/SPOJ/PROFIT.cpp","Sol")</f>
        <v>Sol</v>
      </c>
      <c r="E3591" s="17" t="s">
        <v>4060</v>
      </c>
      <c r="F3591" s="17" t="s">
        <v>139</v>
      </c>
      <c r="G3591" s="18"/>
      <c r="H3591" s="18"/>
    </row>
    <row r="3592" spans="1:8" ht="13.2">
      <c r="A3592" s="15" t="s">
        <v>4085</v>
      </c>
      <c r="B3592" s="29" t="s">
        <v>4078</v>
      </c>
      <c r="C3592" s="17">
        <v>7</v>
      </c>
      <c r="D3592" s="26" t="str">
        <f>HYPERLINK("https://ideone.com/3UsZip","Sol")</f>
        <v>Sol</v>
      </c>
      <c r="E3592" s="17" t="s">
        <v>4060</v>
      </c>
      <c r="F3592" s="17" t="s">
        <v>201</v>
      </c>
      <c r="G3592" s="18"/>
      <c r="H3592" s="18"/>
    </row>
    <row r="3593" spans="1:8" ht="13.2">
      <c r="A3593" s="15" t="s">
        <v>4086</v>
      </c>
      <c r="B3593" s="15" t="s">
        <v>4059</v>
      </c>
      <c r="C3593" s="17">
        <v>7</v>
      </c>
      <c r="D3593" s="26" t="str">
        <f>HYPERLINK("https://github.com/MohamedNabil97/CompetitiveProgramming/tree/master/CodeForces/CF101128-GYM-F.cpp","Sol")</f>
        <v>Sol</v>
      </c>
      <c r="E3593" s="17" t="s">
        <v>4060</v>
      </c>
      <c r="F3593" s="17"/>
      <c r="G3593" s="18"/>
      <c r="H3593" s="18"/>
    </row>
    <row r="3594" spans="1:8" ht="13.2">
      <c r="A3594" s="15" t="s">
        <v>4087</v>
      </c>
      <c r="B3594" s="15" t="s">
        <v>4059</v>
      </c>
      <c r="C3594" s="17">
        <v>7</v>
      </c>
      <c r="D3594" s="26" t="str">
        <f>HYPERLINK("https://github.com/MohamedNabil97/CompetitiveProgramming/tree/master/CodeForces/CF101201-GYM-G.cpp","Sol")</f>
        <v>Sol</v>
      </c>
      <c r="E3594" s="17" t="s">
        <v>4060</v>
      </c>
      <c r="F3594" s="17"/>
      <c r="G3594" s="18"/>
      <c r="H3594" s="18"/>
    </row>
    <row r="3595" spans="1:8" ht="13.2">
      <c r="A3595" s="15" t="s">
        <v>4088</v>
      </c>
      <c r="B3595" s="39" t="s">
        <v>4059</v>
      </c>
      <c r="C3595" s="24">
        <v>7</v>
      </c>
      <c r="D3595" s="18"/>
      <c r="E3595" s="17" t="s">
        <v>4060</v>
      </c>
      <c r="F3595" s="17"/>
      <c r="G3595" s="18"/>
      <c r="H3595" s="18"/>
    </row>
    <row r="3596" spans="1:8" ht="13.2">
      <c r="A3596" s="15" t="s">
        <v>4089</v>
      </c>
      <c r="B3596" s="20" t="s">
        <v>4090</v>
      </c>
      <c r="C3596" s="21">
        <v>7</v>
      </c>
      <c r="D3596" s="26" t="str">
        <f>HYPERLINK("https://github.com/aviroop123/CompetitiveProgramming/blob/master/CodeChef/CODECHEF%20SEAGRP.cpp","Sol")</f>
        <v>Sol</v>
      </c>
      <c r="E3596" s="17" t="s">
        <v>4060</v>
      </c>
      <c r="F3596" s="17"/>
      <c r="G3596" s="18"/>
      <c r="H3596" s="18"/>
    </row>
    <row r="3597" spans="1:8" ht="13.2">
      <c r="A3597" s="15" t="s">
        <v>4091</v>
      </c>
      <c r="B3597" s="28" t="s">
        <v>4092</v>
      </c>
      <c r="C3597" s="24">
        <v>7</v>
      </c>
      <c r="D3597" s="18"/>
      <c r="E3597" s="24" t="s">
        <v>4060</v>
      </c>
      <c r="F3597" s="17"/>
      <c r="G3597" s="18"/>
      <c r="H3597" s="18"/>
    </row>
    <row r="3598" spans="1:8" ht="13.2">
      <c r="A3598" s="15" t="s">
        <v>4093</v>
      </c>
      <c r="B3598" s="39" t="s">
        <v>4094</v>
      </c>
      <c r="C3598" s="17">
        <v>7</v>
      </c>
      <c r="D3598" s="18"/>
      <c r="E3598" s="17" t="s">
        <v>4060</v>
      </c>
      <c r="F3598" s="17"/>
      <c r="G3598" s="18"/>
      <c r="H3598" s="18"/>
    </row>
    <row r="3599" spans="1:8" ht="13.2">
      <c r="A3599" s="19" t="str">
        <f>HYPERLINK("https://codeforces.com/contest/1252/problem/L","CF1252-D12-L")</f>
        <v>CF1252-D12-L</v>
      </c>
      <c r="B3599" s="15" t="s">
        <v>4095</v>
      </c>
      <c r="C3599" s="17">
        <v>6.5</v>
      </c>
      <c r="D3599" s="26" t="str">
        <f>HYPERLINK("https://github.com/farmerboy95/CompetitiveProgramming/blob/master/Codeforces/CF1252-D12-L.cpp","Sol")</f>
        <v>Sol</v>
      </c>
      <c r="E3599" s="17" t="s">
        <v>4060</v>
      </c>
      <c r="F3599" s="17" t="s">
        <v>139</v>
      </c>
      <c r="G3599" s="18"/>
      <c r="H3599" s="18"/>
    </row>
    <row r="3600" spans="1:8" ht="13.2">
      <c r="A3600" s="19" t="str">
        <f>HYPERLINK("https://onlinejudge.org/index.php?option=com_onlinejudge&amp;Itemid=8&amp;page=show_problem&amp;problem=4122","UVA 1376")</f>
        <v>UVA 1376</v>
      </c>
      <c r="B3600" s="15" t="s">
        <v>4096</v>
      </c>
      <c r="C3600" s="17">
        <v>6.5</v>
      </c>
      <c r="D3600" s="18"/>
      <c r="E3600" s="17" t="s">
        <v>4060</v>
      </c>
      <c r="F3600" s="17"/>
      <c r="G3600" s="18"/>
      <c r="H3600" s="18"/>
    </row>
    <row r="3601" spans="1:8" ht="13.2">
      <c r="A3601" s="19" t="str">
        <f>HYPERLINK("https://www.codechef.com/problems/GNUM","CODECHEF GNUM")</f>
        <v>CODECHEF GNUM</v>
      </c>
      <c r="B3601" s="18" t="s">
        <v>4097</v>
      </c>
      <c r="C3601" s="17">
        <v>6.4</v>
      </c>
      <c r="D3601" s="26" t="str">
        <f>HYPERLINK("https://github.com/goswami-rahul/competitive-coding/blob/master/CompetitiveProgramming/codechef/GNUM.cpp","Sol")</f>
        <v>Sol</v>
      </c>
      <c r="E3601" s="17" t="s">
        <v>4060</v>
      </c>
      <c r="F3601" s="17" t="s">
        <v>3311</v>
      </c>
      <c r="G3601" s="18"/>
      <c r="H3601" s="18"/>
    </row>
    <row r="3602" spans="1:8" ht="13.2">
      <c r="A3602" s="19" t="str">
        <f>HYPERLINK("http://poj.org/problem?id=3308","PKU 3308")</f>
        <v>PKU 3308</v>
      </c>
      <c r="B3602" s="28" t="s">
        <v>4098</v>
      </c>
      <c r="C3602" s="24">
        <v>6.25</v>
      </c>
      <c r="D3602" s="26" t="str">
        <f>HYPERLINK("https://github.com/mostafa-saad/MyCompetitiveProgramming/blob/master/PKU/PKU_3308.txt","Sol")</f>
        <v>Sol</v>
      </c>
      <c r="E3602" s="17" t="s">
        <v>4060</v>
      </c>
      <c r="F3602" s="17" t="s">
        <v>139</v>
      </c>
      <c r="G3602" s="18"/>
      <c r="H3602" s="18"/>
    </row>
    <row r="3603" spans="1:8" ht="13.2">
      <c r="A3603" s="15" t="s">
        <v>4099</v>
      </c>
      <c r="B3603" s="28" t="s">
        <v>4059</v>
      </c>
      <c r="C3603" s="24">
        <v>6.25</v>
      </c>
      <c r="D3603" s="18"/>
      <c r="E3603" s="17" t="s">
        <v>4060</v>
      </c>
      <c r="F3603" s="17"/>
      <c r="G3603" s="18"/>
      <c r="H3603" s="18"/>
    </row>
    <row r="3604" spans="1:8" ht="13.2">
      <c r="A3604" s="15" t="s">
        <v>4100</v>
      </c>
      <c r="B3604" s="39" t="s">
        <v>4101</v>
      </c>
      <c r="C3604" s="24">
        <v>6.1</v>
      </c>
      <c r="D3604" s="18"/>
      <c r="E3604" s="17" t="s">
        <v>4060</v>
      </c>
      <c r="F3604" s="17"/>
      <c r="G3604" s="18"/>
      <c r="H3604" s="18"/>
    </row>
    <row r="3605" spans="1:8" ht="13.2">
      <c r="A3605" s="15" t="s">
        <v>4102</v>
      </c>
      <c r="B3605" s="39" t="s">
        <v>4059</v>
      </c>
      <c r="C3605" s="24">
        <v>6</v>
      </c>
      <c r="D3605" s="26" t="str">
        <f>HYPERLINK("https://github.com/achrafmam2/CompetitiveProgramming/blob/master/UVA/10779.cc","Sol")</f>
        <v>Sol</v>
      </c>
      <c r="E3605" s="17" t="s">
        <v>4060</v>
      </c>
      <c r="F3605" s="17" t="s">
        <v>306</v>
      </c>
      <c r="G3605" s="18"/>
      <c r="H3605" s="18"/>
    </row>
    <row r="3606" spans="1:8" ht="13.2">
      <c r="A3606" s="19" t="str">
        <f>HYPERLINK("https://codeforces.com/contest/1184/problem/B3","CF1184-D12-B3")</f>
        <v>CF1184-D12-B3</v>
      </c>
      <c r="B3606" s="15" t="s">
        <v>4059</v>
      </c>
      <c r="C3606" s="17">
        <v>6</v>
      </c>
      <c r="D3606" s="18"/>
      <c r="E3606" s="17" t="s">
        <v>4060</v>
      </c>
      <c r="F3606" s="17" t="s">
        <v>139</v>
      </c>
      <c r="G3606" s="18"/>
      <c r="H3606" s="18"/>
    </row>
    <row r="3607" spans="1:8" ht="13.2">
      <c r="A3607" s="19" t="str">
        <f>HYPERLINK("http://codeforces.com/problemset/problem/546/E","CF546-D2-E")</f>
        <v>CF546-D2-E</v>
      </c>
      <c r="B3607" s="30" t="s">
        <v>4059</v>
      </c>
      <c r="C3607" s="31">
        <v>6</v>
      </c>
      <c r="D3607" s="18"/>
      <c r="E3607" s="17" t="s">
        <v>4060</v>
      </c>
      <c r="F3607" s="17" t="s">
        <v>139</v>
      </c>
      <c r="G3607" s="18"/>
      <c r="H3607" s="18"/>
    </row>
    <row r="3608" spans="1:8" ht="13.2">
      <c r="A3608" s="19" t="str">
        <f>HYPERLINK("https://www.spoj.com/problems/AMR12A/","SPOJ AMR12A")</f>
        <v>SPOJ AMR12A</v>
      </c>
      <c r="B3608" s="15" t="s">
        <v>4101</v>
      </c>
      <c r="C3608" s="17">
        <v>6</v>
      </c>
      <c r="D3608" s="18"/>
      <c r="E3608" s="17" t="s">
        <v>4060</v>
      </c>
      <c r="F3608" s="17" t="s">
        <v>139</v>
      </c>
      <c r="G3608" s="18"/>
      <c r="H3608" s="18"/>
    </row>
    <row r="3609" spans="1:8" ht="13.2">
      <c r="A3609" s="15" t="s">
        <v>4103</v>
      </c>
      <c r="B3609" s="18" t="s">
        <v>4101</v>
      </c>
      <c r="C3609" s="17">
        <v>6</v>
      </c>
      <c r="D3609" s="26" t="str">
        <f>HYPERLINK("https://github.com/MohamedNabil97/CompetitiveProgramming/tree/master/SPOJ/NETADMIN.cpp","Sol")</f>
        <v>Sol</v>
      </c>
      <c r="E3609" s="17" t="s">
        <v>4060</v>
      </c>
      <c r="F3609" s="17" t="s">
        <v>139</v>
      </c>
      <c r="G3609" s="18"/>
      <c r="H3609" s="18"/>
    </row>
    <row r="3610" spans="1:8" ht="13.2">
      <c r="A3610" s="15" t="s">
        <v>4104</v>
      </c>
      <c r="B3610" s="29" t="s">
        <v>4105</v>
      </c>
      <c r="C3610" s="24">
        <v>6</v>
      </c>
      <c r="D3610" s="26" t="str">
        <f>HYPERLINK("https://github.com/MohamedNabil97/CompetitiveProgramming/blob/master/TopCoder/SRM589-D1-500.cpp","Sol")</f>
        <v>Sol</v>
      </c>
      <c r="E3610" s="17" t="s">
        <v>4060</v>
      </c>
      <c r="F3610" s="17" t="s">
        <v>139</v>
      </c>
      <c r="G3610" s="18"/>
      <c r="H3610" s="18"/>
    </row>
    <row r="3611" spans="1:8" ht="13.2">
      <c r="A3611" s="15" t="s">
        <v>4106</v>
      </c>
      <c r="B3611" s="29" t="s">
        <v>4107</v>
      </c>
      <c r="C3611" s="17">
        <v>6</v>
      </c>
      <c r="D3611" s="26" t="str">
        <f>HYPERLINK("https://github.com/mostafa-saad/MyCompetitiveProgramming/blob/master/LiveArchive/LIVEARCHIVE_5804.txt","Sol")</f>
        <v>Sol</v>
      </c>
      <c r="E3611" s="17" t="s">
        <v>4060</v>
      </c>
      <c r="F3611" s="17" t="s">
        <v>201</v>
      </c>
      <c r="G3611" s="18"/>
      <c r="H3611" s="18"/>
    </row>
    <row r="3612" spans="1:8" ht="13.2">
      <c r="A3612" s="15" t="s">
        <v>4108</v>
      </c>
      <c r="B3612" s="18" t="s">
        <v>4109</v>
      </c>
      <c r="C3612" s="17">
        <v>6</v>
      </c>
      <c r="D3612" s="26" t="str">
        <f>HYPERLINK("https://github.com/TheRealImaginary/CompetitiveProgramming/blob/master/ZOJ/ZOJ_2760_HowManyShortestPath.java","Sol")</f>
        <v>Sol</v>
      </c>
      <c r="E3612" s="17" t="s">
        <v>4060</v>
      </c>
      <c r="F3612" s="17" t="s">
        <v>242</v>
      </c>
      <c r="G3612" s="18"/>
      <c r="H3612" s="18"/>
    </row>
    <row r="3613" spans="1:8" ht="13.2">
      <c r="A3613" s="15" t="s">
        <v>4110</v>
      </c>
      <c r="B3613" s="28" t="s">
        <v>4059</v>
      </c>
      <c r="C3613" s="24">
        <v>6</v>
      </c>
      <c r="D3613" s="18"/>
      <c r="E3613" s="17" t="s">
        <v>4060</v>
      </c>
      <c r="F3613" s="17"/>
      <c r="G3613" s="18"/>
      <c r="H3613" s="18"/>
    </row>
    <row r="3614" spans="1:8" ht="13.2">
      <c r="A3614" s="15" t="s">
        <v>4111</v>
      </c>
      <c r="B3614" s="28" t="s">
        <v>4059</v>
      </c>
      <c r="C3614" s="24">
        <v>6</v>
      </c>
      <c r="D3614" s="18"/>
      <c r="E3614" s="24" t="s">
        <v>4060</v>
      </c>
      <c r="F3614" s="17"/>
      <c r="G3614" s="18"/>
      <c r="H3614" s="18"/>
    </row>
    <row r="3615" spans="1:8" ht="13.2">
      <c r="A3615" s="15" t="s">
        <v>4112</v>
      </c>
      <c r="B3615" s="28" t="s">
        <v>4059</v>
      </c>
      <c r="C3615" s="24">
        <v>6</v>
      </c>
      <c r="D3615" s="18"/>
      <c r="E3615" s="24" t="s">
        <v>4060</v>
      </c>
      <c r="F3615" s="17"/>
      <c r="G3615" s="18"/>
      <c r="H3615" s="18"/>
    </row>
    <row r="3616" spans="1:8" ht="13.2">
      <c r="A3616" s="15" t="s">
        <v>4113</v>
      </c>
      <c r="B3616" s="39" t="s">
        <v>4114</v>
      </c>
      <c r="C3616" s="24">
        <v>5.75</v>
      </c>
      <c r="D3616" s="26" t="str">
        <f>HYPERLINK("https://github.com/achrafmam2/CompetitiveProgramming/blob/master/UVA/10511.cc","Sol")</f>
        <v>Sol</v>
      </c>
      <c r="E3616" s="17" t="s">
        <v>4060</v>
      </c>
      <c r="F3616" s="17" t="s">
        <v>173</v>
      </c>
      <c r="G3616" s="18"/>
      <c r="H3616" s="18"/>
    </row>
    <row r="3617" spans="1:8" ht="13.2">
      <c r="A3617" s="19" t="str">
        <f>HYPERLINK("http://codeforces.com/contest/653/problem/D","CF653-D12-D")</f>
        <v>CF653-D12-D</v>
      </c>
      <c r="B3617" s="18" t="s">
        <v>4101</v>
      </c>
      <c r="C3617" s="17">
        <v>5.75</v>
      </c>
      <c r="D3617" s="18"/>
      <c r="E3617" s="17" t="s">
        <v>4060</v>
      </c>
      <c r="F3617" s="17" t="s">
        <v>242</v>
      </c>
      <c r="G3617" s="18"/>
      <c r="H3617" s="18"/>
    </row>
    <row r="3618" spans="1:8" ht="13.2">
      <c r="A3618" s="19" t="str">
        <f>HYPERLINK("http://www.spoj.com/problems/IM","SPOJ IM")</f>
        <v>SPOJ IM</v>
      </c>
      <c r="B3618" s="29" t="s">
        <v>4115</v>
      </c>
      <c r="C3618" s="17">
        <v>5.5</v>
      </c>
      <c r="D3618" s="26" t="str">
        <f>HYPERLINK("https://github.com/mostafa-saad/MyCompetitiveProgramming/blob/master/SPOJ/SPOJ_IM.txt","Sol")</f>
        <v>Sol</v>
      </c>
      <c r="E3618" s="17" t="s">
        <v>4060</v>
      </c>
      <c r="F3618" s="17" t="s">
        <v>154</v>
      </c>
      <c r="G3618" s="18"/>
      <c r="H3618" s="18"/>
    </row>
    <row r="3619" spans="1:8" ht="13.2">
      <c r="A3619" s="19" t="str">
        <f>HYPERLINK("https://uva.onlinejudge.org/index.php?option=com_onlinejudge&amp;Itemid=8&amp;page=show_problem&amp;problem=504","UVA 563")</f>
        <v>UVA 563</v>
      </c>
      <c r="B3619" s="29" t="s">
        <v>4116</v>
      </c>
      <c r="C3619" s="17">
        <v>5.5</v>
      </c>
      <c r="D3619" s="26" t="str">
        <f>HYPERLINK("https://github.com/BRAINOOOO/CompetitiveProgramming/blob/d60a5d1364a8f6aba3cd785c1e5d7825bf3818bc/UVA/UVA%20563.Cpp","Sol")</f>
        <v>Sol</v>
      </c>
      <c r="E3619" s="17" t="s">
        <v>4060</v>
      </c>
      <c r="F3619" s="17" t="s">
        <v>154</v>
      </c>
      <c r="G3619" s="18"/>
      <c r="H3619" s="18"/>
    </row>
    <row r="3620" spans="1:8" ht="13.2">
      <c r="A3620" s="19" t="str">
        <f>HYPERLINK("https://www.spoj.com/problems/ADACITY/","SPOJ ADACITY")</f>
        <v>SPOJ ADACITY</v>
      </c>
      <c r="B3620" s="15" t="s">
        <v>4117</v>
      </c>
      <c r="C3620" s="17">
        <v>5.5</v>
      </c>
      <c r="D3620" s="18"/>
      <c r="E3620" s="17" t="s">
        <v>4060</v>
      </c>
      <c r="F3620" s="17" t="s">
        <v>139</v>
      </c>
      <c r="G3620" s="18"/>
      <c r="H3620" s="18"/>
    </row>
    <row r="3621" spans="1:8" ht="13.2">
      <c r="A3621" s="15" t="s">
        <v>4118</v>
      </c>
      <c r="B3621" s="18" t="s">
        <v>4119</v>
      </c>
      <c r="C3621" s="17">
        <v>5.5</v>
      </c>
      <c r="D3621" s="18"/>
      <c r="E3621" s="17" t="s">
        <v>4060</v>
      </c>
      <c r="F3621" s="17"/>
      <c r="G3621" s="18"/>
      <c r="H3621" s="18"/>
    </row>
    <row r="3622" spans="1:8" ht="13.2">
      <c r="A3622" s="15" t="s">
        <v>4120</v>
      </c>
      <c r="B3622" s="28" t="s">
        <v>4121</v>
      </c>
      <c r="C3622" s="24">
        <v>5.5</v>
      </c>
      <c r="D3622" s="26" t="str">
        <f>HYPERLINK("https://github.com/MohamedNabil97/CompetitiveProgramming/blob/master/TJU/2842.cpp","Sol")</f>
        <v>Sol</v>
      </c>
      <c r="E3622" s="24" t="s">
        <v>4060</v>
      </c>
      <c r="F3622" s="17"/>
      <c r="G3622" s="18"/>
      <c r="H3622" s="18"/>
    </row>
    <row r="3623" spans="1:8" ht="13.2">
      <c r="A3623" s="15" t="s">
        <v>4122</v>
      </c>
      <c r="B3623" s="48" t="s">
        <v>4059</v>
      </c>
      <c r="C3623" s="17">
        <v>5.0999999999999996</v>
      </c>
      <c r="D3623" s="18"/>
      <c r="E3623" s="17" t="s">
        <v>4060</v>
      </c>
      <c r="F3623" s="17"/>
      <c r="G3623" s="18"/>
      <c r="H3623" s="18"/>
    </row>
    <row r="3624" spans="1:8" ht="13.2">
      <c r="A3624" s="19" t="str">
        <f>HYPERLINK("http://acm.tju.edu.cn/toj/showp2823.html","TJU 2823")</f>
        <v>TJU 2823</v>
      </c>
      <c r="B3624" s="29" t="s">
        <v>4059</v>
      </c>
      <c r="C3624" s="17">
        <v>5</v>
      </c>
      <c r="D3624" s="26" t="str">
        <f>HYPERLINK("https://github.com/MohamedNabil97/CompetitiveProgramming/blob/master/TJU/2823.cpp","Sol")</f>
        <v>Sol</v>
      </c>
      <c r="E3624" s="17" t="s">
        <v>4060</v>
      </c>
      <c r="F3624" s="17" t="s">
        <v>154</v>
      </c>
      <c r="G3624" s="18"/>
      <c r="H3624" s="18"/>
    </row>
    <row r="3625" spans="1:8" ht="13.2">
      <c r="A3625" s="19" t="str">
        <f>HYPERLINK("https://uva.onlinejudge.org/index.php?option=com_onlinejudge&amp;Itemid=8&amp;page=show_problem&amp;problem=3277","UVA 12125")</f>
        <v>UVA 12125</v>
      </c>
      <c r="B3625" s="29" t="s">
        <v>4123</v>
      </c>
      <c r="C3625" s="17">
        <v>5</v>
      </c>
      <c r="D3625" s="26" t="str">
        <f>HYPERLINK("https://github.com/mostafa-saad/MyCompetitiveProgramming/blob/master/UVA/UVA_12125.txt","Sol")</f>
        <v>Sol</v>
      </c>
      <c r="E3625" s="17" t="s">
        <v>4060</v>
      </c>
      <c r="F3625" s="17" t="s">
        <v>201</v>
      </c>
      <c r="G3625" s="18"/>
      <c r="H3625" s="18"/>
    </row>
    <row r="3626" spans="1:8" ht="13.2">
      <c r="A3626" s="15" t="s">
        <v>4124</v>
      </c>
      <c r="B3626" s="28" t="s">
        <v>4059</v>
      </c>
      <c r="C3626" s="24">
        <v>5</v>
      </c>
      <c r="D3626" s="18"/>
      <c r="E3626" s="24" t="s">
        <v>4060</v>
      </c>
      <c r="F3626" s="17" t="s">
        <v>242</v>
      </c>
      <c r="G3626" s="18"/>
      <c r="H3626" s="18"/>
    </row>
    <row r="3627" spans="1:8" ht="13.2">
      <c r="A3627" s="19" t="str">
        <f>HYPERLINK("http://codeforces.com/contest/546/problem/E","CF302-D2-E")</f>
        <v>CF302-D2-E</v>
      </c>
      <c r="B3627" s="15" t="s">
        <v>4059</v>
      </c>
      <c r="C3627" s="17">
        <v>5</v>
      </c>
      <c r="D3627" s="18"/>
      <c r="E3627" s="17" t="s">
        <v>4060</v>
      </c>
      <c r="F3627" s="17"/>
      <c r="G3627" s="18"/>
      <c r="H3627" s="18"/>
    </row>
    <row r="3628" spans="1:8" ht="13.2">
      <c r="A3628" s="15" t="s">
        <v>4125</v>
      </c>
      <c r="B3628" s="39" t="s">
        <v>4059</v>
      </c>
      <c r="C3628" s="24">
        <v>5</v>
      </c>
      <c r="D3628" s="18"/>
      <c r="E3628" s="17" t="s">
        <v>4060</v>
      </c>
      <c r="F3628" s="17"/>
      <c r="G3628" s="18"/>
      <c r="H3628" s="18"/>
    </row>
    <row r="3629" spans="1:8" ht="13.2">
      <c r="A3629" s="15" t="s">
        <v>4126</v>
      </c>
      <c r="B3629" s="39" t="s">
        <v>4059</v>
      </c>
      <c r="C3629" s="24">
        <v>5</v>
      </c>
      <c r="D3629" s="26" t="str">
        <f>HYPERLINK("https://ideone.com/gvetG2","Sol")</f>
        <v>Sol</v>
      </c>
      <c r="E3629" s="17" t="s">
        <v>4060</v>
      </c>
      <c r="F3629" s="17"/>
      <c r="G3629" s="18"/>
      <c r="H3629" s="18"/>
    </row>
    <row r="3630" spans="1:8" ht="13.2">
      <c r="A3630" s="15" t="s">
        <v>4127</v>
      </c>
      <c r="B3630" s="39" t="s">
        <v>4128</v>
      </c>
      <c r="C3630" s="17">
        <v>5</v>
      </c>
      <c r="D3630" s="18"/>
      <c r="E3630" s="17" t="s">
        <v>4060</v>
      </c>
      <c r="F3630" s="17"/>
      <c r="G3630" s="18"/>
      <c r="H3630" s="18"/>
    </row>
    <row r="3631" spans="1:8" ht="13.2">
      <c r="A3631" s="19" t="str">
        <f>HYPERLINK("http://codeforces.com/gym/101845/problem/F","CF101845-GYM-F")</f>
        <v>CF101845-GYM-F</v>
      </c>
      <c r="B3631" s="20" t="s">
        <v>4129</v>
      </c>
      <c r="C3631" s="24">
        <v>5</v>
      </c>
      <c r="D3631" s="26" t="str">
        <f>HYPERLINK("https://github.com/magdy-hasan/competitive-programming/blob/983dc6255dce4f556eba3139f1ea985905559403/Codeforces/CF101845-GYM-F.cpp","Sol")</f>
        <v>Sol</v>
      </c>
      <c r="E3631" s="17" t="s">
        <v>4060</v>
      </c>
      <c r="F3631" s="17"/>
      <c r="G3631" s="18"/>
      <c r="H3631" s="18"/>
    </row>
    <row r="3632" spans="1:8" ht="13.2">
      <c r="A3632" s="15" t="s">
        <v>4130</v>
      </c>
      <c r="B3632" s="30" t="s">
        <v>4131</v>
      </c>
      <c r="C3632" s="17">
        <v>5</v>
      </c>
      <c r="D3632" s="18"/>
      <c r="E3632" s="17" t="s">
        <v>4060</v>
      </c>
      <c r="F3632" s="17"/>
      <c r="G3632" s="18"/>
      <c r="H3632" s="18"/>
    </row>
    <row r="3633" spans="1:8" ht="13.2">
      <c r="A3633" s="15" t="s">
        <v>4132</v>
      </c>
      <c r="B3633" s="30" t="s">
        <v>4059</v>
      </c>
      <c r="C3633" s="31">
        <v>4.5</v>
      </c>
      <c r="D3633" s="18"/>
      <c r="E3633" s="17" t="s">
        <v>4060</v>
      </c>
      <c r="F3633" s="17" t="s">
        <v>154</v>
      </c>
      <c r="G3633" s="18"/>
      <c r="H3633" s="18"/>
    </row>
    <row r="3634" spans="1:8" ht="13.2">
      <c r="A3634" s="19" t="str">
        <f>HYPERLINK("https://uva.onlinejudge.org/index.php?option=com_onlinejudge&amp;Itemid=8&amp;page=show_problem&amp;problem=1033","UVA 10092")</f>
        <v>UVA 10092</v>
      </c>
      <c r="B3634" s="29" t="s">
        <v>4133</v>
      </c>
      <c r="C3634" s="17">
        <v>4.5</v>
      </c>
      <c r="D3634" s="18"/>
      <c r="E3634" s="17" t="s">
        <v>4060</v>
      </c>
      <c r="F3634" s="17" t="s">
        <v>139</v>
      </c>
      <c r="G3634" s="18"/>
      <c r="H3634" s="18"/>
    </row>
    <row r="3635" spans="1:8" ht="13.2">
      <c r="A3635" s="15" t="s">
        <v>4134</v>
      </c>
      <c r="B3635" s="39" t="s">
        <v>4135</v>
      </c>
      <c r="C3635" s="24">
        <v>4.5</v>
      </c>
      <c r="D3635" s="26" t="str">
        <f>HYPERLINK("https://github.com/3agwa/CompetitiveProgramming/blob/master/SPOJ/SPOJ%20FASTFLOW.cpp","Sol")</f>
        <v>Sol</v>
      </c>
      <c r="E3635" s="17" t="s">
        <v>4060</v>
      </c>
      <c r="F3635" s="17" t="s">
        <v>201</v>
      </c>
      <c r="G3635" s="18"/>
      <c r="H3635" s="18"/>
    </row>
    <row r="3636" spans="1:8" ht="13.2">
      <c r="A3636" s="15" t="s">
        <v>4136</v>
      </c>
      <c r="B3636" s="28" t="s">
        <v>4137</v>
      </c>
      <c r="C3636" s="24">
        <v>4.5</v>
      </c>
      <c r="D3636" s="18"/>
      <c r="E3636" s="24" t="s">
        <v>4060</v>
      </c>
      <c r="F3636" s="17"/>
      <c r="G3636" s="18"/>
      <c r="H3636" s="18"/>
    </row>
    <row r="3637" spans="1:8" ht="13.2">
      <c r="A3637" s="19" t="str">
        <f>HYPERLINK("https://uva.onlinejudge.org/index.php?option=onlinejudge&amp;page=show_problem&amp;problem=1271","UVA 10330")</f>
        <v>UVA 10330</v>
      </c>
      <c r="B3637" s="29" t="s">
        <v>4123</v>
      </c>
      <c r="C3637" s="17">
        <v>4</v>
      </c>
      <c r="D3637" s="26" t="str">
        <f>HYPERLINK("https://github.com/ilyesG/Competitive-Programming/blob/master/UVA/UVA%2010330.cpp","Sol")</f>
        <v>Sol</v>
      </c>
      <c r="E3637" s="17" t="s">
        <v>4060</v>
      </c>
      <c r="F3637" s="17"/>
      <c r="G3637" s="18"/>
      <c r="H3637" s="18"/>
    </row>
    <row r="3638" spans="1:8" ht="13.2">
      <c r="A3638" s="19" t="str">
        <f>HYPERLINK("http://www.spoj.com/problems/POTHOLE/","SPOJ POTHOLE")</f>
        <v>SPOJ POTHOLE</v>
      </c>
      <c r="B3638" s="29" t="s">
        <v>4059</v>
      </c>
      <c r="C3638" s="17">
        <v>3</v>
      </c>
      <c r="D3638" s="26" t="str">
        <f>HYPERLINK("https://github.com/BRAINOOOO/CompetitiveProgramming/blob/682cdb2f527d2ab262a9f616687b53a158b281a4/Spoj/SPOJ%20POTHOLE.Cpp","Sol")</f>
        <v>Sol</v>
      </c>
      <c r="E3638" s="17" t="s">
        <v>4060</v>
      </c>
      <c r="F3638" s="17"/>
      <c r="G3638" s="18"/>
      <c r="H3638" s="18"/>
    </row>
    <row r="3639" spans="1:8" ht="13.2">
      <c r="A3639" s="15" t="s">
        <v>4138</v>
      </c>
      <c r="B3639" s="37" t="s">
        <v>4139</v>
      </c>
      <c r="C3639" s="17">
        <v>3</v>
      </c>
      <c r="D3639" s="18"/>
      <c r="E3639" s="17" t="s">
        <v>4060</v>
      </c>
      <c r="F3639" s="17"/>
      <c r="G3639" s="18"/>
      <c r="H3639" s="18"/>
    </row>
    <row r="3640" spans="1:8" ht="13.2">
      <c r="A3640" s="15" t="s">
        <v>4140</v>
      </c>
      <c r="B3640" s="39" t="s">
        <v>4141</v>
      </c>
      <c r="C3640" s="24">
        <v>2.5</v>
      </c>
      <c r="D3640" s="18"/>
      <c r="E3640" s="17" t="s">
        <v>4060</v>
      </c>
      <c r="F3640" s="17"/>
      <c r="G3640" s="18"/>
      <c r="H3640" s="18"/>
    </row>
    <row r="3641" spans="1:8" ht="13.2">
      <c r="A3641" s="15" t="s">
        <v>4142</v>
      </c>
      <c r="B3641" s="15" t="s">
        <v>4143</v>
      </c>
      <c r="C3641" s="17">
        <v>8.25</v>
      </c>
      <c r="D3641" s="26" t="str">
        <f>HYPERLINK("https://github.com/mostafa-saad/MyCompetitiveProgramming/blob/master/Timus/TIMUS_2038.txt","Sol")</f>
        <v>Sol</v>
      </c>
      <c r="E3641" s="17" t="s">
        <v>4144</v>
      </c>
      <c r="F3641" s="17" t="s">
        <v>154</v>
      </c>
      <c r="G3641" s="18"/>
      <c r="H3641" s="18"/>
    </row>
    <row r="3642" spans="1:8" ht="13.2">
      <c r="A3642" s="19" t="str">
        <f>HYPERLINK("https://www.codechef.com/problems/MATCH","CODECHEF MATCH")</f>
        <v>CODECHEF MATCH</v>
      </c>
      <c r="B3642" s="18" t="s">
        <v>4145</v>
      </c>
      <c r="C3642" s="17">
        <v>8.25</v>
      </c>
      <c r="D3642" s="18"/>
      <c r="E3642" s="17" t="s">
        <v>4144</v>
      </c>
      <c r="F3642" s="17"/>
      <c r="G3642" s="18"/>
      <c r="H3642" s="18"/>
    </row>
    <row r="3643" spans="1:8" ht="13.2">
      <c r="A3643" s="15" t="s">
        <v>4146</v>
      </c>
      <c r="B3643" s="15" t="s">
        <v>4147</v>
      </c>
      <c r="C3643" s="17">
        <v>8</v>
      </c>
      <c r="D3643" s="26" t="str">
        <f>HYPERLINK("https://icpc.camp/new-meta/Topcoder%E4%B8%93%E9%A2%98#alienskislopes-srm687-hard","Some Editorial")</f>
        <v>Some Editorial</v>
      </c>
      <c r="E3643" s="17" t="s">
        <v>4144</v>
      </c>
      <c r="F3643" s="17" t="s">
        <v>139</v>
      </c>
      <c r="G3643" s="18"/>
      <c r="H3643" s="18"/>
    </row>
    <row r="3644" spans="1:8" ht="13.2">
      <c r="A3644" s="19" t="str">
        <f>HYPERLINK("http://codeforces.com/gym/101666/problem/E","CF101666-Gym-E")</f>
        <v>CF101666-Gym-E</v>
      </c>
      <c r="B3644" s="20" t="s">
        <v>4148</v>
      </c>
      <c r="C3644" s="21">
        <v>8</v>
      </c>
      <c r="D3644" s="26" t="str">
        <f>HYPERLINK("https://github.com/swapnil119/CompetitiveProgramming/blob/master/CompetitiveProgramming/Codeforces/CF101666-GYM-E.cpp","Sol")</f>
        <v>Sol</v>
      </c>
      <c r="E3644" s="17" t="s">
        <v>4144</v>
      </c>
      <c r="F3644" s="17" t="s">
        <v>139</v>
      </c>
      <c r="G3644" s="18"/>
      <c r="H3644" s="18"/>
    </row>
    <row r="3645" spans="1:8" ht="13.2">
      <c r="A3645" s="19" t="str">
        <f>HYPERLINK("http://codeforces.com/contest/78/problem/E","CF78-D2-E")</f>
        <v>CF78-D2-E</v>
      </c>
      <c r="B3645" s="29" t="s">
        <v>4149</v>
      </c>
      <c r="C3645" s="17">
        <v>8</v>
      </c>
      <c r="D3645" s="18"/>
      <c r="E3645" s="17" t="s">
        <v>4144</v>
      </c>
      <c r="F3645" s="17"/>
      <c r="G3645" s="18"/>
      <c r="H3645" s="18"/>
    </row>
    <row r="3646" spans="1:8" ht="13.2">
      <c r="A3646" s="15" t="s">
        <v>4150</v>
      </c>
      <c r="B3646" s="16" t="s">
        <v>4149</v>
      </c>
      <c r="C3646" s="17">
        <v>8</v>
      </c>
      <c r="D3646" s="18"/>
      <c r="E3646" s="17" t="s">
        <v>4144</v>
      </c>
      <c r="F3646" s="17"/>
      <c r="G3646" s="18"/>
      <c r="H3646" s="18"/>
    </row>
    <row r="3647" spans="1:8" ht="13.2">
      <c r="A3647" s="19" t="str">
        <f>HYPERLINK("https://community.topcoder.com/stat?c=problem_statement&amp;pm=1931&amp;rd=4709","TC(RookAttack)")</f>
        <v>TC(RookAttack)</v>
      </c>
      <c r="B3647" s="28" t="s">
        <v>4149</v>
      </c>
      <c r="C3647" s="24">
        <v>8</v>
      </c>
      <c r="D3647" s="18"/>
      <c r="E3647" s="24" t="s">
        <v>4144</v>
      </c>
      <c r="F3647" s="17"/>
      <c r="G3647" s="18"/>
      <c r="H3647" s="18"/>
    </row>
    <row r="3648" spans="1:8" ht="13.2">
      <c r="A3648" s="19" t="str">
        <f>HYPERLINK("http://codeforces.com/contest/499/problem/E","CF499-D2-E")</f>
        <v>CF499-D2-E</v>
      </c>
      <c r="B3648" s="29" t="s">
        <v>4151</v>
      </c>
      <c r="C3648" s="24">
        <v>8</v>
      </c>
      <c r="D3648" s="18"/>
      <c r="E3648" s="17" t="s">
        <v>4144</v>
      </c>
      <c r="F3648" s="17"/>
      <c r="G3648" s="18"/>
      <c r="H3648" s="18"/>
    </row>
    <row r="3649" spans="1:8" ht="13.2">
      <c r="A3649" s="19" t="str">
        <f>HYPERLINK("https://www.codechef.com/problems/TWOCOMP","CODECHEF TWOCOMP")</f>
        <v>CODECHEF TWOCOMP</v>
      </c>
      <c r="B3649" s="18" t="s">
        <v>4152</v>
      </c>
      <c r="C3649" s="17">
        <v>8</v>
      </c>
      <c r="D3649" s="18"/>
      <c r="E3649" s="17" t="s">
        <v>4144</v>
      </c>
      <c r="F3649" s="17"/>
      <c r="G3649" s="18"/>
      <c r="H3649" s="18"/>
    </row>
    <row r="3650" spans="1:8" ht="13.2">
      <c r="A3650" s="19" t="str">
        <f>HYPERLINK("http://codeforces.com/contest/512/problem/C","CF512-D1-C")</f>
        <v>CF512-D1-C</v>
      </c>
      <c r="B3650" s="29" t="s">
        <v>4149</v>
      </c>
      <c r="C3650" s="24">
        <v>7.75</v>
      </c>
      <c r="D3650" s="18"/>
      <c r="E3650" s="17" t="s">
        <v>4144</v>
      </c>
      <c r="F3650" s="17"/>
      <c r="G3650" s="18"/>
      <c r="H3650" s="18"/>
    </row>
    <row r="3651" spans="1:8" ht="13.2">
      <c r="A3651" s="15" t="s">
        <v>4153</v>
      </c>
      <c r="B3651" s="16" t="s">
        <v>4149</v>
      </c>
      <c r="C3651" s="17">
        <v>7.6</v>
      </c>
      <c r="D3651" s="18"/>
      <c r="E3651" s="17" t="s">
        <v>4144</v>
      </c>
      <c r="F3651" s="17"/>
      <c r="G3651" s="18"/>
      <c r="H3651" s="18"/>
    </row>
    <row r="3652" spans="1:8" ht="13.2">
      <c r="A3652" s="15" t="s">
        <v>4154</v>
      </c>
      <c r="B3652" s="39" t="s">
        <v>4155</v>
      </c>
      <c r="C3652" s="24">
        <v>7.25</v>
      </c>
      <c r="D3652" s="26" t="str">
        <f>HYPERLINK("https://github.com/mostafa-saad/MyCompetitiveProgramming/blob/master/UVA/UVA_10735.txt","Sol")</f>
        <v>Sol</v>
      </c>
      <c r="E3652" s="17" t="s">
        <v>4144</v>
      </c>
      <c r="F3652" s="17" t="s">
        <v>173</v>
      </c>
      <c r="G3652" s="18"/>
      <c r="H3652" s="18"/>
    </row>
    <row r="3653" spans="1:8" ht="13.2">
      <c r="A3653" s="19" t="str">
        <f>HYPERLINK("https://www.codechef.com/problems/KPERFMAT", "CodeChef KPERFMAT")</f>
        <v>CodeChef KPERFMAT</v>
      </c>
      <c r="B3653" s="15" t="s">
        <v>4156</v>
      </c>
      <c r="C3653" s="17">
        <v>7.25</v>
      </c>
      <c r="D3653" s="26" t="str">
        <f>HYPERLINK("https://github.com/tmwilliamlin168/CompetitiveProgramming/blob/master/CodeChef/KPERFMAT.cpp", "Sol")</f>
        <v>Sol</v>
      </c>
      <c r="E3653" s="17" t="s">
        <v>4144</v>
      </c>
      <c r="F3653" s="17"/>
      <c r="G3653" s="18"/>
      <c r="H3653" s="18"/>
    </row>
    <row r="3654" spans="1:8" ht="13.2">
      <c r="A3654" s="15" t="s">
        <v>4157</v>
      </c>
      <c r="B3654" s="23" t="s">
        <v>4155</v>
      </c>
      <c r="C3654" s="17">
        <v>7.1</v>
      </c>
      <c r="D3654" s="26" t="str">
        <f>HYPERLINK("https://github.com/mostafa-saad/MyCompetitiveProgramming/blob/master/LiveArchive/LIVEARCHIVE_2937.txt","Sol")</f>
        <v>Sol</v>
      </c>
      <c r="E3654" s="24" t="s">
        <v>4144</v>
      </c>
      <c r="F3654" s="17" t="s">
        <v>173</v>
      </c>
      <c r="G3654" s="18"/>
      <c r="H3654" s="18"/>
    </row>
    <row r="3655" spans="1:8" ht="13.2">
      <c r="A3655" s="19" t="str">
        <f>HYPERLINK("https://atcoder.jp/contests/agc037/tasks/agc037_d", "AtCoder037-AGC-D")</f>
        <v>AtCoder037-AGC-D</v>
      </c>
      <c r="B3655" s="15" t="s">
        <v>4158</v>
      </c>
      <c r="C3655" s="17">
        <v>7</v>
      </c>
      <c r="D3655" s="18"/>
      <c r="E3655" s="17" t="s">
        <v>4144</v>
      </c>
      <c r="F3655" s="17" t="s">
        <v>139</v>
      </c>
      <c r="G3655" s="18"/>
      <c r="H3655" s="18"/>
    </row>
    <row r="3656" spans="1:8" ht="13.2">
      <c r="A3656" s="15" t="s">
        <v>4159</v>
      </c>
      <c r="B3656" s="39" t="s">
        <v>4160</v>
      </c>
      <c r="C3656" s="24">
        <v>7</v>
      </c>
      <c r="D3656" s="26" t="str">
        <f>HYPERLINK("https://ideone.com/B7SwUL","Sol")</f>
        <v>Sol</v>
      </c>
      <c r="E3656" s="17" t="s">
        <v>4144</v>
      </c>
      <c r="F3656" s="17" t="s">
        <v>139</v>
      </c>
      <c r="G3656" s="18"/>
      <c r="H3656" s="18"/>
    </row>
    <row r="3657" spans="1:8" ht="13.2">
      <c r="A3657" s="19" t="str">
        <f>HYPERLINK("http://codeforces.com/problemset/problem/1054/F", "CF1054-D12-F")</f>
        <v>CF1054-D12-F</v>
      </c>
      <c r="B3657" s="15" t="s">
        <v>4161</v>
      </c>
      <c r="C3657" s="17">
        <v>7</v>
      </c>
      <c r="D3657" s="18"/>
      <c r="E3657" s="17" t="s">
        <v>4144</v>
      </c>
      <c r="F3657" s="17" t="s">
        <v>139</v>
      </c>
      <c r="G3657" s="18"/>
      <c r="H3657" s="18"/>
    </row>
    <row r="3658" spans="1:8" ht="13.2">
      <c r="A3658" s="15" t="s">
        <v>4162</v>
      </c>
      <c r="B3658" s="28" t="s">
        <v>4163</v>
      </c>
      <c r="C3658" s="24">
        <v>7</v>
      </c>
      <c r="D3658" s="26" t="str">
        <f>HYPERLINK("https://github.com/quangloc99/CompetitiveProgramming/blob/master/Topcoder/SRM527-D1-500.cpp","Sol")</f>
        <v>Sol</v>
      </c>
      <c r="E3658" s="17" t="s">
        <v>4144</v>
      </c>
      <c r="F3658" s="17" t="s">
        <v>139</v>
      </c>
      <c r="G3658" s="18"/>
      <c r="H3658" s="18"/>
    </row>
    <row r="3659" spans="1:8" ht="13.2">
      <c r="A3659" s="19" t="str">
        <f>HYPERLINK("https://code.google.com/codejam/contest/204113/dashboard#s=p2&amp;a=2","CODEJAM 09-R2-C")</f>
        <v>CODEJAM 09-R2-C</v>
      </c>
      <c r="B3659" s="39" t="s">
        <v>4164</v>
      </c>
      <c r="C3659" s="24">
        <v>6.75</v>
      </c>
      <c r="D3659" s="18"/>
      <c r="E3659" s="17" t="s">
        <v>4144</v>
      </c>
      <c r="F3659" s="17" t="s">
        <v>154</v>
      </c>
      <c r="G3659" s="18"/>
      <c r="H3659" s="18"/>
    </row>
    <row r="3660" spans="1:8" ht="13.2">
      <c r="A3660" s="15" t="s">
        <v>4165</v>
      </c>
      <c r="B3660" s="30" t="s">
        <v>4166</v>
      </c>
      <c r="C3660" s="24">
        <v>6.75</v>
      </c>
      <c r="D3660" s="18"/>
      <c r="E3660" s="17" t="s">
        <v>4144</v>
      </c>
      <c r="F3660" s="17"/>
      <c r="G3660" s="18"/>
      <c r="H3660" s="18"/>
    </row>
    <row r="3661" spans="1:8" ht="13.2">
      <c r="A3661" s="15" t="s">
        <v>4167</v>
      </c>
      <c r="B3661" s="39" t="s">
        <v>4164</v>
      </c>
      <c r="C3661" s="24">
        <v>6.75</v>
      </c>
      <c r="D3661" s="18"/>
      <c r="E3661" s="17" t="s">
        <v>4144</v>
      </c>
      <c r="F3661" s="17"/>
      <c r="G3661" s="18"/>
      <c r="H3661" s="18"/>
    </row>
    <row r="3662" spans="1:8" ht="13.2">
      <c r="A3662" s="15" t="s">
        <v>4168</v>
      </c>
      <c r="B3662" s="58" t="s">
        <v>4169</v>
      </c>
      <c r="C3662" s="17">
        <v>6.75</v>
      </c>
      <c r="D3662" s="18"/>
      <c r="E3662" s="17" t="s">
        <v>4144</v>
      </c>
      <c r="F3662" s="17"/>
      <c r="G3662" s="18"/>
      <c r="H3662" s="18"/>
    </row>
    <row r="3663" spans="1:8" ht="13.2">
      <c r="A3663" s="19" t="str">
        <f>HYPERLINK("https://codeforces.com/contest/1139/problem/E","CF1139-D2-E")</f>
        <v>CF1139-D2-E</v>
      </c>
      <c r="B3663" s="15" t="s">
        <v>4149</v>
      </c>
      <c r="C3663" s="17">
        <v>6.5</v>
      </c>
      <c r="D3663" s="18"/>
      <c r="E3663" s="17" t="s">
        <v>4144</v>
      </c>
      <c r="F3663" s="17" t="s">
        <v>139</v>
      </c>
      <c r="G3663" s="18"/>
      <c r="H3663" s="18"/>
    </row>
    <row r="3664" spans="1:8" ht="13.2">
      <c r="A3664" s="19" t="str">
        <f>HYPERLINK("http://codeforces.com/contest/387/problem/D","CF387-D2-D")</f>
        <v>CF387-D2-D</v>
      </c>
      <c r="B3664" s="29" t="s">
        <v>4161</v>
      </c>
      <c r="C3664" s="17">
        <v>6.5</v>
      </c>
      <c r="D3664" s="18"/>
      <c r="E3664" s="17" t="s">
        <v>4144</v>
      </c>
      <c r="F3664" s="17" t="s">
        <v>139</v>
      </c>
      <c r="G3664" s="18"/>
      <c r="H3664" s="18"/>
    </row>
    <row r="3665" spans="1:8" ht="13.2">
      <c r="A3665" s="19" t="str">
        <f>HYPERLINK("https://codejam.withgoogle.com/2018/challenges/0000000000007706/dashboard/0000000000045875", "CODEJAM 18-R2-C")</f>
        <v>CODEJAM 18-R2-C</v>
      </c>
      <c r="B3665" s="20" t="s">
        <v>4149</v>
      </c>
      <c r="C3665" s="21">
        <v>6.5</v>
      </c>
      <c r="D3665" s="18"/>
      <c r="E3665" s="17" t="s">
        <v>4144</v>
      </c>
      <c r="F3665" s="17"/>
      <c r="G3665" s="18"/>
      <c r="H3665" s="18"/>
    </row>
    <row r="3666" spans="1:8" ht="13.2">
      <c r="A3666" s="15" t="s">
        <v>4170</v>
      </c>
      <c r="B3666" s="18" t="s">
        <v>4149</v>
      </c>
      <c r="C3666" s="17">
        <v>6.5</v>
      </c>
      <c r="D3666" s="18"/>
      <c r="E3666" s="17" t="s">
        <v>4144</v>
      </c>
      <c r="F3666" s="17"/>
      <c r="G3666" s="18"/>
      <c r="H3666" s="18"/>
    </row>
    <row r="3667" spans="1:8" ht="13.2">
      <c r="A3667" s="15" t="s">
        <v>4171</v>
      </c>
      <c r="B3667" s="38" t="s">
        <v>4172</v>
      </c>
      <c r="C3667" s="17">
        <v>6.5</v>
      </c>
      <c r="D3667" s="18"/>
      <c r="E3667" s="17" t="s">
        <v>4144</v>
      </c>
      <c r="F3667" s="17"/>
      <c r="G3667" s="18"/>
      <c r="H3667" s="18"/>
    </row>
    <row r="3668" spans="1:8" ht="13.2">
      <c r="A3668" s="15" t="s">
        <v>4173</v>
      </c>
      <c r="B3668" s="39" t="s">
        <v>4174</v>
      </c>
      <c r="C3668" s="17">
        <v>6.25</v>
      </c>
      <c r="D3668" s="26" t="str">
        <f>HYPERLINK("https://github.com/BRAINOOOO/CompetitiveProgramming/blob/master/UVA/V-6/UVA%20663.Cpp","Sol")</f>
        <v>Sol</v>
      </c>
      <c r="E3668" s="17" t="s">
        <v>4144</v>
      </c>
      <c r="F3668" s="17" t="s">
        <v>154</v>
      </c>
      <c r="G3668" s="18"/>
      <c r="H3668" s="18"/>
    </row>
    <row r="3669" spans="1:8" ht="13.2">
      <c r="A3669" s="19" t="str">
        <f>HYPERLINK("https://www.spoj.com/problems/ADAPATH/","SPOJ ADAPATH")</f>
        <v>SPOJ ADAPATH</v>
      </c>
      <c r="B3669" s="15" t="s">
        <v>4149</v>
      </c>
      <c r="C3669" s="17">
        <v>6.25</v>
      </c>
      <c r="D3669" s="26" t="str">
        <f>HYPERLINK("https://github.com/goswami-rahul/competitive-coding/blob/master/CompetitiveProgramming/spoj/ADAPATH.cpp","Sol")</f>
        <v>Sol</v>
      </c>
      <c r="E3669" s="17" t="s">
        <v>4144</v>
      </c>
      <c r="F3669" s="17" t="s">
        <v>139</v>
      </c>
      <c r="G3669" s="18"/>
      <c r="H3669" s="18"/>
    </row>
    <row r="3670" spans="1:8" ht="13.2">
      <c r="A3670" s="15" t="s">
        <v>4175</v>
      </c>
      <c r="B3670" s="29" t="s">
        <v>4176</v>
      </c>
      <c r="C3670" s="24">
        <v>6.25</v>
      </c>
      <c r="D3670" s="18"/>
      <c r="E3670" s="17" t="s">
        <v>4144</v>
      </c>
      <c r="F3670" s="17"/>
      <c r="G3670" s="18"/>
      <c r="H3670" s="18"/>
    </row>
    <row r="3671" spans="1:8" ht="13.2">
      <c r="A3671" s="19" t="str">
        <f>HYPERLINK("https://www.spoj.com/problems/ADABLOOM/","SOPJ ADABLOOM")</f>
        <v>SOPJ ADABLOOM</v>
      </c>
      <c r="B3671" s="15" t="s">
        <v>4177</v>
      </c>
      <c r="C3671" s="17">
        <v>6</v>
      </c>
      <c r="D3671" s="26" t="str">
        <f>HYPERLINK("https://github.com/Coder-Boy1/SPOJ/blob/master/SPOJ%20ADABLOOM","Sol")</f>
        <v>Sol</v>
      </c>
      <c r="E3671" s="17" t="s">
        <v>4144</v>
      </c>
      <c r="F3671" s="17" t="s">
        <v>154</v>
      </c>
      <c r="G3671" s="18"/>
      <c r="H3671" s="18"/>
    </row>
    <row r="3672" spans="1:8" ht="13.2">
      <c r="A3672" s="15" t="s">
        <v>4178</v>
      </c>
      <c r="B3672" s="28" t="s">
        <v>4179</v>
      </c>
      <c r="C3672" s="24">
        <v>6</v>
      </c>
      <c r="D3672" s="18"/>
      <c r="E3672" s="17" t="s">
        <v>4144</v>
      </c>
      <c r="F3672" s="17" t="s">
        <v>139</v>
      </c>
      <c r="G3672" s="18"/>
      <c r="H3672" s="18"/>
    </row>
    <row r="3673" spans="1:8" ht="13.2">
      <c r="A3673" s="15" t="s">
        <v>4180</v>
      </c>
      <c r="B3673" s="30" t="s">
        <v>4181</v>
      </c>
      <c r="C3673" s="17">
        <v>6</v>
      </c>
      <c r="D3673" s="18"/>
      <c r="E3673" s="17" t="s">
        <v>4144</v>
      </c>
      <c r="F3673" s="17" t="s">
        <v>139</v>
      </c>
      <c r="G3673" s="18"/>
      <c r="H3673" s="18"/>
    </row>
    <row r="3674" spans="1:8" ht="13.2">
      <c r="A3674" s="19" t="str">
        <f>HYPERLINK("https://codeforces.com/contest/1152/problem/D","CF1152-D2-D")</f>
        <v>CF1152-D2-D</v>
      </c>
      <c r="B3674" s="15" t="s">
        <v>4182</v>
      </c>
      <c r="C3674" s="17">
        <v>6</v>
      </c>
      <c r="D3674" s="18"/>
      <c r="E3674" s="17" t="s">
        <v>4144</v>
      </c>
      <c r="F3674" s="17" t="s">
        <v>139</v>
      </c>
      <c r="G3674" s="18"/>
      <c r="H3674" s="18"/>
    </row>
    <row r="3675" spans="1:8" ht="13.2">
      <c r="A3675" s="19" t="str">
        <f>HYPERLINK("https://codeforces.com/contest/1034/problem/B","CF1034-D1-B")</f>
        <v>CF1034-D1-B</v>
      </c>
      <c r="B3675" s="20" t="s">
        <v>4183</v>
      </c>
      <c r="C3675" s="21">
        <v>6</v>
      </c>
      <c r="D3675" s="18" t="s">
        <v>1166</v>
      </c>
      <c r="E3675" s="17" t="s">
        <v>4144</v>
      </c>
      <c r="F3675" s="17" t="s">
        <v>139</v>
      </c>
      <c r="G3675" s="18"/>
      <c r="H3675" s="18"/>
    </row>
    <row r="3676" spans="1:8" ht="13.2">
      <c r="A3676" s="15" t="s">
        <v>4184</v>
      </c>
      <c r="B3676" s="30" t="s">
        <v>4185</v>
      </c>
      <c r="C3676" s="24">
        <v>6</v>
      </c>
      <c r="D3676" s="26" t="str">
        <f>HYPERLINK("https://github.com/BRAINOOOO/CompetitiveProgramming/blob/master/UVA/V-121/UVA%2012168.Cpp","Sol")</f>
        <v>Sol</v>
      </c>
      <c r="E3676" s="17" t="s">
        <v>4144</v>
      </c>
      <c r="F3676" s="17" t="s">
        <v>139</v>
      </c>
      <c r="G3676" s="18"/>
      <c r="H3676" s="18"/>
    </row>
    <row r="3677" spans="1:8" ht="13.2">
      <c r="A3677" s="15" t="s">
        <v>4186</v>
      </c>
      <c r="B3677" s="28" t="s">
        <v>4187</v>
      </c>
      <c r="C3677" s="24">
        <v>6</v>
      </c>
      <c r="D3677" s="18"/>
      <c r="E3677" s="24" t="s">
        <v>4144</v>
      </c>
      <c r="F3677" s="17" t="s">
        <v>139</v>
      </c>
      <c r="G3677" s="18"/>
      <c r="H3677" s="18"/>
    </row>
    <row r="3678" spans="1:8" ht="13.2">
      <c r="A3678" s="19" t="str">
        <f>HYPERLINK("http://codeforces.com/contest/498/problem/C","CF498-D1-C")</f>
        <v>CF498-D1-C</v>
      </c>
      <c r="B3678" s="37" t="s">
        <v>4149</v>
      </c>
      <c r="C3678" s="24">
        <v>6</v>
      </c>
      <c r="D3678" s="18"/>
      <c r="E3678" s="17" t="s">
        <v>4144</v>
      </c>
      <c r="F3678" s="17" t="s">
        <v>227</v>
      </c>
      <c r="G3678" s="18"/>
      <c r="H3678" s="18"/>
    </row>
    <row r="3679" spans="1:8" ht="13.2">
      <c r="A3679" s="15" t="s">
        <v>4188</v>
      </c>
      <c r="B3679" s="39" t="s">
        <v>4189</v>
      </c>
      <c r="C3679" s="24">
        <v>6</v>
      </c>
      <c r="D3679" s="18"/>
      <c r="E3679" s="17" t="s">
        <v>4144</v>
      </c>
      <c r="F3679" s="17" t="s">
        <v>201</v>
      </c>
      <c r="G3679" s="18"/>
      <c r="H3679" s="18"/>
    </row>
    <row r="3680" spans="1:8" ht="13.2">
      <c r="A3680" s="15" t="s">
        <v>4190</v>
      </c>
      <c r="B3680" s="18" t="s">
        <v>4191</v>
      </c>
      <c r="C3680" s="17">
        <v>6</v>
      </c>
      <c r="D3680" s="26" t="str">
        <f>HYPERLINK("https://github.com/mostafa-saad/MyCompetitiveProgramming/blob/master/SPOJ/SPOJ_OILCOMP.txt","Sol")</f>
        <v>Sol</v>
      </c>
      <c r="E3680" s="17" t="s">
        <v>4144</v>
      </c>
      <c r="F3680" s="17" t="s">
        <v>201</v>
      </c>
      <c r="G3680" s="18"/>
      <c r="H3680" s="18"/>
    </row>
    <row r="3681" spans="1:8" ht="13.2">
      <c r="A3681" s="15" t="s">
        <v>4192</v>
      </c>
      <c r="B3681" s="39" t="s">
        <v>4193</v>
      </c>
      <c r="C3681" s="17">
        <v>6</v>
      </c>
      <c r="D3681" s="18"/>
      <c r="E3681" s="17" t="s">
        <v>4144</v>
      </c>
      <c r="F3681" s="17" t="s">
        <v>242</v>
      </c>
      <c r="G3681" s="18"/>
      <c r="H3681" s="18"/>
    </row>
    <row r="3682" spans="1:8" ht="13.2">
      <c r="A3682" s="19" t="str">
        <f>HYPERLINK("https://csacademy.com/contest/round-66/task/flipping-matrix/","CSA66-D")</f>
        <v>CSA66-D</v>
      </c>
      <c r="B3682" s="29" t="s">
        <v>4149</v>
      </c>
      <c r="C3682" s="17">
        <v>6</v>
      </c>
      <c r="D3682" s="18"/>
      <c r="E3682" s="17" t="s">
        <v>4144</v>
      </c>
      <c r="F3682" s="17"/>
      <c r="G3682" s="18"/>
      <c r="H3682" s="18"/>
    </row>
    <row r="3683" spans="1:8" ht="13.2">
      <c r="A3683" s="19" t="str">
        <f>HYPERLINK("http://codeforces.com/contest/166/problem/D","CF166-D2-D")</f>
        <v>CF166-D2-D</v>
      </c>
      <c r="B3683" s="29" t="s">
        <v>4194</v>
      </c>
      <c r="C3683" s="17">
        <v>6</v>
      </c>
      <c r="D3683" s="18"/>
      <c r="E3683" s="17" t="s">
        <v>4144</v>
      </c>
      <c r="F3683" s="17"/>
      <c r="G3683" s="18"/>
      <c r="H3683" s="18"/>
    </row>
    <row r="3684" spans="1:8" ht="13.2">
      <c r="A3684" s="15" t="s">
        <v>4195</v>
      </c>
      <c r="B3684" s="28" t="s">
        <v>4196</v>
      </c>
      <c r="C3684" s="24">
        <v>6</v>
      </c>
      <c r="D3684" s="18"/>
      <c r="E3684" s="17" t="s">
        <v>4144</v>
      </c>
      <c r="F3684" s="17"/>
      <c r="G3684" s="18"/>
      <c r="H3684" s="18"/>
    </row>
    <row r="3685" spans="1:8" ht="13.2">
      <c r="A3685" s="15" t="s">
        <v>4197</v>
      </c>
      <c r="B3685" s="28" t="s">
        <v>4198</v>
      </c>
      <c r="C3685" s="24">
        <v>5.5</v>
      </c>
      <c r="D3685" s="26" t="str">
        <f>HYPERLINK("https://github.com/mostafa-saad/MyCompetitiveProgramming/blob/master/UVA/UVA_1194.txt","Sol")</f>
        <v>Sol</v>
      </c>
      <c r="E3685" s="17" t="s">
        <v>4144</v>
      </c>
      <c r="F3685" s="17" t="s">
        <v>1420</v>
      </c>
      <c r="G3685" s="18"/>
      <c r="H3685" s="18"/>
    </row>
    <row r="3686" spans="1:8" ht="13.2">
      <c r="A3686" s="19" t="str">
        <f>HYPERLINK("https://uva.onlinejudge.org/index.php?option=onlinejudge&amp;page=show_problem&amp;problem=1290","UVA 10349")</f>
        <v>UVA 10349</v>
      </c>
      <c r="B3686" s="29" t="s">
        <v>4199</v>
      </c>
      <c r="C3686" s="17">
        <v>5.5</v>
      </c>
      <c r="D3686" s="26" t="str">
        <f>HYPERLINK("https://github.com/mostafa-saad/MyCompetitiveProgramming/blob/master/UVA/UVA_10349.txt","Sol - 2 ways")</f>
        <v>Sol - 2 ways</v>
      </c>
      <c r="E3686" s="17" t="s">
        <v>4144</v>
      </c>
      <c r="F3686" s="17" t="s">
        <v>139</v>
      </c>
      <c r="G3686" s="18"/>
      <c r="H3686" s="18"/>
    </row>
    <row r="3687" spans="1:8" ht="13.2">
      <c r="A3687" s="15" t="s">
        <v>4200</v>
      </c>
      <c r="B3687" s="28" t="s">
        <v>4169</v>
      </c>
      <c r="C3687" s="24">
        <v>5.5</v>
      </c>
      <c r="D3687" s="26" t="str">
        <f>HYPERLINK("https://github.com/mostafa-saad/MyCompetitiveProgramming/blob/master/SPOJ/SPOJ_QUEST4.txt","Sol")</f>
        <v>Sol</v>
      </c>
      <c r="E3687" s="17" t="s">
        <v>4144</v>
      </c>
      <c r="F3687" s="17" t="s">
        <v>201</v>
      </c>
      <c r="G3687" s="18"/>
      <c r="H3687" s="18"/>
    </row>
    <row r="3688" spans="1:8" ht="13.2">
      <c r="A3688" s="19" t="str">
        <f>HYPERLINK("https://uva.onlinejudge.org/index.php?option=com_onlinejudge&amp;Itemid=8&amp;page=show_problem&amp;problem=2100","UVA 11159")</f>
        <v>UVA 11159</v>
      </c>
      <c r="B3688" s="29" t="s">
        <v>4201</v>
      </c>
      <c r="C3688" s="17">
        <v>5.5</v>
      </c>
      <c r="D3688" s="26" t="str">
        <f>HYPERLINK("https://github.com/mostafa-saad/MyCompetitiveProgramming/blob/master/UVA/UVA_11159.txt","Sol")</f>
        <v>Sol</v>
      </c>
      <c r="E3688" s="17" t="s">
        <v>4144</v>
      </c>
      <c r="F3688" s="17" t="s">
        <v>242</v>
      </c>
      <c r="G3688" s="18"/>
      <c r="H3688" s="18"/>
    </row>
    <row r="3689" spans="1:8" ht="13.2">
      <c r="A3689" s="19" t="str">
        <f>HYPERLINK("http://codeforces.com/gym/101047/problem/H","CF101047-GYM-H")</f>
        <v>CF101047-GYM-H</v>
      </c>
      <c r="B3689" s="37" t="s">
        <v>4149</v>
      </c>
      <c r="C3689" s="17">
        <v>5.5</v>
      </c>
      <c r="D3689" s="26" t="str">
        <f>HYPERLINK("https://github.com/OmarKharouba/CompetitiveProgramming/blob/master/CodeForces/CF101047_GYM_H.java","Sol")</f>
        <v>Sol</v>
      </c>
      <c r="E3689" s="17" t="s">
        <v>4144</v>
      </c>
      <c r="F3689" s="17"/>
      <c r="G3689" s="18"/>
      <c r="H3689" s="18"/>
    </row>
    <row r="3690" spans="1:8" ht="13.2">
      <c r="A3690" s="15" t="s">
        <v>4202</v>
      </c>
      <c r="B3690" s="29" t="s">
        <v>4203</v>
      </c>
      <c r="C3690" s="24">
        <v>5.5</v>
      </c>
      <c r="D3690" s="18"/>
      <c r="E3690" s="17" t="s">
        <v>4144</v>
      </c>
      <c r="F3690" s="17"/>
      <c r="G3690" s="18"/>
      <c r="H3690" s="18"/>
    </row>
    <row r="3691" spans="1:8" ht="13.2">
      <c r="A3691" s="15" t="s">
        <v>4204</v>
      </c>
      <c r="B3691" s="43" t="s">
        <v>4205</v>
      </c>
      <c r="C3691" s="24">
        <v>5.25</v>
      </c>
      <c r="D3691" s="26" t="str">
        <f>HYPERLINK("https://github.com/Coder-Boy1/SPOJ/blob/master/SPOJ%20STEAD","Sol")</f>
        <v>Sol</v>
      </c>
      <c r="E3691" s="17" t="s">
        <v>4144</v>
      </c>
      <c r="F3691" s="17" t="s">
        <v>139</v>
      </c>
      <c r="G3691" s="18"/>
      <c r="H3691" s="18"/>
    </row>
    <row r="3692" spans="1:8" ht="13.2">
      <c r="A3692" s="15" t="s">
        <v>4206</v>
      </c>
      <c r="B3692" s="27" t="s">
        <v>4207</v>
      </c>
      <c r="C3692" s="17">
        <v>5</v>
      </c>
      <c r="D3692" s="26" t="str">
        <f>HYPERLINK("https://github.com/mostafa-saad/MyCompetitiveProgramming/blob/master/LiveArchive/LIVEARCHIVE_3752.txt","Easy greedy. Try it as min path coverage")</f>
        <v>Easy greedy. Try it as min path coverage</v>
      </c>
      <c r="E3692" s="17" t="s">
        <v>4144</v>
      </c>
      <c r="F3692" s="17" t="s">
        <v>154</v>
      </c>
      <c r="G3692" s="18"/>
      <c r="H3692" s="18"/>
    </row>
    <row r="3693" spans="1:8" ht="13.2">
      <c r="A3693" s="15" t="s">
        <v>4208</v>
      </c>
      <c r="B3693" s="18" t="s">
        <v>4149</v>
      </c>
      <c r="C3693" s="17">
        <v>5</v>
      </c>
      <c r="D3693" s="26" t="str">
        <f>HYPERLINK("https://github.com/tanmoy13/CompetitveProgramming/blob/master/Online-Judge-Solutions/UVA/670%20-%20The%20dog%20task.cpp","Sol")</f>
        <v>Sol</v>
      </c>
      <c r="E3693" s="17" t="s">
        <v>4144</v>
      </c>
      <c r="F3693" s="17" t="s">
        <v>139</v>
      </c>
      <c r="G3693" s="18"/>
      <c r="H3693" s="18"/>
    </row>
    <row r="3694" spans="1:8" ht="13.2">
      <c r="A3694" s="15" t="s">
        <v>4209</v>
      </c>
      <c r="B3694" s="27" t="s">
        <v>4210</v>
      </c>
      <c r="C3694" s="17">
        <v>5</v>
      </c>
      <c r="D3694" s="26" t="str">
        <f>HYPERLINK("https://github.com/AhmedRamadanAbdElghany/CompetitiveProgramming/blob/master/UVA/1184.cpp","Sol")</f>
        <v>Sol</v>
      </c>
      <c r="E3694" s="17" t="s">
        <v>4144</v>
      </c>
      <c r="F3694" s="17" t="s">
        <v>201</v>
      </c>
      <c r="G3694" s="18"/>
      <c r="H3694" s="18"/>
    </row>
    <row r="3695" spans="1:8" ht="13.2">
      <c r="A3695" s="15" t="s">
        <v>4211</v>
      </c>
      <c r="B3695" s="28" t="s">
        <v>4149</v>
      </c>
      <c r="C3695" s="17">
        <v>5</v>
      </c>
      <c r="D3695" s="18"/>
      <c r="E3695" s="17" t="s">
        <v>4144</v>
      </c>
      <c r="F3695" s="17"/>
      <c r="G3695" s="18"/>
      <c r="H3695" s="18"/>
    </row>
    <row r="3696" spans="1:8" ht="13.2">
      <c r="A3696" s="19" t="str">
        <f>HYPERLINK("https://uva.onlinejudge.org/index.php?option=onlinejudge&amp;page=show_problem&amp;problem=694","UVA 753")</f>
        <v>UVA 753</v>
      </c>
      <c r="B3696" s="29" t="s">
        <v>4149</v>
      </c>
      <c r="C3696" s="17">
        <v>5</v>
      </c>
      <c r="D3696" s="26" t="str">
        <f>HYPERLINK("https://github.com/mostafa-saad/MyCompetitiveProgramming/blob/master/UVA/UVA_753.txt","Sol")</f>
        <v>Sol</v>
      </c>
      <c r="E3696" s="17" t="s">
        <v>4144</v>
      </c>
      <c r="F3696" s="17"/>
      <c r="G3696" s="18"/>
      <c r="H3696" s="18"/>
    </row>
    <row r="3697" spans="1:8" ht="13.2">
      <c r="A3697" s="15" t="s">
        <v>4212</v>
      </c>
      <c r="B3697" s="18" t="s">
        <v>4213</v>
      </c>
      <c r="C3697" s="17">
        <v>5</v>
      </c>
      <c r="D3697" s="26" t="str">
        <f>HYPERLINK("http://ideone.com/bXUDTg","Sol. Don't just greedy it")</f>
        <v>Sol. Don't just greedy it</v>
      </c>
      <c r="E3697" s="17" t="s">
        <v>4144</v>
      </c>
      <c r="F3697" s="17"/>
      <c r="G3697" s="18"/>
      <c r="H3697" s="18"/>
    </row>
    <row r="3698" spans="1:8" ht="13.2">
      <c r="A3698" s="15" t="s">
        <v>4214</v>
      </c>
      <c r="B3698" s="39" t="s">
        <v>4215</v>
      </c>
      <c r="C3698" s="17">
        <v>5</v>
      </c>
      <c r="D3698" s="18"/>
      <c r="E3698" s="17" t="s">
        <v>4144</v>
      </c>
      <c r="F3698" s="17"/>
      <c r="G3698" s="18"/>
      <c r="H3698" s="18"/>
    </row>
    <row r="3699" spans="1:8" ht="13.2">
      <c r="A3699" s="15" t="s">
        <v>4216</v>
      </c>
      <c r="B3699" s="15" t="s">
        <v>4217</v>
      </c>
      <c r="C3699" s="17">
        <v>4.5</v>
      </c>
      <c r="D3699" s="26" t="str">
        <f>HYPERLINK("https://github.com/shashank0107/CompetitiveProgramming/blob/master/SPOJ/NITT4.cpp", "Sol")</f>
        <v>Sol</v>
      </c>
      <c r="E3699" s="17" t="s">
        <v>4144</v>
      </c>
      <c r="F3699" s="17" t="s">
        <v>139</v>
      </c>
      <c r="G3699" s="18"/>
      <c r="H3699" s="18"/>
    </row>
    <row r="3700" spans="1:8" ht="13.2">
      <c r="A3700" s="15" t="s">
        <v>4218</v>
      </c>
      <c r="B3700" s="28" t="s">
        <v>4149</v>
      </c>
      <c r="C3700" s="17">
        <v>4.5</v>
      </c>
      <c r="D3700" s="18"/>
      <c r="E3700" s="17" t="s">
        <v>4144</v>
      </c>
      <c r="F3700" s="17"/>
      <c r="G3700" s="18"/>
      <c r="H3700" s="18"/>
    </row>
    <row r="3701" spans="1:8" ht="13.2">
      <c r="A3701" s="19" t="str">
        <f>HYPERLINK("https://uva.onlinejudge.org/index.php?option=com_onlinejudge&amp;Itemid=8&amp;page=show_problem&amp;problem=195","UVA 259")</f>
        <v>UVA 259</v>
      </c>
      <c r="B3701" s="29" t="s">
        <v>4219</v>
      </c>
      <c r="C3701" s="17">
        <v>4.5</v>
      </c>
      <c r="D3701" s="26" t="str">
        <f>HYPERLINK("https://github.com/mostafa-saad/MyCompetitiveProgramming/blob/master/UVA/UVA_259.txt","Sol")</f>
        <v>Sol</v>
      </c>
      <c r="E3701" s="17" t="s">
        <v>4144</v>
      </c>
      <c r="F3701" s="17"/>
      <c r="G3701" s="18"/>
      <c r="H3701" s="18"/>
    </row>
    <row r="3702" spans="1:8" ht="13.2">
      <c r="A3702" s="15" t="s">
        <v>4220</v>
      </c>
      <c r="B3702" s="28" t="s">
        <v>4221</v>
      </c>
      <c r="C3702" s="24">
        <v>4.5</v>
      </c>
      <c r="D3702" s="18"/>
      <c r="E3702" s="24" t="s">
        <v>4144</v>
      </c>
      <c r="F3702" s="17"/>
      <c r="G3702" s="18"/>
      <c r="H3702" s="18"/>
    </row>
    <row r="3703" spans="1:8" ht="13.2">
      <c r="A3703" s="15" t="s">
        <v>4222</v>
      </c>
      <c r="B3703" s="39" t="s">
        <v>4223</v>
      </c>
      <c r="C3703" s="24">
        <v>4.5</v>
      </c>
      <c r="D3703" s="18"/>
      <c r="E3703" s="17" t="s">
        <v>4144</v>
      </c>
      <c r="F3703" s="17"/>
      <c r="G3703" s="18"/>
      <c r="H3703" s="18"/>
    </row>
    <row r="3704" spans="1:8" ht="13.2">
      <c r="A3704" s="15" t="s">
        <v>4224</v>
      </c>
      <c r="B3704" s="39" t="s">
        <v>4225</v>
      </c>
      <c r="C3704" s="24">
        <v>4</v>
      </c>
      <c r="D3704" s="26" t="str">
        <f>HYPERLINK("https://github.com/AhmedRamadanAbdElghany/CompetitiveProgramming/blob/master/UVA/11045.cpp","Sol")</f>
        <v>Sol</v>
      </c>
      <c r="E3704" s="17" t="s">
        <v>4144</v>
      </c>
      <c r="F3704" s="17" t="s">
        <v>242</v>
      </c>
      <c r="G3704" s="18"/>
      <c r="H3704" s="18"/>
    </row>
    <row r="3705" spans="1:8" ht="13.2">
      <c r="A3705" s="15" t="s">
        <v>4226</v>
      </c>
      <c r="B3705" s="28" t="s">
        <v>4227</v>
      </c>
      <c r="C3705" s="17">
        <v>4</v>
      </c>
      <c r="D3705" s="26" t="str">
        <f>HYPERLINK("https://github.com/andmej/live-archive/blob/master/2038%20-%20Strategic%20game/2038.3.cpp","Don't DP. Sol")</f>
        <v>Don't DP. Sol</v>
      </c>
      <c r="E3705" s="24" t="s">
        <v>4144</v>
      </c>
      <c r="F3705" s="17" t="s">
        <v>242</v>
      </c>
      <c r="G3705" s="18"/>
      <c r="H3705" s="18"/>
    </row>
    <row r="3706" spans="1:8" ht="13.2">
      <c r="A3706" s="15" t="s">
        <v>4228</v>
      </c>
      <c r="B3706" s="30" t="s">
        <v>4229</v>
      </c>
      <c r="C3706" s="17">
        <v>4</v>
      </c>
      <c r="D3706" s="26" t="str">
        <f>HYPERLINK("https://github.com/tanmoy13/CompetitveProgramming/blob/master/Online-Judge-Solutions/LiveArchive/3128%20-%20Card%20Game%20Cheater.cpp","Sol")</f>
        <v>Sol</v>
      </c>
      <c r="E3706" s="17" t="s">
        <v>4144</v>
      </c>
      <c r="F3706" s="17" t="s">
        <v>242</v>
      </c>
      <c r="G3706" s="18"/>
      <c r="H3706" s="18"/>
    </row>
    <row r="3707" spans="1:8" ht="13.2">
      <c r="A3707" s="15" t="s">
        <v>4230</v>
      </c>
      <c r="B3707" s="28" t="s">
        <v>4149</v>
      </c>
      <c r="C3707" s="24">
        <v>4</v>
      </c>
      <c r="D3707" s="18"/>
      <c r="E3707" s="24" t="s">
        <v>4144</v>
      </c>
      <c r="F3707" s="17"/>
      <c r="G3707" s="18"/>
      <c r="H3707" s="18"/>
    </row>
    <row r="3708" spans="1:8" ht="13.2">
      <c r="A3708" s="15" t="s">
        <v>4231</v>
      </c>
      <c r="B3708" s="39" t="s">
        <v>4149</v>
      </c>
      <c r="C3708" s="24">
        <v>4</v>
      </c>
      <c r="D3708" s="18"/>
      <c r="E3708" s="17" t="s">
        <v>4144</v>
      </c>
      <c r="F3708" s="17"/>
      <c r="G3708" s="18"/>
      <c r="H3708" s="18"/>
    </row>
    <row r="3709" spans="1:8" ht="13.2">
      <c r="A3709" s="19" t="str">
        <f>HYPERLINK("https://uva.onlinejudge.org/index.php?option=com_onlinejudge&amp;Itemid=8&amp;page=show_problem&amp;problem=1021","UVA 10080")</f>
        <v>UVA 10080</v>
      </c>
      <c r="B3709" s="29" t="s">
        <v>4149</v>
      </c>
      <c r="C3709" s="17">
        <v>4</v>
      </c>
      <c r="D3709" s="26" t="str">
        <f>HYPERLINK("https://github.com/ilyesG/Competitive-Programming/blob/master/UVA/UVA%2010080.cpp","Sol")</f>
        <v>Sol</v>
      </c>
      <c r="E3709" s="17" t="s">
        <v>4144</v>
      </c>
      <c r="F3709" s="17"/>
      <c r="G3709" s="18"/>
      <c r="H3709" s="18"/>
    </row>
    <row r="3710" spans="1:8" ht="13.2">
      <c r="A3710" s="15" t="s">
        <v>4232</v>
      </c>
      <c r="B3710" s="29" t="s">
        <v>4203</v>
      </c>
      <c r="C3710" s="17">
        <v>4</v>
      </c>
      <c r="D3710" s="18"/>
      <c r="E3710" s="17" t="s">
        <v>4144</v>
      </c>
      <c r="F3710" s="17"/>
      <c r="G3710" s="18"/>
      <c r="H3710" s="18"/>
    </row>
    <row r="3711" spans="1:8" ht="13.2">
      <c r="A3711" s="15" t="s">
        <v>4233</v>
      </c>
      <c r="B3711" s="39" t="s">
        <v>4234</v>
      </c>
      <c r="C3711" s="24">
        <v>4</v>
      </c>
      <c r="D3711" s="26" t="str">
        <f>HYPERLINK("https://github.com/3agwa/CompetitiveProgramming/blob/master/SPOJ/SPOJ%20MATCHING.cpp","Sol")</f>
        <v>Sol</v>
      </c>
      <c r="E3711" s="17" t="s">
        <v>4144</v>
      </c>
      <c r="F3711" s="17"/>
      <c r="G3711" s="18"/>
      <c r="H3711" s="18"/>
    </row>
    <row r="3712" spans="1:8" ht="13.2">
      <c r="A3712" s="15" t="s">
        <v>4235</v>
      </c>
      <c r="B3712" s="29" t="s">
        <v>4149</v>
      </c>
      <c r="C3712" s="24">
        <v>3</v>
      </c>
      <c r="D3712" s="18"/>
      <c r="E3712" s="17" t="s">
        <v>4144</v>
      </c>
      <c r="F3712" s="17"/>
      <c r="G3712" s="18"/>
      <c r="H3712" s="18"/>
    </row>
    <row r="3713" spans="1:8" ht="13.2">
      <c r="A3713" s="15" t="s">
        <v>4236</v>
      </c>
      <c r="B3713" s="30" t="s">
        <v>4237</v>
      </c>
      <c r="C3713" s="17">
        <v>8</v>
      </c>
      <c r="D3713" s="18"/>
      <c r="E3713" s="17" t="s">
        <v>4238</v>
      </c>
      <c r="F3713" s="17"/>
      <c r="G3713" s="18"/>
      <c r="H3713" s="18"/>
    </row>
    <row r="3714" spans="1:8" ht="13.2">
      <c r="A3714" s="15" t="s">
        <v>4239</v>
      </c>
      <c r="B3714" s="18" t="s">
        <v>4240</v>
      </c>
      <c r="C3714" s="17">
        <v>8</v>
      </c>
      <c r="D3714" s="18"/>
      <c r="E3714" s="17" t="s">
        <v>4238</v>
      </c>
      <c r="F3714" s="17"/>
      <c r="G3714" s="18"/>
      <c r="H3714" s="18"/>
    </row>
    <row r="3715" spans="1:8" ht="13.2">
      <c r="A3715" s="19" t="str">
        <f>HYPERLINK("http://codeforces.com/contest/802/problem/N","CF802-D12-N")</f>
        <v>CF802-D12-N</v>
      </c>
      <c r="B3715" s="18" t="s">
        <v>4241</v>
      </c>
      <c r="C3715" s="24">
        <v>7.5</v>
      </c>
      <c r="D3715" s="26" t="str">
        <f>HYPERLINK("http://codeforces.com/blog/entry/51600","Study Dotorya's Comment")</f>
        <v>Study Dotorya's Comment</v>
      </c>
      <c r="E3715" s="17" t="s">
        <v>4238</v>
      </c>
      <c r="F3715" s="17" t="s">
        <v>154</v>
      </c>
      <c r="G3715" s="18"/>
      <c r="H3715" s="18"/>
    </row>
    <row r="3716" spans="1:8" ht="13.2">
      <c r="A3716" s="19" t="str">
        <f>HYPERLINK("https://codeforces.com/contest/1288/problem/F","CF1288-D12-F")</f>
        <v>CF1288-D12-F</v>
      </c>
      <c r="B3716" s="15" t="s">
        <v>4242</v>
      </c>
      <c r="C3716" s="17">
        <v>7.5</v>
      </c>
      <c r="D3716" s="18"/>
      <c r="E3716" s="17" t="s">
        <v>4238</v>
      </c>
      <c r="F3716" s="17"/>
      <c r="G3716" s="18"/>
      <c r="H3716" s="18"/>
    </row>
    <row r="3717" spans="1:8" ht="13.2">
      <c r="A3717" s="15" t="s">
        <v>4243</v>
      </c>
      <c r="B3717" s="28" t="s">
        <v>4244</v>
      </c>
      <c r="C3717" s="24">
        <v>7.5</v>
      </c>
      <c r="D3717" s="18"/>
      <c r="E3717" s="24" t="s">
        <v>4238</v>
      </c>
      <c r="F3717" s="17"/>
      <c r="G3717" s="18"/>
      <c r="H3717" s="18"/>
    </row>
    <row r="3718" spans="1:8" ht="13.2">
      <c r="A3718" s="19" t="str">
        <f>HYPERLINK("http://agc034.contest.atcoder.jp/tasks/agc034_d","AtCoder034-AGC-D")</f>
        <v>AtCoder034-AGC-D</v>
      </c>
      <c r="B3718" s="15" t="s">
        <v>4245</v>
      </c>
      <c r="C3718" s="17">
        <v>7.25</v>
      </c>
      <c r="D3718" s="18"/>
      <c r="E3718" s="17" t="s">
        <v>4238</v>
      </c>
      <c r="F3718" s="17" t="s">
        <v>173</v>
      </c>
      <c r="G3718" s="18"/>
      <c r="H3718" s="18"/>
    </row>
    <row r="3719" spans="1:8" ht="13.2">
      <c r="A3719" s="19" t="str">
        <f>HYPERLINK("http://codeforces.com/contest/316/problem/C2","CF316-D12-C2")</f>
        <v>CF316-D12-C2</v>
      </c>
      <c r="B3719" s="29" t="s">
        <v>4246</v>
      </c>
      <c r="C3719" s="17">
        <v>7.2</v>
      </c>
      <c r="D3719" s="18"/>
      <c r="E3719" s="17" t="s">
        <v>4238</v>
      </c>
      <c r="F3719" s="17" t="s">
        <v>173</v>
      </c>
      <c r="G3719" s="18"/>
      <c r="H3719" s="18"/>
    </row>
    <row r="3720" spans="1:8" ht="13.2">
      <c r="A3720" s="19" t="str">
        <f>HYPERLINK("https://codeforces.com/contest/1107/problem/F","CF1107-D12-F")</f>
        <v>CF1107-D12-F</v>
      </c>
      <c r="B3720" s="15" t="s">
        <v>4245</v>
      </c>
      <c r="C3720" s="17">
        <v>7</v>
      </c>
      <c r="D3720" s="26" t="str">
        <f>HYPERLINK("https://github.com/khaledsliti/CompetitiveProgramming/blob/master/Codeforces/CF1107-D12-F.cpp","Sol")</f>
        <v>Sol</v>
      </c>
      <c r="E3720" s="17" t="s">
        <v>4238</v>
      </c>
      <c r="F3720" s="17" t="s">
        <v>139</v>
      </c>
      <c r="G3720" s="18"/>
      <c r="H3720" s="18"/>
    </row>
    <row r="3721" spans="1:8" ht="13.2">
      <c r="A3721" s="19" t="str">
        <f>HYPERLINK("https://www.codechef.com/LTIME70B/problems/TREF","CODECHEF TREF")</f>
        <v>CODECHEF TREF</v>
      </c>
      <c r="B3721" s="15" t="s">
        <v>4245</v>
      </c>
      <c r="C3721" s="17">
        <v>7</v>
      </c>
      <c r="D3721" s="18"/>
      <c r="E3721" s="17" t="s">
        <v>4238</v>
      </c>
      <c r="F3721" s="17" t="s">
        <v>139</v>
      </c>
      <c r="G3721" s="18"/>
      <c r="H3721" s="18"/>
    </row>
    <row r="3722" spans="1:8" ht="13.2">
      <c r="A3722" s="19" t="str">
        <f>HYPERLINK("http://www.spoj.com/problems/TOURS/","SPOJ TOURS")</f>
        <v>SPOJ TOURS</v>
      </c>
      <c r="B3722" s="30" t="s">
        <v>4245</v>
      </c>
      <c r="C3722" s="24">
        <v>7</v>
      </c>
      <c r="D3722" s="18"/>
      <c r="E3722" s="17" t="s">
        <v>4238</v>
      </c>
      <c r="F3722" s="17"/>
      <c r="G3722" s="18"/>
      <c r="H3722" s="18"/>
    </row>
    <row r="3723" spans="1:8" ht="13.2">
      <c r="A3723" s="19" t="str">
        <f>HYPERLINK("http://codeforces.com/contest/863/problem/F","CF863-D12-F")</f>
        <v>CF863-D12-F</v>
      </c>
      <c r="B3723" s="15" t="s">
        <v>4245</v>
      </c>
      <c r="C3723" s="17">
        <v>6.75</v>
      </c>
      <c r="D3723" s="18"/>
      <c r="E3723" s="17" t="s">
        <v>4238</v>
      </c>
      <c r="F3723" s="17" t="s">
        <v>154</v>
      </c>
      <c r="G3723" s="18"/>
      <c r="H3723" s="18"/>
    </row>
    <row r="3724" spans="1:8" ht="13.2">
      <c r="A3724" s="15" t="s">
        <v>4247</v>
      </c>
      <c r="B3724" s="16" t="s">
        <v>4248</v>
      </c>
      <c r="C3724" s="17">
        <v>6.75</v>
      </c>
      <c r="D3724" s="18"/>
      <c r="E3724" s="17" t="s">
        <v>4238</v>
      </c>
      <c r="F3724" s="17" t="s">
        <v>139</v>
      </c>
      <c r="G3724" s="18"/>
      <c r="H3724" s="18"/>
    </row>
    <row r="3725" spans="1:8" ht="13.2">
      <c r="A3725" s="19" t="str">
        <f>HYPERLINK("http://codeforces.com/contest/277/problem/E","CF277-D1-E")</f>
        <v>CF277-D1-E</v>
      </c>
      <c r="B3725" s="29" t="s">
        <v>4245</v>
      </c>
      <c r="C3725" s="17">
        <v>6.75</v>
      </c>
      <c r="D3725" s="18"/>
      <c r="E3725" s="17" t="s">
        <v>4238</v>
      </c>
      <c r="F3725" s="17"/>
      <c r="G3725" s="18"/>
      <c r="H3725" s="18"/>
    </row>
    <row r="3726" spans="1:8" ht="13.2">
      <c r="A3726" s="19" t="str">
        <f>HYPERLINK("http://codeforces.com/contest/818/problem/G","CF818-D12-G")</f>
        <v>CF818-D12-G</v>
      </c>
      <c r="B3726" s="15" t="s">
        <v>4245</v>
      </c>
      <c r="C3726" s="17">
        <v>6.5</v>
      </c>
      <c r="D3726" s="18"/>
      <c r="E3726" s="17" t="s">
        <v>4238</v>
      </c>
      <c r="F3726" s="17" t="s">
        <v>139</v>
      </c>
      <c r="G3726" s="18"/>
      <c r="H3726" s="18"/>
    </row>
    <row r="3727" spans="1:8" ht="13.2">
      <c r="A3727" s="15" t="s">
        <v>4249</v>
      </c>
      <c r="B3727" s="30" t="s">
        <v>4250</v>
      </c>
      <c r="C3727" s="24">
        <v>6.5</v>
      </c>
      <c r="D3727" s="18"/>
      <c r="E3727" s="17" t="s">
        <v>4238</v>
      </c>
      <c r="F3727" s="17" t="s">
        <v>139</v>
      </c>
      <c r="G3727" s="18"/>
      <c r="H3727" s="18"/>
    </row>
    <row r="3728" spans="1:8" ht="13.2">
      <c r="A3728" s="19" t="str">
        <f>HYPERLINK("https://www.hackerrank.com/contests/w38/challenges/cargo-delivery/", "HACKR cargo-delivery")</f>
        <v>HACKR cargo-delivery</v>
      </c>
      <c r="B3728" s="20" t="s">
        <v>4251</v>
      </c>
      <c r="C3728" s="21">
        <v>6.5</v>
      </c>
      <c r="D3728" s="26" t="str">
        <f>HYPERLINK("https://github.com/tmwilliamlin168/CompetitiveProgramming/blob/master/HackerRank/cargo-delivery.cpp", "Sol")</f>
        <v>Sol</v>
      </c>
      <c r="E3728" s="17" t="s">
        <v>4238</v>
      </c>
      <c r="F3728" s="17"/>
      <c r="G3728" s="18"/>
      <c r="H3728" s="18"/>
    </row>
    <row r="3729" spans="1:8" ht="13.2">
      <c r="A3729" s="15" t="s">
        <v>4252</v>
      </c>
      <c r="B3729" s="15" t="s">
        <v>4245</v>
      </c>
      <c r="C3729" s="17">
        <v>6.3</v>
      </c>
      <c r="D3729" s="18"/>
      <c r="E3729" s="17" t="s">
        <v>4238</v>
      </c>
      <c r="F3729" s="17"/>
      <c r="G3729" s="18"/>
      <c r="H3729" s="18"/>
    </row>
    <row r="3730" spans="1:8" ht="13.2">
      <c r="A3730" s="15" t="s">
        <v>4253</v>
      </c>
      <c r="B3730" s="28" t="s">
        <v>4245</v>
      </c>
      <c r="C3730" s="24">
        <v>6</v>
      </c>
      <c r="D3730" s="18"/>
      <c r="E3730" s="24" t="s">
        <v>4238</v>
      </c>
      <c r="F3730" s="17" t="s">
        <v>154</v>
      </c>
      <c r="G3730" s="18"/>
      <c r="H3730" s="18"/>
    </row>
    <row r="3731" spans="1:8" ht="13.2">
      <c r="A3731" s="15" t="s">
        <v>4254</v>
      </c>
      <c r="B3731" s="30" t="s">
        <v>4245</v>
      </c>
      <c r="C3731" s="24">
        <v>6</v>
      </c>
      <c r="D3731" s="18"/>
      <c r="E3731" s="17" t="s">
        <v>4238</v>
      </c>
      <c r="F3731" s="17"/>
      <c r="G3731" s="18"/>
      <c r="H3731" s="18"/>
    </row>
    <row r="3732" spans="1:8" ht="13.2">
      <c r="A3732" s="15" t="s">
        <v>4255</v>
      </c>
      <c r="B3732" s="30" t="s">
        <v>4245</v>
      </c>
      <c r="C3732" s="17">
        <v>6</v>
      </c>
      <c r="D3732" s="18"/>
      <c r="E3732" s="17" t="s">
        <v>4238</v>
      </c>
      <c r="F3732" s="17"/>
      <c r="G3732" s="18"/>
      <c r="H3732" s="18"/>
    </row>
    <row r="3733" spans="1:8" ht="13.2">
      <c r="A3733" s="15" t="s">
        <v>4256</v>
      </c>
      <c r="B3733" s="41" t="s">
        <v>4257</v>
      </c>
      <c r="C3733" s="17">
        <v>5.75</v>
      </c>
      <c r="D3733" s="26" t="str">
        <f>HYPERLINK("https://apps.topcoder.com/forums/;jsessionid=EDD17CB539B3717B0D70ED5488A0CAD4?module=Thread&amp;threadID=514536&amp;start=0&amp;mc=24#572589","TC")</f>
        <v>TC</v>
      </c>
      <c r="E3733" s="17" t="s">
        <v>4238</v>
      </c>
      <c r="F3733" s="17"/>
      <c r="G3733" s="18"/>
      <c r="H3733" s="18"/>
    </row>
    <row r="3734" spans="1:8" ht="13.2">
      <c r="A3734" s="15" t="s">
        <v>4258</v>
      </c>
      <c r="B3734" s="16" t="s">
        <v>4259</v>
      </c>
      <c r="C3734" s="17">
        <v>5.5</v>
      </c>
      <c r="D3734" s="18"/>
      <c r="E3734" s="17" t="s">
        <v>4238</v>
      </c>
      <c r="F3734" s="17" t="s">
        <v>139</v>
      </c>
      <c r="G3734" s="18"/>
      <c r="H3734" s="18"/>
    </row>
    <row r="3735" spans="1:8" ht="13.2">
      <c r="A3735" s="19" t="str">
        <f>HYPERLINK("http://codeforces.com/problemset/problem/237/E","CF237-D2-E")</f>
        <v>CF237-D2-E</v>
      </c>
      <c r="B3735" s="30" t="s">
        <v>4245</v>
      </c>
      <c r="C3735" s="17">
        <v>5.5</v>
      </c>
      <c r="D3735" s="18"/>
      <c r="E3735" s="17" t="s">
        <v>4238</v>
      </c>
      <c r="F3735" s="17"/>
      <c r="G3735" s="18"/>
      <c r="H3735" s="18"/>
    </row>
    <row r="3736" spans="1:8" ht="13.2">
      <c r="A3736" s="15" t="s">
        <v>4260</v>
      </c>
      <c r="B3736" s="43" t="s">
        <v>4261</v>
      </c>
      <c r="C3736" s="17">
        <v>5.5</v>
      </c>
      <c r="D3736" s="18" t="s">
        <v>4262</v>
      </c>
      <c r="E3736" s="17" t="s">
        <v>4238</v>
      </c>
      <c r="F3736" s="17"/>
      <c r="G3736" s="18"/>
      <c r="H3736" s="18"/>
    </row>
    <row r="3737" spans="1:8" ht="13.2">
      <c r="A3737" s="15" t="s">
        <v>4263</v>
      </c>
      <c r="B3737" s="30" t="s">
        <v>4245</v>
      </c>
      <c r="C3737" s="31">
        <v>5</v>
      </c>
      <c r="D3737" s="18"/>
      <c r="E3737" s="17" t="s">
        <v>4238</v>
      </c>
      <c r="F3737" s="17"/>
      <c r="G3737" s="18"/>
      <c r="H3737" s="18"/>
    </row>
    <row r="3738" spans="1:8" ht="13.2">
      <c r="A3738" s="15" t="s">
        <v>4264</v>
      </c>
      <c r="B3738" s="30" t="s">
        <v>4265</v>
      </c>
      <c r="C3738" s="24">
        <v>5</v>
      </c>
      <c r="D3738" s="18"/>
      <c r="E3738" s="17" t="s">
        <v>4238</v>
      </c>
      <c r="F3738" s="17"/>
      <c r="G3738" s="18"/>
      <c r="H3738" s="18"/>
    </row>
    <row r="3739" spans="1:8" ht="13.2">
      <c r="A3739" s="15" t="s">
        <v>4266</v>
      </c>
      <c r="B3739" s="18" t="s">
        <v>4267</v>
      </c>
      <c r="C3739" s="17">
        <v>5</v>
      </c>
      <c r="D3739" s="26" t="str">
        <f>HYPERLINK("https://github.com/TheRealImaginary/CompetitiveProgramming/blob/master/PKU/PKU_3422_KakasMatrixTravels.java","Sol")</f>
        <v>Sol</v>
      </c>
      <c r="E3739" s="17" t="s">
        <v>4238</v>
      </c>
      <c r="F3739" s="17"/>
      <c r="G3739" s="18"/>
      <c r="H3739" s="18"/>
    </row>
    <row r="3740" spans="1:8" ht="13.2">
      <c r="A3740" s="15" t="s">
        <v>4268</v>
      </c>
      <c r="B3740" s="28" t="s">
        <v>4269</v>
      </c>
      <c r="C3740" s="24">
        <v>4.5</v>
      </c>
      <c r="D3740" s="18"/>
      <c r="E3740" s="17" t="s">
        <v>4238</v>
      </c>
      <c r="F3740" s="17"/>
      <c r="G3740" s="18"/>
      <c r="H3740" s="18"/>
    </row>
    <row r="3741" spans="1:8" ht="13.2">
      <c r="A3741" s="15" t="s">
        <v>4270</v>
      </c>
      <c r="B3741" s="28" t="s">
        <v>4245</v>
      </c>
      <c r="C3741" s="24">
        <v>3.5</v>
      </c>
      <c r="D3741" s="18"/>
      <c r="E3741" s="24" t="s">
        <v>4238</v>
      </c>
      <c r="F3741" s="17" t="s">
        <v>229</v>
      </c>
      <c r="G3741" s="18"/>
      <c r="H3741" s="18"/>
    </row>
    <row r="3742" spans="1:8" ht="13.2">
      <c r="A3742" s="15" t="s">
        <v>4271</v>
      </c>
      <c r="B3742" s="30" t="s">
        <v>4272</v>
      </c>
      <c r="C3742" s="40">
        <v>3</v>
      </c>
      <c r="D3742" s="18" t="s">
        <v>4262</v>
      </c>
      <c r="E3742" s="17" t="s">
        <v>4238</v>
      </c>
      <c r="F3742" s="17"/>
      <c r="G3742" s="18"/>
      <c r="H3742" s="18"/>
    </row>
    <row r="3743" spans="1:8" ht="13.2">
      <c r="A3743" s="15" t="s">
        <v>4273</v>
      </c>
      <c r="B3743" s="16" t="s">
        <v>4274</v>
      </c>
      <c r="C3743" s="17">
        <v>8.25</v>
      </c>
      <c r="D3743" s="18"/>
      <c r="E3743" s="17" t="s">
        <v>4275</v>
      </c>
      <c r="F3743" s="17"/>
      <c r="G3743" s="18"/>
      <c r="H3743" s="18"/>
    </row>
    <row r="3744" spans="1:8" ht="13.2">
      <c r="A3744" s="19" t="str">
        <f>HYPERLINK("http://codeforces.com/contest/240/problem/E","CF240-D1-E")</f>
        <v>CF240-D1-E</v>
      </c>
      <c r="B3744" s="15" t="s">
        <v>4276</v>
      </c>
      <c r="C3744" s="24">
        <v>8</v>
      </c>
      <c r="D3744" s="26" t="str">
        <f>HYPERLINK("https://codeforces.com/blog/entry/5531?#comment-108144","One way to solve")</f>
        <v>One way to solve</v>
      </c>
      <c r="E3744" s="17" t="s">
        <v>4275</v>
      </c>
      <c r="F3744" s="17"/>
      <c r="G3744" s="18"/>
      <c r="H3744" s="18"/>
    </row>
    <row r="3745" spans="1:8" ht="13.2">
      <c r="A3745" s="19" t="str">
        <f>HYPERLINK("https://csacademy.com/contest/round-82/task/water-supply/", "CSA82-E")</f>
        <v>CSA82-E</v>
      </c>
      <c r="B3745" s="23" t="s">
        <v>4277</v>
      </c>
      <c r="C3745" s="17">
        <v>7.5</v>
      </c>
      <c r="D3745" s="26" t="str">
        <f>HYPERLINK("https://github.com/tmwilliamlin168/CompetitiveProgramming/blob/master/CSAcademy/82-E.java","Sol")</f>
        <v>Sol</v>
      </c>
      <c r="E3745" s="17" t="s">
        <v>4275</v>
      </c>
      <c r="F3745" s="17" t="s">
        <v>173</v>
      </c>
      <c r="G3745" s="18"/>
      <c r="H3745" s="18"/>
    </row>
    <row r="3746" spans="1:8" ht="13.2">
      <c r="A3746" s="15" t="s">
        <v>4278</v>
      </c>
      <c r="B3746" s="39" t="s">
        <v>4279</v>
      </c>
      <c r="C3746" s="24">
        <v>7.5</v>
      </c>
      <c r="D3746" s="18"/>
      <c r="E3746" s="17" t="s">
        <v>4275</v>
      </c>
      <c r="F3746" s="17"/>
      <c r="G3746" s="18"/>
      <c r="H3746" s="18"/>
    </row>
    <row r="3747" spans="1:8" ht="13.2">
      <c r="A3747" s="15" t="s">
        <v>4280</v>
      </c>
      <c r="B3747" s="30" t="s">
        <v>4281</v>
      </c>
      <c r="C3747" s="24">
        <v>7.5</v>
      </c>
      <c r="D3747" s="18"/>
      <c r="E3747" s="17" t="s">
        <v>4275</v>
      </c>
      <c r="F3747" s="17"/>
      <c r="G3747" s="18"/>
      <c r="H3747" s="18"/>
    </row>
    <row r="3748" spans="1:8" ht="13.2">
      <c r="A3748" s="19" t="str">
        <f>HYPERLINK("https://naipc17.kattis.com/problems/blazingnewtrails","kattis blazingnewtrails")</f>
        <v>kattis blazingnewtrails</v>
      </c>
      <c r="B3748" s="15" t="s">
        <v>4282</v>
      </c>
      <c r="C3748" s="17">
        <v>7.25</v>
      </c>
      <c r="D3748" s="26" t="str">
        <f>HYPERLINK("https://github.com/taow-com-prog/problemsolving/blob/master/Kattis/kattis%20blazingnewtrails.cpp","Sol")</f>
        <v>Sol</v>
      </c>
      <c r="E3748" s="17" t="s">
        <v>4275</v>
      </c>
      <c r="F3748" s="17" t="s">
        <v>173</v>
      </c>
      <c r="G3748" s="18"/>
      <c r="H3748" s="18"/>
    </row>
    <row r="3749" spans="1:8" ht="13.2">
      <c r="A3749" s="19" t="str">
        <f>HYPERLINK("http://codeforces.com/contest/1023/problem/F", "CF1023-D12-F")</f>
        <v>CF1023-D12-F</v>
      </c>
      <c r="B3749" s="15" t="s">
        <v>4283</v>
      </c>
      <c r="C3749" s="17">
        <v>7.25</v>
      </c>
      <c r="D3749" s="26" t="str">
        <f>HYPERLINK("https://github.com/tmwilliamlin168/CompetitiveProgramming/blob/master/CodeForces/1023F(2).cpp","Sol - not in editorial")</f>
        <v>Sol - not in editorial</v>
      </c>
      <c r="E3749" s="17" t="s">
        <v>4275</v>
      </c>
      <c r="F3749" s="17" t="s">
        <v>173</v>
      </c>
      <c r="G3749" s="18"/>
      <c r="H3749" s="18"/>
    </row>
    <row r="3750" spans="1:8" ht="13.2">
      <c r="A3750" s="19" t="str">
        <f>HYPERLINK("http://codeforces.com/contest/892/problem/E","CF892-D2-E")</f>
        <v>CF892-D2-E</v>
      </c>
      <c r="B3750" s="15" t="s">
        <v>4284</v>
      </c>
      <c r="C3750" s="17">
        <v>7.25</v>
      </c>
      <c r="D3750" s="26" t="str">
        <f>HYPERLINK("https://codeforces.com/contest/892/submission/47343108","sol")</f>
        <v>sol</v>
      </c>
      <c r="E3750" s="17" t="s">
        <v>4275</v>
      </c>
      <c r="F3750" s="17" t="s">
        <v>154</v>
      </c>
      <c r="G3750" s="18"/>
      <c r="H3750" s="18"/>
    </row>
    <row r="3751" spans="1:8" ht="13.2">
      <c r="A3751" s="19" t="str">
        <f>HYPERLINK("https://codeforces.com/contest/951/problem/D","CF951-D1-D")</f>
        <v>CF951-D1-D</v>
      </c>
      <c r="B3751" s="15" t="s">
        <v>4285</v>
      </c>
      <c r="C3751" s="17">
        <v>7.25</v>
      </c>
      <c r="D3751" s="26" t="str">
        <f>HYPERLINK("https://github.com/LeTrongDat/CompetitiveProgramming/blob/master/Codeforces/CF951-D1-D.cpp","Sol")</f>
        <v>Sol</v>
      </c>
      <c r="E3751" s="17" t="s">
        <v>4275</v>
      </c>
      <c r="F3751" s="17" t="s">
        <v>139</v>
      </c>
      <c r="G3751" s="18"/>
      <c r="H3751" s="18"/>
    </row>
    <row r="3752" spans="1:8" ht="13.2">
      <c r="A3752" s="15" t="s">
        <v>4286</v>
      </c>
      <c r="B3752" s="28" t="s">
        <v>4287</v>
      </c>
      <c r="C3752" s="24">
        <v>7.1</v>
      </c>
      <c r="D3752" s="26" t="str">
        <f>HYPERLINK("https://github.com/mostafa-saad/MyCompetitiveProgramming/blob/master/SPOJ/SPOJ_MSTS.txt","Sol")</f>
        <v>Sol</v>
      </c>
      <c r="E3752" s="17" t="s">
        <v>4275</v>
      </c>
      <c r="F3752" s="17" t="s">
        <v>173</v>
      </c>
      <c r="G3752" s="18"/>
      <c r="H3752" s="18"/>
    </row>
    <row r="3753" spans="1:8" ht="13.2">
      <c r="A3753" s="19" t="str">
        <f>HYPERLINK("https://codeforces.com/contest/1051/problem/F","CF1051-D2-F")</f>
        <v>CF1051-D2-F</v>
      </c>
      <c r="B3753" s="20" t="s">
        <v>4288</v>
      </c>
      <c r="C3753" s="21">
        <v>7</v>
      </c>
      <c r="D3753" s="18"/>
      <c r="E3753" s="17" t="s">
        <v>4275</v>
      </c>
      <c r="F3753" s="17" t="s">
        <v>139</v>
      </c>
      <c r="G3753" s="18"/>
      <c r="H3753" s="18"/>
    </row>
    <row r="3754" spans="1:8" ht="13.2">
      <c r="A3754" s="15" t="s">
        <v>4289</v>
      </c>
      <c r="B3754" s="28" t="s">
        <v>4290</v>
      </c>
      <c r="C3754" s="24">
        <v>7</v>
      </c>
      <c r="D3754" s="26" t="str">
        <f>HYPERLINK("https://blog.csdn.net/u012596172/article/details/42610761","Sol")</f>
        <v>Sol</v>
      </c>
      <c r="E3754" s="17" t="s">
        <v>4275</v>
      </c>
      <c r="F3754" s="17" t="s">
        <v>139</v>
      </c>
      <c r="G3754" s="18"/>
      <c r="H3754" s="18"/>
    </row>
    <row r="3755" spans="1:8" ht="13.2">
      <c r="A3755" s="19" t="str">
        <f>HYPERLINK("http://codeforces.com/contest/266/problem/D","CF266-D2-D")</f>
        <v>CF266-D2-D</v>
      </c>
      <c r="B3755" s="15" t="s">
        <v>4291</v>
      </c>
      <c r="C3755" s="17">
        <v>7</v>
      </c>
      <c r="D3755" s="18"/>
      <c r="E3755" s="17" t="s">
        <v>4275</v>
      </c>
      <c r="F3755" s="17"/>
      <c r="G3755" s="18"/>
      <c r="H3755" s="18"/>
    </row>
    <row r="3756" spans="1:8" ht="13.2">
      <c r="A3756" s="19" t="str">
        <f>HYPERLINK("https://codeforces.com/contest/891/problem/C","CF891-D1-C")</f>
        <v>CF891-D1-C</v>
      </c>
      <c r="B3756" s="23" t="s">
        <v>4292</v>
      </c>
      <c r="C3756" s="17">
        <v>6.8</v>
      </c>
      <c r="D3756" s="26" t="str">
        <f>HYPERLINK("https://github.com/MetalBall887/Competitive-Programming/blob/master/CodeForces/CF891-D1-C.cpp","Sol")</f>
        <v>Sol</v>
      </c>
      <c r="E3756" s="17" t="s">
        <v>4275</v>
      </c>
      <c r="F3756" s="17" t="s">
        <v>154</v>
      </c>
      <c r="G3756" s="18"/>
      <c r="H3756" s="18"/>
    </row>
    <row r="3757" spans="1:8" ht="13.2">
      <c r="A3757" s="15" t="s">
        <v>4293</v>
      </c>
      <c r="B3757" s="16" t="s">
        <v>4294</v>
      </c>
      <c r="C3757" s="17">
        <v>6.75</v>
      </c>
      <c r="D3757" s="26" t="str">
        <f>HYPERLINK("https://github.com/AbdelrahmanRamadan/competitive-programming/blob/master/World%20Finals/2005/3271%20-%20The%20Traveling%20Judges%20Problem.cpp","Sol")</f>
        <v>Sol</v>
      </c>
      <c r="E3757" s="17" t="s">
        <v>4275</v>
      </c>
      <c r="F3757" s="17" t="s">
        <v>154</v>
      </c>
      <c r="G3757" s="18"/>
      <c r="H3757" s="18"/>
    </row>
    <row r="3758" spans="1:8" ht="13.2">
      <c r="A3758" s="19" t="str">
        <f>HYPERLINK("http://codeforces.com/contest/141/problem/E","CF141-D2-E")</f>
        <v>CF141-D2-E</v>
      </c>
      <c r="B3758" s="15" t="s">
        <v>4295</v>
      </c>
      <c r="C3758" s="24">
        <v>6.75</v>
      </c>
      <c r="D3758" s="18"/>
      <c r="E3758" s="17" t="s">
        <v>4275</v>
      </c>
      <c r="F3758" s="17" t="s">
        <v>154</v>
      </c>
      <c r="G3758" s="18"/>
      <c r="H3758" s="18"/>
    </row>
    <row r="3759" spans="1:8" ht="13.2">
      <c r="A3759" s="19" t="str">
        <f>HYPERLINK("http://codeforces.com/problemset/problem/888/G","CF888-D12-G")</f>
        <v>CF888-D12-G</v>
      </c>
      <c r="B3759" s="15" t="s">
        <v>4296</v>
      </c>
      <c r="C3759" s="17">
        <v>6.5</v>
      </c>
      <c r="D3759" s="18"/>
      <c r="E3759" s="17" t="s">
        <v>4275</v>
      </c>
      <c r="F3759" s="17" t="s">
        <v>154</v>
      </c>
      <c r="G3759" s="18"/>
      <c r="H3759" s="18"/>
    </row>
    <row r="3760" spans="1:8" ht="13.2">
      <c r="A3760" s="15" t="s">
        <v>4297</v>
      </c>
      <c r="B3760" s="29" t="s">
        <v>4298</v>
      </c>
      <c r="C3760" s="17">
        <v>6.5</v>
      </c>
      <c r="D3760" s="26" t="str">
        <f>HYPERLINK("https://github.com/tanmoy13/CompetitveProgramming/blob/master/Online-Judge-Solutions/UVA/10805%20-%20Cockroach%20Escape%20Networks.cpp","Sol")</f>
        <v>Sol</v>
      </c>
      <c r="E3760" s="17" t="s">
        <v>4275</v>
      </c>
      <c r="F3760" s="17" t="s">
        <v>196</v>
      </c>
      <c r="G3760" s="18"/>
      <c r="H3760" s="18"/>
    </row>
    <row r="3761" spans="1:8" ht="13.2">
      <c r="A3761" s="15" t="s">
        <v>4299</v>
      </c>
      <c r="B3761" s="20" t="s">
        <v>4300</v>
      </c>
      <c r="C3761" s="21">
        <v>6.5</v>
      </c>
      <c r="D3761" s="18"/>
      <c r="E3761" s="17" t="s">
        <v>4275</v>
      </c>
      <c r="F3761" s="17"/>
      <c r="G3761" s="18"/>
      <c r="H3761" s="18"/>
    </row>
    <row r="3762" spans="1:8" ht="13.2">
      <c r="A3762" s="19" t="str">
        <f>HYPERLINK("http://codeforces.com/contest/76/problem/A","CF76-D12-A")</f>
        <v>CF76-D12-A</v>
      </c>
      <c r="B3762" s="15" t="s">
        <v>4301</v>
      </c>
      <c r="C3762" s="17">
        <v>6.25</v>
      </c>
      <c r="D3762" s="18"/>
      <c r="E3762" s="17" t="s">
        <v>4275</v>
      </c>
      <c r="F3762" s="17" t="s">
        <v>154</v>
      </c>
      <c r="G3762" s="18"/>
      <c r="H3762" s="18"/>
    </row>
    <row r="3763" spans="1:8" ht="13.2">
      <c r="A3763" s="15" t="s">
        <v>4302</v>
      </c>
      <c r="B3763" s="30" t="s">
        <v>4279</v>
      </c>
      <c r="C3763" s="24">
        <v>6.25</v>
      </c>
      <c r="D3763" s="26" t="str">
        <f>HYPERLINK("https://github.com/ryuzmukhametov/CompetitiveProgramming/blob/master/uva/UVA%201151.cpp","Sol")</f>
        <v>Sol</v>
      </c>
      <c r="E3763" s="17" t="s">
        <v>4275</v>
      </c>
      <c r="F3763" s="17" t="s">
        <v>201</v>
      </c>
      <c r="G3763" s="18"/>
      <c r="H3763" s="18"/>
    </row>
    <row r="3764" spans="1:8" ht="13.2">
      <c r="A3764" s="15" t="s">
        <v>4303</v>
      </c>
      <c r="B3764" s="16" t="s">
        <v>4304</v>
      </c>
      <c r="C3764" s="17">
        <v>6</v>
      </c>
      <c r="D3764" s="18"/>
      <c r="E3764" s="17" t="s">
        <v>4275</v>
      </c>
      <c r="F3764" s="17" t="s">
        <v>139</v>
      </c>
      <c r="G3764" s="18"/>
      <c r="H3764" s="18"/>
    </row>
    <row r="3765" spans="1:8" ht="13.2">
      <c r="A3765" s="19" t="str">
        <f>HYPERLINK("http://codeforces.com/gym/100283/problem/B","CF100283-Gym-B")</f>
        <v>CF100283-Gym-B</v>
      </c>
      <c r="B3765" s="15" t="s">
        <v>4305</v>
      </c>
      <c r="C3765" s="17">
        <v>6</v>
      </c>
      <c r="D3765" s="26" t="str">
        <f>HYPERLINK("https://github.com/mostafa-saad/MyCompetitiveProgramming/blob/master/Codeforces/CF100283-GYM-B.txt","Sol")</f>
        <v>Sol</v>
      </c>
      <c r="E3765" s="17" t="s">
        <v>4275</v>
      </c>
      <c r="F3765" s="17" t="s">
        <v>139</v>
      </c>
      <c r="G3765" s="18"/>
      <c r="H3765" s="18"/>
    </row>
    <row r="3766" spans="1:8" ht="13.2">
      <c r="A3766" s="19" t="str">
        <f>HYPERLINK("https://www.hackerrank.com/contests/june-world-codesprint/challenges/johnland","HACKR johnland")</f>
        <v>HACKR johnland</v>
      </c>
      <c r="B3766" s="20" t="s">
        <v>4306</v>
      </c>
      <c r="C3766" s="17">
        <v>6</v>
      </c>
      <c r="D3766" s="18"/>
      <c r="E3766" s="17" t="s">
        <v>4275</v>
      </c>
      <c r="F3766" s="17" t="s">
        <v>201</v>
      </c>
      <c r="G3766" s="18"/>
      <c r="H3766" s="18"/>
    </row>
    <row r="3767" spans="1:8" ht="13.2">
      <c r="A3767" s="15" t="s">
        <v>4307</v>
      </c>
      <c r="B3767" s="28" t="s">
        <v>4308</v>
      </c>
      <c r="C3767" s="24">
        <v>6</v>
      </c>
      <c r="D3767" s="26" t="str">
        <f>HYPERLINK("https://github.com/mostafa-saad/MyCompetitiveProgramming/blob/master/UVA/UVA_11354.txt","Sol")</f>
        <v>Sol</v>
      </c>
      <c r="E3767" s="17" t="s">
        <v>4275</v>
      </c>
      <c r="F3767" s="17" t="s">
        <v>201</v>
      </c>
      <c r="G3767" s="18"/>
      <c r="H3767" s="18"/>
    </row>
    <row r="3768" spans="1:8" ht="13.2">
      <c r="A3768" s="19" t="str">
        <f>HYPERLINK("https://codeforces.com/problemset/problem/1107/F","CF1108-D3-F")</f>
        <v>CF1108-D3-F</v>
      </c>
      <c r="B3768" s="15" t="s">
        <v>4279</v>
      </c>
      <c r="C3768" s="17">
        <v>5.5</v>
      </c>
      <c r="D3768" s="26" t="str">
        <f>HYPERLINK("https://github.com/nya-nya-meow/CompetitiveProgramming/blob/master/CodeForces/CF1108-D3-F%20-%20MST%20Unification..cpp","Sol")</f>
        <v>Sol</v>
      </c>
      <c r="E3768" s="17" t="s">
        <v>4275</v>
      </c>
      <c r="F3768" s="17" t="s">
        <v>139</v>
      </c>
      <c r="G3768" s="18"/>
      <c r="H3768" s="18"/>
    </row>
    <row r="3769" spans="1:8" ht="13.2">
      <c r="A3769" s="19" t="str">
        <f>HYPERLINK("https://codeforces.com/gym/102021/attachments", "CF102021-GYM-M")</f>
        <v>CF102021-GYM-M</v>
      </c>
      <c r="B3769" s="15" t="s">
        <v>4309</v>
      </c>
      <c r="C3769" s="17">
        <v>5.5</v>
      </c>
      <c r="D3769" s="26" t="str">
        <f>HYPERLINK("https://github.com/YazanZebak/CompetitiveProgramming/blob/master/Codeforces/CF102021-GYM-M.cpp", "Sol")</f>
        <v>Sol</v>
      </c>
      <c r="E3769" s="17" t="s">
        <v>4275</v>
      </c>
      <c r="F3769" s="17" t="s">
        <v>139</v>
      </c>
      <c r="G3769" s="18"/>
      <c r="H3769" s="18"/>
    </row>
    <row r="3770" spans="1:8" ht="13.2">
      <c r="A3770" s="19" t="str">
        <f>HYPERLINK("https://codeforces.com/gym/101286/problem/E","CF101286-GYM-E")</f>
        <v>CF101286-GYM-E</v>
      </c>
      <c r="B3770" s="15" t="s">
        <v>4279</v>
      </c>
      <c r="C3770" s="17">
        <v>5.5</v>
      </c>
      <c r="D3770" s="26" t="str">
        <f>HYPERLINK("https://github.com/SpeedOfMagic/CompetitiveProgramming/blob/master/CodeforcesGym/CF101286-GYM-E.cpp","Sol")</f>
        <v>Sol</v>
      </c>
      <c r="E3770" s="17" t="s">
        <v>4275</v>
      </c>
      <c r="F3770" s="17" t="s">
        <v>242</v>
      </c>
      <c r="G3770" s="18"/>
      <c r="H3770" s="18"/>
    </row>
    <row r="3771" spans="1:8" ht="13.2">
      <c r="A3771" s="15" t="s">
        <v>4310</v>
      </c>
      <c r="B3771" s="16" t="s">
        <v>4279</v>
      </c>
      <c r="C3771" s="17">
        <v>5.5</v>
      </c>
      <c r="D3771" s="18"/>
      <c r="E3771" s="17" t="s">
        <v>4275</v>
      </c>
      <c r="F3771" s="17"/>
      <c r="G3771" s="18"/>
      <c r="H3771" s="18"/>
    </row>
    <row r="3772" spans="1:8" ht="13.2">
      <c r="A3772" s="15" t="s">
        <v>4311</v>
      </c>
      <c r="B3772" s="29" t="s">
        <v>4312</v>
      </c>
      <c r="C3772" s="24">
        <v>5.5</v>
      </c>
      <c r="D3772" s="18"/>
      <c r="E3772" s="17" t="s">
        <v>4275</v>
      </c>
      <c r="F3772" s="17"/>
      <c r="G3772" s="18"/>
      <c r="H3772" s="18"/>
    </row>
    <row r="3773" spans="1:8" ht="13.2">
      <c r="A3773" s="15" t="s">
        <v>4313</v>
      </c>
      <c r="B3773" s="29" t="s">
        <v>4279</v>
      </c>
      <c r="C3773" s="17">
        <v>5.25</v>
      </c>
      <c r="D3773" s="18"/>
      <c r="E3773" s="17" t="s">
        <v>4275</v>
      </c>
      <c r="F3773" s="17" t="s">
        <v>139</v>
      </c>
      <c r="G3773" s="18"/>
      <c r="H3773" s="18"/>
    </row>
    <row r="3774" spans="1:8" ht="13.2">
      <c r="A3774" s="19" t="str">
        <f>HYPERLINK("https://codeforces.com/contest/1095/problem/F","CF1095-D3-F")</f>
        <v>CF1095-D3-F</v>
      </c>
      <c r="B3774" s="15" t="s">
        <v>4279</v>
      </c>
      <c r="C3774" s="17">
        <v>5.25</v>
      </c>
      <c r="D3774" s="18"/>
      <c r="E3774" s="17" t="s">
        <v>4275</v>
      </c>
      <c r="F3774" s="17" t="s">
        <v>201</v>
      </c>
      <c r="G3774" s="18"/>
      <c r="H3774" s="18"/>
    </row>
    <row r="3775" spans="1:8" ht="13.2">
      <c r="A3775" s="15" t="s">
        <v>4314</v>
      </c>
      <c r="B3775" s="15" t="s">
        <v>4279</v>
      </c>
      <c r="C3775" s="17">
        <v>5</v>
      </c>
      <c r="D3775" s="26" t="str">
        <f>HYPERLINK("https://github.com/AhmedElsisy/CompetitiveProgramming/blob/master/SPOJ/SPOJ%20IITKWPCG.cpp","Sol")</f>
        <v>Sol</v>
      </c>
      <c r="E3775" s="17" t="s">
        <v>4275</v>
      </c>
      <c r="F3775" s="17" t="s">
        <v>139</v>
      </c>
      <c r="G3775" s="18"/>
      <c r="H3775" s="18"/>
    </row>
    <row r="3776" spans="1:8" ht="13.2">
      <c r="A3776" s="15" t="s">
        <v>4315</v>
      </c>
      <c r="B3776" s="29" t="s">
        <v>4279</v>
      </c>
      <c r="C3776" s="17">
        <v>5</v>
      </c>
      <c r="D3776" s="18"/>
      <c r="E3776" s="17" t="s">
        <v>4275</v>
      </c>
      <c r="F3776" s="17" t="s">
        <v>139</v>
      </c>
      <c r="G3776" s="18"/>
      <c r="H3776" s="18"/>
    </row>
    <row r="3777" spans="1:8" ht="13.2">
      <c r="A3777" s="15" t="s">
        <v>4316</v>
      </c>
      <c r="B3777" s="29" t="s">
        <v>4279</v>
      </c>
      <c r="C3777" s="17">
        <v>5</v>
      </c>
      <c r="D3777" s="18"/>
      <c r="E3777" s="17" t="s">
        <v>4275</v>
      </c>
      <c r="F3777" s="17" t="s">
        <v>139</v>
      </c>
      <c r="G3777" s="18"/>
      <c r="H3777" s="18"/>
    </row>
    <row r="3778" spans="1:8" ht="13.2">
      <c r="A3778" s="19" t="str">
        <f>HYPERLINK("http://codeforces.com/contest/472/problem/D","CF472-D12-D")</f>
        <v>CF472-D12-D</v>
      </c>
      <c r="B3778" s="29" t="s">
        <v>4317</v>
      </c>
      <c r="C3778" s="24">
        <v>5</v>
      </c>
      <c r="D3778" s="18"/>
      <c r="E3778" s="17" t="s">
        <v>4275</v>
      </c>
      <c r="F3778" s="17" t="s">
        <v>139</v>
      </c>
      <c r="G3778" s="18"/>
      <c r="H3778" s="18"/>
    </row>
    <row r="3779" spans="1:8" ht="13.2">
      <c r="A3779" s="19" t="str">
        <f>HYPERLINK("http://codeforces.com/contest/606/problem/D","CF606-D2-D")</f>
        <v>CF606-D2-D</v>
      </c>
      <c r="B3779" s="29" t="s">
        <v>4318</v>
      </c>
      <c r="C3779" s="17">
        <v>5</v>
      </c>
      <c r="D3779" s="18"/>
      <c r="E3779" s="17" t="s">
        <v>4275</v>
      </c>
      <c r="F3779" s="17" t="s">
        <v>201</v>
      </c>
      <c r="G3779" s="18"/>
      <c r="H3779" s="18"/>
    </row>
    <row r="3780" spans="1:8" ht="13.2">
      <c r="A3780" s="19" t="str">
        <f>HYPERLINK("https://codeforces.com/contest/1081/problem/D","CF1081-D12-D")</f>
        <v>CF1081-D12-D</v>
      </c>
      <c r="B3780" s="15" t="s">
        <v>4319</v>
      </c>
      <c r="C3780" s="17">
        <v>5</v>
      </c>
      <c r="D3780" s="18"/>
      <c r="E3780" s="17" t="s">
        <v>4275</v>
      </c>
      <c r="F3780" s="17" t="s">
        <v>201</v>
      </c>
      <c r="G3780" s="18"/>
      <c r="H3780" s="18"/>
    </row>
    <row r="3781" spans="1:8" ht="13.2">
      <c r="A3781" s="19" t="str">
        <f>HYPERLINK("https://uva.onlinejudge.org/index.php?option=com_onlinejudge&amp;Itemid=8&amp;page=show_problem&amp;problem=3675","UVA 1234")</f>
        <v>UVA 1234</v>
      </c>
      <c r="B3781" s="29" t="s">
        <v>4320</v>
      </c>
      <c r="C3781" s="17">
        <v>5</v>
      </c>
      <c r="D3781" s="26" t="str">
        <f>HYPERLINK("https://github.com/MohamedNabil97/CompetitiveProgramming/tree/master/UVA/1234.cpp","Sol")</f>
        <v>Sol</v>
      </c>
      <c r="E3781" s="17" t="s">
        <v>4275</v>
      </c>
      <c r="F3781" s="17" t="s">
        <v>201</v>
      </c>
      <c r="G3781" s="18"/>
      <c r="H3781" s="18"/>
    </row>
    <row r="3782" spans="1:8" ht="13.2">
      <c r="A3782" s="19" t="str">
        <f>HYPERLINK("https://uva.onlinejudge.org/index.php?option=com_onlinejudge&amp;Itemid=8&amp;page=show_problem&amp;problem=1310","UVA 10369")</f>
        <v>UVA 10369</v>
      </c>
      <c r="B3782" s="29" t="s">
        <v>4321</v>
      </c>
      <c r="C3782" s="17">
        <v>5</v>
      </c>
      <c r="D3782" s="18"/>
      <c r="E3782" s="17" t="s">
        <v>4275</v>
      </c>
      <c r="F3782" s="17" t="s">
        <v>201</v>
      </c>
      <c r="G3782" s="18"/>
      <c r="H3782" s="18"/>
    </row>
    <row r="3783" spans="1:8" ht="13.2">
      <c r="A3783" s="15" t="s">
        <v>4322</v>
      </c>
      <c r="B3783" s="30" t="s">
        <v>4279</v>
      </c>
      <c r="C3783" s="24">
        <v>5</v>
      </c>
      <c r="D3783" s="26" t="str">
        <f>HYPERLINK("https://github.com/ilyesG/Competitive-Programming/blob/master/UVA/UVA%201395.cpp","Sol")</f>
        <v>Sol</v>
      </c>
      <c r="E3783" s="17" t="s">
        <v>4275</v>
      </c>
      <c r="F3783" s="17" t="s">
        <v>242</v>
      </c>
      <c r="G3783" s="18"/>
      <c r="H3783" s="18"/>
    </row>
    <row r="3784" spans="1:8" ht="13.2">
      <c r="A3784" s="15" t="s">
        <v>4323</v>
      </c>
      <c r="B3784" s="28" t="s">
        <v>4279</v>
      </c>
      <c r="C3784" s="24">
        <v>5</v>
      </c>
      <c r="D3784" s="26" t="str">
        <f>HYPERLINK("https://github.com/Huvok/CompetitiveProgramming/blob/master/SPOJ/NITTROAD.cpp", "Sol")</f>
        <v>Sol</v>
      </c>
      <c r="E3784" s="17" t="s">
        <v>4275</v>
      </c>
      <c r="F3784" s="17"/>
      <c r="G3784" s="18"/>
      <c r="H3784" s="18"/>
    </row>
    <row r="3785" spans="1:8" ht="13.2">
      <c r="A3785" s="15" t="s">
        <v>4324</v>
      </c>
      <c r="B3785" s="29" t="s">
        <v>4279</v>
      </c>
      <c r="C3785" s="33">
        <v>5</v>
      </c>
      <c r="D3785" s="18"/>
      <c r="E3785" s="24" t="s">
        <v>4275</v>
      </c>
      <c r="F3785" s="17"/>
      <c r="G3785" s="18"/>
      <c r="H3785" s="18"/>
    </row>
    <row r="3786" spans="1:8" ht="13.2">
      <c r="A3786" s="19" t="str">
        <f>HYPERLINK("https://icpcarchive.ecs.baylor.edu/index.php?option=onlinejudge&amp;page=show_problem&amp;problem=2327","LIVEARCHIVE 4326")</f>
        <v>LIVEARCHIVE 4326</v>
      </c>
      <c r="B3786" s="29" t="s">
        <v>4325</v>
      </c>
      <c r="C3786" s="17">
        <v>5</v>
      </c>
      <c r="D3786" s="18"/>
      <c r="E3786" s="17" t="s">
        <v>4275</v>
      </c>
      <c r="F3786" s="17"/>
      <c r="G3786" s="18"/>
      <c r="H3786" s="18"/>
    </row>
    <row r="3787" spans="1:8" ht="13.2">
      <c r="A3787" s="19" t="str">
        <f>HYPERLINK("http://codeforces.com/contest/959/problem/E","CF959-D2-E")</f>
        <v>CF959-D2-E</v>
      </c>
      <c r="B3787" s="20" t="s">
        <v>4319</v>
      </c>
      <c r="C3787" s="17">
        <v>5</v>
      </c>
      <c r="D3787" s="18"/>
      <c r="E3787" s="17" t="s">
        <v>4275</v>
      </c>
      <c r="F3787" s="17"/>
      <c r="G3787" s="18"/>
      <c r="H3787" s="18"/>
    </row>
    <row r="3788" spans="1:8" ht="13.2">
      <c r="A3788" s="19" t="str">
        <f>HYPERLINK("https://uva.onlinejudge.org/index.php?option=com_onlinejudge&amp;Itemid=8&amp;page=show_problem&amp;problem=1541","UVA 10600")</f>
        <v>UVA 10600</v>
      </c>
      <c r="B3788" s="29" t="s">
        <v>4326</v>
      </c>
      <c r="C3788" s="17">
        <v>4.5</v>
      </c>
      <c r="D3788" s="26" t="str">
        <f>HYPERLINK("https://github.com/ilyesG/Competitive-Programming/blob/master/UVA/UVA%2010600.cpp","Sol")</f>
        <v>Sol</v>
      </c>
      <c r="E3788" s="17" t="s">
        <v>4275</v>
      </c>
      <c r="F3788" s="17" t="s">
        <v>436</v>
      </c>
      <c r="G3788" s="18"/>
      <c r="H3788" s="18"/>
    </row>
    <row r="3789" spans="1:8" ht="13.2">
      <c r="A3789" s="15" t="s">
        <v>4327</v>
      </c>
      <c r="B3789" s="28" t="s">
        <v>4328</v>
      </c>
      <c r="C3789" s="17">
        <v>4.5</v>
      </c>
      <c r="D3789" s="26" t="str">
        <f>HYPERLINK("https://ideone.com/lXrzWF","Sol")</f>
        <v>Sol</v>
      </c>
      <c r="E3789" s="17" t="s">
        <v>4275</v>
      </c>
      <c r="F3789" s="17"/>
      <c r="G3789" s="18"/>
      <c r="H3789" s="18"/>
    </row>
    <row r="3790" spans="1:8" ht="13.2">
      <c r="A3790" s="15" t="s">
        <v>4329</v>
      </c>
      <c r="B3790" s="29" t="s">
        <v>4330</v>
      </c>
      <c r="C3790" s="17">
        <v>4</v>
      </c>
      <c r="D3790" s="26" t="str">
        <f>HYPERLINK("https://www.geeksforgeeks.org/total-number-spanning-trees-graph/","Theory result to read")</f>
        <v>Theory result to read</v>
      </c>
      <c r="E3790" s="17" t="s">
        <v>4275</v>
      </c>
      <c r="F3790" s="17" t="s">
        <v>201</v>
      </c>
      <c r="G3790" s="18"/>
      <c r="H3790" s="18"/>
    </row>
    <row r="3791" spans="1:8" ht="13.2">
      <c r="A3791" s="15" t="s">
        <v>4331</v>
      </c>
      <c r="B3791" s="28" t="s">
        <v>4279</v>
      </c>
      <c r="C3791" s="24">
        <v>4</v>
      </c>
      <c r="D3791" s="18"/>
      <c r="E3791" s="24" t="s">
        <v>4275</v>
      </c>
      <c r="F3791" s="17"/>
      <c r="G3791" s="18"/>
      <c r="H3791" s="18"/>
    </row>
    <row r="3792" spans="1:8" ht="13.2">
      <c r="A3792" s="15" t="s">
        <v>4332</v>
      </c>
      <c r="B3792" s="30" t="s">
        <v>4279</v>
      </c>
      <c r="C3792" s="24">
        <v>4</v>
      </c>
      <c r="D3792" s="18"/>
      <c r="E3792" s="17" t="s">
        <v>4275</v>
      </c>
      <c r="F3792" s="17"/>
      <c r="G3792" s="18"/>
      <c r="H3792" s="18"/>
    </row>
    <row r="3793" spans="1:8" ht="13.2">
      <c r="A3793" s="15" t="s">
        <v>4333</v>
      </c>
      <c r="B3793" s="28" t="s">
        <v>4334</v>
      </c>
      <c r="C3793" s="17">
        <v>4</v>
      </c>
      <c r="D3793" s="26" t="str">
        <f>HYPERLINK("https://github.com/AbdelrahmanRamadan/competitive-programming/blob/master/Topcoder/SRM368%20Jumping%20Board.cpp","Sol")</f>
        <v>Sol</v>
      </c>
      <c r="E3793" s="17" t="s">
        <v>4275</v>
      </c>
      <c r="F3793" s="17"/>
      <c r="G3793" s="18"/>
      <c r="H3793" s="18"/>
    </row>
    <row r="3794" spans="1:8" ht="13.2">
      <c r="A3794" s="15" t="s">
        <v>4335</v>
      </c>
      <c r="B3794" s="28" t="s">
        <v>4279</v>
      </c>
      <c r="C3794" s="24">
        <v>3.5</v>
      </c>
      <c r="D3794" s="18"/>
      <c r="E3794" s="24" t="s">
        <v>4275</v>
      </c>
      <c r="F3794" s="17"/>
      <c r="G3794" s="18"/>
      <c r="H3794" s="18"/>
    </row>
    <row r="3795" spans="1:8" ht="13.2">
      <c r="A3795" s="15" t="s">
        <v>4336</v>
      </c>
      <c r="B3795" s="16" t="s">
        <v>4279</v>
      </c>
      <c r="C3795" s="17">
        <v>3.5</v>
      </c>
      <c r="D3795" s="18"/>
      <c r="E3795" s="17" t="s">
        <v>4275</v>
      </c>
      <c r="F3795" s="17"/>
      <c r="G3795" s="18"/>
      <c r="H3795" s="18"/>
    </row>
    <row r="3796" spans="1:8" ht="13.2">
      <c r="A3796" s="15" t="s">
        <v>4337</v>
      </c>
      <c r="B3796" s="28" t="s">
        <v>4279</v>
      </c>
      <c r="C3796" s="24">
        <v>3</v>
      </c>
      <c r="D3796" s="18"/>
      <c r="E3796" s="24" t="s">
        <v>4275</v>
      </c>
      <c r="F3796" s="17"/>
      <c r="G3796" s="18"/>
      <c r="H3796" s="18"/>
    </row>
    <row r="3797" spans="1:8" ht="13.2">
      <c r="A3797" s="15" t="s">
        <v>4338</v>
      </c>
      <c r="B3797" s="28" t="s">
        <v>4279</v>
      </c>
      <c r="C3797" s="24">
        <v>3</v>
      </c>
      <c r="D3797" s="18"/>
      <c r="E3797" s="24" t="s">
        <v>4275</v>
      </c>
      <c r="F3797" s="17"/>
      <c r="G3797" s="18"/>
      <c r="H3797" s="18"/>
    </row>
    <row r="3798" spans="1:8" ht="13.2">
      <c r="A3798" s="19" t="str">
        <f>HYPERLINK("https://uva.onlinejudge.org/index.php?option=com_onlinejudge&amp;Itemid=8&amp;page=show_problem&amp;problem=1088","UVA 10147")</f>
        <v>UVA 10147</v>
      </c>
      <c r="B3798" s="29" t="s">
        <v>4279</v>
      </c>
      <c r="C3798" s="17">
        <v>3</v>
      </c>
      <c r="D3798" s="18"/>
      <c r="E3798" s="17" t="s">
        <v>4275</v>
      </c>
      <c r="F3798" s="17"/>
      <c r="G3798" s="18"/>
      <c r="H3798" s="18"/>
    </row>
    <row r="3799" spans="1:8" ht="13.2">
      <c r="A3799" s="15" t="s">
        <v>4339</v>
      </c>
      <c r="B3799" s="30" t="s">
        <v>4279</v>
      </c>
      <c r="C3799" s="24">
        <v>3</v>
      </c>
      <c r="D3799" s="18"/>
      <c r="E3799" s="17" t="s">
        <v>4275</v>
      </c>
      <c r="F3799" s="17"/>
      <c r="G3799" s="18"/>
      <c r="H3799" s="18"/>
    </row>
    <row r="3800" spans="1:8" ht="13.2">
      <c r="A3800" s="15" t="s">
        <v>4340</v>
      </c>
      <c r="B3800" s="30" t="s">
        <v>4341</v>
      </c>
      <c r="C3800" s="24">
        <v>3</v>
      </c>
      <c r="D3800" s="18"/>
      <c r="E3800" s="17" t="s">
        <v>4275</v>
      </c>
      <c r="F3800" s="17"/>
      <c r="G3800" s="18"/>
      <c r="H3800" s="18"/>
    </row>
    <row r="3801" spans="1:8" ht="13.2">
      <c r="A3801" s="19" t="str">
        <f>HYPERLINK("https://uva.onlinejudge.org/index.php?option=onlinejudge&amp;page=show_problem&amp;problem=1403","UVA 10462")</f>
        <v>UVA 10462</v>
      </c>
      <c r="B3801" s="29" t="s">
        <v>4326</v>
      </c>
      <c r="C3801" s="17">
        <v>3</v>
      </c>
      <c r="D3801" s="18"/>
      <c r="E3801" s="17" t="s">
        <v>4275</v>
      </c>
      <c r="F3801" s="17"/>
      <c r="G3801" s="18"/>
      <c r="H3801" s="18"/>
    </row>
    <row r="3802" spans="1:8" ht="13.2">
      <c r="A3802" s="15" t="s">
        <v>4342</v>
      </c>
      <c r="B3802" s="29" t="s">
        <v>4343</v>
      </c>
      <c r="C3802" s="33">
        <v>7</v>
      </c>
      <c r="D3802" s="26" t="str">
        <f>HYPERLINK("https://github.com/DrSchwad/CompetitiveProgramming/blob/master/UVA/UVA%2011390.cpp","Sol")</f>
        <v>Sol</v>
      </c>
      <c r="E3802" s="17" t="s">
        <v>4344</v>
      </c>
      <c r="F3802" s="17" t="s">
        <v>154</v>
      </c>
      <c r="G3802" s="18"/>
      <c r="H3802" s="18"/>
    </row>
    <row r="3803" spans="1:8" ht="13.2">
      <c r="A3803" s="19" t="str">
        <f>HYPERLINK("http://codeforces.com/problemset/problem/1065/F", "CF1065-D12-F")</f>
        <v>CF1065-D12-F</v>
      </c>
      <c r="B3803" s="20" t="s">
        <v>4345</v>
      </c>
      <c r="C3803" s="21">
        <v>6.75</v>
      </c>
      <c r="D3803" s="18"/>
      <c r="E3803" s="17" t="s">
        <v>4344</v>
      </c>
      <c r="F3803" s="17" t="s">
        <v>139</v>
      </c>
      <c r="G3803" s="18"/>
      <c r="H3803" s="18"/>
    </row>
    <row r="3804" spans="1:8" ht="13.2">
      <c r="A3804" s="19" t="str">
        <f>HYPERLINK("https://codeforces.com/contest/1239/problem/D","CF1239-D1-D")</f>
        <v>CF1239-D1-D</v>
      </c>
      <c r="B3804" s="20" t="s">
        <v>4346</v>
      </c>
      <c r="C3804" s="21">
        <v>6.6</v>
      </c>
      <c r="D3804" s="18"/>
      <c r="E3804" s="17" t="s">
        <v>4344</v>
      </c>
      <c r="F3804" s="17" t="s">
        <v>139</v>
      </c>
      <c r="G3804" s="18"/>
      <c r="H3804" s="18"/>
    </row>
    <row r="3805" spans="1:8" ht="13.2">
      <c r="A3805" s="15" t="s">
        <v>4347</v>
      </c>
      <c r="B3805" s="28" t="s">
        <v>4348</v>
      </c>
      <c r="C3805" s="24">
        <v>6.3</v>
      </c>
      <c r="D3805" s="26" t="str">
        <f>HYPERLINK("https://github.com/stefdasca/CompetitiveProgramming/blob/master/SPOJ/CHASE1.cpp","Sol")</f>
        <v>Sol</v>
      </c>
      <c r="E3805" s="17" t="s">
        <v>4344</v>
      </c>
      <c r="F3805" s="17" t="s">
        <v>154</v>
      </c>
      <c r="G3805" s="18"/>
      <c r="H3805" s="18"/>
    </row>
    <row r="3806" spans="1:8" ht="13.2">
      <c r="A3806" s="19" t="str">
        <f>HYPERLINK("http://codeforces.com/contest/403/problem/C","CF403-D1-C")</f>
        <v>CF403-D1-C</v>
      </c>
      <c r="B3806" s="29" t="s">
        <v>4349</v>
      </c>
      <c r="C3806" s="17">
        <v>6.25</v>
      </c>
      <c r="D3806" s="18"/>
      <c r="E3806" s="24" t="s">
        <v>4344</v>
      </c>
      <c r="F3806" s="17" t="s">
        <v>1046</v>
      </c>
      <c r="G3806" s="18"/>
      <c r="H3806" s="18"/>
    </row>
    <row r="3807" spans="1:8" ht="13.2">
      <c r="A3807" s="15" t="s">
        <v>4350</v>
      </c>
      <c r="B3807" s="29" t="s">
        <v>4351</v>
      </c>
      <c r="C3807" s="24">
        <v>6.25</v>
      </c>
      <c r="D3807" s="18"/>
      <c r="E3807" s="17" t="s">
        <v>4344</v>
      </c>
      <c r="F3807" s="17" t="s">
        <v>196</v>
      </c>
      <c r="G3807" s="18"/>
      <c r="H3807" s="18"/>
    </row>
    <row r="3808" spans="1:8" ht="13.2">
      <c r="A3808" s="15" t="s">
        <v>4352</v>
      </c>
      <c r="B3808" s="30" t="s">
        <v>4353</v>
      </c>
      <c r="C3808" s="24">
        <v>6</v>
      </c>
      <c r="D3808" s="26" t="str">
        <f>HYPERLINK("https://github.com/aviroop123/CompetitiveProgramming/blob/master/SPOJ/SPOJ%20BREAK.cpp","Sol")</f>
        <v>Sol</v>
      </c>
      <c r="E3808" s="17" t="s">
        <v>4344</v>
      </c>
      <c r="F3808" s="17" t="s">
        <v>139</v>
      </c>
      <c r="G3808" s="18"/>
      <c r="H3808" s="18"/>
    </row>
    <row r="3809" spans="1:8" ht="13.2">
      <c r="A3809" s="15" t="s">
        <v>4354</v>
      </c>
      <c r="B3809" s="29" t="s">
        <v>4355</v>
      </c>
      <c r="C3809" s="31">
        <v>6</v>
      </c>
      <c r="D3809" s="18"/>
      <c r="E3809" s="17" t="s">
        <v>4344</v>
      </c>
      <c r="F3809" s="17" t="s">
        <v>139</v>
      </c>
      <c r="G3809" s="18"/>
      <c r="H3809" s="18"/>
    </row>
    <row r="3810" spans="1:8" ht="13.2">
      <c r="A3810" s="19" t="str">
        <f>HYPERLINK("https://code.google.com/codejam/contest/dashboard?c=4304486#s=p2","CODEJAM 16-R1A-B")</f>
        <v>CODEJAM 16-R1A-B</v>
      </c>
      <c r="B3810" s="18" t="s">
        <v>4346</v>
      </c>
      <c r="C3810" s="17">
        <v>5.75</v>
      </c>
      <c r="D3810" s="18"/>
      <c r="E3810" s="17" t="s">
        <v>4344</v>
      </c>
      <c r="F3810" s="17" t="s">
        <v>139</v>
      </c>
      <c r="G3810" s="18"/>
      <c r="H3810" s="18"/>
    </row>
    <row r="3811" spans="1:8" ht="13.2">
      <c r="A3811" s="19" t="str">
        <f>HYPERLINK("http://codeforces.com/contest/950/problem/E","CF950-D2-E")</f>
        <v>CF950-D2-E</v>
      </c>
      <c r="B3811" s="20" t="s">
        <v>4346</v>
      </c>
      <c r="C3811" s="17">
        <v>5.75</v>
      </c>
      <c r="D3811" s="18"/>
      <c r="E3811" s="17" t="s">
        <v>4344</v>
      </c>
      <c r="F3811" s="17" t="s">
        <v>201</v>
      </c>
      <c r="G3811" s="18"/>
      <c r="H3811" s="18"/>
    </row>
    <row r="3812" spans="1:8" ht="13.2">
      <c r="A3812" s="19" t="str">
        <f>HYPERLINK("https://atcoder.jp/contests/abc142/tasks/abc142_f","AtCoder142-ABC-F")</f>
        <v>AtCoder142-ABC-F</v>
      </c>
      <c r="B3812" s="23" t="s">
        <v>4356</v>
      </c>
      <c r="C3812" s="17">
        <v>5.5</v>
      </c>
      <c r="D3812" s="18"/>
      <c r="E3812" s="17" t="s">
        <v>4344</v>
      </c>
      <c r="F3812" s="17" t="s">
        <v>139</v>
      </c>
      <c r="G3812" s="18"/>
      <c r="H3812" s="18"/>
    </row>
    <row r="3813" spans="1:8" ht="13.2">
      <c r="A3813" s="19" t="str">
        <f>HYPERLINK("https://uva.onlinejudge.org/index.php?option=com_onlinejudge&amp;Itemid=8&amp;page=show_problem&amp;problem=3319","UVA 12167")</f>
        <v>UVA 12167</v>
      </c>
      <c r="B3813" s="29" t="s">
        <v>4357</v>
      </c>
      <c r="C3813" s="17">
        <v>5</v>
      </c>
      <c r="D3813" s="26" t="str">
        <f>HYPERLINK("https://github.com/abdullaAshraf/Problem-Solving/blob/master/UVA/12167.cpp","Sol")</f>
        <v>Sol</v>
      </c>
      <c r="E3813" s="17" t="s">
        <v>4344</v>
      </c>
      <c r="F3813" s="17" t="s">
        <v>139</v>
      </c>
      <c r="G3813" s="18"/>
      <c r="H3813" s="18"/>
    </row>
    <row r="3814" spans="1:8" ht="13.2">
      <c r="A3814" s="15" t="s">
        <v>4358</v>
      </c>
      <c r="B3814" s="30" t="s">
        <v>4359</v>
      </c>
      <c r="C3814" s="33">
        <v>5</v>
      </c>
      <c r="D3814" s="18" t="s">
        <v>4360</v>
      </c>
      <c r="E3814" s="17" t="s">
        <v>4344</v>
      </c>
      <c r="F3814" s="17" t="s">
        <v>139</v>
      </c>
      <c r="G3814" s="18"/>
      <c r="H3814" s="18"/>
    </row>
    <row r="3815" spans="1:8" ht="13.2">
      <c r="A3815" s="15" t="s">
        <v>4361</v>
      </c>
      <c r="B3815" s="29" t="s">
        <v>4362</v>
      </c>
      <c r="C3815" s="33">
        <v>5</v>
      </c>
      <c r="D3815" s="18"/>
      <c r="E3815" s="17" t="s">
        <v>4344</v>
      </c>
      <c r="F3815" s="17" t="s">
        <v>139</v>
      </c>
      <c r="G3815" s="18"/>
      <c r="H3815" s="18"/>
    </row>
    <row r="3816" spans="1:8" ht="13.2">
      <c r="A3816" s="19" t="str">
        <f>HYPERLINK("http://codeforces.com/contest/467/problem/D","CF467-D2-D")</f>
        <v>CF467-D2-D</v>
      </c>
      <c r="B3816" s="29" t="s">
        <v>4363</v>
      </c>
      <c r="C3816" s="17">
        <v>5</v>
      </c>
      <c r="D3816" s="18"/>
      <c r="E3816" s="17" t="s">
        <v>4344</v>
      </c>
      <c r="F3816" s="17" t="s">
        <v>201</v>
      </c>
      <c r="G3816" s="18"/>
      <c r="H3816" s="18"/>
    </row>
    <row r="3817" spans="1:8" ht="13.2">
      <c r="A3817" s="15" t="s">
        <v>4364</v>
      </c>
      <c r="B3817" s="29" t="s">
        <v>4365</v>
      </c>
      <c r="C3817" s="24">
        <v>5</v>
      </c>
      <c r="D3817" s="18"/>
      <c r="E3817" s="17" t="s">
        <v>4344</v>
      </c>
      <c r="F3817" s="17"/>
      <c r="G3817" s="18"/>
      <c r="H3817" s="18"/>
    </row>
    <row r="3818" spans="1:8" ht="13.2">
      <c r="A3818" s="19" t="str">
        <f>HYPERLINK("https://uva.onlinejudge.org/index.php?option=onlinejudge&amp;page=show_problem&amp;problem=2499","UVA 11504")</f>
        <v>UVA 11504</v>
      </c>
      <c r="B3818" s="29" t="s">
        <v>4366</v>
      </c>
      <c r="C3818" s="17">
        <v>4.5</v>
      </c>
      <c r="D3818" s="26" t="str">
        <f>HYPERLINK("https://github.com/mostafa-saad/MyCompetitiveProgramming/blob/master/UVA/UVA_11504.txt","Sol")</f>
        <v>Sol</v>
      </c>
      <c r="E3818" s="17" t="s">
        <v>4344</v>
      </c>
      <c r="F3818" s="17" t="s">
        <v>242</v>
      </c>
      <c r="G3818" s="18"/>
      <c r="H3818" s="18"/>
    </row>
    <row r="3819" spans="1:8" ht="13.2">
      <c r="A3819" s="15" t="s">
        <v>4367</v>
      </c>
      <c r="B3819" s="42" t="s">
        <v>4346</v>
      </c>
      <c r="C3819" s="17">
        <v>4.5</v>
      </c>
      <c r="D3819" s="18"/>
      <c r="E3819" s="17" t="s">
        <v>4344</v>
      </c>
      <c r="F3819" s="17"/>
      <c r="G3819" s="18"/>
      <c r="H3819" s="18"/>
    </row>
    <row r="3820" spans="1:8" ht="13.2">
      <c r="A3820" s="19" t="str">
        <f>HYPERLINK("http://acm.tju.edu.cn/toj/showp2233.html","TJU 2233")</f>
        <v>TJU 2233</v>
      </c>
      <c r="B3820" s="29" t="s">
        <v>4346</v>
      </c>
      <c r="C3820" s="17">
        <v>4.5</v>
      </c>
      <c r="D3820" s="18"/>
      <c r="E3820" s="17" t="s">
        <v>4344</v>
      </c>
      <c r="F3820" s="17"/>
      <c r="G3820" s="18"/>
      <c r="H3820" s="18"/>
    </row>
    <row r="3821" spans="1:8" ht="13.2">
      <c r="A3821" s="15" t="s">
        <v>4368</v>
      </c>
      <c r="B3821" s="30" t="s">
        <v>4346</v>
      </c>
      <c r="C3821" s="24">
        <v>4.5</v>
      </c>
      <c r="D3821" s="26" t="str">
        <f>HYPERLINK("https://github.com/shashank0107/CompetitiveProgramming/blob/master/UVA/1263.cpp","Sol")</f>
        <v>Sol</v>
      </c>
      <c r="E3821" s="17" t="s">
        <v>4344</v>
      </c>
      <c r="F3821" s="17"/>
      <c r="G3821" s="18"/>
      <c r="H3821" s="18"/>
    </row>
    <row r="3822" spans="1:8" ht="13.2">
      <c r="A3822" s="19" t="str">
        <f>HYPERLINK("http://www.spoj.com/problems/TOUR/","SPOJ TOUR")</f>
        <v>SPOJ TOUR</v>
      </c>
      <c r="B3822" s="30" t="s">
        <v>4369</v>
      </c>
      <c r="C3822" s="17">
        <v>4</v>
      </c>
      <c r="D3822" s="18"/>
      <c r="E3822" s="17" t="s">
        <v>4344</v>
      </c>
      <c r="F3822" s="17" t="s">
        <v>306</v>
      </c>
      <c r="G3822" s="18"/>
      <c r="H3822" s="18"/>
    </row>
    <row r="3823" spans="1:8" ht="13.2">
      <c r="A3823" s="19" t="str">
        <f>HYPERLINK("http://www.spoj.com/problems/BOTTOM/","SPOJ BOTTOM")</f>
        <v>SPOJ BOTTOM</v>
      </c>
      <c r="B3823" s="29" t="s">
        <v>4370</v>
      </c>
      <c r="C3823" s="17">
        <v>3.5</v>
      </c>
      <c r="D3823" s="26" t="str">
        <f>HYPERLINK("https://github.com/BRAINOOOO/CompetitiveProgramming/blob/master/Spoj/SPOJ%20BOTTOM.Cpp","Sol")</f>
        <v>Sol</v>
      </c>
      <c r="E3823" s="17" t="s">
        <v>4344</v>
      </c>
      <c r="F3823" s="17" t="s">
        <v>139</v>
      </c>
      <c r="G3823" s="18"/>
      <c r="H3823" s="18"/>
    </row>
    <row r="3824" spans="1:8" ht="13.2">
      <c r="A3824" s="19" t="str">
        <f>HYPERLINK("https://uva.onlinejudge.org/index.php?option=onlinejudge&amp;page=show_problem&amp;problem=1672","UVA 10731")</f>
        <v>UVA 10731</v>
      </c>
      <c r="B3824" s="29" t="s">
        <v>4346</v>
      </c>
      <c r="C3824" s="17">
        <v>3.5</v>
      </c>
      <c r="D3824" s="26" t="str">
        <f>HYPERLINK("https://github.com/ilyesLtifi/Competitive-Programming/blob/master/UVA/UVA%2010731.cpp","Sol")</f>
        <v>Sol</v>
      </c>
      <c r="E3824" s="17" t="s">
        <v>4344</v>
      </c>
      <c r="F3824" s="17"/>
      <c r="G3824" s="18"/>
      <c r="H3824" s="18"/>
    </row>
    <row r="3825" spans="1:8" ht="13.2">
      <c r="A3825" s="15" t="s">
        <v>4371</v>
      </c>
      <c r="B3825" s="43" t="s">
        <v>4346</v>
      </c>
      <c r="C3825" s="17">
        <v>3.5</v>
      </c>
      <c r="D3825" s="18"/>
      <c r="E3825" s="17" t="s">
        <v>4344</v>
      </c>
      <c r="F3825" s="17"/>
      <c r="G3825" s="18"/>
      <c r="H3825" s="18"/>
    </row>
    <row r="3826" spans="1:8" ht="13.2">
      <c r="A3826" s="15" t="s">
        <v>4372</v>
      </c>
      <c r="B3826" s="30" t="s">
        <v>4373</v>
      </c>
      <c r="C3826" s="24">
        <v>3</v>
      </c>
      <c r="D3826" s="26" t="str">
        <f>HYPERLINK("https://github.com/ahmedsamir221/CompetitiveProgramming/blob/master/SPOJ/SPOJ%20MOWS.cpp","Sol")</f>
        <v>Sol</v>
      </c>
      <c r="E3826" s="17" t="s">
        <v>4344</v>
      </c>
      <c r="F3826" s="17" t="s">
        <v>242</v>
      </c>
      <c r="G3826" s="18"/>
      <c r="H3826" s="18"/>
    </row>
    <row r="3827" spans="1:8" ht="13.2">
      <c r="A3827" s="19" t="str">
        <f>HYPERLINK("http://codeforces.com/contest/427/problem/C","CF427-D2-C")</f>
        <v>CF427-D2-C</v>
      </c>
      <c r="B3827" s="18" t="s">
        <v>4346</v>
      </c>
      <c r="C3827" s="17">
        <v>3</v>
      </c>
      <c r="D3827" s="18"/>
      <c r="E3827" s="17" t="s">
        <v>4344</v>
      </c>
      <c r="F3827" s="17"/>
      <c r="G3827" s="18"/>
      <c r="H3827" s="18"/>
    </row>
    <row r="3828" spans="1:8" ht="13.2">
      <c r="A3828" s="15" t="s">
        <v>4374</v>
      </c>
      <c r="B3828" s="29" t="s">
        <v>4375</v>
      </c>
      <c r="C3828" s="24">
        <v>3</v>
      </c>
      <c r="D3828" s="26" t="str">
        <f>HYPERLINK("https://github.com/morris821028/UVa/blob/master/volume002/247%20-%20Calling%20Circles.cpp","Sol")</f>
        <v>Sol</v>
      </c>
      <c r="E3828" s="17" t="s">
        <v>4344</v>
      </c>
      <c r="F3828" s="17"/>
      <c r="G3828" s="18"/>
      <c r="H3828" s="18"/>
    </row>
    <row r="3829" spans="1:8" ht="13.2">
      <c r="A3829" s="15" t="s">
        <v>4376</v>
      </c>
      <c r="B3829" s="29" t="s">
        <v>4377</v>
      </c>
      <c r="C3829" s="24">
        <v>3</v>
      </c>
      <c r="D3829" s="18"/>
      <c r="E3829" s="17" t="s">
        <v>4344</v>
      </c>
      <c r="F3829" s="17"/>
      <c r="G3829" s="18"/>
      <c r="H3829" s="18"/>
    </row>
    <row r="3830" spans="1:8" ht="13.2">
      <c r="A3830" s="19" t="str">
        <f>HYPERLINK("http://codeforces.com/contest/538/problem/H","CF538-D12-H")</f>
        <v>CF538-D12-H</v>
      </c>
      <c r="B3830" s="29" t="s">
        <v>4378</v>
      </c>
      <c r="C3830" s="17">
        <v>7.5</v>
      </c>
      <c r="D3830" s="26" t="str">
        <f>HYPERLINK("https://github.com/HeartBlue/CompetitiveProgramming/blob/master/Codeforces/CF538-D12-H%20Summer%20Dichotomy.cpp","Can do it in O(N+M) ?")</f>
        <v>Can do it in O(N+M) ?</v>
      </c>
      <c r="E3830" s="17" t="s">
        <v>4379</v>
      </c>
      <c r="F3830" s="17" t="s">
        <v>139</v>
      </c>
      <c r="G3830" s="18"/>
      <c r="H3830" s="18"/>
    </row>
    <row r="3831" spans="1:8" ht="13.2">
      <c r="A3831" s="19" t="str">
        <f>HYPERLINK("http://codeforces.com/contest/588/problem/F","CF588-D2-F")</f>
        <v>CF588-D2-F</v>
      </c>
      <c r="B3831" s="29" t="s">
        <v>4380</v>
      </c>
      <c r="C3831" s="17">
        <v>7.5</v>
      </c>
      <c r="D3831" s="18"/>
      <c r="E3831" s="17" t="s">
        <v>4379</v>
      </c>
      <c r="F3831" s="17"/>
      <c r="G3831" s="18"/>
      <c r="H3831" s="18"/>
    </row>
    <row r="3832" spans="1:8" ht="13.2">
      <c r="A3832" s="19" t="str">
        <f>HYPERLINK("http://codeforces.com/contest/569/problem/E","CF569-D2-E")</f>
        <v>CF569-D2-E</v>
      </c>
      <c r="B3832" s="29" t="s">
        <v>4381</v>
      </c>
      <c r="C3832" s="17">
        <v>7</v>
      </c>
      <c r="D3832" s="18"/>
      <c r="E3832" s="17" t="s">
        <v>4379</v>
      </c>
      <c r="F3832" s="17" t="s">
        <v>154</v>
      </c>
      <c r="G3832" s="18"/>
      <c r="H3832" s="18"/>
    </row>
    <row r="3833" spans="1:8" ht="13.2">
      <c r="A3833" s="15" t="s">
        <v>4382</v>
      </c>
      <c r="B3833" s="28" t="s">
        <v>4383</v>
      </c>
      <c r="C3833" s="24">
        <v>7</v>
      </c>
      <c r="D3833" s="18"/>
      <c r="E3833" s="17" t="s">
        <v>4379</v>
      </c>
      <c r="F3833" s="17" t="s">
        <v>139</v>
      </c>
      <c r="G3833" s="18"/>
      <c r="H3833" s="18"/>
    </row>
    <row r="3834" spans="1:8" ht="13.2">
      <c r="A3834" s="15" t="s">
        <v>4384</v>
      </c>
      <c r="B3834" s="30" t="s">
        <v>4385</v>
      </c>
      <c r="C3834" s="17">
        <v>7</v>
      </c>
      <c r="D3834" s="18"/>
      <c r="E3834" s="17" t="s">
        <v>4379</v>
      </c>
      <c r="F3834" s="17"/>
      <c r="G3834" s="18"/>
      <c r="H3834" s="18"/>
    </row>
    <row r="3835" spans="1:8" ht="13.2">
      <c r="A3835" s="15" t="s">
        <v>4386</v>
      </c>
      <c r="B3835" s="30" t="s">
        <v>4385</v>
      </c>
      <c r="C3835" s="17">
        <v>7</v>
      </c>
      <c r="D3835" s="18"/>
      <c r="E3835" s="17" t="s">
        <v>4379</v>
      </c>
      <c r="F3835" s="17"/>
      <c r="G3835" s="18"/>
      <c r="H3835" s="18"/>
    </row>
    <row r="3836" spans="1:8" ht="13.2">
      <c r="A3836" s="15" t="s">
        <v>4387</v>
      </c>
      <c r="B3836" s="28" t="s">
        <v>4385</v>
      </c>
      <c r="C3836" s="24">
        <v>7</v>
      </c>
      <c r="D3836" s="26" t="str">
        <f>HYPERLINK("https://github.com/HeartBlue/CompetitiveProgramming/blob/master/LIVEARCHIVE/LIVEARCHIVE%205764%20Eliminate%20the%20Conflict.cpp","Sol")</f>
        <v>Sol</v>
      </c>
      <c r="E3836" s="24" t="s">
        <v>4379</v>
      </c>
      <c r="F3836" s="17"/>
      <c r="G3836" s="18"/>
      <c r="H3836" s="18"/>
    </row>
    <row r="3837" spans="1:8" ht="13.2">
      <c r="A3837" s="19" t="str">
        <f>HYPERLINK("http://lightoj.com/volume_showproblem.php?problem=1251","LightOJ 1251")</f>
        <v>LightOJ 1251</v>
      </c>
      <c r="B3837" s="23" t="s">
        <v>4388</v>
      </c>
      <c r="C3837" s="17">
        <v>7</v>
      </c>
      <c r="D3837" s="26" t="str">
        <f>HYPERLINK("https://github.com/HeartBlue/CompetitiveProgramming/blob/master/LightOJ/LightOJ%201251%20Forming%20the%20Council.cpp","Sol")</f>
        <v>Sol</v>
      </c>
      <c r="E3837" s="17" t="s">
        <v>4379</v>
      </c>
      <c r="F3837" s="17"/>
      <c r="G3837" s="18"/>
      <c r="H3837" s="18"/>
    </row>
    <row r="3838" spans="1:8" ht="13.2">
      <c r="A3838" s="19" t="str">
        <f>HYPERLINK("http://lightoj.com/volume_showproblem.php?problem=1407","LightOJ 1407")</f>
        <v>LightOJ 1407</v>
      </c>
      <c r="B3838" s="23" t="s">
        <v>4388</v>
      </c>
      <c r="C3838" s="17">
        <v>7</v>
      </c>
      <c r="D3838" s="26" t="str">
        <f>HYPERLINK("https://github.com/HeartBlue/CompetitiveProgramming/blob/master/LightOJ/LightOJ%201407%20Explosion.cpp","Sol")</f>
        <v>Sol</v>
      </c>
      <c r="E3838" s="17" t="s">
        <v>4379</v>
      </c>
      <c r="F3838" s="17"/>
      <c r="G3838" s="18"/>
      <c r="H3838" s="18"/>
    </row>
    <row r="3839" spans="1:8" ht="13.2">
      <c r="A3839" s="15" t="s">
        <v>4389</v>
      </c>
      <c r="B3839" s="23" t="s">
        <v>4388</v>
      </c>
      <c r="C3839" s="17">
        <v>7</v>
      </c>
      <c r="D3839" s="26" t="str">
        <f>HYPERLINK("https://github.com/HeartBlue/CompetitiveProgramming/blob/master/PKU/PKU%203683%20Priest%20John's%20Busiest%20Day.cpp","Sol")</f>
        <v>Sol</v>
      </c>
      <c r="E3839" s="17" t="s">
        <v>4379</v>
      </c>
      <c r="F3839" s="17"/>
      <c r="G3839" s="18"/>
      <c r="H3839" s="18"/>
    </row>
    <row r="3840" spans="1:8" ht="13.2">
      <c r="A3840" s="15" t="s">
        <v>4390</v>
      </c>
      <c r="B3840" s="41" t="s">
        <v>4391</v>
      </c>
      <c r="C3840" s="17">
        <v>7</v>
      </c>
      <c r="D3840" s="18"/>
      <c r="E3840" s="17" t="s">
        <v>4379</v>
      </c>
      <c r="F3840" s="17"/>
      <c r="G3840" s="18"/>
      <c r="H3840" s="18"/>
    </row>
    <row r="3841" spans="1:8" ht="13.2">
      <c r="A3841" s="19" t="str">
        <f>HYPERLINK("https://codeforces.com/contest/1215/problem/F", "CF1215-D2-F")</f>
        <v>CF1215-D2-F</v>
      </c>
      <c r="B3841" s="15" t="s">
        <v>4385</v>
      </c>
      <c r="C3841" s="17">
        <v>6.75</v>
      </c>
      <c r="D3841" s="18"/>
      <c r="E3841" s="17" t="s">
        <v>4379</v>
      </c>
      <c r="F3841" s="17" t="s">
        <v>154</v>
      </c>
      <c r="G3841" s="18"/>
      <c r="H3841" s="18"/>
    </row>
    <row r="3842" spans="1:8" ht="13.2">
      <c r="A3842" s="15" t="s">
        <v>4392</v>
      </c>
      <c r="B3842" s="28" t="s">
        <v>4388</v>
      </c>
      <c r="C3842" s="24">
        <v>6.75</v>
      </c>
      <c r="D3842" s="26" t="str">
        <f>HYPERLINK("https://github.com/mostafa-saad/MyCompetitiveProgramming/blob/master/UVA/UVA_11294.txt","Sol")</f>
        <v>Sol</v>
      </c>
      <c r="E3842" s="17" t="s">
        <v>4379</v>
      </c>
      <c r="F3842" s="17" t="s">
        <v>154</v>
      </c>
      <c r="G3842" s="18"/>
      <c r="H3842" s="18"/>
    </row>
    <row r="3843" spans="1:8" ht="13.2">
      <c r="A3843" s="15" t="s">
        <v>4393</v>
      </c>
      <c r="B3843" s="38" t="s">
        <v>4388</v>
      </c>
      <c r="C3843" s="17">
        <v>6.5</v>
      </c>
      <c r="D3843" s="18"/>
      <c r="E3843" s="17" t="s">
        <v>4379</v>
      </c>
      <c r="F3843" s="17" t="s">
        <v>242</v>
      </c>
      <c r="G3843" s="18"/>
      <c r="H3843" s="18"/>
    </row>
    <row r="3844" spans="1:8" ht="13.2">
      <c r="A3844" s="15" t="s">
        <v>4394</v>
      </c>
      <c r="B3844" s="23" t="s">
        <v>4385</v>
      </c>
      <c r="C3844" s="17">
        <v>6.5</v>
      </c>
      <c r="D3844" s="26" t="str">
        <f>HYPERLINK("https://github.com/HeartBlue/CompetitiveProgramming/blob/master/LIVEARCHIVE/LIVEARCHIVE%202973%20Map%20Labeler.cpp","Sol")</f>
        <v>Sol</v>
      </c>
      <c r="E3844" s="17" t="s">
        <v>4379</v>
      </c>
      <c r="F3844" s="17"/>
      <c r="G3844" s="18"/>
      <c r="H3844" s="18"/>
    </row>
    <row r="3845" spans="1:8" ht="13.2">
      <c r="A3845" s="15" t="s">
        <v>4395</v>
      </c>
      <c r="B3845" s="28" t="s">
        <v>4385</v>
      </c>
      <c r="C3845" s="24">
        <v>6.5</v>
      </c>
      <c r="D3845" s="26" t="str">
        <f>HYPERLINK("https://github.com/HeartBlue/CompetitiveProgramming/blob/master/LIVEARCHIVE/LIVEARCHIVE%206067%20Bit%20Magic.cpp","Sol")</f>
        <v>Sol</v>
      </c>
      <c r="E3845" s="24" t="s">
        <v>4379</v>
      </c>
      <c r="F3845" s="17"/>
      <c r="G3845" s="18"/>
      <c r="H3845" s="18"/>
    </row>
    <row r="3846" spans="1:8" ht="13.2">
      <c r="A3846" s="15" t="s">
        <v>4396</v>
      </c>
      <c r="B3846" s="28" t="s">
        <v>4385</v>
      </c>
      <c r="C3846" s="31">
        <v>6.25</v>
      </c>
      <c r="D3846" s="18"/>
      <c r="E3846" s="17" t="s">
        <v>4379</v>
      </c>
      <c r="F3846" s="17"/>
      <c r="G3846" s="18"/>
      <c r="H3846" s="18"/>
    </row>
    <row r="3847" spans="1:8" ht="13.2">
      <c r="A3847" s="19" t="str">
        <f>HYPERLINK("http://codeforces.com/contest/469/problem/D","CF469-D2-D")</f>
        <v>CF469-D2-D</v>
      </c>
      <c r="B3847" s="29" t="s">
        <v>4397</v>
      </c>
      <c r="C3847" s="17">
        <v>6</v>
      </c>
      <c r="D3847" s="18"/>
      <c r="E3847" s="17" t="s">
        <v>4379</v>
      </c>
      <c r="F3847" s="17" t="s">
        <v>154</v>
      </c>
      <c r="G3847" s="18"/>
      <c r="H3847" s="18"/>
    </row>
    <row r="3848" spans="1:8" ht="13.2">
      <c r="A3848" s="19" t="str">
        <f>HYPERLINK("https://codeforces.com/contest/1218/problem/I", "CF1218-D12-I")</f>
        <v>CF1218-D12-I</v>
      </c>
      <c r="B3848" s="15" t="s">
        <v>4385</v>
      </c>
      <c r="C3848" s="21">
        <v>6</v>
      </c>
      <c r="D3848" s="18"/>
      <c r="E3848" s="17" t="s">
        <v>4379</v>
      </c>
      <c r="F3848" s="17" t="s">
        <v>139</v>
      </c>
      <c r="G3848" s="18"/>
      <c r="H3848" s="18"/>
    </row>
    <row r="3849" spans="1:8" ht="13.2">
      <c r="A3849" s="19" t="str">
        <f>HYPERLINK("https://www.codechef.com/COOK102A/problems/ADAMTR","CODECHEF ADAMTR")</f>
        <v>CODECHEF ADAMTR</v>
      </c>
      <c r="B3849" s="15" t="s">
        <v>4385</v>
      </c>
      <c r="C3849" s="17">
        <v>6</v>
      </c>
      <c r="D3849" s="18"/>
      <c r="E3849" s="17" t="s">
        <v>4379</v>
      </c>
      <c r="F3849" s="17" t="s">
        <v>139</v>
      </c>
      <c r="G3849" s="18"/>
      <c r="H3849" s="18"/>
    </row>
    <row r="3850" spans="1:8" ht="13.2">
      <c r="A3850" s="19" t="str">
        <f>HYPERLINK("https://www.codechef.com/LTIME65A/problems/ROBAGAIN", "CODECHEF ROBAGAIN")</f>
        <v>CODECHEF ROBAGAIN</v>
      </c>
      <c r="B3850" s="15" t="s">
        <v>4398</v>
      </c>
      <c r="C3850" s="17">
        <v>6</v>
      </c>
      <c r="D3850" s="18"/>
      <c r="E3850" s="17" t="s">
        <v>4379</v>
      </c>
      <c r="F3850" s="17" t="s">
        <v>139</v>
      </c>
      <c r="G3850" s="18"/>
      <c r="H3850" s="18"/>
    </row>
    <row r="3851" spans="1:8" ht="13.2">
      <c r="A3851" s="15" t="s">
        <v>4399</v>
      </c>
      <c r="B3851" s="23" t="s">
        <v>4385</v>
      </c>
      <c r="C3851" s="17">
        <v>6</v>
      </c>
      <c r="D3851" s="26" t="str">
        <f>HYPERLINK("https://github.com/HeartBlue/CompetitiveProgramming/blob/master/LIVEARCHIVE/LIVEARCHIVE%205010%20Go%20Deeper.cpp","Sol")</f>
        <v>Sol</v>
      </c>
      <c r="E3851" s="17" t="s">
        <v>4379</v>
      </c>
      <c r="F3851" s="17"/>
      <c r="G3851" s="18"/>
      <c r="H3851" s="18"/>
    </row>
    <row r="3852" spans="1:8" ht="13.2">
      <c r="A3852" s="15" t="s">
        <v>4400</v>
      </c>
      <c r="B3852" s="23" t="s">
        <v>4385</v>
      </c>
      <c r="C3852" s="17">
        <v>6</v>
      </c>
      <c r="D3852" s="26" t="str">
        <f>HYPERLINK("https://github.com/HeartBlue/CompetitiveProgramming/blob/master/PKU/PKU%202723%20Get%20Luffy%20Out.cpp","Sol")</f>
        <v>Sol</v>
      </c>
      <c r="E3852" s="17" t="s">
        <v>4379</v>
      </c>
      <c r="F3852" s="17"/>
      <c r="G3852" s="18"/>
      <c r="H3852" s="18"/>
    </row>
    <row r="3853" spans="1:8" ht="13.2">
      <c r="A3853" s="15" t="s">
        <v>4401</v>
      </c>
      <c r="B3853" s="23" t="s">
        <v>4385</v>
      </c>
      <c r="C3853" s="17">
        <v>6</v>
      </c>
      <c r="D3853" s="26" t="str">
        <f>HYPERLINK("https://github.com/HeartBlue/CompetitiveProgramming/blob/master/PKU/PKU%203207%20Ikki's%20Story%20IV%20-%20Panda's%20Trick.cpp","Sol")</f>
        <v>Sol</v>
      </c>
      <c r="E3853" s="17" t="s">
        <v>4379</v>
      </c>
      <c r="F3853" s="17"/>
      <c r="G3853" s="18"/>
      <c r="H3853" s="18"/>
    </row>
    <row r="3854" spans="1:8" ht="13.2">
      <c r="A3854" s="15" t="s">
        <v>4402</v>
      </c>
      <c r="B3854" s="23" t="s">
        <v>4385</v>
      </c>
      <c r="C3854" s="17">
        <v>6</v>
      </c>
      <c r="D3854" s="26" t="str">
        <f>HYPERLINK("https://github.com/HeartBlue/CompetitiveProgramming/blob/master/PKU/PKU%203678%20Katu%20Puzzle.cpp","Sol")</f>
        <v>Sol</v>
      </c>
      <c r="E3854" s="17" t="s">
        <v>4379</v>
      </c>
      <c r="F3854" s="17"/>
      <c r="G3854" s="18"/>
      <c r="H3854" s="18"/>
    </row>
    <row r="3855" spans="1:8" ht="13.2">
      <c r="A3855" s="15" t="s">
        <v>4403</v>
      </c>
      <c r="B3855" s="43" t="s">
        <v>4385</v>
      </c>
      <c r="C3855" s="24">
        <v>6</v>
      </c>
      <c r="D3855" s="18"/>
      <c r="E3855" s="17" t="s">
        <v>4379</v>
      </c>
      <c r="F3855" s="17"/>
      <c r="G3855" s="18"/>
      <c r="H3855" s="18"/>
    </row>
    <row r="3856" spans="1:8" ht="13.2">
      <c r="A3856" s="15" t="s">
        <v>4404</v>
      </c>
      <c r="B3856" s="29" t="s">
        <v>4385</v>
      </c>
      <c r="C3856" s="17">
        <v>6</v>
      </c>
      <c r="D3856" s="26" t="str">
        <f>HYPERLINK("https://github.com/HeartBlue/CompetitiveProgramming/blob/master/UVA/UVA%201146%20Now%20or%20later.cpp","Sol")</f>
        <v>Sol</v>
      </c>
      <c r="E3856" s="17" t="s">
        <v>4379</v>
      </c>
      <c r="F3856" s="17"/>
      <c r="G3856" s="18"/>
      <c r="H3856" s="18"/>
    </row>
    <row r="3857" spans="1:8" ht="13.2">
      <c r="A3857" s="19" t="str">
        <f>HYPERLINK("http://codeforces.com/contest/766/problem/D","CF776-D2-D")</f>
        <v>CF776-D2-D</v>
      </c>
      <c r="B3857" s="15" t="s">
        <v>4385</v>
      </c>
      <c r="C3857" s="17">
        <v>5.5</v>
      </c>
      <c r="D3857" s="18"/>
      <c r="E3857" s="17" t="s">
        <v>4379</v>
      </c>
      <c r="F3857" s="17"/>
      <c r="G3857" s="18"/>
      <c r="H3857" s="18"/>
    </row>
    <row r="3858" spans="1:8" ht="13.2">
      <c r="A3858" s="19" t="str">
        <f>HYPERLINK("https://icpcarchive.ecs.baylor.edu/index.php?option=com_onlinejudge&amp;Itemid=8&amp;page=show_problem&amp;problem=2186","LIVEARCHIVE 4185")</f>
        <v>LIVEARCHIVE 4185</v>
      </c>
      <c r="B3858" s="18" t="s">
        <v>4385</v>
      </c>
      <c r="C3858" s="17">
        <v>5</v>
      </c>
      <c r="D3858" s="26" t="str">
        <f>HYPERLINK("https://github.com/3agwa/CompetitiveProgramming/blob/master/LiveArchive/LIVEARCHIVE%204185.cpp","Sol")</f>
        <v>Sol</v>
      </c>
      <c r="E3858" s="17" t="s">
        <v>4379</v>
      </c>
      <c r="F3858" s="17"/>
      <c r="G3858" s="18"/>
      <c r="H3858" s="18"/>
    </row>
    <row r="3859" spans="1:8" ht="13.2">
      <c r="A3859" s="19" t="str">
        <f>HYPERLINK("http://codeforces.com/contest/228/problem/E","CF228-D2-E")</f>
        <v>CF228-D2-E</v>
      </c>
      <c r="B3859" s="29" t="s">
        <v>4405</v>
      </c>
      <c r="C3859" s="17">
        <v>5</v>
      </c>
      <c r="D3859" s="18"/>
      <c r="E3859" s="17" t="s">
        <v>4379</v>
      </c>
      <c r="F3859" s="17"/>
      <c r="G3859" s="18"/>
      <c r="H3859" s="18"/>
    </row>
    <row r="3860" spans="1:8" ht="13.2">
      <c r="A3860" s="19" t="str">
        <f>HYPERLINK("https://www.spoj.com/problems/BUGLIFE/","SPOJ BUGLIFE")</f>
        <v>SPOJ BUGLIFE</v>
      </c>
      <c r="B3860" s="15" t="s">
        <v>4406</v>
      </c>
      <c r="C3860" s="17">
        <v>4</v>
      </c>
      <c r="D3860" s="26" t="str">
        <f>HYPERLINK("https://github.com/miguelAlessandro/CompetitiveProgramming/blob/master/spoj/BUGLIFE.cpp","Sol")</f>
        <v>Sol</v>
      </c>
      <c r="E3860" s="17" t="s">
        <v>4379</v>
      </c>
      <c r="F3860" s="17"/>
      <c r="G3860" s="18"/>
      <c r="H3860" s="18"/>
    </row>
    <row r="3861" spans="1:8" ht="13.2">
      <c r="A3861" s="15" t="s">
        <v>4407</v>
      </c>
      <c r="B3861" s="30" t="s">
        <v>4408</v>
      </c>
      <c r="C3861" s="40">
        <v>3</v>
      </c>
      <c r="D3861" s="18"/>
      <c r="E3861" s="17" t="s">
        <v>4379</v>
      </c>
      <c r="F3861" s="17"/>
      <c r="G3861" s="18"/>
      <c r="H3861" s="18"/>
    </row>
    <row r="3862" spans="1:8" ht="13.2">
      <c r="A3862" s="15" t="s">
        <v>4409</v>
      </c>
      <c r="B3862" s="28" t="s">
        <v>4410</v>
      </c>
      <c r="C3862" s="24">
        <v>6.75</v>
      </c>
      <c r="D3862" s="26" t="str">
        <f>HYPERLINK("https://github.com/mostafa-saad/MyCompetitiveProgramming/blob/master/UVA/UVA_10510.txt","Sol")</f>
        <v>Sol</v>
      </c>
      <c r="E3862" s="17" t="s">
        <v>4411</v>
      </c>
      <c r="F3862" s="17" t="s">
        <v>154</v>
      </c>
      <c r="G3862" s="18"/>
      <c r="H3862" s="18"/>
    </row>
    <row r="3863" spans="1:8" ht="13.2">
      <c r="A3863" s="15" t="s">
        <v>4412</v>
      </c>
      <c r="B3863" s="42" t="s">
        <v>4413</v>
      </c>
      <c r="C3863" s="17">
        <v>6.5</v>
      </c>
      <c r="D3863" s="18"/>
      <c r="E3863" s="17" t="s">
        <v>4411</v>
      </c>
      <c r="F3863" s="17" t="s">
        <v>139</v>
      </c>
      <c r="G3863" s="18"/>
      <c r="H3863" s="18"/>
    </row>
    <row r="3864" spans="1:8" ht="13.2">
      <c r="A3864" s="19" t="str">
        <f>HYPERLINK("https://codeforces.com/contest/1250/problem/N","CF1250-D12-N")</f>
        <v>CF1250-D12-N</v>
      </c>
      <c r="B3864" s="20" t="s">
        <v>4414</v>
      </c>
      <c r="C3864" s="21">
        <v>6.25</v>
      </c>
      <c r="D3864" s="18" t="s">
        <v>1166</v>
      </c>
      <c r="E3864" s="17" t="s">
        <v>4411</v>
      </c>
      <c r="F3864" s="17" t="s">
        <v>139</v>
      </c>
      <c r="G3864" s="18"/>
      <c r="H3864" s="18"/>
    </row>
    <row r="3865" spans="1:8" ht="13.2">
      <c r="A3865" s="15" t="s">
        <v>4415</v>
      </c>
      <c r="B3865" s="30" t="s">
        <v>4416</v>
      </c>
      <c r="C3865" s="24">
        <v>4</v>
      </c>
      <c r="D3865" s="18" t="s">
        <v>4417</v>
      </c>
      <c r="E3865" s="17" t="s">
        <v>4411</v>
      </c>
      <c r="F3865" s="17" t="s">
        <v>229</v>
      </c>
      <c r="G3865" s="18"/>
      <c r="H3865" s="18"/>
    </row>
    <row r="3866" spans="1:8" ht="13.2">
      <c r="A3866" s="15" t="s">
        <v>4418</v>
      </c>
      <c r="B3866" s="30" t="s">
        <v>4414</v>
      </c>
      <c r="C3866" s="24">
        <v>3</v>
      </c>
      <c r="D3866" s="18"/>
      <c r="E3866" s="24" t="s">
        <v>4411</v>
      </c>
      <c r="F3866" s="17" t="s">
        <v>306</v>
      </c>
      <c r="G3866" s="18"/>
      <c r="H3866" s="18"/>
    </row>
    <row r="3867" spans="1:8" ht="13.2">
      <c r="A3867" s="15" t="s">
        <v>4419</v>
      </c>
      <c r="B3867" s="43" t="s">
        <v>4414</v>
      </c>
      <c r="C3867" s="24">
        <v>3</v>
      </c>
      <c r="D3867" s="18"/>
      <c r="E3867" s="17" t="s">
        <v>4411</v>
      </c>
      <c r="F3867" s="17" t="s">
        <v>139</v>
      </c>
      <c r="G3867" s="18"/>
      <c r="H3867" s="18"/>
    </row>
    <row r="3868" spans="1:8" ht="13.2">
      <c r="A3868" s="15" t="s">
        <v>4420</v>
      </c>
      <c r="B3868" s="43" t="s">
        <v>4414</v>
      </c>
      <c r="C3868" s="24">
        <v>3</v>
      </c>
      <c r="D3868" s="18"/>
      <c r="E3868" s="17" t="s">
        <v>4411</v>
      </c>
      <c r="F3868" s="17"/>
      <c r="G3868" s="18"/>
      <c r="H3868" s="18"/>
    </row>
    <row r="3869" spans="1:8" ht="13.2">
      <c r="A3869" s="15" t="s">
        <v>4421</v>
      </c>
      <c r="B3869" s="29" t="s">
        <v>4422</v>
      </c>
      <c r="C3869" s="17">
        <v>7.75</v>
      </c>
      <c r="D3869" s="18"/>
      <c r="E3869" s="17" t="s">
        <v>4423</v>
      </c>
      <c r="F3869" s="17"/>
      <c r="G3869" s="18"/>
      <c r="H3869" s="18"/>
    </row>
    <row r="3870" spans="1:8" ht="13.2">
      <c r="A3870" s="15" t="s">
        <v>4424</v>
      </c>
      <c r="B3870" s="30" t="s">
        <v>4425</v>
      </c>
      <c r="C3870" s="17">
        <v>7.25</v>
      </c>
      <c r="D3870" s="18"/>
      <c r="E3870" s="17" t="s">
        <v>4423</v>
      </c>
      <c r="F3870" s="17" t="s">
        <v>201</v>
      </c>
      <c r="G3870" s="18"/>
      <c r="H3870" s="18"/>
    </row>
    <row r="3871" spans="1:8" ht="13.2">
      <c r="A3871" s="15" t="s">
        <v>4426</v>
      </c>
      <c r="B3871" s="16" t="s">
        <v>4427</v>
      </c>
      <c r="C3871" s="17">
        <v>7.25</v>
      </c>
      <c r="D3871" s="18"/>
      <c r="E3871" s="17" t="s">
        <v>4423</v>
      </c>
      <c r="F3871" s="17"/>
      <c r="G3871" s="18"/>
      <c r="H3871" s="18"/>
    </row>
    <row r="3872" spans="1:8" ht="13.2">
      <c r="A3872" s="19" t="str">
        <f>HYPERLINK("http://codeforces.com/contest/980/problem/F","CF980-D2-F")</f>
        <v>CF980-D2-F</v>
      </c>
      <c r="B3872" s="15" t="s">
        <v>4428</v>
      </c>
      <c r="C3872" s="17">
        <v>7.25</v>
      </c>
      <c r="D3872" s="18"/>
      <c r="E3872" s="17" t="s">
        <v>4423</v>
      </c>
      <c r="F3872" s="17"/>
      <c r="G3872" s="18"/>
      <c r="H3872" s="18"/>
    </row>
    <row r="3873" spans="1:8" ht="13.2">
      <c r="A3873" s="15" t="s">
        <v>4429</v>
      </c>
      <c r="B3873" s="15" t="s">
        <v>4430</v>
      </c>
      <c r="C3873" s="17">
        <v>7</v>
      </c>
      <c r="D3873" s="26" t="str">
        <f>HYPERLINK("https://github.com/mostafa-saad/MyCompetitiveProgramming/blob/master/SPOJ/SPOJ_ONBRIDGE.txt","Sol")</f>
        <v>Sol</v>
      </c>
      <c r="E3873" s="17" t="s">
        <v>4423</v>
      </c>
      <c r="F3873" s="17" t="s">
        <v>139</v>
      </c>
      <c r="G3873" s="18"/>
      <c r="H3873" s="18"/>
    </row>
    <row r="3874" spans="1:8" ht="13.2">
      <c r="A3874" s="19" t="str">
        <f>HYPERLINK("http://codeforces.com/contest/700/problem/C","CF700-D1-C")</f>
        <v>CF700-D1-C</v>
      </c>
      <c r="B3874" s="15" t="s">
        <v>4431</v>
      </c>
      <c r="C3874" s="24">
        <v>7</v>
      </c>
      <c r="D3874" s="18"/>
      <c r="E3874" s="17" t="s">
        <v>4423</v>
      </c>
      <c r="F3874" s="17" t="s">
        <v>139</v>
      </c>
      <c r="G3874" s="18"/>
      <c r="H3874" s="18"/>
    </row>
    <row r="3875" spans="1:8" ht="13.2">
      <c r="A3875" s="19" t="str">
        <f>HYPERLINK("http://codeforces.com/contest/555/problem/E","CF555-D1-E")</f>
        <v>CF555-D1-E</v>
      </c>
      <c r="B3875" s="15" t="s">
        <v>4427</v>
      </c>
      <c r="C3875" s="24">
        <v>7</v>
      </c>
      <c r="D3875" s="18"/>
      <c r="E3875" s="17" t="s">
        <v>4423</v>
      </c>
      <c r="F3875" s="17"/>
      <c r="G3875" s="18"/>
      <c r="H3875" s="18"/>
    </row>
    <row r="3876" spans="1:8" ht="13.2">
      <c r="A3876" s="15" t="s">
        <v>4432</v>
      </c>
      <c r="B3876" s="30" t="s">
        <v>4433</v>
      </c>
      <c r="C3876" s="24">
        <v>6.75</v>
      </c>
      <c r="D3876" s="26" t="str">
        <f>HYPERLINK("https://github.com/mostafa-saad/MyCompetitiveProgramming/blob/master/UVA/UVA_1364.txt","Read if hard text or wanna more examples")</f>
        <v>Read if hard text or wanna more examples</v>
      </c>
      <c r="E3876" s="17" t="s">
        <v>4423</v>
      </c>
      <c r="F3876" s="17" t="s">
        <v>173</v>
      </c>
      <c r="G3876" s="18"/>
      <c r="H3876" s="18"/>
    </row>
    <row r="3877" spans="1:8" ht="13.2">
      <c r="A3877" s="15" t="s">
        <v>4434</v>
      </c>
      <c r="B3877" s="29" t="s">
        <v>4427</v>
      </c>
      <c r="C3877" s="17">
        <v>6.5</v>
      </c>
      <c r="D3877" s="18"/>
      <c r="E3877" s="17" t="s">
        <v>4423</v>
      </c>
      <c r="F3877" s="17"/>
      <c r="G3877" s="18"/>
      <c r="H3877" s="18"/>
    </row>
    <row r="3878" spans="1:8" ht="13.2">
      <c r="A3878" s="15" t="s">
        <v>4435</v>
      </c>
      <c r="B3878" s="28" t="s">
        <v>4436</v>
      </c>
      <c r="C3878" s="24">
        <v>6.5</v>
      </c>
      <c r="D3878" s="26" t="str">
        <f>HYPERLINK("https://github.com/shanto86/Training/blob/master/LiveArchive/LIVEARCHIVE%204218.cpp","Sol")</f>
        <v>Sol</v>
      </c>
      <c r="E3878" s="24" t="s">
        <v>4423</v>
      </c>
      <c r="F3878" s="17"/>
      <c r="G3878" s="18"/>
      <c r="H3878" s="18"/>
    </row>
    <row r="3879" spans="1:8" ht="13.2">
      <c r="A3879" s="19" t="str">
        <f>HYPERLINK("http://codeforces.com/contest/732/problem/F","CF732-D2-F")</f>
        <v>CF732-D2-F</v>
      </c>
      <c r="B3879" s="29" t="s">
        <v>4427</v>
      </c>
      <c r="C3879" s="24">
        <v>6.1</v>
      </c>
      <c r="D3879" s="18"/>
      <c r="E3879" s="17" t="s">
        <v>4423</v>
      </c>
      <c r="F3879" s="17" t="s">
        <v>139</v>
      </c>
      <c r="G3879" s="18"/>
      <c r="H3879" s="18"/>
    </row>
    <row r="3880" spans="1:8" ht="13.2">
      <c r="A3880" s="15" t="s">
        <v>4437</v>
      </c>
      <c r="B3880" s="43" t="s">
        <v>4438</v>
      </c>
      <c r="C3880" s="17">
        <v>6</v>
      </c>
      <c r="D3880" s="18"/>
      <c r="E3880" s="17" t="s">
        <v>4423</v>
      </c>
      <c r="F3880" s="17" t="s">
        <v>139</v>
      </c>
      <c r="G3880" s="18"/>
      <c r="H3880" s="18"/>
    </row>
    <row r="3881" spans="1:8" ht="13.2">
      <c r="A3881" s="15" t="s">
        <v>4439</v>
      </c>
      <c r="B3881" s="15" t="s">
        <v>4440</v>
      </c>
      <c r="C3881" s="17">
        <v>6</v>
      </c>
      <c r="D3881" s="26" t="str">
        <f>HYPERLINK("https://github.com/goswami-rahul/competitive-coding/tree/master/CompetitiveProgramming/spoj/GRAFFDEF.cpp","Sol")</f>
        <v>Sol</v>
      </c>
      <c r="E3881" s="17" t="s">
        <v>4423</v>
      </c>
      <c r="F3881" s="17" t="s">
        <v>139</v>
      </c>
      <c r="G3881" s="18"/>
      <c r="H3881" s="18"/>
    </row>
    <row r="3882" spans="1:8" ht="13.2">
      <c r="A3882" s="15" t="s">
        <v>4441</v>
      </c>
      <c r="B3882" s="30" t="s">
        <v>4442</v>
      </c>
      <c r="C3882" s="24">
        <v>6</v>
      </c>
      <c r="D3882" s="26" t="str">
        <f>HYPERLINK("https://github.com/miguelAlessandro/CompetitiveProgramming/blob/master/UVA/12363.cpp","Sol")</f>
        <v>Sol</v>
      </c>
      <c r="E3882" s="17" t="s">
        <v>4423</v>
      </c>
      <c r="F3882" s="17" t="s">
        <v>139</v>
      </c>
      <c r="G3882" s="18"/>
      <c r="H3882" s="18"/>
    </row>
    <row r="3883" spans="1:8" ht="13.2">
      <c r="A3883" s="19" t="str">
        <f>HYPERLINK("http://codeforces.com/problemset/gymProblem/100676/H","CF100676-gym-H")</f>
        <v>CF100676-gym-H</v>
      </c>
      <c r="B3883" s="43" t="s">
        <v>4443</v>
      </c>
      <c r="C3883" s="17">
        <v>6</v>
      </c>
      <c r="D3883" s="26" t="str">
        <f>HYPERLINK("https://github.com/WaleedAbdelhakim/Competitive-Programming/blob/master/CodeForces/CF100676-gym-H.cpp","Sol")</f>
        <v>Sol</v>
      </c>
      <c r="E3883" s="17" t="s">
        <v>4423</v>
      </c>
      <c r="F3883" s="17" t="s">
        <v>139</v>
      </c>
      <c r="G3883" s="18"/>
      <c r="H3883" s="18"/>
    </row>
    <row r="3884" spans="1:8" ht="13.2">
      <c r="A3884" s="19" t="str">
        <f>HYPERLINK("https://www.codechef.com/problems/LONCYC", "CODECHEF LONCYC")</f>
        <v>CODECHEF LONCYC</v>
      </c>
      <c r="B3884" s="20" t="s">
        <v>4444</v>
      </c>
      <c r="C3884" s="21">
        <v>6</v>
      </c>
      <c r="D3884" s="18"/>
      <c r="E3884" s="17" t="s">
        <v>4423</v>
      </c>
      <c r="F3884" s="17"/>
      <c r="G3884" s="18"/>
      <c r="H3884" s="18"/>
    </row>
    <row r="3885" spans="1:8" ht="13.2">
      <c r="A3885" s="19" t="str">
        <f>HYPERLINK("https://codeforces.com/contest/1220/problem/E","CF1220-D12-E")</f>
        <v>CF1220-D12-E</v>
      </c>
      <c r="B3885" s="15" t="s">
        <v>4427</v>
      </c>
      <c r="C3885" s="17">
        <v>5.5</v>
      </c>
      <c r="D3885" s="18"/>
      <c r="E3885" s="17" t="s">
        <v>4423</v>
      </c>
      <c r="F3885" s="17" t="s">
        <v>139</v>
      </c>
      <c r="G3885" s="18"/>
      <c r="H3885" s="18"/>
    </row>
    <row r="3886" spans="1:8" ht="13.2">
      <c r="A3886" s="15" t="s">
        <v>4445</v>
      </c>
      <c r="B3886" s="43" t="s">
        <v>4446</v>
      </c>
      <c r="C3886" s="31">
        <v>5.5</v>
      </c>
      <c r="D3886" s="26" t="str">
        <f>HYPERLINK("https://github.com/miguelAlessandro/CompetitiveProgramming/blob/master/UVA/610.cpp","Sol")</f>
        <v>Sol</v>
      </c>
      <c r="E3886" s="17" t="s">
        <v>4423</v>
      </c>
      <c r="F3886" s="17" t="s">
        <v>139</v>
      </c>
      <c r="G3886" s="18"/>
      <c r="H3886" s="18"/>
    </row>
    <row r="3887" spans="1:8" ht="13.2">
      <c r="A3887" s="19" t="str">
        <f>HYPERLINK("http://codeforces.com/contest/1000/problem/E", "CF1000-D12-E")</f>
        <v>CF1000-D12-E</v>
      </c>
      <c r="B3887" s="20" t="s">
        <v>4447</v>
      </c>
      <c r="C3887" s="31">
        <v>5.5</v>
      </c>
      <c r="D3887" s="18"/>
      <c r="E3887" s="17" t="s">
        <v>4423</v>
      </c>
      <c r="F3887" s="17" t="s">
        <v>201</v>
      </c>
      <c r="G3887" s="18"/>
      <c r="H3887" s="18"/>
    </row>
    <row r="3888" spans="1:8" ht="13.2">
      <c r="A3888" s="19" t="str">
        <f>HYPERLINK("https://codeforces.com/contest/1214/problem/D","CF1214-D12-D")</f>
        <v>CF1214-D12-D</v>
      </c>
      <c r="B3888" s="15" t="s">
        <v>4448</v>
      </c>
      <c r="C3888" s="17">
        <v>5</v>
      </c>
      <c r="D3888" s="18"/>
      <c r="E3888" s="17" t="s">
        <v>4423</v>
      </c>
      <c r="F3888" s="17" t="s">
        <v>139</v>
      </c>
      <c r="G3888" s="18"/>
      <c r="H3888" s="18"/>
    </row>
    <row r="3889" spans="1:8" ht="13.2">
      <c r="A3889" s="19" t="str">
        <f>HYPERLINK("http://codeforces.com/gym/100342/attachments","CF100342-GYM-I")</f>
        <v>CF100342-GYM-I</v>
      </c>
      <c r="B3889" s="38" t="s">
        <v>4449</v>
      </c>
      <c r="C3889" s="17">
        <v>5</v>
      </c>
      <c r="D3889" s="26" t="str">
        <f>HYPERLINK("http://codeforces.com/gym/100342/submission/34115410","Sol")</f>
        <v>Sol</v>
      </c>
      <c r="E3889" s="17" t="s">
        <v>4423</v>
      </c>
      <c r="F3889" s="17" t="s">
        <v>139</v>
      </c>
      <c r="G3889" s="18"/>
      <c r="H3889" s="18"/>
    </row>
    <row r="3890" spans="1:8" ht="13.2">
      <c r="A3890" s="19" t="str">
        <f>HYPERLINK("https://codeforces.com/gym/101979/problem/H","CF101979-GYM-H")</f>
        <v>CF101979-GYM-H</v>
      </c>
      <c r="B3890" s="20" t="s">
        <v>4450</v>
      </c>
      <c r="C3890" s="21">
        <v>5</v>
      </c>
      <c r="D3890" s="26" t="str">
        <f>HYPERLINK("https://github.com/ahmedsamir221/CompetitiveProgramming/blob/master/CodeForces/CF101979-GYM-H.cpp","Sol")</f>
        <v>Sol</v>
      </c>
      <c r="E3890" s="17" t="s">
        <v>4423</v>
      </c>
      <c r="F3890" s="17" t="s">
        <v>201</v>
      </c>
      <c r="G3890" s="18"/>
      <c r="H3890" s="18"/>
    </row>
    <row r="3891" spans="1:8" ht="13.2">
      <c r="A3891" s="15" t="s">
        <v>4451</v>
      </c>
      <c r="B3891" s="43" t="s">
        <v>4427</v>
      </c>
      <c r="C3891" s="24">
        <v>4</v>
      </c>
      <c r="D3891" s="18"/>
      <c r="E3891" s="17" t="s">
        <v>4423</v>
      </c>
      <c r="F3891" s="17"/>
      <c r="G3891" s="18"/>
      <c r="H3891" s="18"/>
    </row>
    <row r="3892" spans="1:8" ht="13.2">
      <c r="A3892" s="15" t="s">
        <v>4452</v>
      </c>
      <c r="B3892" s="43" t="s">
        <v>4427</v>
      </c>
      <c r="C3892" s="17">
        <v>3</v>
      </c>
      <c r="D3892" s="18"/>
      <c r="E3892" s="17" t="s">
        <v>4423</v>
      </c>
      <c r="F3892" s="17"/>
      <c r="G3892" s="18"/>
      <c r="H3892" s="18"/>
    </row>
    <row r="3893" spans="1:8" ht="13.2">
      <c r="A3893" s="19" t="str">
        <f>HYPERLINK("https://www.codechef.com/problems/TRIPS","CODECHEF TRIPS")</f>
        <v>CODECHEF TRIPS</v>
      </c>
      <c r="B3893" s="30" t="s">
        <v>4453</v>
      </c>
      <c r="C3893" s="17">
        <v>7.5</v>
      </c>
      <c r="D3893" s="18"/>
      <c r="E3893" s="17" t="s">
        <v>4454</v>
      </c>
      <c r="F3893" s="17"/>
      <c r="G3893" s="18"/>
      <c r="H3893" s="18"/>
    </row>
    <row r="3894" spans="1:8" ht="13.2">
      <c r="A3894" s="15" t="s">
        <v>4455</v>
      </c>
      <c r="B3894" s="43" t="s">
        <v>4456</v>
      </c>
      <c r="C3894" s="54">
        <v>7.25</v>
      </c>
      <c r="D3894" s="18"/>
      <c r="E3894" s="17" t="s">
        <v>4454</v>
      </c>
      <c r="F3894" s="17"/>
      <c r="G3894" s="18"/>
      <c r="H3894" s="18"/>
    </row>
    <row r="3895" spans="1:8" ht="13.2">
      <c r="A3895" s="15" t="s">
        <v>4457</v>
      </c>
      <c r="B3895" s="29" t="s">
        <v>4458</v>
      </c>
      <c r="C3895" s="24">
        <v>7.25</v>
      </c>
      <c r="D3895" s="18"/>
      <c r="E3895" s="17" t="s">
        <v>4454</v>
      </c>
      <c r="F3895" s="17"/>
      <c r="G3895" s="18"/>
      <c r="H3895" s="18"/>
    </row>
    <row r="3896" spans="1:8" ht="13.2">
      <c r="A3896" s="19" t="str">
        <f>HYPERLINK("http://codeforces.com/contest/494/problem/D","CF494-D1-D")</f>
        <v>CF494-D1-D</v>
      </c>
      <c r="B3896" s="15" t="s">
        <v>4459</v>
      </c>
      <c r="C3896" s="24">
        <v>7</v>
      </c>
      <c r="D3896" s="18"/>
      <c r="E3896" s="17" t="s">
        <v>4454</v>
      </c>
      <c r="F3896" s="17"/>
      <c r="G3896" s="18"/>
      <c r="H3896" s="18"/>
    </row>
    <row r="3897" spans="1:8" ht="13.2">
      <c r="A3897" s="15" t="s">
        <v>4460</v>
      </c>
      <c r="B3897" s="30" t="s">
        <v>4461</v>
      </c>
      <c r="C3897" s="17">
        <v>7</v>
      </c>
      <c r="D3897" s="18"/>
      <c r="E3897" s="17" t="s">
        <v>4454</v>
      </c>
      <c r="F3897" s="17"/>
      <c r="G3897" s="18"/>
      <c r="H3897" s="18"/>
    </row>
    <row r="3898" spans="1:8" ht="13.2">
      <c r="A3898" s="15" t="s">
        <v>4462</v>
      </c>
      <c r="B3898" s="29" t="s">
        <v>4463</v>
      </c>
      <c r="C3898" s="17">
        <v>7</v>
      </c>
      <c r="D3898" s="18"/>
      <c r="E3898" s="17" t="s">
        <v>4454</v>
      </c>
      <c r="F3898" s="17"/>
      <c r="G3898" s="18"/>
      <c r="H3898" s="18"/>
    </row>
    <row r="3899" spans="1:8" ht="13.2">
      <c r="A3899" s="19" t="str">
        <f>HYPERLINK("http://codeforces.com/contest/418/problem/D","CF418-D1-D")</f>
        <v>CF418-D1-D</v>
      </c>
      <c r="B3899" s="15" t="s">
        <v>4464</v>
      </c>
      <c r="C3899" s="24">
        <v>7</v>
      </c>
      <c r="D3899" s="18"/>
      <c r="E3899" s="17" t="s">
        <v>4454</v>
      </c>
      <c r="F3899" s="17"/>
      <c r="G3899" s="18"/>
      <c r="H3899" s="18"/>
    </row>
    <row r="3900" spans="1:8" ht="13.2">
      <c r="A3900" s="19" t="str">
        <f>HYPERLINK("http://codeforces.com/contest/916/problem/E","CF916-D2-E")</f>
        <v>CF916-D2-E</v>
      </c>
      <c r="B3900" s="20" t="s">
        <v>4465</v>
      </c>
      <c r="C3900" s="17">
        <v>6.75</v>
      </c>
      <c r="D3900" s="18"/>
      <c r="E3900" s="17" t="s">
        <v>4454</v>
      </c>
      <c r="F3900" s="17" t="s">
        <v>139</v>
      </c>
      <c r="G3900" s="18"/>
      <c r="H3900" s="18"/>
    </row>
    <row r="3901" spans="1:8" ht="13.2">
      <c r="A3901" s="15" t="s">
        <v>4466</v>
      </c>
      <c r="B3901" s="38" t="s">
        <v>4467</v>
      </c>
      <c r="C3901" s="24">
        <v>6.75</v>
      </c>
      <c r="D3901" s="18"/>
      <c r="E3901" s="17" t="s">
        <v>4454</v>
      </c>
      <c r="F3901" s="17"/>
      <c r="G3901" s="18"/>
      <c r="H3901" s="18"/>
    </row>
    <row r="3902" spans="1:8" ht="13.2">
      <c r="A3902" s="19" t="str">
        <f>HYPERLINK("http://codeforces.com/contest/406/problem/D","CF406-D1-D")</f>
        <v>CF406-D1-D</v>
      </c>
      <c r="B3902" s="43" t="s">
        <v>4468</v>
      </c>
      <c r="C3902" s="24">
        <v>6.5</v>
      </c>
      <c r="D3902" s="18"/>
      <c r="E3902" s="17" t="s">
        <v>4454</v>
      </c>
      <c r="F3902" s="17" t="s">
        <v>139</v>
      </c>
      <c r="G3902" s="18"/>
      <c r="H3902" s="18"/>
    </row>
    <row r="3903" spans="1:8" ht="13.2">
      <c r="A3903" s="19" t="str">
        <f>HYPERLINK("http://codeforces.com/contest/593/problem/D","CF593-D2-D")</f>
        <v>CF593-D2-D</v>
      </c>
      <c r="B3903" s="15" t="s">
        <v>4469</v>
      </c>
      <c r="C3903" s="24">
        <v>6.5</v>
      </c>
      <c r="D3903" s="18"/>
      <c r="E3903" s="17" t="s">
        <v>4454</v>
      </c>
      <c r="F3903" s="17" t="s">
        <v>139</v>
      </c>
      <c r="G3903" s="18"/>
      <c r="H3903" s="18"/>
    </row>
    <row r="3904" spans="1:8" ht="13.2">
      <c r="A3904" s="19" t="str">
        <f>HYPERLINK("https://codeforces.com/gym/101908/problem/L","CF101908-GYM-L")</f>
        <v>CF101908-GYM-L</v>
      </c>
      <c r="B3904" s="20" t="s">
        <v>4470</v>
      </c>
      <c r="C3904" s="21">
        <v>6.5</v>
      </c>
      <c r="D3904" s="26" t="str">
        <f>HYPERLINK("https://github.com/mostafa-saad/MyCompetitiveProgramming/blob/master/Codeforces/CF101908-GYM-L.txt","Sol")</f>
        <v>Sol</v>
      </c>
      <c r="E3904" s="17" t="s">
        <v>4454</v>
      </c>
      <c r="F3904" s="17" t="s">
        <v>139</v>
      </c>
      <c r="G3904" s="18"/>
      <c r="H3904" s="18"/>
    </row>
    <row r="3905" spans="1:8" ht="13.2">
      <c r="A3905" s="19" t="str">
        <f>HYPERLINK("http://codeforces.com/contest/1000/problem/G", "CF1000-D12-G")</f>
        <v>CF1000-D12-G</v>
      </c>
      <c r="B3905" s="20" t="s">
        <v>4471</v>
      </c>
      <c r="C3905" s="21">
        <v>6.5</v>
      </c>
      <c r="D3905" s="18"/>
      <c r="E3905" s="17" t="s">
        <v>4454</v>
      </c>
      <c r="F3905" s="17" t="s">
        <v>242</v>
      </c>
      <c r="G3905" s="18"/>
      <c r="H3905" s="18"/>
    </row>
    <row r="3906" spans="1:8" ht="13.2">
      <c r="A3906" s="19" t="str">
        <f>HYPERLINK("http://codeforces.com/problemset/gymProblem/101142/G","CF101142-gym-G")</f>
        <v>CF101142-gym-G</v>
      </c>
      <c r="B3906" s="43" t="s">
        <v>4458</v>
      </c>
      <c r="C3906" s="17">
        <v>6.4</v>
      </c>
      <c r="D3906" s="26" t="str">
        <f>HYPERLINK("https://github.com/BRAINOOOO/CompetitiveProgramming/blob/93e631948a1e52814850f1bc86f20c5ab9ed2fa2/CF/CF101142-gym-G","Sol")</f>
        <v>Sol</v>
      </c>
      <c r="E3906" s="17" t="s">
        <v>4454</v>
      </c>
      <c r="F3906" s="17" t="s">
        <v>139</v>
      </c>
      <c r="G3906" s="18"/>
      <c r="H3906" s="18"/>
    </row>
    <row r="3907" spans="1:8" ht="13.2">
      <c r="A3907" s="19" t="str">
        <f>HYPERLINK("http://codeforces.com/contest/165/problem/D","CF165-D2-D")</f>
        <v>CF165-D2-D</v>
      </c>
      <c r="B3907" s="43" t="s">
        <v>4472</v>
      </c>
      <c r="C3907" s="17">
        <v>6.25</v>
      </c>
      <c r="D3907" s="18"/>
      <c r="E3907" s="17" t="s">
        <v>4454</v>
      </c>
      <c r="F3907" s="17" t="s">
        <v>306</v>
      </c>
      <c r="G3907" s="18"/>
      <c r="H3907" s="18"/>
    </row>
    <row r="3908" spans="1:8" ht="13.2">
      <c r="A3908" s="19" t="str">
        <f>HYPERLINK("http://codeforces.com/contest/466/problem/E","CF466-D2-E")</f>
        <v>CF466-D2-E</v>
      </c>
      <c r="B3908" s="43" t="s">
        <v>4473</v>
      </c>
      <c r="C3908" s="24">
        <v>6.25</v>
      </c>
      <c r="D3908" s="18"/>
      <c r="E3908" s="17" t="s">
        <v>4454</v>
      </c>
      <c r="F3908" s="17" t="s">
        <v>139</v>
      </c>
      <c r="G3908" s="18"/>
      <c r="H3908" s="18"/>
    </row>
    <row r="3909" spans="1:8" ht="13.2">
      <c r="A3909" s="19" t="str">
        <f>HYPERLINK("http://codeforces.com/contest/587/problem/C","CF587-D1-C")</f>
        <v>CF587-D1-C</v>
      </c>
      <c r="B3909" s="43" t="s">
        <v>4474</v>
      </c>
      <c r="C3909" s="17">
        <v>6.25</v>
      </c>
      <c r="D3909" s="18"/>
      <c r="E3909" s="17" t="s">
        <v>4454</v>
      </c>
      <c r="F3909" s="17" t="s">
        <v>201</v>
      </c>
      <c r="G3909" s="18"/>
      <c r="H3909" s="18"/>
    </row>
    <row r="3910" spans="1:8" ht="13.2">
      <c r="A3910" s="19" t="str">
        <f>HYPERLINK("http://codeforces.com/contest/379/problem/F","CF379-D12-F")</f>
        <v>CF379-D12-F</v>
      </c>
      <c r="B3910" s="15" t="s">
        <v>4475</v>
      </c>
      <c r="C3910" s="24">
        <v>6.1</v>
      </c>
      <c r="D3910" s="18"/>
      <c r="E3910" s="17" t="s">
        <v>4454</v>
      </c>
      <c r="F3910" s="17" t="s">
        <v>139</v>
      </c>
      <c r="G3910" s="18"/>
      <c r="H3910" s="18"/>
    </row>
    <row r="3911" spans="1:8" ht="13.2">
      <c r="A3911" s="19" t="str">
        <f>HYPERLINK("http://codeforces.com/contest/1045/problem/C","CF1045-D1-C")</f>
        <v>CF1045-D1-C</v>
      </c>
      <c r="B3911" s="15" t="s">
        <v>4476</v>
      </c>
      <c r="C3911" s="17">
        <v>6</v>
      </c>
      <c r="D3911" s="26" t="str">
        <f>HYPERLINK("https://github.com/Szawinis/CompetitiveProgramming/blob/master/CodeForces/CF1045-D1-C.cpp","Siol - must read")</f>
        <v>Siol - must read</v>
      </c>
      <c r="E3911" s="17" t="s">
        <v>4454</v>
      </c>
      <c r="F3911" s="17" t="s">
        <v>139</v>
      </c>
      <c r="G3911" s="18"/>
      <c r="H3911" s="18"/>
    </row>
    <row r="3912" spans="1:8" ht="13.2">
      <c r="A3912" s="19" t="str">
        <f>HYPERLINK("http://codeforces.com/contest/231/problem/E","CF231-D2-E")</f>
        <v>CF231-D2-E</v>
      </c>
      <c r="B3912" s="43" t="s">
        <v>4477</v>
      </c>
      <c r="C3912" s="24">
        <v>6</v>
      </c>
      <c r="D3912" s="18"/>
      <c r="E3912" s="17" t="s">
        <v>4454</v>
      </c>
      <c r="F3912" s="17" t="s">
        <v>139</v>
      </c>
      <c r="G3912" s="18"/>
      <c r="H3912" s="18"/>
    </row>
    <row r="3913" spans="1:8" ht="13.2">
      <c r="A3913" s="19" t="str">
        <f>HYPERLINK("http://codeforces.com/problemset/problem/838/B","CF838-D12-B")</f>
        <v>CF838-D12-B</v>
      </c>
      <c r="B3913" s="15" t="s">
        <v>4478</v>
      </c>
      <c r="C3913" s="17">
        <v>6</v>
      </c>
      <c r="D3913" s="26" t="str">
        <f>HYPERLINK("https://codeforces.com/contest/838/submission/46930329","Sol")</f>
        <v>Sol</v>
      </c>
      <c r="E3913" s="17" t="s">
        <v>4454</v>
      </c>
      <c r="F3913" s="17" t="s">
        <v>139</v>
      </c>
      <c r="G3913" s="18"/>
      <c r="H3913" s="18"/>
    </row>
    <row r="3914" spans="1:8" ht="13.2">
      <c r="A3914" s="19" t="str">
        <f>HYPERLINK("http://codeforces.com/gym/100091/problem/D","CF100091-GYM-D")</f>
        <v>CF100091-GYM-D</v>
      </c>
      <c r="B3914" s="20" t="s">
        <v>4479</v>
      </c>
      <c r="C3914" s="17">
        <v>6</v>
      </c>
      <c r="D3914" s="26" t="str">
        <f>HYPERLINK("https://github.com/SpeedOfMagic/CompetitiveProgramming/blob/master/CodeforcesGym/CF100091-GYM-D.cpp","Sol")</f>
        <v>Sol</v>
      </c>
      <c r="E3914" s="17" t="s">
        <v>4454</v>
      </c>
      <c r="F3914" s="17"/>
      <c r="G3914" s="18"/>
      <c r="H3914" s="18"/>
    </row>
    <row r="3915" spans="1:8" ht="13.2">
      <c r="A3915" s="19" t="str">
        <f>HYPERLINK("http://codeforces.com/contest/121/problem/C","CF121-D1-C")</f>
        <v>CF121-D1-C</v>
      </c>
      <c r="B3915" s="15" t="s">
        <v>4480</v>
      </c>
      <c r="C3915" s="17">
        <v>6</v>
      </c>
      <c r="D3915" s="18"/>
      <c r="E3915" s="17" t="s">
        <v>4454</v>
      </c>
      <c r="F3915" s="17"/>
      <c r="G3915" s="18"/>
      <c r="H3915" s="18"/>
    </row>
    <row r="3916" spans="1:8" ht="13.2">
      <c r="A3916" s="15" t="s">
        <v>4481</v>
      </c>
      <c r="B3916" s="43" t="s">
        <v>4482</v>
      </c>
      <c r="C3916" s="24">
        <v>5.75</v>
      </c>
      <c r="D3916" s="26" t="str">
        <f>HYPERLINK("https://github.com/BRAINOOOO/CompetitiveProgramming/blob/master/TIMUS/TIMUS%201752","Sol")</f>
        <v>Sol</v>
      </c>
      <c r="E3916" s="17" t="s">
        <v>4454</v>
      </c>
      <c r="F3916" s="17" t="s">
        <v>139</v>
      </c>
      <c r="G3916" s="18"/>
      <c r="H3916" s="18"/>
    </row>
    <row r="3917" spans="1:8" ht="13.2">
      <c r="A3917" s="19" t="str">
        <f>HYPERLINK("http://codeforces.com/contest/609/problem/E","CF609-D12-E")</f>
        <v>CF609-D12-E</v>
      </c>
      <c r="B3917" s="43" t="s">
        <v>4483</v>
      </c>
      <c r="C3917" s="17">
        <v>5.75</v>
      </c>
      <c r="D3917" s="18"/>
      <c r="E3917" s="17" t="s">
        <v>4454</v>
      </c>
      <c r="F3917" s="17"/>
      <c r="G3917" s="18"/>
      <c r="H3917" s="18"/>
    </row>
    <row r="3918" spans="1:8" ht="13.2">
      <c r="A3918" s="19" t="str">
        <f>HYPERLINK("https://codeforces.com/gym/102215/problem/D","CF102215-GYM-D")</f>
        <v>CF102215-GYM-D</v>
      </c>
      <c r="B3918" s="20" t="s">
        <v>4484</v>
      </c>
      <c r="C3918" s="17">
        <v>5.5</v>
      </c>
      <c r="D3918" s="18"/>
      <c r="E3918" s="17" t="s">
        <v>4454</v>
      </c>
      <c r="F3918" s="17" t="s">
        <v>139</v>
      </c>
      <c r="G3918" s="18"/>
      <c r="H3918" s="18"/>
    </row>
    <row r="3919" spans="1:8" ht="13.2">
      <c r="A3919" s="19" t="str">
        <f>HYPERLINK("https://codeforces.com/contest/191/problem/C","CF191-D1-D")</f>
        <v>CF191-D1-D</v>
      </c>
      <c r="B3919" s="15" t="s">
        <v>4484</v>
      </c>
      <c r="C3919" s="17">
        <v>5.5</v>
      </c>
      <c r="D3919" s="18"/>
      <c r="E3919" s="17" t="s">
        <v>4454</v>
      </c>
      <c r="F3919" s="17" t="s">
        <v>139</v>
      </c>
      <c r="G3919" s="18"/>
      <c r="H3919" s="18"/>
    </row>
    <row r="3920" spans="1:8" ht="13.2">
      <c r="A3920" s="19" t="str">
        <f>HYPERLINK("http://codeforces.com/gym/101808/problem/K","CF101808-gym-K")</f>
        <v>CF101808-gym-K</v>
      </c>
      <c r="B3920" s="15" t="s">
        <v>4485</v>
      </c>
      <c r="C3920" s="17">
        <v>5.5</v>
      </c>
      <c r="D3920" s="26" t="str">
        <f>HYPERLINK("https://ideone.com/P9tqg9","Sol")</f>
        <v>Sol</v>
      </c>
      <c r="E3920" s="17" t="s">
        <v>4454</v>
      </c>
      <c r="F3920" s="17" t="s">
        <v>139</v>
      </c>
      <c r="G3920" s="18"/>
      <c r="H3920" s="18"/>
    </row>
    <row r="3921" spans="1:8" ht="13.2">
      <c r="A3921" s="19" t="str">
        <f>HYPERLINK("http://codeforces.com/contest/519/problem/E","CF519-D2-E")</f>
        <v>CF519-D2-E</v>
      </c>
      <c r="B3921" s="42" t="s">
        <v>4486</v>
      </c>
      <c r="C3921" s="17">
        <v>5.5</v>
      </c>
      <c r="D3921" s="18"/>
      <c r="E3921" s="17" t="s">
        <v>4454</v>
      </c>
      <c r="F3921" s="17" t="s">
        <v>139</v>
      </c>
      <c r="G3921" s="18"/>
      <c r="H3921" s="18"/>
    </row>
    <row r="3922" spans="1:8" ht="13.2">
      <c r="A3922" s="19" t="str">
        <f>HYPERLINK("https://www.spoj.com/problems/HACKERS/","SPOJ HACKERS")</f>
        <v>SPOJ HACKERS</v>
      </c>
      <c r="B3922" s="30" t="s">
        <v>4487</v>
      </c>
      <c r="C3922" s="24">
        <v>5.5</v>
      </c>
      <c r="D3922" s="26" t="str">
        <f>HYPERLINK("https://github.com/ajfabian/Competitive-Programming/blob/master/SPOJ/HACKERS/a.cpp","Sol")</f>
        <v>Sol</v>
      </c>
      <c r="E3922" s="17" t="s">
        <v>4454</v>
      </c>
      <c r="F3922" s="17" t="s">
        <v>139</v>
      </c>
      <c r="G3922" s="18"/>
      <c r="H3922" s="18"/>
    </row>
    <row r="3923" spans="1:8" ht="13.2">
      <c r="A3923" s="19" t="str">
        <f>HYPERLINK("http://www.codechef.com/problems/RRTREE","CODECHEF RRTREE")</f>
        <v>CODECHEF RRTREE</v>
      </c>
      <c r="B3923" s="42" t="s">
        <v>4488</v>
      </c>
      <c r="C3923" s="31">
        <v>5.5</v>
      </c>
      <c r="D3923" s="18"/>
      <c r="E3923" s="17" t="s">
        <v>4454</v>
      </c>
      <c r="F3923" s="17" t="s">
        <v>242</v>
      </c>
      <c r="G3923" s="18"/>
      <c r="H3923" s="18"/>
    </row>
    <row r="3924" spans="1:8" ht="13.2">
      <c r="A3924" s="15" t="s">
        <v>4489</v>
      </c>
      <c r="B3924" s="43" t="s">
        <v>4490</v>
      </c>
      <c r="C3924" s="24">
        <v>5.5</v>
      </c>
      <c r="D3924" s="26" t="str">
        <f>HYPERLINK("https://github.com/SpeedOfMagic/CompetitiveProgramming/blob/master/SPOJ/DISQUERY.cpp","Sol")</f>
        <v>Sol</v>
      </c>
      <c r="E3924" s="17" t="s">
        <v>4454</v>
      </c>
      <c r="F3924" s="17"/>
      <c r="G3924" s="18"/>
      <c r="H3924" s="18"/>
    </row>
    <row r="3925" spans="1:8" ht="13.2">
      <c r="A3925" s="19" t="str">
        <f>HYPERLINK("https://open.kattis.com/problems/tourists","KATTIS tourists")</f>
        <v>KATTIS tourists</v>
      </c>
      <c r="B3925" s="20" t="s">
        <v>4491</v>
      </c>
      <c r="C3925" s="17">
        <v>5.5</v>
      </c>
      <c r="D3925" s="26" t="str">
        <f>HYPERLINK("https://github.com/AymanSalah96/CompetitiveProgramming/blob/master/KATTIS/tourists.cpp","Sol")</f>
        <v>Sol</v>
      </c>
      <c r="E3925" s="17" t="s">
        <v>4454</v>
      </c>
      <c r="F3925" s="17"/>
      <c r="G3925" s="18"/>
      <c r="H3925" s="18"/>
    </row>
    <row r="3926" spans="1:8" ht="13.2">
      <c r="A3926" s="19" t="str">
        <f>HYPERLINK("http://codeforces.com/contest/33/problem/D","CF33-D12-D")</f>
        <v>CF33-D12-D</v>
      </c>
      <c r="B3926" s="15" t="s">
        <v>4492</v>
      </c>
      <c r="C3926" s="17">
        <v>5</v>
      </c>
      <c r="D3926" s="26" t="str">
        <f>HYPERLINK("http://codeforces.com/contest/33/submission/142981","See")</f>
        <v>See</v>
      </c>
      <c r="E3926" s="17" t="s">
        <v>4454</v>
      </c>
      <c r="F3926" s="17" t="s">
        <v>154</v>
      </c>
      <c r="G3926" s="18"/>
      <c r="H3926" s="18"/>
    </row>
    <row r="3927" spans="1:8" ht="13.2">
      <c r="A3927" s="15" t="s">
        <v>4493</v>
      </c>
      <c r="B3927" s="15" t="s">
        <v>4484</v>
      </c>
      <c r="C3927" s="17">
        <v>5</v>
      </c>
      <c r="D3927" s="26" t="str">
        <f>HYPERLINK("https://github.com/mostafa-saad/MyCompetitiveProgramming/blob/master/SPOJ/SPOJ_DRTREE.txt","Sol")</f>
        <v>Sol</v>
      </c>
      <c r="E3927" s="17" t="s">
        <v>4454</v>
      </c>
      <c r="F3927" s="17" t="s">
        <v>139</v>
      </c>
      <c r="G3927" s="18"/>
      <c r="H3927" s="18"/>
    </row>
    <row r="3928" spans="1:8" ht="13.2">
      <c r="A3928" s="19" t="str">
        <f>HYPERLINK("http://codeforces.com/contest/192/problem/E","CF192-D2-E")</f>
        <v>CF192-D2-E</v>
      </c>
      <c r="B3928" s="43" t="s">
        <v>4494</v>
      </c>
      <c r="C3928" s="33">
        <v>5</v>
      </c>
      <c r="D3928" s="26" t="str">
        <f>HYPERLINK("https://github.com/mostafa-saad/MyCompetitiveProgramming/blob/master/Codeforces/CF192-D2-E.txt","Sol")</f>
        <v>Sol</v>
      </c>
      <c r="E3928" s="17" t="s">
        <v>4454</v>
      </c>
      <c r="F3928" s="17" t="s">
        <v>139</v>
      </c>
      <c r="G3928" s="18"/>
      <c r="H3928" s="18"/>
    </row>
    <row r="3929" spans="1:8" ht="13.2">
      <c r="A3929" s="19" t="str">
        <f>HYPERLINK("https://www.hackerearth.com/problem/algorithm/meetup-point-61916d93/","HACKER roads-in-a-city")</f>
        <v>HACKER roads-in-a-city</v>
      </c>
      <c r="B3929" s="15" t="s">
        <v>4495</v>
      </c>
      <c r="C3929" s="17">
        <v>5</v>
      </c>
      <c r="D3929" s="18"/>
      <c r="E3929" s="17" t="s">
        <v>4454</v>
      </c>
      <c r="F3929" s="17" t="s">
        <v>139</v>
      </c>
      <c r="G3929" s="18"/>
      <c r="H3929" s="18"/>
    </row>
    <row r="3930" spans="1:8" ht="13.2">
      <c r="A3930" s="19" t="str">
        <f>HYPERLINK("http://codeforces.com/contest/832/problem/D","CF832-D2-D")</f>
        <v>CF832-D2-D</v>
      </c>
      <c r="B3930" s="43" t="s">
        <v>4496</v>
      </c>
      <c r="C3930" s="24">
        <v>5</v>
      </c>
      <c r="D3930" s="18"/>
      <c r="E3930" s="17" t="s">
        <v>4454</v>
      </c>
      <c r="F3930" s="17" t="s">
        <v>139</v>
      </c>
      <c r="G3930" s="18"/>
      <c r="H3930" s="18"/>
    </row>
    <row r="3931" spans="1:8" ht="13.2">
      <c r="A3931" s="19" t="str">
        <f>HYPERLINK("https://codeforces.com/group/viIfsUpAco/contest/102191/problem/I","CF102191-GYM-I")</f>
        <v>CF102191-GYM-I</v>
      </c>
      <c r="B3931" s="15" t="s">
        <v>4497</v>
      </c>
      <c r="C3931" s="17">
        <v>5</v>
      </c>
      <c r="D3931" s="26" t="str">
        <f>HYPERLINK("https://ideone.com/TXPngv","Sol")</f>
        <v>Sol</v>
      </c>
      <c r="E3931" s="17" t="s">
        <v>4454</v>
      </c>
      <c r="F3931" s="17" t="s">
        <v>201</v>
      </c>
      <c r="G3931" s="18"/>
      <c r="H3931" s="18"/>
    </row>
    <row r="3932" spans="1:8" ht="13.2">
      <c r="A3932" s="15" t="s">
        <v>4498</v>
      </c>
      <c r="B3932" s="43" t="s">
        <v>4499</v>
      </c>
      <c r="C3932" s="40">
        <v>4</v>
      </c>
      <c r="D3932" s="26" t="str">
        <f>HYPERLINK("https://github.com/ahmedsamir221/CompetitiveProgramming/blob/master/SPOJ/SPOJ%20QTREE2.cpp","Sol")</f>
        <v>Sol</v>
      </c>
      <c r="E3932" s="17" t="s">
        <v>4454</v>
      </c>
      <c r="F3932" s="17"/>
      <c r="G3932" s="18"/>
      <c r="H3932" s="18"/>
    </row>
    <row r="3933" spans="1:8" ht="13.2">
      <c r="A3933" s="15" t="s">
        <v>4500</v>
      </c>
      <c r="B3933" s="43" t="s">
        <v>4501</v>
      </c>
      <c r="C3933" s="24">
        <v>3</v>
      </c>
      <c r="D3933" s="18"/>
      <c r="E3933" s="17" t="s">
        <v>4454</v>
      </c>
      <c r="F3933" s="17"/>
      <c r="G3933" s="18"/>
      <c r="H3933" s="18"/>
    </row>
    <row r="3934" spans="1:8" ht="13.2">
      <c r="A3934" s="15" t="s">
        <v>4502</v>
      </c>
      <c r="B3934" s="30" t="s">
        <v>4503</v>
      </c>
      <c r="C3934" s="17">
        <v>8</v>
      </c>
      <c r="D3934" s="18"/>
      <c r="E3934" s="17" t="s">
        <v>4504</v>
      </c>
      <c r="F3934" s="17"/>
      <c r="G3934" s="18"/>
      <c r="H3934" s="18"/>
    </row>
    <row r="3935" spans="1:8" ht="13.2">
      <c r="A3935" s="15" t="s">
        <v>4505</v>
      </c>
      <c r="B3935" s="29" t="s">
        <v>4503</v>
      </c>
      <c r="C3935" s="24">
        <v>6.5</v>
      </c>
      <c r="D3935" s="18"/>
      <c r="E3935" s="17" t="s">
        <v>4504</v>
      </c>
      <c r="F3935" s="17"/>
      <c r="G3935" s="18"/>
      <c r="H3935" s="18"/>
    </row>
    <row r="3936" spans="1:8" ht="13.2">
      <c r="A3936" s="15" t="s">
        <v>4506</v>
      </c>
      <c r="B3936" s="28" t="s">
        <v>4503</v>
      </c>
      <c r="C3936" s="54">
        <v>5.5</v>
      </c>
      <c r="D3936" s="18"/>
      <c r="E3936" s="17" t="s">
        <v>4504</v>
      </c>
      <c r="F3936" s="17"/>
      <c r="G3936" s="18"/>
      <c r="H3936" s="18"/>
    </row>
    <row r="3937" spans="1:8" ht="13.2">
      <c r="A3937" s="15" t="s">
        <v>4507</v>
      </c>
      <c r="B3937" s="28" t="s">
        <v>4508</v>
      </c>
      <c r="C3937" s="24">
        <v>5</v>
      </c>
      <c r="D3937" s="18"/>
      <c r="E3937" s="17" t="s">
        <v>4504</v>
      </c>
      <c r="F3937" s="17"/>
      <c r="G3937" s="18"/>
      <c r="H3937" s="18"/>
    </row>
    <row r="3938" spans="1:8" ht="13.2">
      <c r="A3938" s="15" t="s">
        <v>4509</v>
      </c>
      <c r="B3938" s="28" t="s">
        <v>4503</v>
      </c>
      <c r="C3938" s="24">
        <v>4</v>
      </c>
      <c r="D3938" s="18"/>
      <c r="E3938" s="17" t="s">
        <v>4504</v>
      </c>
      <c r="F3938" s="17"/>
      <c r="G3938" s="18"/>
      <c r="H3938" s="18"/>
    </row>
    <row r="3939" spans="1:8" ht="13.2">
      <c r="A3939" s="15" t="s">
        <v>4510</v>
      </c>
      <c r="B3939" s="28" t="s">
        <v>4511</v>
      </c>
      <c r="C3939" s="24">
        <v>8.5</v>
      </c>
      <c r="D3939" s="18"/>
      <c r="E3939" s="17" t="s">
        <v>4512</v>
      </c>
      <c r="F3939" s="17"/>
      <c r="G3939" s="18"/>
      <c r="H3939" s="18"/>
    </row>
    <row r="3940" spans="1:8" ht="13.2">
      <c r="A3940" s="15" t="s">
        <v>4513</v>
      </c>
      <c r="B3940" s="43" t="s">
        <v>4514</v>
      </c>
      <c r="C3940" s="24">
        <v>8</v>
      </c>
      <c r="D3940" s="18"/>
      <c r="E3940" s="17" t="s">
        <v>4512</v>
      </c>
      <c r="F3940" s="17"/>
      <c r="G3940" s="18"/>
      <c r="H3940" s="18"/>
    </row>
    <row r="3941" spans="1:8" ht="13.2">
      <c r="A3941" s="15" t="s">
        <v>4515</v>
      </c>
      <c r="B3941" s="16" t="s">
        <v>4516</v>
      </c>
      <c r="C3941" s="17">
        <v>7.75</v>
      </c>
      <c r="D3941" s="18"/>
      <c r="E3941" s="17" t="s">
        <v>4512</v>
      </c>
      <c r="F3941" s="17" t="s">
        <v>173</v>
      </c>
      <c r="G3941" s="18"/>
      <c r="H3941" s="18"/>
    </row>
    <row r="3942" spans="1:8" ht="13.2">
      <c r="A3942" s="15" t="s">
        <v>4517</v>
      </c>
      <c r="B3942" s="29" t="s">
        <v>4518</v>
      </c>
      <c r="C3942" s="17">
        <v>7.75</v>
      </c>
      <c r="D3942" s="18"/>
      <c r="E3942" s="17" t="s">
        <v>4512</v>
      </c>
      <c r="F3942" s="17"/>
      <c r="G3942" s="18"/>
      <c r="H3942" s="18"/>
    </row>
    <row r="3943" spans="1:8" ht="13.2">
      <c r="A3943" s="15" t="s">
        <v>4519</v>
      </c>
      <c r="B3943" s="43" t="s">
        <v>4520</v>
      </c>
      <c r="C3943" s="24">
        <v>7.5</v>
      </c>
      <c r="D3943" s="18"/>
      <c r="E3943" s="17" t="s">
        <v>4512</v>
      </c>
      <c r="F3943" s="17" t="s">
        <v>139</v>
      </c>
      <c r="G3943" s="18"/>
      <c r="H3943" s="18"/>
    </row>
    <row r="3944" spans="1:8" ht="13.2">
      <c r="A3944" s="15" t="s">
        <v>4521</v>
      </c>
      <c r="B3944" s="42" t="s">
        <v>4522</v>
      </c>
      <c r="C3944" s="17">
        <v>7</v>
      </c>
      <c r="D3944" s="18"/>
      <c r="E3944" s="17" t="s">
        <v>4512</v>
      </c>
      <c r="F3944" s="17"/>
      <c r="G3944" s="18"/>
      <c r="H3944" s="18"/>
    </row>
    <row r="3945" spans="1:8" ht="13.2">
      <c r="A3945" s="15" t="s">
        <v>4523</v>
      </c>
      <c r="B3945" s="43" t="s">
        <v>4522</v>
      </c>
      <c r="C3945" s="17">
        <v>7</v>
      </c>
      <c r="D3945" s="18"/>
      <c r="E3945" s="17" t="s">
        <v>4512</v>
      </c>
      <c r="F3945" s="17"/>
      <c r="G3945" s="18"/>
      <c r="H3945" s="18"/>
    </row>
    <row r="3946" spans="1:8" ht="13.2">
      <c r="A3946" s="15" t="s">
        <v>4524</v>
      </c>
      <c r="B3946" s="43" t="s">
        <v>4522</v>
      </c>
      <c r="C3946" s="24">
        <v>6.5</v>
      </c>
      <c r="D3946" s="26" t="str">
        <f>HYPERLINK("https://github.com/aboodJAD/CompetitiveProgramming/blob/master/UVA/UVA%20308.cpp","Sol")</f>
        <v>Sol</v>
      </c>
      <c r="E3946" s="17" t="s">
        <v>4512</v>
      </c>
      <c r="F3946" s="17" t="s">
        <v>139</v>
      </c>
      <c r="G3946" s="18"/>
      <c r="H3946" s="18"/>
    </row>
    <row r="3947" spans="1:8" ht="13.2">
      <c r="A3947" s="19" t="str">
        <f>HYPERLINK("http://codeforces.com/contest/243/problem/C","CF243-D1-C")</f>
        <v>CF243-D1-C</v>
      </c>
      <c r="B3947" s="42" t="s">
        <v>4525</v>
      </c>
      <c r="C3947" s="17">
        <v>6.5</v>
      </c>
      <c r="D3947" s="18"/>
      <c r="E3947" s="17" t="s">
        <v>4512</v>
      </c>
      <c r="F3947" s="17" t="s">
        <v>201</v>
      </c>
      <c r="G3947" s="18"/>
      <c r="H3947" s="18"/>
    </row>
    <row r="3948" spans="1:8" ht="13.2">
      <c r="A3948" s="15" t="s">
        <v>4526</v>
      </c>
      <c r="B3948" s="43" t="s">
        <v>4527</v>
      </c>
      <c r="C3948" s="24">
        <v>6</v>
      </c>
      <c r="D3948" s="26" t="str">
        <f>HYPERLINK("https://github.com/mostafa-saad/MyCompetitiveProgramming/blob/master/UVA/UVA_870.txt","Find grid-compress based idea")</f>
        <v>Find grid-compress based idea</v>
      </c>
      <c r="E3948" s="17" t="s">
        <v>4512</v>
      </c>
      <c r="F3948" s="17" t="s">
        <v>139</v>
      </c>
      <c r="G3948" s="18"/>
      <c r="H3948" s="18"/>
    </row>
    <row r="3949" spans="1:8" ht="13.2">
      <c r="A3949" s="19" t="str">
        <f>HYPERLINK("http://codeforces.com/contest/863/problem/E","CF863-D12-E")</f>
        <v>CF863-D12-E</v>
      </c>
      <c r="B3949" s="15" t="s">
        <v>4528</v>
      </c>
      <c r="C3949" s="17">
        <v>6</v>
      </c>
      <c r="D3949" s="18"/>
      <c r="E3949" s="17" t="s">
        <v>4512</v>
      </c>
      <c r="F3949" s="17" t="s">
        <v>201</v>
      </c>
      <c r="G3949" s="18"/>
      <c r="H3949" s="18"/>
    </row>
    <row r="3950" spans="1:8" ht="13.2">
      <c r="A3950" s="15" t="s">
        <v>4529</v>
      </c>
      <c r="B3950" s="20" t="s">
        <v>4530</v>
      </c>
      <c r="C3950" s="21">
        <v>9</v>
      </c>
      <c r="D3950" s="18"/>
      <c r="E3950" s="17" t="s">
        <v>4531</v>
      </c>
      <c r="F3950" s="17"/>
      <c r="G3950" s="18"/>
      <c r="H3950" s="18"/>
    </row>
    <row r="3951" spans="1:8" ht="13.2">
      <c r="A3951" s="15" t="s">
        <v>4532</v>
      </c>
      <c r="B3951" s="39" t="s">
        <v>4530</v>
      </c>
      <c r="C3951" s="40">
        <v>9</v>
      </c>
      <c r="D3951" s="18"/>
      <c r="E3951" s="17" t="s">
        <v>4531</v>
      </c>
      <c r="F3951" s="17"/>
      <c r="G3951" s="18"/>
      <c r="H3951" s="18"/>
    </row>
    <row r="3952" spans="1:8" ht="13.2">
      <c r="A3952" s="15" t="s">
        <v>4533</v>
      </c>
      <c r="B3952" s="16" t="s">
        <v>4534</v>
      </c>
      <c r="C3952" s="17">
        <v>9</v>
      </c>
      <c r="D3952" s="18"/>
      <c r="E3952" s="17" t="s">
        <v>4531</v>
      </c>
      <c r="F3952" s="17"/>
      <c r="G3952" s="18"/>
      <c r="H3952" s="18"/>
    </row>
    <row r="3953" spans="1:8" ht="13.2">
      <c r="A3953" s="19" t="str">
        <f>HYPERLINK("https://agc003.contest.atcoder.jp/tasks/agc003_f","AtCoder003-AGC-F")</f>
        <v>AtCoder003-AGC-F</v>
      </c>
      <c r="B3953" s="15" t="s">
        <v>4535</v>
      </c>
      <c r="C3953" s="17">
        <v>8.5</v>
      </c>
      <c r="D3953" s="18"/>
      <c r="E3953" s="17" t="s">
        <v>4531</v>
      </c>
      <c r="F3953" s="17"/>
      <c r="G3953" s="18"/>
      <c r="H3953" s="18"/>
    </row>
    <row r="3954" spans="1:8" ht="13.2">
      <c r="A3954" s="19" t="str">
        <f>HYPERLINK("https://agc005.contest.atcoder.jp/tasks/agc005_f","AtCoder005-AGC-F")</f>
        <v>AtCoder005-AGC-F</v>
      </c>
      <c r="B3954" s="15" t="s">
        <v>4536</v>
      </c>
      <c r="C3954" s="17">
        <v>8.5</v>
      </c>
      <c r="D3954" s="18"/>
      <c r="E3954" s="17" t="s">
        <v>4531</v>
      </c>
      <c r="F3954" s="17"/>
      <c r="G3954" s="18"/>
      <c r="H3954" s="18"/>
    </row>
    <row r="3955" spans="1:8" ht="13.2">
      <c r="A3955" s="15" t="s">
        <v>4537</v>
      </c>
      <c r="B3955" s="34" t="s">
        <v>4538</v>
      </c>
      <c r="C3955" s="31">
        <v>8.5</v>
      </c>
      <c r="D3955" s="18"/>
      <c r="E3955" s="17" t="s">
        <v>4531</v>
      </c>
      <c r="F3955" s="17"/>
      <c r="G3955" s="18"/>
      <c r="H3955" s="18"/>
    </row>
    <row r="3956" spans="1:8" ht="13.2">
      <c r="A3956" s="19" t="str">
        <f>HYPERLINK("http://codeforces.com/contest/548/problem/C","CF548-D2-C")</f>
        <v>CF548-D2-C</v>
      </c>
      <c r="B3956" s="29" t="s">
        <v>4530</v>
      </c>
      <c r="C3956" s="17">
        <v>8</v>
      </c>
      <c r="D3956" s="18"/>
      <c r="E3956" s="17" t="s">
        <v>4531</v>
      </c>
      <c r="F3956" s="17"/>
      <c r="G3956" s="18"/>
      <c r="H3956" s="18"/>
    </row>
    <row r="3957" spans="1:8" ht="13.2">
      <c r="A3957" s="19" t="str">
        <f>HYPERLINK("http://codeforces.com/contest/360/problem/D","CF360-D1-D")</f>
        <v>CF360-D1-D</v>
      </c>
      <c r="B3957" s="15" t="s">
        <v>4539</v>
      </c>
      <c r="C3957" s="24">
        <v>8</v>
      </c>
      <c r="D3957" s="18"/>
      <c r="E3957" s="17" t="s">
        <v>4531</v>
      </c>
      <c r="F3957" s="17"/>
      <c r="G3957" s="18"/>
      <c r="H3957" s="18"/>
    </row>
    <row r="3958" spans="1:8" ht="13.2">
      <c r="A3958" s="15" t="s">
        <v>4540</v>
      </c>
      <c r="B3958" s="34" t="s">
        <v>4541</v>
      </c>
      <c r="C3958" s="31">
        <v>8</v>
      </c>
      <c r="D3958" s="18"/>
      <c r="E3958" s="17" t="s">
        <v>4531</v>
      </c>
      <c r="F3958" s="17"/>
      <c r="G3958" s="18"/>
      <c r="H3958" s="18"/>
    </row>
    <row r="3959" spans="1:8" ht="13.2">
      <c r="A3959" s="19" t="str">
        <f>HYPERLINK("http://codeforces.com/contest/73/problem/E","CF73-D12-E")</f>
        <v>CF73-D12-E</v>
      </c>
      <c r="B3959" s="29" t="s">
        <v>4530</v>
      </c>
      <c r="C3959" s="17">
        <v>7.75</v>
      </c>
      <c r="D3959" s="18"/>
      <c r="E3959" s="17" t="s">
        <v>4531</v>
      </c>
      <c r="F3959" s="17"/>
      <c r="G3959" s="18"/>
      <c r="H3959" s="18"/>
    </row>
    <row r="3960" spans="1:8" ht="13.2">
      <c r="A3960" s="19" t="str">
        <f>HYPERLINK("https://agc011.contest.atcoder.jp/tasks/agc011_e","AtCoder011-AGC-E")</f>
        <v>AtCoder011-AGC-E</v>
      </c>
      <c r="B3960" s="15" t="s">
        <v>4542</v>
      </c>
      <c r="C3960" s="17">
        <v>7.6</v>
      </c>
      <c r="D3960" s="18"/>
      <c r="E3960" s="17" t="s">
        <v>4531</v>
      </c>
      <c r="F3960" s="17" t="s">
        <v>139</v>
      </c>
      <c r="G3960" s="18"/>
      <c r="H3960" s="18"/>
    </row>
    <row r="3961" spans="1:8" ht="13.2">
      <c r="A3961" s="19" t="str">
        <f>HYPERLINK("https://codeforces.com/contest/1086/problem/F", "CF1086-D1-F")</f>
        <v>CF1086-D1-F</v>
      </c>
      <c r="B3961" s="15" t="s">
        <v>4543</v>
      </c>
      <c r="C3961" s="17">
        <v>7.5</v>
      </c>
      <c r="D3961" s="18"/>
      <c r="E3961" s="17" t="s">
        <v>4531</v>
      </c>
      <c r="F3961" s="17" t="s">
        <v>139</v>
      </c>
      <c r="G3961" s="18"/>
      <c r="H3961" s="18"/>
    </row>
    <row r="3962" spans="1:8" ht="13.2">
      <c r="A3962" s="19" t="str">
        <f>HYPERLINK("http://codeforces.com/problemset/problem/1030/G", "CF1030-D12-G")</f>
        <v>CF1030-D12-G</v>
      </c>
      <c r="B3962" s="20" t="s">
        <v>4544</v>
      </c>
      <c r="C3962" s="21">
        <v>7.5</v>
      </c>
      <c r="D3962" s="18" t="s">
        <v>2160</v>
      </c>
      <c r="E3962" s="17" t="s">
        <v>4531</v>
      </c>
      <c r="F3962" s="17" t="s">
        <v>201</v>
      </c>
      <c r="G3962" s="18"/>
      <c r="H3962" s="18"/>
    </row>
    <row r="3963" spans="1:8" ht="13.2">
      <c r="A3963" s="15" t="s">
        <v>4545</v>
      </c>
      <c r="B3963" s="39" t="s">
        <v>4530</v>
      </c>
      <c r="C3963" s="40">
        <v>7.5</v>
      </c>
      <c r="D3963" s="18"/>
      <c r="E3963" s="17" t="s">
        <v>4531</v>
      </c>
      <c r="F3963" s="17"/>
      <c r="G3963" s="18"/>
      <c r="H3963" s="18"/>
    </row>
    <row r="3964" spans="1:8" ht="13.2">
      <c r="A3964" s="15" t="s">
        <v>4546</v>
      </c>
      <c r="B3964" s="30" t="s">
        <v>4547</v>
      </c>
      <c r="C3964" s="24">
        <v>7.5</v>
      </c>
      <c r="D3964" s="26" t="str">
        <f>HYPERLINK("https://github.com/sggutier/CompetitiveProgramming/blob/master/UVa/1451.cpp","Sol")</f>
        <v>Sol</v>
      </c>
      <c r="E3964" s="17" t="s">
        <v>4531</v>
      </c>
      <c r="F3964" s="17"/>
      <c r="G3964" s="18"/>
      <c r="H3964" s="18"/>
    </row>
    <row r="3965" spans="1:8" ht="13.2">
      <c r="A3965" s="19" t="str">
        <f>HYPERLINK("https://ipsc.ksp.sk/2003/practice/problems/t.html","IPSCPrac03 -T")</f>
        <v>IPSCPrac03 -T</v>
      </c>
      <c r="B3965" s="29" t="s">
        <v>4548</v>
      </c>
      <c r="C3965" s="24">
        <v>7.5</v>
      </c>
      <c r="D3965" s="18"/>
      <c r="E3965" s="17" t="s">
        <v>4531</v>
      </c>
      <c r="F3965" s="17"/>
      <c r="G3965" s="18"/>
      <c r="H3965" s="18"/>
    </row>
    <row r="3966" spans="1:8" ht="13.2">
      <c r="A3966" s="19" t="str">
        <f>HYPERLINK("https://www.hackerrank.com/challenges/randomness","HACKR randomness")</f>
        <v>HACKR randomness</v>
      </c>
      <c r="B3966" s="38" t="s">
        <v>4549</v>
      </c>
      <c r="C3966" s="17">
        <v>7.5</v>
      </c>
      <c r="D3966" s="18"/>
      <c r="E3966" s="17" t="s">
        <v>4531</v>
      </c>
      <c r="F3966" s="17"/>
      <c r="G3966" s="18"/>
      <c r="H3966" s="18"/>
    </row>
    <row r="3967" spans="1:8" ht="13.2">
      <c r="A3967" s="15" t="s">
        <v>4550</v>
      </c>
      <c r="B3967" s="39" t="s">
        <v>4551</v>
      </c>
      <c r="C3967" s="40">
        <v>7.5</v>
      </c>
      <c r="D3967" s="18"/>
      <c r="E3967" s="17" t="s">
        <v>4531</v>
      </c>
      <c r="F3967" s="17"/>
      <c r="G3967" s="18"/>
      <c r="H3967" s="18"/>
    </row>
    <row r="3968" spans="1:8" ht="13.2">
      <c r="A3968" s="15" t="s">
        <v>4552</v>
      </c>
      <c r="B3968" s="30" t="s">
        <v>4553</v>
      </c>
      <c r="C3968" s="24">
        <v>7.5</v>
      </c>
      <c r="D3968" s="18"/>
      <c r="E3968" s="17" t="s">
        <v>4531</v>
      </c>
      <c r="F3968" s="17"/>
      <c r="G3968" s="18"/>
      <c r="H3968" s="18"/>
    </row>
    <row r="3969" spans="1:8" ht="13.2">
      <c r="A3969" s="19" t="str">
        <f>HYPERLINK("https://codeforces.com/contest/1137/problem/D","CF1137-D1-D")</f>
        <v>CF1137-D1-D</v>
      </c>
      <c r="B3969" s="15" t="s">
        <v>4554</v>
      </c>
      <c r="C3969" s="17">
        <v>7.25</v>
      </c>
      <c r="D3969" s="18"/>
      <c r="E3969" s="17" t="s">
        <v>4531</v>
      </c>
      <c r="F3969" s="17" t="s">
        <v>201</v>
      </c>
      <c r="G3969" s="18"/>
      <c r="H3969" s="18"/>
    </row>
    <row r="3970" spans="1:8" ht="13.2">
      <c r="A3970" s="15" t="s">
        <v>4555</v>
      </c>
      <c r="B3970" s="15" t="s">
        <v>4556</v>
      </c>
      <c r="C3970" s="17">
        <v>7.25</v>
      </c>
      <c r="D3970" s="18"/>
      <c r="E3970" s="17" t="s">
        <v>4531</v>
      </c>
      <c r="F3970" s="17" t="s">
        <v>201</v>
      </c>
      <c r="G3970" s="18"/>
      <c r="H3970" s="18"/>
    </row>
    <row r="3971" spans="1:8" ht="13.2">
      <c r="A3971" s="15" t="s">
        <v>4557</v>
      </c>
      <c r="B3971" s="30" t="s">
        <v>4558</v>
      </c>
      <c r="C3971" s="24">
        <v>7.25</v>
      </c>
      <c r="D3971" s="18"/>
      <c r="E3971" s="17" t="s">
        <v>4531</v>
      </c>
      <c r="F3971" s="17"/>
      <c r="G3971" s="18"/>
      <c r="H3971" s="18"/>
    </row>
    <row r="3972" spans="1:8" ht="13.2">
      <c r="A3972" s="19" t="str">
        <f>HYPERLINK("https://www.codechef.com/problems/BMASTER","CODECHEF BMASTER")</f>
        <v>CODECHEF BMASTER</v>
      </c>
      <c r="B3972" s="18" t="s">
        <v>4559</v>
      </c>
      <c r="C3972" s="17">
        <v>7.25</v>
      </c>
      <c r="D3972" s="18"/>
      <c r="E3972" s="17" t="s">
        <v>4531</v>
      </c>
      <c r="F3972" s="17"/>
      <c r="G3972" s="18"/>
      <c r="H3972" s="18"/>
    </row>
    <row r="3973" spans="1:8" ht="13.2">
      <c r="A3973" s="19" t="str">
        <f>HYPERLINK("http://codeforces.com/problemset/problem/1063/D", "CF1064-D2-F")</f>
        <v>CF1064-D2-F</v>
      </c>
      <c r="B3973" s="15" t="s">
        <v>4560</v>
      </c>
      <c r="C3973" s="17">
        <v>7.1</v>
      </c>
      <c r="D3973" s="18"/>
      <c r="E3973" s="17" t="s">
        <v>4531</v>
      </c>
      <c r="F3973" s="17" t="s">
        <v>154</v>
      </c>
      <c r="G3973" s="18"/>
      <c r="H3973" s="18"/>
    </row>
    <row r="3974" spans="1:8" ht="13.2">
      <c r="A3974" s="19" t="str">
        <f>HYPERLINK("https://codeforces.com/contest/1100/problem/F","CF1100-D2-F")</f>
        <v>CF1100-D2-F</v>
      </c>
      <c r="B3974" s="15" t="s">
        <v>4561</v>
      </c>
      <c r="C3974" s="17">
        <v>7</v>
      </c>
      <c r="D3974" s="18"/>
      <c r="E3974" s="17" t="s">
        <v>4531</v>
      </c>
      <c r="F3974" s="17" t="s">
        <v>139</v>
      </c>
      <c r="G3974" s="18"/>
      <c r="H3974" s="18"/>
    </row>
    <row r="3975" spans="1:8" ht="13.2">
      <c r="A3975" s="19" t="str">
        <f>HYPERLINK("https://codeforces.com/contest/518/problem/E","CF518-D2-E")</f>
        <v>CF518-D2-E</v>
      </c>
      <c r="B3975" s="20" t="s">
        <v>4562</v>
      </c>
      <c r="C3975" s="21">
        <v>7</v>
      </c>
      <c r="D3975" s="18"/>
      <c r="E3975" s="17" t="s">
        <v>4531</v>
      </c>
      <c r="F3975" s="17" t="s">
        <v>139</v>
      </c>
      <c r="G3975" s="18"/>
      <c r="H3975" s="18"/>
    </row>
    <row r="3976" spans="1:8" ht="13.2">
      <c r="A3976" s="19" t="str">
        <f>HYPERLINK("https://uva.onlinejudge.org/index.php?option=com_onlinejudge&amp;Itemid=8&amp;page=show_problem&amp;problem=3838","UVA 12407")</f>
        <v>UVA 12407</v>
      </c>
      <c r="B3976" s="15" t="s">
        <v>4563</v>
      </c>
      <c r="C3976" s="21">
        <v>7</v>
      </c>
      <c r="D3976" s="26" t="str">
        <f>HYPERLINK("https://github.com/miguelAlessandro/CompetitiveProgramming/blob/master/UVA/12407.cpp","sOL")</f>
        <v>sOL</v>
      </c>
      <c r="E3976" s="17" t="s">
        <v>4531</v>
      </c>
      <c r="F3976" s="17" t="s">
        <v>139</v>
      </c>
      <c r="G3976" s="18"/>
      <c r="H3976" s="18"/>
    </row>
    <row r="3977" spans="1:8" ht="13.2">
      <c r="A3977" s="19" t="str">
        <f>HYPERLINK("https://codeforces.com/contest/758/problem/F","CF758-D2-F")</f>
        <v>CF758-D2-F</v>
      </c>
      <c r="B3977" s="23" t="s">
        <v>4564</v>
      </c>
      <c r="C3977" s="17">
        <v>7</v>
      </c>
      <c r="D3977" s="18"/>
      <c r="E3977" s="17" t="s">
        <v>4531</v>
      </c>
      <c r="F3977" s="17" t="s">
        <v>139</v>
      </c>
      <c r="G3977" s="18"/>
      <c r="H3977" s="18"/>
    </row>
    <row r="3978" spans="1:8" ht="13.2">
      <c r="A3978" s="19" t="str">
        <f>HYPERLINK("http://codeforces.com/contest/488/problem/E","CF488-D2-E")</f>
        <v>CF488-D2-E</v>
      </c>
      <c r="B3978" s="15" t="s">
        <v>4565</v>
      </c>
      <c r="C3978" s="24">
        <v>7</v>
      </c>
      <c r="D3978" s="18"/>
      <c r="E3978" s="17" t="s">
        <v>4531</v>
      </c>
      <c r="F3978" s="17" t="s">
        <v>139</v>
      </c>
      <c r="G3978" s="18"/>
      <c r="H3978" s="18"/>
    </row>
    <row r="3979" spans="1:8" ht="13.2">
      <c r="A3979" s="19" t="str">
        <f>HYPERLINK("http://codeforces.com/contest/641/problem/D", "CF641-D12-D")</f>
        <v>CF641-D12-D</v>
      </c>
      <c r="B3979" s="20" t="s">
        <v>4566</v>
      </c>
      <c r="C3979" s="21">
        <v>7</v>
      </c>
      <c r="D3979" s="18"/>
      <c r="E3979" s="17" t="s">
        <v>4531</v>
      </c>
      <c r="F3979" s="17" t="s">
        <v>139</v>
      </c>
      <c r="G3979" s="18"/>
      <c r="H3979" s="18"/>
    </row>
    <row r="3980" spans="1:8" ht="13.2">
      <c r="A3980" s="19" t="str">
        <f>HYPERLINK("https://codeforces.com/contest/1101/problem/G","CF1101-D12-G")</f>
        <v>CF1101-D12-G</v>
      </c>
      <c r="B3980" s="15" t="s">
        <v>4567</v>
      </c>
      <c r="C3980" s="17">
        <v>7</v>
      </c>
      <c r="D3980" s="18"/>
      <c r="E3980" s="17" t="s">
        <v>4531</v>
      </c>
      <c r="F3980" s="17" t="s">
        <v>139</v>
      </c>
      <c r="G3980" s="18"/>
      <c r="H3980" s="18"/>
    </row>
    <row r="3981" spans="1:8" ht="13.2">
      <c r="A3981" s="15" t="s">
        <v>4568</v>
      </c>
      <c r="B3981" s="29" t="s">
        <v>4569</v>
      </c>
      <c r="C3981" s="31">
        <v>7</v>
      </c>
      <c r="D3981" s="26" t="str">
        <f>HYPERLINK("https://github.com/ryuzmukhametov/CompetitiveProgramming/blob/master/Topcoder/SRM436-D2-1000.cpp", "Sol")</f>
        <v>Sol</v>
      </c>
      <c r="E3981" s="17" t="s">
        <v>4531</v>
      </c>
      <c r="F3981" s="17" t="s">
        <v>201</v>
      </c>
      <c r="G3981" s="18"/>
      <c r="H3981" s="18"/>
    </row>
    <row r="3982" spans="1:8" ht="13.2">
      <c r="A3982" s="19" t="str">
        <f>HYPERLINK("http://codeforces.com/contest/40/problem/C","CF40-D12-C")</f>
        <v>CF40-D12-C</v>
      </c>
      <c r="B3982" s="29" t="s">
        <v>4530</v>
      </c>
      <c r="C3982" s="17">
        <v>7</v>
      </c>
      <c r="D3982" s="18"/>
      <c r="E3982" s="17" t="s">
        <v>4531</v>
      </c>
      <c r="F3982" s="17"/>
      <c r="G3982" s="18"/>
      <c r="H3982" s="18"/>
    </row>
    <row r="3983" spans="1:8" ht="13.2">
      <c r="A3983" s="15" t="s">
        <v>4570</v>
      </c>
      <c r="B3983" s="29" t="s">
        <v>4530</v>
      </c>
      <c r="C3983" s="31">
        <v>7</v>
      </c>
      <c r="D3983" s="18"/>
      <c r="E3983" s="24" t="s">
        <v>4531</v>
      </c>
      <c r="F3983" s="17"/>
      <c r="G3983" s="18"/>
      <c r="H3983" s="18"/>
    </row>
    <row r="3984" spans="1:8" ht="13.2">
      <c r="A3984" s="15" t="s">
        <v>4571</v>
      </c>
      <c r="B3984" s="34" t="s">
        <v>4530</v>
      </c>
      <c r="C3984" s="17">
        <v>7</v>
      </c>
      <c r="D3984" s="18"/>
      <c r="E3984" s="17" t="s">
        <v>4531</v>
      </c>
      <c r="F3984" s="17"/>
      <c r="G3984" s="18"/>
      <c r="H3984" s="18"/>
    </row>
    <row r="3985" spans="1:8" ht="13.2">
      <c r="A3985" s="15" t="s">
        <v>4572</v>
      </c>
      <c r="B3985" s="29" t="s">
        <v>4530</v>
      </c>
      <c r="C3985" s="31">
        <v>7</v>
      </c>
      <c r="D3985" s="18"/>
      <c r="E3985" s="24" t="s">
        <v>4531</v>
      </c>
      <c r="F3985" s="17"/>
      <c r="G3985" s="18"/>
      <c r="H3985" s="18"/>
    </row>
    <row r="3986" spans="1:8" ht="13.2">
      <c r="A3986" s="15" t="s">
        <v>4573</v>
      </c>
      <c r="B3986" s="29" t="s">
        <v>4530</v>
      </c>
      <c r="C3986" s="24">
        <v>7</v>
      </c>
      <c r="D3986" s="18"/>
      <c r="E3986" s="24" t="s">
        <v>4531</v>
      </c>
      <c r="F3986" s="17"/>
      <c r="G3986" s="18"/>
      <c r="H3986" s="18"/>
    </row>
    <row r="3987" spans="1:8" ht="13.2">
      <c r="A3987" s="15" t="s">
        <v>4574</v>
      </c>
      <c r="B3987" s="23" t="s">
        <v>4535</v>
      </c>
      <c r="C3987" s="40">
        <v>7</v>
      </c>
      <c r="D3987" s="18"/>
      <c r="E3987" s="17" t="s">
        <v>4531</v>
      </c>
      <c r="F3987" s="17"/>
      <c r="G3987" s="18"/>
      <c r="H3987" s="18"/>
    </row>
    <row r="3988" spans="1:8" ht="13.2">
      <c r="A3988" s="19" t="str">
        <f>HYPERLINK("http://codeforces.com/contest/348/problem/D","CF348-D1-D")</f>
        <v>CF348-D1-D</v>
      </c>
      <c r="B3988" s="15" t="s">
        <v>4575</v>
      </c>
      <c r="C3988" s="24">
        <v>7</v>
      </c>
      <c r="D3988" s="18"/>
      <c r="E3988" s="17" t="s">
        <v>4531</v>
      </c>
      <c r="F3988" s="17"/>
      <c r="G3988" s="18"/>
      <c r="H3988" s="18"/>
    </row>
    <row r="3989" spans="1:8" ht="13.2">
      <c r="A3989" s="15" t="s">
        <v>4576</v>
      </c>
      <c r="B3989" s="34" t="s">
        <v>4577</v>
      </c>
      <c r="C3989" s="17">
        <v>7</v>
      </c>
      <c r="D3989" s="18"/>
      <c r="E3989" s="17" t="s">
        <v>4531</v>
      </c>
      <c r="F3989" s="17"/>
      <c r="G3989" s="18"/>
      <c r="H3989" s="18"/>
    </row>
    <row r="3990" spans="1:8" ht="13.2">
      <c r="A3990" s="15" t="s">
        <v>4578</v>
      </c>
      <c r="B3990" s="30" t="s">
        <v>4579</v>
      </c>
      <c r="C3990" s="17">
        <v>7</v>
      </c>
      <c r="D3990" s="18"/>
      <c r="E3990" s="17" t="s">
        <v>4531</v>
      </c>
      <c r="F3990" s="17"/>
      <c r="G3990" s="18"/>
      <c r="H3990" s="18"/>
    </row>
    <row r="3991" spans="1:8" ht="13.2">
      <c r="A3991" s="15" t="s">
        <v>4580</v>
      </c>
      <c r="B3991" s="18" t="s">
        <v>4581</v>
      </c>
      <c r="C3991" s="17">
        <v>7</v>
      </c>
      <c r="D3991" s="18"/>
      <c r="E3991" s="17" t="s">
        <v>4531</v>
      </c>
      <c r="F3991" s="17"/>
      <c r="G3991" s="18"/>
      <c r="H3991" s="18"/>
    </row>
    <row r="3992" spans="1:8" ht="13.2">
      <c r="A3992" s="15" t="s">
        <v>4582</v>
      </c>
      <c r="B3992" s="29" t="s">
        <v>4541</v>
      </c>
      <c r="C3992" s="31">
        <v>7</v>
      </c>
      <c r="D3992" s="18"/>
      <c r="E3992" s="24" t="s">
        <v>4531</v>
      </c>
      <c r="F3992" s="17"/>
      <c r="G3992" s="18"/>
      <c r="H3992" s="18"/>
    </row>
    <row r="3993" spans="1:8" ht="13.2">
      <c r="A3993" s="15" t="s">
        <v>4583</v>
      </c>
      <c r="B3993" s="34" t="s">
        <v>4584</v>
      </c>
      <c r="C3993" s="33">
        <v>7</v>
      </c>
      <c r="D3993" s="18"/>
      <c r="E3993" s="17" t="s">
        <v>4531</v>
      </c>
      <c r="F3993" s="17"/>
      <c r="G3993" s="18"/>
      <c r="H3993" s="18"/>
    </row>
    <row r="3994" spans="1:8" ht="13.2">
      <c r="A3994" s="15" t="s">
        <v>4585</v>
      </c>
      <c r="B3994" s="29" t="s">
        <v>4586</v>
      </c>
      <c r="C3994" s="24">
        <v>6.75</v>
      </c>
      <c r="D3994" s="26" t="str">
        <f>HYPERLINK("https://github.com/farmerboy95/CompetitiveProgramming/blob/master/TopCoder/SRM240-D1-500.cpp","Sol")</f>
        <v>Sol</v>
      </c>
      <c r="E3994" s="17" t="s">
        <v>4531</v>
      </c>
      <c r="F3994" s="17" t="s">
        <v>139</v>
      </c>
      <c r="G3994" s="18"/>
      <c r="H3994" s="18"/>
    </row>
    <row r="3995" spans="1:8" ht="13.2">
      <c r="A3995" s="15" t="s">
        <v>4587</v>
      </c>
      <c r="B3995" s="29" t="s">
        <v>4588</v>
      </c>
      <c r="C3995" s="24">
        <v>6.75</v>
      </c>
      <c r="D3995" s="18"/>
      <c r="E3995" s="17" t="s">
        <v>4531</v>
      </c>
      <c r="F3995" s="17" t="s">
        <v>139</v>
      </c>
      <c r="G3995" s="18"/>
      <c r="H3995" s="18"/>
    </row>
    <row r="3996" spans="1:8" ht="13.2">
      <c r="A3996" s="15" t="s">
        <v>4589</v>
      </c>
      <c r="B3996" s="15" t="s">
        <v>4590</v>
      </c>
      <c r="C3996" s="17">
        <v>6.75</v>
      </c>
      <c r="D3996" s="18"/>
      <c r="E3996" s="17" t="s">
        <v>4531</v>
      </c>
      <c r="F3996" s="17" t="s">
        <v>139</v>
      </c>
      <c r="G3996" s="18"/>
      <c r="H3996" s="18"/>
    </row>
    <row r="3997" spans="1:8" ht="13.2">
      <c r="A3997" s="15" t="s">
        <v>4591</v>
      </c>
      <c r="B3997" s="29" t="s">
        <v>4530</v>
      </c>
      <c r="C3997" s="24">
        <v>6.75</v>
      </c>
      <c r="D3997" s="26" t="str">
        <f>HYPERLINK("https://apps.topcoder.com/forums//?module=Thread&amp;threadID=743163&amp;start=0","Explantation")</f>
        <v>Explantation</v>
      </c>
      <c r="E3997" s="17" t="s">
        <v>4531</v>
      </c>
      <c r="F3997" s="17"/>
      <c r="G3997" s="18"/>
      <c r="H3997" s="18"/>
    </row>
    <row r="3998" spans="1:8" ht="13.2">
      <c r="A3998" s="15" t="s">
        <v>4592</v>
      </c>
      <c r="B3998" s="29" t="s">
        <v>4530</v>
      </c>
      <c r="C3998" s="24">
        <v>6.75</v>
      </c>
      <c r="D3998" s="18"/>
      <c r="E3998" s="17" t="s">
        <v>4531</v>
      </c>
      <c r="F3998" s="17"/>
      <c r="G3998" s="18"/>
      <c r="H3998" s="18"/>
    </row>
    <row r="3999" spans="1:8" ht="13.2">
      <c r="A3999" s="15" t="s">
        <v>4593</v>
      </c>
      <c r="B3999" s="29" t="s">
        <v>4594</v>
      </c>
      <c r="C3999" s="24">
        <v>6.75</v>
      </c>
      <c r="D3999" s="18" t="s">
        <v>2519</v>
      </c>
      <c r="E3999" s="17" t="s">
        <v>4531</v>
      </c>
      <c r="F3999" s="17"/>
      <c r="G3999" s="18"/>
      <c r="H3999" s="18"/>
    </row>
    <row r="4000" spans="1:8" ht="13.2">
      <c r="A4000" s="19" t="str">
        <f>HYPERLINK("https://codeforces.com/gym/102028/problem/J","CF102028-GYM-J")</f>
        <v>CF102028-GYM-J</v>
      </c>
      <c r="B4000" s="15" t="s">
        <v>4595</v>
      </c>
      <c r="C4000" s="17">
        <v>6.6</v>
      </c>
      <c r="D4000" s="26" t="str">
        <f>HYPERLINK("https://github.com/WaleedAbdelhakim/Competitive-Programming/blob/master/CodeForces/CF102028-GYM-J.cpp","Sol(no editorial)")</f>
        <v>Sol(no editorial)</v>
      </c>
      <c r="E4000" s="17" t="s">
        <v>4531</v>
      </c>
      <c r="F4000" s="17" t="s">
        <v>154</v>
      </c>
      <c r="G4000" s="18"/>
      <c r="H4000" s="18"/>
    </row>
    <row r="4001" spans="1:8" ht="13.2">
      <c r="A4001" s="19" t="str">
        <f>HYPERLINK("http://codeforces.com/contest/850/problem/B","CF850-D1-B")</f>
        <v>CF850-D1-B</v>
      </c>
      <c r="B4001" s="15" t="s">
        <v>4596</v>
      </c>
      <c r="C4001" s="31">
        <v>6.5</v>
      </c>
      <c r="D4001" s="18"/>
      <c r="E4001" s="17" t="s">
        <v>4531</v>
      </c>
      <c r="F4001" s="17" t="s">
        <v>154</v>
      </c>
      <c r="G4001" s="18"/>
      <c r="H4001" s="18"/>
    </row>
    <row r="4002" spans="1:8" ht="13.2">
      <c r="A4002" s="19" t="str">
        <f>HYPERLINK("https://www.codechef.com/LTIME64A/problems/COINPART", "CODECHEF COINPART")</f>
        <v>CODECHEF COINPART</v>
      </c>
      <c r="B4002" s="20" t="s">
        <v>4597</v>
      </c>
      <c r="C4002" s="21">
        <v>6.5</v>
      </c>
      <c r="D4002" s="18"/>
      <c r="E4002" s="17" t="s">
        <v>4531</v>
      </c>
      <c r="F4002" s="17" t="s">
        <v>139</v>
      </c>
      <c r="G4002" s="18"/>
      <c r="H4002" s="18"/>
    </row>
    <row r="4003" spans="1:8" ht="13.2">
      <c r="A4003" s="19" t="str">
        <f>HYPERLINK("http://codeforces.com/contest/337/problem/E","CF337-D2-E")</f>
        <v>CF337-D2-E</v>
      </c>
      <c r="B4003" s="15" t="s">
        <v>4598</v>
      </c>
      <c r="C4003" s="17">
        <v>6.5</v>
      </c>
      <c r="D4003" s="26" t="str">
        <f>HYPERLINK("https://github.com/DrSchwad/CompetitiveProgramming/blob/master/CodeForces/CF337-D2-E.cpp","Sol")</f>
        <v>Sol</v>
      </c>
      <c r="E4003" s="17" t="s">
        <v>4531</v>
      </c>
      <c r="F4003" s="17" t="s">
        <v>139</v>
      </c>
      <c r="G4003" s="18"/>
      <c r="H4003" s="18"/>
    </row>
    <row r="4004" spans="1:8" ht="13.2">
      <c r="A4004" s="19" t="str">
        <f>HYPERLINK("https://codeforces.com/contest/1285/problem/F","CF1285-D2-F")</f>
        <v>CF1285-D2-F</v>
      </c>
      <c r="B4004" s="20" t="s">
        <v>4599</v>
      </c>
      <c r="C4004" s="21">
        <v>6.5</v>
      </c>
      <c r="D4004" s="18"/>
      <c r="E4004" s="17" t="s">
        <v>4531</v>
      </c>
      <c r="F4004" s="17" t="s">
        <v>139</v>
      </c>
      <c r="G4004" s="18"/>
      <c r="H4004" s="18"/>
    </row>
    <row r="4005" spans="1:8" ht="13.2">
      <c r="A4005" s="15" t="s">
        <v>4600</v>
      </c>
      <c r="B4005" s="29" t="s">
        <v>4601</v>
      </c>
      <c r="C4005" s="24">
        <v>6.5</v>
      </c>
      <c r="D4005" s="18"/>
      <c r="E4005" s="17" t="s">
        <v>4531</v>
      </c>
      <c r="F4005" s="17" t="s">
        <v>139</v>
      </c>
      <c r="G4005" s="18"/>
      <c r="H4005" s="18"/>
    </row>
    <row r="4006" spans="1:8" ht="13.2">
      <c r="A4006" s="19" t="str">
        <f>HYPERLINK("http://codeforces.com/gym/101741/problem/F","CF101741-gym-F")</f>
        <v>CF101741-gym-F</v>
      </c>
      <c r="B4006" s="15" t="s">
        <v>4602</v>
      </c>
      <c r="C4006" s="17">
        <v>6.5</v>
      </c>
      <c r="D4006" s="26" t="str">
        <f>HYPERLINK("https://github.com/ajfabian/Competitive-Programming/blob/master/CodeForces/CF101741-GYM-F/a.cpp","Sol")</f>
        <v>Sol</v>
      </c>
      <c r="E4006" s="17" t="s">
        <v>4531</v>
      </c>
      <c r="F4006" s="17" t="s">
        <v>139</v>
      </c>
      <c r="G4006" s="18"/>
      <c r="H4006" s="18"/>
    </row>
    <row r="4007" spans="1:8" ht="13.2">
      <c r="A4007" s="19" t="str">
        <f>HYPERLINK("https://codeforces.com/contest/1119/problem/E","CF1119-D12-E")</f>
        <v>CF1119-D12-E</v>
      </c>
      <c r="B4007" s="20" t="s">
        <v>4603</v>
      </c>
      <c r="C4007" s="17">
        <v>6.5</v>
      </c>
      <c r="D4007" s="18"/>
      <c r="E4007" s="17" t="s">
        <v>4531</v>
      </c>
      <c r="F4007" s="17" t="s">
        <v>201</v>
      </c>
      <c r="G4007" s="18"/>
      <c r="H4007" s="18"/>
    </row>
    <row r="4008" spans="1:8" ht="13.2">
      <c r="A4008" s="19" t="str">
        <f>HYPERLINK("https://www.codechef.com/problems/ARIGEOM","CODECHEF ARIGEOM")</f>
        <v>CODECHEF ARIGEOM</v>
      </c>
      <c r="B4008" s="18" t="s">
        <v>4604</v>
      </c>
      <c r="C4008" s="17">
        <v>6.5</v>
      </c>
      <c r="D4008" s="18"/>
      <c r="E4008" s="17" t="s">
        <v>4531</v>
      </c>
      <c r="F4008" s="17"/>
      <c r="G4008" s="18"/>
      <c r="H4008" s="18"/>
    </row>
    <row r="4009" spans="1:8" ht="13.2">
      <c r="A4009" s="15" t="s">
        <v>4605</v>
      </c>
      <c r="B4009" s="34" t="s">
        <v>4606</v>
      </c>
      <c r="C4009" s="31">
        <v>6.5</v>
      </c>
      <c r="D4009" s="18"/>
      <c r="E4009" s="17" t="s">
        <v>4531</v>
      </c>
      <c r="F4009" s="17"/>
      <c r="G4009" s="18"/>
      <c r="H4009" s="18"/>
    </row>
    <row r="4010" spans="1:8" ht="13.2">
      <c r="A4010" s="15" t="s">
        <v>4607</v>
      </c>
      <c r="B4010" s="16" t="s">
        <v>4608</v>
      </c>
      <c r="C4010" s="17">
        <v>6.5</v>
      </c>
      <c r="D4010" s="18"/>
      <c r="E4010" s="17" t="s">
        <v>4531</v>
      </c>
      <c r="F4010" s="17"/>
      <c r="G4010" s="18"/>
      <c r="H4010" s="18"/>
    </row>
    <row r="4011" spans="1:8" ht="13.2">
      <c r="A4011" s="15" t="s">
        <v>4609</v>
      </c>
      <c r="B4011" s="34" t="s">
        <v>4541</v>
      </c>
      <c r="C4011" s="31">
        <v>6.5</v>
      </c>
      <c r="D4011" s="18"/>
      <c r="E4011" s="17" t="s">
        <v>4531</v>
      </c>
      <c r="F4011" s="17"/>
      <c r="G4011" s="18"/>
      <c r="H4011" s="18"/>
    </row>
    <row r="4012" spans="1:8" ht="13.2">
      <c r="A4012" s="19" t="str">
        <f>HYPERLINK("https://atcoder.jp/contests/abc147/tasks/abc147_f","AtCoder147-ABC-F")</f>
        <v>AtCoder147-ABC-F</v>
      </c>
      <c r="B4012" s="23" t="s">
        <v>4610</v>
      </c>
      <c r="C4012" s="17">
        <v>6.3</v>
      </c>
      <c r="D4012" s="18"/>
      <c r="E4012" s="17" t="s">
        <v>4531</v>
      </c>
      <c r="F4012" s="17" t="s">
        <v>154</v>
      </c>
      <c r="G4012" s="18"/>
      <c r="H4012" s="18"/>
    </row>
    <row r="4013" spans="1:8" ht="13.2">
      <c r="A4013" s="19" t="str">
        <f>HYPERLINK("http://codeforces.com/contest/602/problem/D","CF602-D2-D")</f>
        <v>CF602-D2-D</v>
      </c>
      <c r="B4013" s="15" t="s">
        <v>4611</v>
      </c>
      <c r="C4013" s="24">
        <v>6.25</v>
      </c>
      <c r="D4013" s="26" t="str">
        <f>HYPERLINK("https://github.com/andriy-zhuk/CompetitiveProgramming/blob/master/Codeforces/CF602-D2-D.cpp","Sol (Another sol)")</f>
        <v>Sol (Another sol)</v>
      </c>
      <c r="E4013" s="17" t="s">
        <v>4531</v>
      </c>
      <c r="F4013" s="17" t="s">
        <v>173</v>
      </c>
      <c r="G4013" s="18"/>
      <c r="H4013" s="18"/>
    </row>
    <row r="4014" spans="1:8" ht="13.2">
      <c r="A4014" s="19" t="str">
        <f>HYPERLINK("https://codeforces.com/contest/1088/problem/D","CF1088-D2-D")</f>
        <v>CF1088-D2-D</v>
      </c>
      <c r="B4014" s="15" t="s">
        <v>4612</v>
      </c>
      <c r="C4014" s="17">
        <v>6.25</v>
      </c>
      <c r="D4014" s="18"/>
      <c r="E4014" s="17" t="s">
        <v>4531</v>
      </c>
      <c r="F4014" s="17" t="s">
        <v>154</v>
      </c>
      <c r="G4014" s="18"/>
      <c r="H4014" s="18"/>
    </row>
    <row r="4015" spans="1:8" ht="13.2">
      <c r="A4015" s="19" t="str">
        <f>HYPERLINK("https://codingcompetitions.withgoogle.com/codejam/round/0000000000051706/0000000000122837","CODEJAM 19-R1B-B")</f>
        <v>CODEJAM 19-R1B-B</v>
      </c>
      <c r="B4015" s="20" t="s">
        <v>4613</v>
      </c>
      <c r="C4015" s="17">
        <v>6.25</v>
      </c>
      <c r="D4015" s="18"/>
      <c r="E4015" s="17" t="s">
        <v>4531</v>
      </c>
      <c r="F4015" s="17" t="s">
        <v>154</v>
      </c>
      <c r="G4015" s="18"/>
      <c r="H4015" s="18"/>
    </row>
    <row r="4016" spans="1:8" ht="13.2">
      <c r="A4016" s="19" t="str">
        <f>HYPERLINK("https://codingcompetitions.withgoogle.com/codejam/round/00000000000516b9/0000000000134e91","CODEJAM 19-R1C-B")</f>
        <v>CODEJAM 19-R1C-B</v>
      </c>
      <c r="B4016" s="20" t="s">
        <v>4614</v>
      </c>
      <c r="C4016" s="17">
        <v>6.25</v>
      </c>
      <c r="D4016" s="18"/>
      <c r="E4016" s="17" t="s">
        <v>4531</v>
      </c>
      <c r="F4016" s="17" t="s">
        <v>154</v>
      </c>
      <c r="G4016" s="18"/>
      <c r="H4016" s="18"/>
    </row>
    <row r="4017" spans="1:8" ht="13.2">
      <c r="A4017" s="19" t="str">
        <f>HYPERLINK("https://codeforces.com/contest/1130/problem/E","CF1130-D2-E")</f>
        <v>CF1130-D2-E</v>
      </c>
      <c r="B4017" s="20" t="s">
        <v>4615</v>
      </c>
      <c r="C4017" s="21">
        <v>6.25</v>
      </c>
      <c r="D4017" s="18"/>
      <c r="E4017" s="17" t="s">
        <v>4531</v>
      </c>
      <c r="F4017" s="17" t="s">
        <v>139</v>
      </c>
      <c r="G4017" s="18"/>
      <c r="H4017" s="18"/>
    </row>
    <row r="4018" spans="1:8" ht="13.2">
      <c r="A4018" s="15" t="s">
        <v>4616</v>
      </c>
      <c r="B4018" s="29" t="s">
        <v>4530</v>
      </c>
      <c r="C4018" s="17">
        <v>6.25</v>
      </c>
      <c r="D4018" s="18"/>
      <c r="E4018" s="17" t="s">
        <v>4531</v>
      </c>
      <c r="F4018" s="17"/>
      <c r="G4018" s="18"/>
      <c r="H4018" s="18"/>
    </row>
    <row r="4019" spans="1:8" ht="13.2">
      <c r="A4019" s="19" t="str">
        <f>HYPERLINK("http://codeforces.com/contest/225/problem/E","CF225-D2-E")</f>
        <v>CF225-D2-E</v>
      </c>
      <c r="B4019" s="29" t="s">
        <v>4617</v>
      </c>
      <c r="C4019" s="17">
        <v>6.25</v>
      </c>
      <c r="D4019" s="18"/>
      <c r="E4019" s="17" t="s">
        <v>4531</v>
      </c>
      <c r="F4019" s="17"/>
      <c r="G4019" s="18"/>
      <c r="H4019" s="18"/>
    </row>
    <row r="4020" spans="1:8" ht="13.2">
      <c r="A4020" s="19" t="str">
        <f>HYPERLINK("https://codeforces.com/contest/997/problem/B","CF997-D1-B")</f>
        <v>CF997-D1-B</v>
      </c>
      <c r="B4020" s="15" t="s">
        <v>4618</v>
      </c>
      <c r="C4020" s="17">
        <v>6.1</v>
      </c>
      <c r="D4020" s="18"/>
      <c r="E4020" s="17" t="s">
        <v>4531</v>
      </c>
      <c r="F4020" s="17"/>
      <c r="G4020" s="18"/>
      <c r="H4020" s="18"/>
    </row>
    <row r="4021" spans="1:8" ht="13.2">
      <c r="A4021" s="15" t="s">
        <v>4619</v>
      </c>
      <c r="B4021" s="16" t="s">
        <v>4620</v>
      </c>
      <c r="C4021" s="17">
        <v>6</v>
      </c>
      <c r="D4021" s="18"/>
      <c r="E4021" s="17" t="s">
        <v>4531</v>
      </c>
      <c r="F4021" s="17" t="s">
        <v>255</v>
      </c>
      <c r="G4021" s="18"/>
      <c r="H4021" s="18"/>
    </row>
    <row r="4022" spans="1:8" ht="13.2">
      <c r="A4022" s="19" t="str">
        <f>HYPERLINK("https://codeforces.com/contest/1186/problem/E","CF1186-D2-E")</f>
        <v>CF1186-D2-E</v>
      </c>
      <c r="B4022" s="20" t="s">
        <v>4621</v>
      </c>
      <c r="C4022" s="17">
        <v>6</v>
      </c>
      <c r="D4022" s="18"/>
      <c r="E4022" s="17" t="s">
        <v>4531</v>
      </c>
      <c r="F4022" s="17" t="s">
        <v>154</v>
      </c>
      <c r="G4022" s="18"/>
      <c r="H4022" s="18"/>
    </row>
    <row r="4023" spans="1:8" ht="13.2">
      <c r="A4023" s="19" t="str">
        <f>HYPERLINK("https://atcoder.jp/contests/agc043/tasks/agc043_b","AtCoder043-AGC-B")</f>
        <v>AtCoder043-AGC-B</v>
      </c>
      <c r="B4023" s="20" t="s">
        <v>4622</v>
      </c>
      <c r="C4023" s="21">
        <v>6</v>
      </c>
      <c r="D4023" s="18"/>
      <c r="E4023" s="17" t="s">
        <v>4531</v>
      </c>
      <c r="F4023" s="17" t="s">
        <v>154</v>
      </c>
      <c r="G4023" s="18"/>
      <c r="H4023" s="18"/>
    </row>
    <row r="4024" spans="1:8" ht="13.2">
      <c r="A4024" s="19" t="str">
        <f>HYPERLINK("https://codeforces.com/contest/1183/problem/F","CF1183-D3-F")</f>
        <v>CF1183-D3-F</v>
      </c>
      <c r="B4024" s="20" t="s">
        <v>4606</v>
      </c>
      <c r="C4024" s="17">
        <v>6</v>
      </c>
      <c r="D4024" s="18"/>
      <c r="E4024" s="17" t="s">
        <v>4531</v>
      </c>
      <c r="F4024" s="17" t="s">
        <v>139</v>
      </c>
      <c r="G4024" s="18"/>
      <c r="H4024" s="18"/>
    </row>
    <row r="4025" spans="1:8" ht="13.2">
      <c r="A4025" s="19" t="str">
        <f>HYPERLINK("https://codeforces.com/contest/1104/problem/D","CF1104-D2-D")</f>
        <v>CF1104-D2-D</v>
      </c>
      <c r="B4025" s="20" t="s">
        <v>4623</v>
      </c>
      <c r="C4025" s="21">
        <v>6</v>
      </c>
      <c r="D4025" s="18"/>
      <c r="E4025" s="17" t="s">
        <v>4531</v>
      </c>
      <c r="F4025" s="17" t="s">
        <v>139</v>
      </c>
      <c r="G4025" s="18"/>
      <c r="H4025" s="18"/>
    </row>
    <row r="4026" spans="1:8" ht="13.2">
      <c r="A4026" s="19" t="str">
        <f>HYPERLINK("https://www.codechef.com/COME2019/problems/SWAPSIGN","CODECHEF SWAPSIGN")</f>
        <v>CODECHEF SWAPSIGN</v>
      </c>
      <c r="B4026" s="15" t="s">
        <v>4624</v>
      </c>
      <c r="C4026" s="17">
        <v>6</v>
      </c>
      <c r="D4026" s="18"/>
      <c r="E4026" s="17" t="s">
        <v>4531</v>
      </c>
      <c r="F4026" s="17" t="s">
        <v>139</v>
      </c>
      <c r="G4026" s="18"/>
      <c r="H4026" s="18"/>
    </row>
    <row r="4027" spans="1:8" ht="13.2">
      <c r="A4027" s="19" t="str">
        <f>HYPERLINK("http://codeforces.com/contest/994/problem/E","CF994-D2-E")</f>
        <v>CF994-D2-E</v>
      </c>
      <c r="B4027" s="37" t="s">
        <v>4625</v>
      </c>
      <c r="C4027" s="17">
        <v>6</v>
      </c>
      <c r="D4027" s="18"/>
      <c r="E4027" s="17" t="s">
        <v>4531</v>
      </c>
      <c r="F4027" s="17" t="s">
        <v>139</v>
      </c>
      <c r="G4027" s="18"/>
      <c r="H4027" s="18"/>
    </row>
    <row r="4028" spans="1:8" ht="13.2">
      <c r="A4028" s="15" t="s">
        <v>4626</v>
      </c>
      <c r="B4028" s="37" t="s">
        <v>4627</v>
      </c>
      <c r="C4028" s="17">
        <v>6</v>
      </c>
      <c r="D4028" s="26" t="str">
        <f>HYPERLINK("https://github.com/MedoN11/CompetitiveProgramming/blob/master/Timus/2063.cpp","Sol")</f>
        <v>Sol</v>
      </c>
      <c r="E4028" s="17" t="s">
        <v>4531</v>
      </c>
      <c r="F4028" s="17" t="s">
        <v>139</v>
      </c>
      <c r="G4028" s="18"/>
      <c r="H4028" s="18"/>
    </row>
    <row r="4029" spans="1:8" ht="13.2">
      <c r="A4029" s="19" t="str">
        <f>HYPERLINK("https://www.hackerrank.com/contests/world-codesprint-13/challenges/balanced-sequence", "HACKR balanced-sequence")</f>
        <v>HACKR balanced-sequence</v>
      </c>
      <c r="B4029" s="20" t="s">
        <v>4628</v>
      </c>
      <c r="C4029" s="21">
        <v>6</v>
      </c>
      <c r="D4029" s="26" t="str">
        <f>HYPERLINK("https://github.com/tmwilliamlin168/CompetitiveProgramming/blob/master/HackerRank/balanced-sequence.cpp", "Sol")</f>
        <v>Sol</v>
      </c>
      <c r="E4029" s="17" t="s">
        <v>4531</v>
      </c>
      <c r="F4029" s="17" t="s">
        <v>201</v>
      </c>
      <c r="G4029" s="18"/>
      <c r="H4029" s="18"/>
    </row>
    <row r="4030" spans="1:8" ht="13.2">
      <c r="A4030" s="19" t="str">
        <f>HYPERLINK("https://codeforces.com/contest/1081/problem/E","CF1081-D12-E")</f>
        <v>CF1081-D12-E</v>
      </c>
      <c r="B4030" s="15" t="s">
        <v>4629</v>
      </c>
      <c r="C4030" s="17">
        <v>6</v>
      </c>
      <c r="D4030" s="18"/>
      <c r="E4030" s="17" t="s">
        <v>4531</v>
      </c>
      <c r="F4030" s="17" t="s">
        <v>201</v>
      </c>
      <c r="G4030" s="18"/>
      <c r="H4030" s="18"/>
    </row>
    <row r="4031" spans="1:8" ht="13.2">
      <c r="A4031" s="19" t="str">
        <f>HYPERLINK("https://codingcompetitions.withgoogle.com/codejam/round/0000000000051706/000000000012295c","CODEJAM 19-R1B-A")</f>
        <v>CODEJAM 19-R1B-A</v>
      </c>
      <c r="B4031" s="20" t="s">
        <v>4562</v>
      </c>
      <c r="C4031" s="17">
        <v>6</v>
      </c>
      <c r="D4031" s="18"/>
      <c r="E4031" s="17" t="s">
        <v>4531</v>
      </c>
      <c r="F4031" s="17" t="s">
        <v>201</v>
      </c>
      <c r="G4031" s="18"/>
      <c r="H4031" s="18"/>
    </row>
    <row r="4032" spans="1:8" ht="13.2">
      <c r="A4032" s="19" t="str">
        <f>HYPERLINK("https://codeforces.com/contest/1090/problem/F","CF1090-D12-F")</f>
        <v>CF1090-D12-F</v>
      </c>
      <c r="B4032" s="23" t="s">
        <v>4614</v>
      </c>
      <c r="C4032" s="17">
        <v>6</v>
      </c>
      <c r="D4032" s="18"/>
      <c r="E4032" s="17" t="s">
        <v>4531</v>
      </c>
      <c r="F4032" s="17" t="s">
        <v>201</v>
      </c>
      <c r="G4032" s="18"/>
      <c r="H4032" s="18"/>
    </row>
    <row r="4033" spans="1:8" ht="13.2">
      <c r="A4033" s="19" t="str">
        <f>HYPERLINK("http://codeforces.com/contest/919/problem/E","CF919-D2-E")</f>
        <v>CF919-D2-E</v>
      </c>
      <c r="B4033" s="37" t="s">
        <v>4630</v>
      </c>
      <c r="C4033" s="17">
        <v>6</v>
      </c>
      <c r="D4033" s="26" t="str">
        <f>HYPERLINK("https://github.com/yazanKabbany/CompetitiveProgramming/blob/master/Codeforces/CF919-D2-E.cpp","Sol to read")</f>
        <v>Sol to read</v>
      </c>
      <c r="E4033" s="17" t="s">
        <v>4531</v>
      </c>
      <c r="F4033" s="17" t="s">
        <v>242</v>
      </c>
      <c r="G4033" s="18"/>
      <c r="H4033" s="18"/>
    </row>
    <row r="4034" spans="1:8" ht="13.2">
      <c r="A4034" s="19" t="str">
        <f>HYPERLINK("http://codeforces.com/contest/509/problem/E","CF509-D2-E")</f>
        <v>CF509-D2-E</v>
      </c>
      <c r="B4034" s="29" t="s">
        <v>4631</v>
      </c>
      <c r="C4034" s="17">
        <v>6</v>
      </c>
      <c r="D4034" s="18"/>
      <c r="E4034" s="17" t="s">
        <v>4531</v>
      </c>
      <c r="F4034" s="17" t="s">
        <v>242</v>
      </c>
      <c r="G4034" s="18"/>
      <c r="H4034" s="18"/>
    </row>
    <row r="4035" spans="1:8" ht="13.2">
      <c r="A4035" s="19" t="str">
        <f>HYPERLINK("http://codeforces.com/contest/216/problem/E","CF216-D2-E")</f>
        <v>CF216-D2-E</v>
      </c>
      <c r="B4035" s="29" t="s">
        <v>4530</v>
      </c>
      <c r="C4035" s="17">
        <v>6</v>
      </c>
      <c r="D4035" s="18"/>
      <c r="E4035" s="17" t="s">
        <v>4531</v>
      </c>
      <c r="F4035" s="17"/>
      <c r="G4035" s="18"/>
      <c r="H4035" s="18"/>
    </row>
    <row r="4036" spans="1:8" ht="13.2">
      <c r="A4036" s="15" t="s">
        <v>4632</v>
      </c>
      <c r="B4036" s="34" t="s">
        <v>4530</v>
      </c>
      <c r="C4036" s="31">
        <v>6</v>
      </c>
      <c r="D4036" s="18"/>
      <c r="E4036" s="17" t="s">
        <v>4531</v>
      </c>
      <c r="F4036" s="17"/>
      <c r="G4036" s="18"/>
      <c r="H4036" s="18"/>
    </row>
    <row r="4037" spans="1:8" ht="13.2">
      <c r="A4037" s="15" t="s">
        <v>4633</v>
      </c>
      <c r="B4037" s="29" t="s">
        <v>4530</v>
      </c>
      <c r="C4037" s="17">
        <v>6</v>
      </c>
      <c r="D4037" s="18"/>
      <c r="E4037" s="17" t="s">
        <v>4531</v>
      </c>
      <c r="F4037" s="17"/>
      <c r="G4037" s="18"/>
      <c r="H4037" s="18"/>
    </row>
    <row r="4038" spans="1:8" ht="13.2">
      <c r="A4038" s="15" t="s">
        <v>4634</v>
      </c>
      <c r="B4038" s="29" t="s">
        <v>4530</v>
      </c>
      <c r="C4038" s="31">
        <v>6</v>
      </c>
      <c r="D4038" s="18"/>
      <c r="E4038" s="24" t="s">
        <v>4531</v>
      </c>
      <c r="F4038" s="17"/>
      <c r="G4038" s="18"/>
      <c r="H4038" s="18"/>
    </row>
    <row r="4039" spans="1:8" ht="13.2">
      <c r="A4039" s="15" t="s">
        <v>4635</v>
      </c>
      <c r="B4039" s="28" t="s">
        <v>4530</v>
      </c>
      <c r="C4039" s="24">
        <v>6</v>
      </c>
      <c r="D4039" s="18"/>
      <c r="E4039" s="24" t="s">
        <v>4531</v>
      </c>
      <c r="F4039" s="17"/>
      <c r="G4039" s="18"/>
      <c r="H4039" s="18"/>
    </row>
    <row r="4040" spans="1:8" ht="13.2">
      <c r="A4040" s="15" t="s">
        <v>4636</v>
      </c>
      <c r="B4040" s="29" t="s">
        <v>4637</v>
      </c>
      <c r="C4040" s="24">
        <v>6</v>
      </c>
      <c r="D4040" s="18"/>
      <c r="E4040" s="17" t="s">
        <v>4531</v>
      </c>
      <c r="F4040" s="17"/>
      <c r="G4040" s="18"/>
      <c r="H4040" s="18"/>
    </row>
    <row r="4041" spans="1:8" ht="13.2">
      <c r="A4041" s="15" t="s">
        <v>4638</v>
      </c>
      <c r="B4041" s="28" t="s">
        <v>4639</v>
      </c>
      <c r="C4041" s="24">
        <v>6</v>
      </c>
      <c r="D4041" s="18"/>
      <c r="E4041" s="17" t="s">
        <v>4531</v>
      </c>
      <c r="F4041" s="17"/>
      <c r="G4041" s="18"/>
      <c r="H4041" s="18"/>
    </row>
    <row r="4042" spans="1:8" ht="13.2">
      <c r="A4042" s="15" t="s">
        <v>4640</v>
      </c>
      <c r="B4042" s="28" t="s">
        <v>4641</v>
      </c>
      <c r="C4042" s="24">
        <v>6</v>
      </c>
      <c r="D4042" s="26" t="str">
        <f>HYPERLINK("https://pastebin.com/4uSGv4sZ","Sol (link to study)")</f>
        <v>Sol (link to study)</v>
      </c>
      <c r="E4042" s="17" t="s">
        <v>4531</v>
      </c>
      <c r="F4042" s="17"/>
      <c r="G4042" s="18"/>
      <c r="H4042" s="18"/>
    </row>
    <row r="4043" spans="1:8" ht="13.2">
      <c r="A4043" s="15" t="s">
        <v>4642</v>
      </c>
      <c r="B4043" s="34" t="s">
        <v>4643</v>
      </c>
      <c r="C4043" s="17">
        <v>6</v>
      </c>
      <c r="D4043" s="18"/>
      <c r="E4043" s="17" t="s">
        <v>4531</v>
      </c>
      <c r="F4043" s="17"/>
      <c r="G4043" s="18"/>
      <c r="H4043" s="18"/>
    </row>
    <row r="4044" spans="1:8" ht="13.2">
      <c r="A4044" s="19" t="str">
        <f>HYPERLINK("http://codeforces.com/contest/185/problem/B","CF185-D1-B")</f>
        <v>CF185-D1-B</v>
      </c>
      <c r="B4044" s="29" t="s">
        <v>4644</v>
      </c>
      <c r="C4044" s="17">
        <v>6</v>
      </c>
      <c r="D4044" s="26" t="str">
        <f>HYPERLINK("https://brilliant.org/wiki/arithmetic-mean-geometric-mean/","Read first")</f>
        <v>Read first</v>
      </c>
      <c r="E4044" s="17" t="s">
        <v>4531</v>
      </c>
      <c r="F4044" s="17"/>
      <c r="G4044" s="18"/>
      <c r="H4044" s="18"/>
    </row>
    <row r="4045" spans="1:8" ht="13.2">
      <c r="A4045" s="19" t="str">
        <f>HYPERLINK("http://codeforces.com/gym/101615/attachments/download/6308/20172018-acmicpc-pacific-northwest-regional-contest-div-1-en.pdf","CF101615-GYM-C")</f>
        <v>CF101615-GYM-C</v>
      </c>
      <c r="B4045" s="18" t="s">
        <v>4564</v>
      </c>
      <c r="C4045" s="17">
        <v>6</v>
      </c>
      <c r="D4045" s="26" t="str">
        <f>HYPERLINK("https://github.com/MedoN11/CompetitiveProgramming/blob/master/CodeForces/CF101615-GYM-C.cpp","Sol")</f>
        <v>Sol</v>
      </c>
      <c r="E4045" s="17" t="s">
        <v>4531</v>
      </c>
      <c r="F4045" s="17"/>
      <c r="G4045" s="18"/>
      <c r="H4045" s="18"/>
    </row>
    <row r="4046" spans="1:8" ht="13.2">
      <c r="A4046" s="15" t="s">
        <v>4645</v>
      </c>
      <c r="B4046" s="29" t="s">
        <v>4646</v>
      </c>
      <c r="C4046" s="33">
        <v>6</v>
      </c>
      <c r="D4046" s="26" t="str">
        <f>HYPERLINK("https://github.com/Andres-Unt/problem_solving/blob/master/TopCoder/SRM596-D2-1000.cpp","Sol")</f>
        <v>Sol</v>
      </c>
      <c r="E4046" s="24" t="s">
        <v>4531</v>
      </c>
      <c r="F4046" s="17"/>
      <c r="G4046" s="18"/>
      <c r="H4046" s="18"/>
    </row>
    <row r="4047" spans="1:8" ht="13.2">
      <c r="A4047" s="15" t="s">
        <v>4647</v>
      </c>
      <c r="B4047" s="30" t="s">
        <v>4648</v>
      </c>
      <c r="C4047" s="40">
        <v>6</v>
      </c>
      <c r="D4047" s="18"/>
      <c r="E4047" s="17" t="s">
        <v>4531</v>
      </c>
      <c r="F4047" s="17"/>
      <c r="G4047" s="18"/>
      <c r="H4047" s="18"/>
    </row>
    <row r="4048" spans="1:8" ht="13.2">
      <c r="A4048" s="19" t="str">
        <f>HYPERLINK("https://codeforces.com/contest/1189/problem/E","CF1189-D2-E")</f>
        <v>CF1189-D2-E</v>
      </c>
      <c r="B4048" s="15" t="s">
        <v>4530</v>
      </c>
      <c r="C4048" s="17">
        <v>5.75</v>
      </c>
      <c r="D4048" s="18"/>
      <c r="E4048" s="17" t="s">
        <v>4531</v>
      </c>
      <c r="F4048" s="17" t="s">
        <v>201</v>
      </c>
      <c r="G4048" s="18"/>
      <c r="H4048" s="18"/>
    </row>
    <row r="4049" spans="1:8" ht="13.2">
      <c r="A4049" s="19" t="str">
        <f>HYPERLINK("http://codeforces.com/contest/352/problem/D","CF352-D2-D")</f>
        <v>CF352-D2-D</v>
      </c>
      <c r="B4049" s="29" t="s">
        <v>4649</v>
      </c>
      <c r="C4049" s="17">
        <v>5.5</v>
      </c>
      <c r="D4049" s="26" t="str">
        <f>HYPERLINK("https://github.com/BRAINOOOO/CompetitiveProgramming/blob/0577cb43f4a000eca9870ccc375c95381224aed1/CF/CF352-D2-D","Sol")</f>
        <v>Sol</v>
      </c>
      <c r="E4049" s="17" t="s">
        <v>4531</v>
      </c>
      <c r="F4049" s="17" t="s">
        <v>139</v>
      </c>
      <c r="G4049" s="18"/>
      <c r="H4049" s="18"/>
    </row>
    <row r="4050" spans="1:8" ht="13.2">
      <c r="A4050" s="19" t="str">
        <f>HYPERLINK("https://www.codechef.com/problems/REMMAX","CODECHEF REMMAX")</f>
        <v>CODECHEF REMMAX</v>
      </c>
      <c r="B4050" s="20" t="s">
        <v>4650</v>
      </c>
      <c r="C4050" s="17">
        <v>5.5</v>
      </c>
      <c r="D4050" s="18"/>
      <c r="E4050" s="17" t="s">
        <v>4531</v>
      </c>
      <c r="F4050" s="17" t="s">
        <v>139</v>
      </c>
      <c r="G4050" s="18"/>
      <c r="H4050" s="18"/>
    </row>
    <row r="4051" spans="1:8" ht="13.2">
      <c r="A4051" s="19" t="str">
        <f>HYPERLINK("http://codeforces.com/contest/1080/problem/D","CF1080-D2-D")</f>
        <v>CF1080-D2-D</v>
      </c>
      <c r="B4051" s="23" t="s">
        <v>4651</v>
      </c>
      <c r="C4051" s="17">
        <v>5.5</v>
      </c>
      <c r="D4051" s="18"/>
      <c r="E4051" s="17" t="s">
        <v>4531</v>
      </c>
      <c r="F4051" s="17" t="s">
        <v>139</v>
      </c>
      <c r="G4051" s="18"/>
      <c r="H4051" s="18"/>
    </row>
    <row r="4052" spans="1:8" ht="13.2">
      <c r="A4052" s="19" t="str">
        <f>HYPERLINK("http://codeforces.com/contest/371/problem/E","CF371-D2-E")</f>
        <v>CF371-D2-E</v>
      </c>
      <c r="B4052" s="29" t="s">
        <v>4652</v>
      </c>
      <c r="C4052" s="17">
        <v>5.5</v>
      </c>
      <c r="D4052" s="18"/>
      <c r="E4052" s="17" t="s">
        <v>4531</v>
      </c>
      <c r="F4052" s="17" t="s">
        <v>139</v>
      </c>
      <c r="G4052" s="18"/>
      <c r="H4052" s="18"/>
    </row>
    <row r="4053" spans="1:8" ht="13.2">
      <c r="A4053" s="19" t="str">
        <f>HYPERLINK("https://codeforces.com/contest/1271/problem/E","CF1271-D2-E")</f>
        <v>CF1271-D2-E</v>
      </c>
      <c r="B4053" s="20" t="s">
        <v>4653</v>
      </c>
      <c r="C4053" s="21">
        <v>5.5</v>
      </c>
      <c r="D4053" s="18"/>
      <c r="E4053" s="17" t="s">
        <v>4531</v>
      </c>
      <c r="F4053" s="17" t="s">
        <v>201</v>
      </c>
      <c r="G4053" s="18"/>
      <c r="H4053" s="18"/>
    </row>
    <row r="4054" spans="1:8" ht="13.2">
      <c r="A4054" s="19" t="str">
        <f>HYPERLINK("https://atcoder.jp/contests/abc156/tasks/abc156_f","AtCoder156-ABC-F")</f>
        <v>AtCoder156-ABC-F</v>
      </c>
      <c r="B4054" s="20" t="s">
        <v>4654</v>
      </c>
      <c r="C4054" s="21">
        <v>5.5</v>
      </c>
      <c r="D4054" s="18"/>
      <c r="E4054" s="17" t="s">
        <v>4531</v>
      </c>
      <c r="F4054" s="17" t="s">
        <v>201</v>
      </c>
      <c r="G4054" s="18"/>
      <c r="H4054" s="18"/>
    </row>
    <row r="4055" spans="1:8" ht="13.2">
      <c r="A4055" s="19" t="str">
        <f>HYPERLINK("https://codeforces.com/contest/1119/problem/D","CF1119-D12-D")</f>
        <v>CF1119-D12-D</v>
      </c>
      <c r="B4055" s="20" t="s">
        <v>4655</v>
      </c>
      <c r="C4055" s="17">
        <v>5.5</v>
      </c>
      <c r="D4055" s="18"/>
      <c r="E4055" s="17" t="s">
        <v>4531</v>
      </c>
      <c r="F4055" s="17" t="s">
        <v>201</v>
      </c>
      <c r="G4055" s="18"/>
      <c r="H4055" s="18"/>
    </row>
    <row r="4056" spans="1:8" ht="13.2">
      <c r="A4056" s="19" t="str">
        <f>HYPERLINK("http://codeforces.com/problemset/problem/120/E","CF975-D2-D")</f>
        <v>CF975-D2-D</v>
      </c>
      <c r="B4056" s="20" t="s">
        <v>4530</v>
      </c>
      <c r="C4056" s="17">
        <v>5.5</v>
      </c>
      <c r="D4056" s="26" t="str">
        <f>HYPERLINK("https://github.com/Huvok/CompetitiveProgramming/blob/master/Codeforces/CF975-D2-D.cpp","Sol")</f>
        <v>Sol</v>
      </c>
      <c r="E4056" s="17" t="s">
        <v>4531</v>
      </c>
      <c r="F4056" s="17" t="s">
        <v>242</v>
      </c>
      <c r="G4056" s="18"/>
      <c r="H4056" s="18"/>
    </row>
    <row r="4057" spans="1:8" ht="13.2">
      <c r="A4057" s="19" t="str">
        <f>HYPERLINK("http://codeforces.com/contest/359/problem/C","CF359-D2-C")</f>
        <v>CF359-D2-C</v>
      </c>
      <c r="B4057" s="18" t="s">
        <v>4530</v>
      </c>
      <c r="C4057" s="17">
        <v>5.5</v>
      </c>
      <c r="D4057" s="18"/>
      <c r="E4057" s="17" t="s">
        <v>4531</v>
      </c>
      <c r="F4057" s="17"/>
      <c r="G4057" s="18"/>
      <c r="H4057" s="18"/>
    </row>
    <row r="4058" spans="1:8" ht="13.2">
      <c r="A4058" s="19" t="str">
        <f>HYPERLINK("https://www.codechef.com/problems/GCDSUM", "CODECHEF GCDSUM")</f>
        <v>CODECHEF GCDSUM</v>
      </c>
      <c r="B4058" s="20" t="s">
        <v>4530</v>
      </c>
      <c r="C4058" s="21">
        <v>5.5</v>
      </c>
      <c r="D4058" s="18"/>
      <c r="E4058" s="17" t="s">
        <v>4531</v>
      </c>
      <c r="F4058" s="17"/>
      <c r="G4058" s="18"/>
      <c r="H4058" s="18"/>
    </row>
    <row r="4059" spans="1:8" ht="13.2">
      <c r="A4059" s="15" t="s">
        <v>4656</v>
      </c>
      <c r="B4059" s="20" t="s">
        <v>4606</v>
      </c>
      <c r="C4059" s="17">
        <v>5.5</v>
      </c>
      <c r="D4059" s="18"/>
      <c r="E4059" s="17" t="s">
        <v>4531</v>
      </c>
      <c r="F4059" s="17"/>
      <c r="G4059" s="18"/>
      <c r="H4059" s="18"/>
    </row>
    <row r="4060" spans="1:8" ht="13.2">
      <c r="A4060" s="19" t="str">
        <f>HYPERLINK("https://www.facebook.com/hackercup/problem/175329729852444/", "FbHkrCup 18-RQ-B")</f>
        <v>FbHkrCup 18-RQ-B</v>
      </c>
      <c r="B4060" s="20" t="s">
        <v>4564</v>
      </c>
      <c r="C4060" s="21">
        <v>5.25</v>
      </c>
      <c r="D4060" s="26" t="str">
        <f>HYPERLINK("https://github.com/SpeedOfMagic/CompetitiveProgramming/blob/master/FbHkrCup/FbHkrCup%2018-Intersection.cpp","ACC")</f>
        <v>ACC</v>
      </c>
      <c r="E4060" s="17" t="s">
        <v>4531</v>
      </c>
      <c r="F4060" s="17" t="s">
        <v>242</v>
      </c>
      <c r="G4060" s="18"/>
      <c r="H4060" s="18"/>
    </row>
    <row r="4061" spans="1:8" ht="13.2">
      <c r="A4061" s="19" t="str">
        <f>HYPERLINK("http://codeforces.com/problemset/problem/798/C","CF798-D2-C")</f>
        <v>CF798-D2-C</v>
      </c>
      <c r="B4061" s="30" t="s">
        <v>4530</v>
      </c>
      <c r="C4061" s="40">
        <v>5</v>
      </c>
      <c r="D4061" s="18"/>
      <c r="E4061" s="17" t="s">
        <v>4531</v>
      </c>
      <c r="F4061" s="17" t="s">
        <v>229</v>
      </c>
      <c r="G4061" s="18"/>
      <c r="H4061" s="18"/>
    </row>
    <row r="4062" spans="1:8" ht="13.2">
      <c r="A4062" s="19" t="str">
        <f>HYPERLINK("http://codeforces.com/problemset/problem/899/D","CF899-D2-D")</f>
        <v>CF899-D2-D</v>
      </c>
      <c r="B4062" s="18" t="s">
        <v>4530</v>
      </c>
      <c r="C4062" s="17">
        <v>5</v>
      </c>
      <c r="D4062" s="18"/>
      <c r="E4062" s="17" t="s">
        <v>4531</v>
      </c>
      <c r="F4062" s="17" t="s">
        <v>229</v>
      </c>
      <c r="G4062" s="18"/>
      <c r="H4062" s="18"/>
    </row>
    <row r="4063" spans="1:8" ht="13.2">
      <c r="A4063" s="15" t="s">
        <v>4657</v>
      </c>
      <c r="B4063" s="18" t="s">
        <v>4658</v>
      </c>
      <c r="C4063" s="17">
        <v>5</v>
      </c>
      <c r="D4063" s="26" t="str">
        <f>HYPERLINK("https://github.com/AliOsm/CompetitiveProgramming/blob/master/TopCoder/SRM394-D2-1000.cpp","Sol")</f>
        <v>Sol</v>
      </c>
      <c r="E4063" s="17" t="s">
        <v>4531</v>
      </c>
      <c r="F4063" s="17" t="s">
        <v>229</v>
      </c>
      <c r="G4063" s="18"/>
      <c r="H4063" s="18"/>
    </row>
    <row r="4064" spans="1:8" ht="13.2">
      <c r="A4064" s="19" t="str">
        <f>HYPERLINK("http://codeforces.com/contest/1040/problem/D","CF1040-D2-D")</f>
        <v>CF1040-D2-D</v>
      </c>
      <c r="B4064" s="37" t="s">
        <v>4659</v>
      </c>
      <c r="C4064" s="17">
        <v>5</v>
      </c>
      <c r="D4064" s="26" t="str">
        <f>HYPERLINK("http://codeforces.com/blog/entry/61675","Read post and comments after trying (C++)")</f>
        <v>Read post and comments after trying (C++)</v>
      </c>
      <c r="E4064" s="17" t="s">
        <v>4531</v>
      </c>
      <c r="F4064" s="17" t="s">
        <v>154</v>
      </c>
      <c r="G4064" s="18"/>
      <c r="H4064" s="18"/>
    </row>
    <row r="4065" spans="1:8" ht="13.2">
      <c r="A4065" s="19" t="str">
        <f>HYPERLINK("http://codeforces.com/contest/349/problem/C","CF349-D2-C")</f>
        <v>CF349-D2-C</v>
      </c>
      <c r="B4065" s="29" t="s">
        <v>4530</v>
      </c>
      <c r="C4065" s="17">
        <v>5</v>
      </c>
      <c r="D4065" s="18"/>
      <c r="E4065" s="17" t="s">
        <v>4531</v>
      </c>
      <c r="F4065" s="17" t="s">
        <v>139</v>
      </c>
      <c r="G4065" s="18"/>
      <c r="H4065" s="18"/>
    </row>
    <row r="4066" spans="1:8" ht="13.2">
      <c r="A4066" s="19" t="str">
        <f>HYPERLINK("https://codeforces.com/contest/396/problem/A","CF396-D2-C")</f>
        <v>CF396-D2-C</v>
      </c>
      <c r="B4066" s="15" t="s">
        <v>4530</v>
      </c>
      <c r="C4066" s="21">
        <v>5</v>
      </c>
      <c r="D4066" s="18"/>
      <c r="E4066" s="17" t="s">
        <v>4531</v>
      </c>
      <c r="F4066" s="17" t="s">
        <v>139</v>
      </c>
      <c r="G4066" s="18"/>
      <c r="H4066" s="18"/>
    </row>
    <row r="4067" spans="1:8" ht="13.2">
      <c r="A4067" s="19" t="str">
        <f>HYPERLINK("https://www.codechef.com/JUNE19A/problems/CHFING","Codechef CHFING")</f>
        <v>Codechef CHFING</v>
      </c>
      <c r="B4067" s="20" t="s">
        <v>4530</v>
      </c>
      <c r="C4067" s="21">
        <v>5</v>
      </c>
      <c r="D4067" s="18"/>
      <c r="E4067" s="17" t="s">
        <v>4531</v>
      </c>
      <c r="F4067" s="17" t="s">
        <v>139</v>
      </c>
      <c r="G4067" s="18"/>
      <c r="H4067" s="18"/>
    </row>
    <row r="4068" spans="1:8" ht="13.2">
      <c r="A4068" s="19" t="str">
        <f>HYPERLINK("https://codingcompetitions.withgoogle.com/codejam/round/0000000000051705/000000000008830b","CODEJAM 19-Qualification-C")</f>
        <v>CODEJAM 19-Qualification-C</v>
      </c>
      <c r="B4068" s="20" t="s">
        <v>4530</v>
      </c>
      <c r="C4068" s="17">
        <v>5</v>
      </c>
      <c r="D4068" s="18"/>
      <c r="E4068" s="17" t="s">
        <v>4531</v>
      </c>
      <c r="F4068" s="17" t="s">
        <v>139</v>
      </c>
      <c r="G4068" s="18"/>
      <c r="H4068" s="18"/>
    </row>
    <row r="4069" spans="1:8" ht="13.2">
      <c r="A4069" s="19" t="str">
        <f>HYPERLINK("https://www.facebook.com/hackercup/problem/432000547357525/","FbHkrCup 19-R2-A")</f>
        <v>FbHkrCup 19-R2-A</v>
      </c>
      <c r="B4069" s="20" t="s">
        <v>4530</v>
      </c>
      <c r="C4069" s="17">
        <v>5</v>
      </c>
      <c r="D4069" s="18"/>
      <c r="E4069" s="17" t="s">
        <v>4531</v>
      </c>
      <c r="F4069" s="17" t="s">
        <v>139</v>
      </c>
      <c r="G4069" s="18"/>
      <c r="H4069" s="18"/>
    </row>
    <row r="4070" spans="1:8" ht="13.2">
      <c r="A4070" s="19" t="str">
        <f>HYPERLINK("http://codeforces.com/contest/633/problem/A","CF633-D12-A")</f>
        <v>CF633-D12-A</v>
      </c>
      <c r="B4070" s="15" t="s">
        <v>4660</v>
      </c>
      <c r="C4070" s="17">
        <v>5</v>
      </c>
      <c r="D4070" s="18" t="s">
        <v>1115</v>
      </c>
      <c r="E4070" s="17" t="s">
        <v>4531</v>
      </c>
      <c r="F4070" s="17" t="s">
        <v>139</v>
      </c>
      <c r="G4070" s="18"/>
      <c r="H4070" s="18"/>
    </row>
    <row r="4071" spans="1:8" ht="13.2">
      <c r="A4071" s="19" t="str">
        <f>HYPERLINK("https://codeforces.com/contest/1220/problem/D","CF1220-D12-D")</f>
        <v>CF1220-D12-D</v>
      </c>
      <c r="B4071" s="20" t="s">
        <v>4535</v>
      </c>
      <c r="C4071" s="17">
        <v>5</v>
      </c>
      <c r="D4071" s="18"/>
      <c r="E4071" s="17" t="s">
        <v>4531</v>
      </c>
      <c r="F4071" s="17" t="s">
        <v>139</v>
      </c>
      <c r="G4071" s="18"/>
      <c r="H4071" s="18"/>
    </row>
    <row r="4072" spans="1:8" ht="13.2">
      <c r="A4072" s="19" t="str">
        <f>HYPERLINK("http://codeforces.com/contest/451/problem/D","CF451-D2-D")</f>
        <v>CF451-D2-D</v>
      </c>
      <c r="B4072" s="29" t="s">
        <v>4661</v>
      </c>
      <c r="C4072" s="17">
        <v>5</v>
      </c>
      <c r="D4072" s="18"/>
      <c r="E4072" s="17" t="s">
        <v>4531</v>
      </c>
      <c r="F4072" s="17" t="s">
        <v>139</v>
      </c>
      <c r="G4072" s="18"/>
      <c r="H4072" s="18"/>
    </row>
    <row r="4073" spans="1:8" ht="13.2">
      <c r="A4073" s="19" t="str">
        <f>HYPERLINK("http://codeforces.com/contest/701/problem/D","CF701-D2-D")</f>
        <v>CF701-D2-D</v>
      </c>
      <c r="B4073" s="29" t="s">
        <v>4662</v>
      </c>
      <c r="C4073" s="17">
        <v>5</v>
      </c>
      <c r="D4073" s="26" t="str">
        <f>HYPERLINK("https://github.com/ahmedsamir221/CompetitiveProgramming/blob/master/CodeForces/CF701-D2-D.cpp","Sol (not intended)")</f>
        <v>Sol (not intended)</v>
      </c>
      <c r="E4073" s="17" t="s">
        <v>4531</v>
      </c>
      <c r="F4073" s="17" t="s">
        <v>139</v>
      </c>
      <c r="G4073" s="18"/>
      <c r="H4073" s="18"/>
    </row>
    <row r="4074" spans="1:8" ht="13.2">
      <c r="A4074" s="19" t="str">
        <f>HYPERLINK("https://www.codechef.com/DEC18A/problems/INTXOR","CODECHEF INTXOR")</f>
        <v>CODECHEF INTXOR</v>
      </c>
      <c r="B4074" s="15" t="s">
        <v>4663</v>
      </c>
      <c r="C4074" s="17">
        <v>5</v>
      </c>
      <c r="D4074" s="18"/>
      <c r="E4074" s="17" t="s">
        <v>4531</v>
      </c>
      <c r="F4074" s="17" t="s">
        <v>139</v>
      </c>
      <c r="G4074" s="18"/>
      <c r="H4074" s="18"/>
    </row>
    <row r="4075" spans="1:8" ht="13.2">
      <c r="A4075" s="19" t="str">
        <f>HYPERLINK("http://codeforces.com/contest/1167/problem/F","CF1167-D12-F")</f>
        <v>CF1167-D12-F</v>
      </c>
      <c r="B4075" s="23" t="s">
        <v>4664</v>
      </c>
      <c r="C4075" s="17">
        <v>5</v>
      </c>
      <c r="D4075" s="18"/>
      <c r="E4075" s="17" t="s">
        <v>4531</v>
      </c>
      <c r="F4075" s="17" t="s">
        <v>139</v>
      </c>
      <c r="G4075" s="18"/>
      <c r="H4075" s="18"/>
    </row>
    <row r="4076" spans="1:8" ht="13.2">
      <c r="A4076" s="19" t="str">
        <f>HYPERLINK("https://codeforces.com/contest/1244/problem/C","CF1244-D2-C")</f>
        <v>CF1244-D2-C</v>
      </c>
      <c r="B4076" s="20" t="s">
        <v>4564</v>
      </c>
      <c r="C4076" s="17">
        <v>5</v>
      </c>
      <c r="D4076" s="18"/>
      <c r="E4076" s="17" t="s">
        <v>4531</v>
      </c>
      <c r="F4076" s="17" t="s">
        <v>139</v>
      </c>
      <c r="G4076" s="18"/>
      <c r="H4076" s="18"/>
    </row>
    <row r="4077" spans="1:8" ht="13.2">
      <c r="A4077" s="19" t="str">
        <f>HYPERLINK("https://codeforces.com/contest/397/problem/D","CF397-D2-D")</f>
        <v>CF397-D2-D</v>
      </c>
      <c r="B4077" s="20" t="s">
        <v>4564</v>
      </c>
      <c r="C4077" s="21">
        <v>5</v>
      </c>
      <c r="D4077" s="18"/>
      <c r="E4077" s="17" t="s">
        <v>4531</v>
      </c>
      <c r="F4077" s="17" t="s">
        <v>139</v>
      </c>
      <c r="G4077" s="18"/>
      <c r="H4077" s="18"/>
    </row>
    <row r="4078" spans="1:8" ht="13.2">
      <c r="A4078" s="19" t="str">
        <f>HYPERLINK("http://codeforces.com/problemset/problem/1016/D","CF1016-D12-D")</f>
        <v>CF1016-D12-D</v>
      </c>
      <c r="B4078" s="29" t="s">
        <v>4665</v>
      </c>
      <c r="C4078" s="21">
        <v>5</v>
      </c>
      <c r="D4078" s="18"/>
      <c r="E4078" s="17" t="s">
        <v>4531</v>
      </c>
      <c r="F4078" s="17" t="s">
        <v>139</v>
      </c>
      <c r="G4078" s="18"/>
      <c r="H4078" s="18"/>
    </row>
    <row r="4079" spans="1:8" ht="13.2">
      <c r="A4079" s="19" t="str">
        <f>HYPERLINK("https://codeforces.com/contest/1079/problem/D","CF1079-D2-D")</f>
        <v>CF1079-D2-D</v>
      </c>
      <c r="B4079" s="15" t="s">
        <v>4530</v>
      </c>
      <c r="C4079" s="17">
        <v>5</v>
      </c>
      <c r="D4079" s="18"/>
      <c r="E4079" s="17" t="s">
        <v>4531</v>
      </c>
      <c r="F4079" s="17" t="s">
        <v>201</v>
      </c>
      <c r="G4079" s="18"/>
      <c r="H4079" s="18"/>
    </row>
    <row r="4080" spans="1:8" ht="13.2">
      <c r="A4080" s="19" t="str">
        <f>HYPERLINK("https://codeforces.com/contest/1185/problem/D", "CF1185-D2-D")</f>
        <v>CF1185-D2-D</v>
      </c>
      <c r="B4080" s="15" t="s">
        <v>4530</v>
      </c>
      <c r="C4080" s="17">
        <v>5</v>
      </c>
      <c r="D4080" s="18"/>
      <c r="E4080" s="17" t="s">
        <v>4531</v>
      </c>
      <c r="F4080" s="17" t="s">
        <v>201</v>
      </c>
      <c r="G4080" s="18"/>
      <c r="H4080" s="18"/>
    </row>
    <row r="4081" spans="1:8" ht="13.2">
      <c r="A4081" s="19" t="str">
        <f>HYPERLINK("https://uva.onlinejudge.org/index.php?option=com_onlinejudge&amp;Itemid=8&amp;page=show_problem&amp;problem=64","UVA 128")</f>
        <v>UVA 128</v>
      </c>
      <c r="B4081" s="29" t="s">
        <v>4666</v>
      </c>
      <c r="C4081" s="17">
        <v>5</v>
      </c>
      <c r="D4081" s="26" t="str">
        <f>HYPERLINK("http://roprogrammer.blogspot.com/2010/01/uva-problem-128-software-crc.html","Sol")</f>
        <v>Sol</v>
      </c>
      <c r="E4081" s="17" t="s">
        <v>4531</v>
      </c>
      <c r="F4081" s="17" t="s">
        <v>201</v>
      </c>
      <c r="G4081" s="18"/>
      <c r="H4081" s="18"/>
    </row>
    <row r="4082" spans="1:8" ht="13.2">
      <c r="A4082" s="19" t="str">
        <f>HYPERLINK("https://codeforces.com/contest/1130/problem/D2","CF1130-D2-D2")</f>
        <v>CF1130-D2-D2</v>
      </c>
      <c r="B4082" s="20" t="s">
        <v>4667</v>
      </c>
      <c r="C4082" s="21">
        <v>5</v>
      </c>
      <c r="D4082" s="18"/>
      <c r="E4082" s="17" t="s">
        <v>4531</v>
      </c>
      <c r="F4082" s="17" t="s">
        <v>201</v>
      </c>
      <c r="G4082" s="18"/>
      <c r="H4082" s="18"/>
    </row>
    <row r="4083" spans="1:8" ht="13.2">
      <c r="A4083" s="19" t="str">
        <f>HYPERLINK("http://codeforces.com/contest/535/problem/C","CF535-D2-C")</f>
        <v>CF535-D2-C</v>
      </c>
      <c r="B4083" s="29" t="s">
        <v>4653</v>
      </c>
      <c r="C4083" s="17">
        <v>5</v>
      </c>
      <c r="D4083" s="18"/>
      <c r="E4083" s="17" t="s">
        <v>4531</v>
      </c>
      <c r="F4083" s="17" t="s">
        <v>201</v>
      </c>
      <c r="G4083" s="18"/>
      <c r="H4083" s="18"/>
    </row>
    <row r="4084" spans="1:8" ht="13.2">
      <c r="A4084" s="19" t="str">
        <f>HYPERLINK("https://atcoder.jp/contests/abc140/tasks/abc140_e","AtCoder140-ABC-E")</f>
        <v>AtCoder140-ABC-E</v>
      </c>
      <c r="B4084" s="20" t="s">
        <v>4668</v>
      </c>
      <c r="C4084" s="17">
        <v>5</v>
      </c>
      <c r="D4084" s="26" t="str">
        <f>HYPERLINK("https://github.com/farmerboy95/CompetitiveProgramming/blob/master/AtCoder/AtCoder140-ABC-E.cpp","Sol")</f>
        <v>Sol</v>
      </c>
      <c r="E4084" s="17" t="s">
        <v>4531</v>
      </c>
      <c r="F4084" s="17" t="s">
        <v>201</v>
      </c>
      <c r="G4084" s="18"/>
      <c r="H4084" s="18"/>
    </row>
    <row r="4085" spans="1:8" ht="13.2">
      <c r="A4085" s="19" t="str">
        <f>HYPERLINK("http://codeforces.com/contest/451/problem/C","CF451-D2-C")</f>
        <v>CF451-D2-C</v>
      </c>
      <c r="B4085" s="29" t="s">
        <v>4669</v>
      </c>
      <c r="C4085" s="17">
        <v>5</v>
      </c>
      <c r="D4085" s="18"/>
      <c r="E4085" s="17" t="s">
        <v>4531</v>
      </c>
      <c r="F4085" s="17" t="s">
        <v>201</v>
      </c>
      <c r="G4085" s="18"/>
      <c r="H4085" s="18"/>
    </row>
    <row r="4086" spans="1:8" ht="13.2">
      <c r="A4086" s="19" t="str">
        <f>HYPERLINK("http://codeforces.com/problemset/problem/955/C","CF955-D2-C")</f>
        <v>CF955-D2-C</v>
      </c>
      <c r="B4086" s="29" t="s">
        <v>4564</v>
      </c>
      <c r="C4086" s="17">
        <v>5</v>
      </c>
      <c r="D4086" s="18"/>
      <c r="E4086" s="17" t="s">
        <v>4531</v>
      </c>
      <c r="F4086" s="17" t="s">
        <v>201</v>
      </c>
      <c r="G4086" s="18"/>
      <c r="H4086" s="18"/>
    </row>
    <row r="4087" spans="1:8" ht="13.2">
      <c r="A4087" s="19" t="str">
        <f>HYPERLINK("http://codeforces.com/contest/45/problem/D","CF45-D12-D")</f>
        <v>CF45-D12-D</v>
      </c>
      <c r="B4087" s="37" t="s">
        <v>4670</v>
      </c>
      <c r="C4087" s="17">
        <v>5</v>
      </c>
      <c r="D4087" s="26" t="str">
        <f>HYPERLINK("https://github.com/ahmedsamir221/CompetitiveProgramming/blob/master/CodeForces/CF45-D12-D.cpp","Sol (not intended)")</f>
        <v>Sol (not intended)</v>
      </c>
      <c r="E4087" s="17" t="s">
        <v>4531</v>
      </c>
      <c r="F4087" s="17" t="s">
        <v>201</v>
      </c>
      <c r="G4087" s="18"/>
      <c r="H4087" s="18"/>
    </row>
    <row r="4088" spans="1:8" ht="13.2">
      <c r="A4088" s="19" t="str">
        <f>HYPERLINK("http://codeforces.com/contest/322/problem/C","CF322-D2-C")</f>
        <v>CF322-D2-C</v>
      </c>
      <c r="B4088" s="29" t="s">
        <v>4671</v>
      </c>
      <c r="C4088" s="17">
        <v>5</v>
      </c>
      <c r="D4088" s="18"/>
      <c r="E4088" s="17" t="s">
        <v>4531</v>
      </c>
      <c r="F4088" s="17" t="s">
        <v>242</v>
      </c>
      <c r="G4088" s="18"/>
      <c r="H4088" s="18"/>
    </row>
    <row r="4089" spans="1:8" ht="13.2">
      <c r="A4089" s="19" t="str">
        <f>HYPERLINK("http://codeforces.com/contest/499/problem/C","CF499-D2-C")</f>
        <v>CF499-D2-C</v>
      </c>
      <c r="B4089" s="29" t="s">
        <v>4544</v>
      </c>
      <c r="C4089" s="17">
        <v>5</v>
      </c>
      <c r="D4089" s="18"/>
      <c r="E4089" s="17" t="s">
        <v>4531</v>
      </c>
      <c r="F4089" s="17" t="s">
        <v>242</v>
      </c>
      <c r="G4089" s="18"/>
      <c r="H4089" s="18"/>
    </row>
    <row r="4090" spans="1:8" ht="13.2">
      <c r="A4090" s="19" t="str">
        <f>HYPERLINK("https://beta.atcoder.jp/contests/agc028/tasks/agc028_a", "AtCoder028-AGC-A")</f>
        <v>AtCoder028-AGC-A</v>
      </c>
      <c r="B4090" s="20" t="s">
        <v>4530</v>
      </c>
      <c r="C4090" s="21">
        <v>5</v>
      </c>
      <c r="D4090" s="18"/>
      <c r="E4090" s="17" t="s">
        <v>4531</v>
      </c>
      <c r="F4090" s="17"/>
      <c r="G4090" s="18"/>
      <c r="H4090" s="18"/>
    </row>
    <row r="4091" spans="1:8" ht="13.2">
      <c r="A4091" s="19" t="str">
        <f>HYPERLINK("http://codeforces.com/contest/1029/problem/D","CF1029-D3-D")</f>
        <v>CF1029-D3-D</v>
      </c>
      <c r="B4091" s="20" t="s">
        <v>4530</v>
      </c>
      <c r="C4091" s="17">
        <v>5</v>
      </c>
      <c r="D4091" s="18"/>
      <c r="E4091" s="17" t="s">
        <v>4531</v>
      </c>
      <c r="F4091" s="17"/>
      <c r="G4091" s="18"/>
      <c r="H4091" s="18"/>
    </row>
    <row r="4092" spans="1:8" ht="13.2">
      <c r="A4092" s="19" t="str">
        <f>HYPERLINK("http://codeforces.com/contest/199/problem/C","CF199-D2-C")</f>
        <v>CF199-D2-C</v>
      </c>
      <c r="B4092" s="29" t="s">
        <v>4530</v>
      </c>
      <c r="C4092" s="17">
        <v>5</v>
      </c>
      <c r="D4092" s="18"/>
      <c r="E4092" s="17" t="s">
        <v>4531</v>
      </c>
      <c r="F4092" s="17"/>
      <c r="G4092" s="18"/>
      <c r="H4092" s="18"/>
    </row>
    <row r="4093" spans="1:8" ht="13.2">
      <c r="A4093" s="19" t="str">
        <f>HYPERLINK("http://codeforces.com/contest/520/problem/C","CF520-D2-C")</f>
        <v>CF520-D2-C</v>
      </c>
      <c r="B4093" s="29" t="s">
        <v>4530</v>
      </c>
      <c r="C4093" s="17">
        <v>5</v>
      </c>
      <c r="D4093" s="18"/>
      <c r="E4093" s="17" t="s">
        <v>4531</v>
      </c>
      <c r="F4093" s="17"/>
      <c r="G4093" s="18"/>
      <c r="H4093" s="18"/>
    </row>
    <row r="4094" spans="1:8" ht="13.2">
      <c r="A4094" s="19" t="str">
        <f>HYPERLINK("http://codeforces.com/contest/676/problem/E","CF676-D2-E")</f>
        <v>CF676-D2-E</v>
      </c>
      <c r="B4094" s="15" t="s">
        <v>4530</v>
      </c>
      <c r="C4094" s="24">
        <v>5</v>
      </c>
      <c r="D4094" s="18"/>
      <c r="E4094" s="17" t="s">
        <v>4531</v>
      </c>
      <c r="F4094" s="17"/>
      <c r="G4094" s="18"/>
      <c r="H4094" s="18"/>
    </row>
    <row r="4095" spans="1:8" ht="13.2">
      <c r="A4095" s="19" t="str">
        <f>HYPERLINK("http://codeforces.com/contest/803/problem/C","CF803-D12-C")</f>
        <v>CF803-D12-C</v>
      </c>
      <c r="B4095" s="18" t="s">
        <v>4530</v>
      </c>
      <c r="C4095" s="17">
        <v>5</v>
      </c>
      <c r="D4095" s="18"/>
      <c r="E4095" s="17" t="s">
        <v>4531</v>
      </c>
      <c r="F4095" s="17"/>
      <c r="G4095" s="18"/>
      <c r="H4095" s="18"/>
    </row>
    <row r="4096" spans="1:8" ht="13.2">
      <c r="A4096" s="19" t="str">
        <f>HYPERLINK("http://codeforces.com/contest/957/problem/C","CF957-D2-C")</f>
        <v>CF957-D2-C</v>
      </c>
      <c r="B4096" s="18" t="s">
        <v>4530</v>
      </c>
      <c r="C4096" s="17">
        <v>5</v>
      </c>
      <c r="D4096" s="18"/>
      <c r="E4096" s="17" t="s">
        <v>4531</v>
      </c>
      <c r="F4096" s="17"/>
      <c r="G4096" s="18"/>
      <c r="H4096" s="18"/>
    </row>
    <row r="4097" spans="1:8" ht="13.2">
      <c r="A4097" s="19" t="str">
        <f>HYPERLINK("https://www.codechef.com/problems/PRMDIV", "CODECHEF PRMDIV")</f>
        <v>CODECHEF PRMDIV</v>
      </c>
      <c r="B4097" s="20" t="s">
        <v>4530</v>
      </c>
      <c r="C4097" s="21">
        <v>5</v>
      </c>
      <c r="D4097" s="18"/>
      <c r="E4097" s="17" t="s">
        <v>4531</v>
      </c>
      <c r="F4097" s="17"/>
      <c r="G4097" s="18"/>
      <c r="H4097" s="18"/>
    </row>
    <row r="4098" spans="1:8" ht="13.2">
      <c r="A4098" s="15" t="s">
        <v>4672</v>
      </c>
      <c r="B4098" s="34" t="s">
        <v>4530</v>
      </c>
      <c r="C4098" s="17">
        <v>5</v>
      </c>
      <c r="D4098" s="18"/>
      <c r="E4098" s="17" t="s">
        <v>4531</v>
      </c>
      <c r="F4098" s="17"/>
      <c r="G4098" s="18"/>
      <c r="H4098" s="18"/>
    </row>
    <row r="4099" spans="1:8" ht="13.2">
      <c r="A4099" s="15" t="s">
        <v>4673</v>
      </c>
      <c r="B4099" s="29" t="s">
        <v>4530</v>
      </c>
      <c r="C4099" s="31">
        <v>5</v>
      </c>
      <c r="D4099" s="18"/>
      <c r="E4099" s="24" t="s">
        <v>4531</v>
      </c>
      <c r="F4099" s="17"/>
      <c r="G4099" s="18"/>
      <c r="H4099" s="18"/>
    </row>
    <row r="4100" spans="1:8" ht="13.2">
      <c r="A4100" s="15" t="s">
        <v>4674</v>
      </c>
      <c r="B4100" s="28" t="s">
        <v>4530</v>
      </c>
      <c r="C4100" s="24">
        <v>5</v>
      </c>
      <c r="D4100" s="18"/>
      <c r="E4100" s="17" t="s">
        <v>4531</v>
      </c>
      <c r="F4100" s="17"/>
      <c r="G4100" s="18"/>
      <c r="H4100" s="18"/>
    </row>
    <row r="4101" spans="1:8" ht="13.2">
      <c r="A4101" s="15" t="s">
        <v>4675</v>
      </c>
      <c r="B4101" s="29" t="s">
        <v>4530</v>
      </c>
      <c r="C4101" s="17">
        <v>5</v>
      </c>
      <c r="D4101" s="18"/>
      <c r="E4101" s="17" t="s">
        <v>4531</v>
      </c>
      <c r="F4101" s="17"/>
      <c r="G4101" s="18"/>
      <c r="H4101" s="18"/>
    </row>
    <row r="4102" spans="1:8" ht="13.2">
      <c r="A4102" s="19" t="str">
        <f>HYPERLINK("https://uva.onlinejudge.org/index.php?option=com_onlinejudge&amp;Itemid=8&amp;page=show_problem&amp;problem=62","UVA 126")</f>
        <v>UVA 126</v>
      </c>
      <c r="B4102" s="29" t="s">
        <v>4530</v>
      </c>
      <c r="C4102" s="17">
        <v>5</v>
      </c>
      <c r="D4102" s="26" t="str">
        <f>HYPERLINK("https://github.com/abdullaAshraf/Problem-Solving/blob/master/UVA/126.cpp","Sol")</f>
        <v>Sol</v>
      </c>
      <c r="E4102" s="17" t="s">
        <v>4531</v>
      </c>
      <c r="F4102" s="17"/>
      <c r="G4102" s="18"/>
      <c r="H4102" s="18"/>
    </row>
    <row r="4103" spans="1:8" ht="13.2">
      <c r="A4103" s="15" t="s">
        <v>4676</v>
      </c>
      <c r="B4103" s="29" t="s">
        <v>4677</v>
      </c>
      <c r="C4103" s="17">
        <v>5</v>
      </c>
      <c r="D4103" s="26" t="str">
        <f>HYPERLINK("https://github.com/morris821028/UVa/blob/master/volume005/545%20-%20Heads.cpp","Sol")</f>
        <v>Sol</v>
      </c>
      <c r="E4103" s="17" t="s">
        <v>4531</v>
      </c>
      <c r="F4103" s="17"/>
      <c r="G4103" s="18"/>
      <c r="H4103" s="18"/>
    </row>
    <row r="4104" spans="1:8" ht="13.2">
      <c r="A4104" s="15" t="s">
        <v>4678</v>
      </c>
      <c r="B4104" s="18" t="s">
        <v>4679</v>
      </c>
      <c r="C4104" s="31">
        <v>5</v>
      </c>
      <c r="D4104" s="18"/>
      <c r="E4104" s="17" t="s">
        <v>4531</v>
      </c>
      <c r="F4104" s="17"/>
      <c r="G4104" s="18"/>
      <c r="H4104" s="18"/>
    </row>
    <row r="4105" spans="1:8" ht="13.2">
      <c r="A4105" s="19" t="str">
        <f>HYPERLINK("http://codeforces.com/contest/895/problem/D","CF895-D2-D")</f>
        <v>CF895-D2-D</v>
      </c>
      <c r="B4105" s="18" t="s">
        <v>4680</v>
      </c>
      <c r="C4105" s="17">
        <v>5</v>
      </c>
      <c r="D4105" s="18"/>
      <c r="E4105" s="17" t="s">
        <v>4531</v>
      </c>
      <c r="F4105" s="17"/>
      <c r="G4105" s="18"/>
      <c r="H4105" s="18"/>
    </row>
    <row r="4106" spans="1:8" ht="13.2">
      <c r="A4106" s="19" t="str">
        <f>HYPERLINK("http://codeforces.com/contest/892/problem/D","CF892-D2-D")</f>
        <v>CF892-D2-D</v>
      </c>
      <c r="B4106" s="18" t="s">
        <v>4681</v>
      </c>
      <c r="C4106" s="17">
        <v>5</v>
      </c>
      <c r="D4106" s="18"/>
      <c r="E4106" s="17" t="s">
        <v>4531</v>
      </c>
      <c r="F4106" s="17"/>
      <c r="G4106" s="18"/>
      <c r="H4106" s="18"/>
    </row>
    <row r="4107" spans="1:8" ht="13.2">
      <c r="A4107" s="15" t="s">
        <v>4682</v>
      </c>
      <c r="B4107" s="18" t="s">
        <v>4683</v>
      </c>
      <c r="C4107" s="17">
        <v>5</v>
      </c>
      <c r="D4107" s="26" t="str">
        <f>HYPERLINK("https://ideone.com/Rgvbck","Sol")</f>
        <v>Sol</v>
      </c>
      <c r="E4107" s="17" t="s">
        <v>4531</v>
      </c>
      <c r="F4107" s="17"/>
      <c r="G4107" s="18"/>
      <c r="H4107" s="18"/>
    </row>
    <row r="4108" spans="1:8" ht="13.2">
      <c r="A4108" s="15" t="s">
        <v>4684</v>
      </c>
      <c r="B4108" s="28" t="s">
        <v>4562</v>
      </c>
      <c r="C4108" s="24">
        <v>5</v>
      </c>
      <c r="D4108" s="26" t="str">
        <f>HYPERLINK("https://github.com/ryuzmukhametov/CompetitiveProgramming/blob/master/uva/UVA%2010442.cpp", "Sol")</f>
        <v>Sol</v>
      </c>
      <c r="E4108" s="17" t="s">
        <v>4531</v>
      </c>
      <c r="F4108" s="17"/>
      <c r="G4108" s="18"/>
      <c r="H4108" s="18"/>
    </row>
    <row r="4109" spans="1:8" ht="13.2">
      <c r="A4109" s="19" t="str">
        <f>HYPERLINK("http://codeforces.com/contest/1062/problem/B", "CF1062-D2-B")</f>
        <v>CF1062-D2-B</v>
      </c>
      <c r="B4109" s="20" t="s">
        <v>4564</v>
      </c>
      <c r="C4109" s="21">
        <v>5</v>
      </c>
      <c r="D4109" s="18"/>
      <c r="E4109" s="17" t="s">
        <v>4531</v>
      </c>
      <c r="F4109" s="17"/>
      <c r="G4109" s="18"/>
      <c r="H4109" s="18"/>
    </row>
    <row r="4110" spans="1:8" ht="13.2">
      <c r="A4110" s="19" t="str">
        <f>HYPERLINK("https://csacademy.com/contest/round-63/task/find-remainder/","CSA63-C")</f>
        <v>CSA63-C</v>
      </c>
      <c r="B4110" s="15" t="s">
        <v>4564</v>
      </c>
      <c r="C4110" s="17">
        <v>5</v>
      </c>
      <c r="D4110" s="18"/>
      <c r="E4110" s="17" t="s">
        <v>4531</v>
      </c>
      <c r="F4110" s="17"/>
      <c r="G4110" s="18"/>
      <c r="H4110" s="18"/>
    </row>
    <row r="4111" spans="1:8" ht="13.2">
      <c r="A4111" s="15" t="s">
        <v>4685</v>
      </c>
      <c r="B4111" s="48" t="s">
        <v>4564</v>
      </c>
      <c r="C4111" s="17">
        <v>5</v>
      </c>
      <c r="D4111" s="18"/>
      <c r="E4111" s="17" t="s">
        <v>4531</v>
      </c>
      <c r="F4111" s="17"/>
      <c r="G4111" s="18"/>
      <c r="H4111" s="18"/>
    </row>
    <row r="4112" spans="1:8" ht="13.2">
      <c r="A4112" s="19" t="str">
        <f>HYPERLINK("http://codeforces.com/gym/101102/problem/J","CF101102-gym-J")</f>
        <v>CF101102-gym-J</v>
      </c>
      <c r="B4112" s="15" t="s">
        <v>4686</v>
      </c>
      <c r="C4112" s="17">
        <v>5</v>
      </c>
      <c r="D4112" s="26" t="str">
        <f>HYPERLINK("https://github.com/Mahmoud3ali/CompetitiveProgramming/blob/master/CodeForces/CF101102-GYM-J.cpp","Sol")</f>
        <v>Sol</v>
      </c>
      <c r="E4112" s="17" t="s">
        <v>4531</v>
      </c>
      <c r="F4112" s="17"/>
      <c r="G4112" s="18"/>
      <c r="H4112" s="18"/>
    </row>
    <row r="4113" spans="1:8" ht="13.2">
      <c r="A4113" s="19" t="str">
        <f>HYPERLINK("https://atcoder.jp/contests/abc134/tasks/abc134_f","AtCoder134-ABC-F")</f>
        <v>AtCoder134-ABC-F</v>
      </c>
      <c r="B4113" s="15" t="s">
        <v>4687</v>
      </c>
      <c r="C4113" s="17">
        <v>5</v>
      </c>
      <c r="D4113" s="18"/>
      <c r="E4113" s="17" t="s">
        <v>4531</v>
      </c>
      <c r="F4113" s="17"/>
      <c r="G4113" s="18"/>
      <c r="H4113" s="18"/>
    </row>
    <row r="4114" spans="1:8" ht="13.2">
      <c r="A4114" s="15" t="s">
        <v>4688</v>
      </c>
      <c r="B4114" s="34" t="s">
        <v>4577</v>
      </c>
      <c r="C4114" s="17">
        <v>5</v>
      </c>
      <c r="D4114" s="26" t="str">
        <f>HYPERLINK("https://github.com/MedoN11/CompetitiveProgramming/blob/master/TopCoder/SRM552-D2-500.java","Sol")</f>
        <v>Sol</v>
      </c>
      <c r="E4114" s="17" t="s">
        <v>4531</v>
      </c>
      <c r="F4114" s="17"/>
      <c r="G4114" s="18"/>
      <c r="H4114" s="18"/>
    </row>
    <row r="4115" spans="1:8" ht="13.2">
      <c r="A4115" s="19" t="str">
        <f>HYPERLINK("http://agc016.contest.atcoder.jp/tasks/agc016_b","AtCoder016-AGC-B")</f>
        <v>AtCoder016-AGC-B</v>
      </c>
      <c r="B4115" s="18" t="s">
        <v>4689</v>
      </c>
      <c r="C4115" s="17">
        <v>5</v>
      </c>
      <c r="D4115" s="18"/>
      <c r="E4115" s="17" t="s">
        <v>4531</v>
      </c>
      <c r="F4115" s="17"/>
      <c r="G4115" s="18"/>
      <c r="H4115" s="18"/>
    </row>
    <row r="4116" spans="1:8" ht="13.2">
      <c r="A4116" s="15" t="s">
        <v>4690</v>
      </c>
      <c r="B4116" s="28" t="s">
        <v>4691</v>
      </c>
      <c r="C4116" s="17">
        <v>5</v>
      </c>
      <c r="D4116" s="18"/>
      <c r="E4116" s="17" t="s">
        <v>4531</v>
      </c>
      <c r="F4116" s="17"/>
      <c r="G4116" s="18"/>
      <c r="H4116" s="18"/>
    </row>
    <row r="4117" spans="1:8" ht="13.2">
      <c r="A4117" s="15" t="s">
        <v>4692</v>
      </c>
      <c r="B4117" s="28" t="s">
        <v>4693</v>
      </c>
      <c r="C4117" s="17">
        <v>5</v>
      </c>
      <c r="D4117" s="18"/>
      <c r="E4117" s="17" t="s">
        <v>4531</v>
      </c>
      <c r="F4117" s="17"/>
      <c r="G4117" s="18"/>
      <c r="H4117" s="18"/>
    </row>
    <row r="4118" spans="1:8" ht="13.2">
      <c r="A4118" s="15" t="s">
        <v>4694</v>
      </c>
      <c r="B4118" s="34" t="s">
        <v>4541</v>
      </c>
      <c r="C4118" s="17">
        <v>5</v>
      </c>
      <c r="D4118" s="18"/>
      <c r="E4118" s="17" t="s">
        <v>4531</v>
      </c>
      <c r="F4118" s="17"/>
      <c r="G4118" s="18"/>
      <c r="H4118" s="18"/>
    </row>
    <row r="4119" spans="1:8" ht="13.2">
      <c r="A4119" s="19" t="str">
        <f>HYPERLINK("http://codeforces.com/contest/195/problem/D","CF195-D2-D")</f>
        <v>CF195-D2-D</v>
      </c>
      <c r="B4119" s="29" t="s">
        <v>4695</v>
      </c>
      <c r="C4119" s="17">
        <v>5</v>
      </c>
      <c r="D4119" s="18"/>
      <c r="E4119" s="17" t="s">
        <v>4531</v>
      </c>
      <c r="F4119" s="17"/>
      <c r="G4119" s="18"/>
      <c r="H4119" s="18"/>
    </row>
    <row r="4120" spans="1:8" ht="13.2">
      <c r="A4120" s="15" t="s">
        <v>4696</v>
      </c>
      <c r="B4120" s="15" t="s">
        <v>4697</v>
      </c>
      <c r="C4120" s="17">
        <v>4.5</v>
      </c>
      <c r="D4120" s="18"/>
      <c r="E4120" s="17" t="s">
        <v>4531</v>
      </c>
      <c r="F4120" s="17" t="s">
        <v>154</v>
      </c>
      <c r="G4120" s="18"/>
      <c r="H4120" s="18"/>
    </row>
    <row r="4121" spans="1:8" ht="13.2">
      <c r="A4121" s="19" t="str">
        <f>HYPERLINK("https://codeforces.com/contest/1186/problem/C","CF1186-D2-C")</f>
        <v>CF1186-D2-C</v>
      </c>
      <c r="B4121" s="15" t="s">
        <v>4698</v>
      </c>
      <c r="C4121" s="17">
        <v>4.5</v>
      </c>
      <c r="D4121" s="18"/>
      <c r="E4121" s="17" t="s">
        <v>4531</v>
      </c>
      <c r="F4121" s="17" t="s">
        <v>154</v>
      </c>
      <c r="G4121" s="18"/>
      <c r="H4121" s="18"/>
    </row>
    <row r="4122" spans="1:8" ht="13.2">
      <c r="A4122" s="19" t="str">
        <f>HYPERLINK("https://codeforces.com/contest/1093/problem/C","CF1093-D12-C")</f>
        <v>CF1093-D12-C</v>
      </c>
      <c r="B4122" s="20" t="s">
        <v>4530</v>
      </c>
      <c r="C4122" s="17">
        <v>4.5</v>
      </c>
      <c r="D4122" s="18"/>
      <c r="E4122" s="17" t="s">
        <v>4531</v>
      </c>
      <c r="F4122" s="17" t="s">
        <v>139</v>
      </c>
      <c r="G4122" s="18"/>
      <c r="H4122" s="18"/>
    </row>
    <row r="4123" spans="1:8" ht="13.2">
      <c r="A4123" s="15" t="s">
        <v>4699</v>
      </c>
      <c r="B4123" s="37" t="s">
        <v>4564</v>
      </c>
      <c r="C4123" s="17">
        <v>4.5</v>
      </c>
      <c r="D4123" s="18"/>
      <c r="E4123" s="17" t="s">
        <v>4531</v>
      </c>
      <c r="F4123" s="17" t="s">
        <v>139</v>
      </c>
      <c r="G4123" s="18"/>
      <c r="H4123" s="18"/>
    </row>
    <row r="4124" spans="1:8" ht="13.2">
      <c r="A4124" s="15" t="s">
        <v>4700</v>
      </c>
      <c r="B4124" s="37" t="s">
        <v>4564</v>
      </c>
      <c r="C4124" s="17">
        <v>4.5</v>
      </c>
      <c r="D4124" s="18"/>
      <c r="E4124" s="17" t="s">
        <v>4531</v>
      </c>
      <c r="F4124" s="17" t="s">
        <v>139</v>
      </c>
      <c r="G4124" s="18"/>
      <c r="H4124" s="18"/>
    </row>
    <row r="4125" spans="1:8" ht="13.2">
      <c r="A4125" s="19" t="str">
        <f>HYPERLINK("https://uva.onlinejudge.org/index.php?option=com_onlinejudge&amp;Itemid=8&amp;page=show_problem&amp;problem=966","UVA 10025")</f>
        <v>UVA 10025</v>
      </c>
      <c r="B4125" s="29" t="s">
        <v>4637</v>
      </c>
      <c r="C4125" s="17">
        <v>4.5</v>
      </c>
      <c r="D4125" s="18"/>
      <c r="E4125" s="17" t="s">
        <v>4531</v>
      </c>
      <c r="F4125" s="17" t="s">
        <v>201</v>
      </c>
      <c r="G4125" s="18"/>
      <c r="H4125" s="18"/>
    </row>
    <row r="4126" spans="1:8" ht="13.2">
      <c r="A4126" s="19" t="str">
        <f>HYPERLINK("http://codeforces.com/contest/844/problem/D","CF844-D2-D")</f>
        <v>CF844-D2-D</v>
      </c>
      <c r="B4126" s="15" t="s">
        <v>4701</v>
      </c>
      <c r="C4126" s="17">
        <v>4.5</v>
      </c>
      <c r="D4126" s="18"/>
      <c r="E4126" s="17" t="s">
        <v>4531</v>
      </c>
      <c r="F4126" s="17" t="s">
        <v>201</v>
      </c>
      <c r="G4126" s="18"/>
      <c r="H4126" s="18"/>
    </row>
    <row r="4127" spans="1:8" ht="13.2">
      <c r="A4127" s="19" t="str">
        <f>HYPERLINK("http://codeforces.com/contest/334/problem/C","CF334-D2-C")</f>
        <v>CF334-D2-C</v>
      </c>
      <c r="B4127" s="29" t="s">
        <v>4530</v>
      </c>
      <c r="C4127" s="17">
        <v>4.5</v>
      </c>
      <c r="D4127" s="18"/>
      <c r="E4127" s="17" t="s">
        <v>4531</v>
      </c>
      <c r="F4127" s="17"/>
      <c r="G4127" s="18"/>
      <c r="H4127" s="18"/>
    </row>
    <row r="4128" spans="1:8" ht="13.2">
      <c r="A4128" s="19" t="str">
        <f>HYPERLINK("http://codeforces.com/contest/834/problem/C","CF834-D2-C")</f>
        <v>CF834-D2-C</v>
      </c>
      <c r="B4128" s="15" t="s">
        <v>4530</v>
      </c>
      <c r="C4128" s="24">
        <v>4.5</v>
      </c>
      <c r="D4128" s="18"/>
      <c r="E4128" s="17" t="s">
        <v>4531</v>
      </c>
      <c r="F4128" s="17"/>
      <c r="G4128" s="18"/>
      <c r="H4128" s="18"/>
    </row>
    <row r="4129" spans="1:8" ht="13.2">
      <c r="A4129" s="15" t="s">
        <v>4702</v>
      </c>
      <c r="B4129" s="18" t="s">
        <v>4530</v>
      </c>
      <c r="C4129" s="24">
        <v>4.5</v>
      </c>
      <c r="D4129" s="18"/>
      <c r="E4129" s="17" t="s">
        <v>4531</v>
      </c>
      <c r="F4129" s="17"/>
      <c r="G4129" s="18"/>
      <c r="H4129" s="18"/>
    </row>
    <row r="4130" spans="1:8" ht="13.2">
      <c r="A4130" s="19" t="str">
        <f>HYPERLINK("http://codeforces.com/contest/936/problem/A","CF936-D1-A")</f>
        <v>CF936-D1-A</v>
      </c>
      <c r="B4130" s="18" t="s">
        <v>4530</v>
      </c>
      <c r="C4130" s="17">
        <v>4.5</v>
      </c>
      <c r="D4130" s="18"/>
      <c r="E4130" s="17" t="s">
        <v>4531</v>
      </c>
      <c r="F4130" s="17"/>
      <c r="G4130" s="18"/>
      <c r="H4130" s="18"/>
    </row>
    <row r="4131" spans="1:8" ht="13.2">
      <c r="A4131" s="19" t="str">
        <f>HYPERLINK("http://codeforces.com/contest/94/problem/C","CF94-D2-C")</f>
        <v>CF94-D2-C</v>
      </c>
      <c r="B4131" s="29" t="s">
        <v>4530</v>
      </c>
      <c r="C4131" s="17">
        <v>4.5</v>
      </c>
      <c r="D4131" s="18"/>
      <c r="E4131" s="17" t="s">
        <v>4531</v>
      </c>
      <c r="F4131" s="17"/>
      <c r="G4131" s="18"/>
      <c r="H4131" s="18"/>
    </row>
    <row r="4132" spans="1:8" ht="13.2">
      <c r="A4132" s="19" t="str">
        <f>HYPERLINK("https://codingcompetitions.withgoogle.com/codejam/round/0000000000051635/0000000000104f1a","CODEJAM 19-R1A-B")</f>
        <v>CODEJAM 19-R1A-B</v>
      </c>
      <c r="B4132" s="20" t="s">
        <v>4530</v>
      </c>
      <c r="C4132" s="17">
        <v>4.5</v>
      </c>
      <c r="D4132" s="18"/>
      <c r="E4132" s="17" t="s">
        <v>4531</v>
      </c>
      <c r="F4132" s="17"/>
      <c r="G4132" s="18"/>
      <c r="H4132" s="18"/>
    </row>
    <row r="4133" spans="1:8" ht="13.2">
      <c r="A4133" s="15" t="s">
        <v>4703</v>
      </c>
      <c r="B4133" s="30" t="s">
        <v>4530</v>
      </c>
      <c r="C4133" s="24">
        <v>4.5</v>
      </c>
      <c r="D4133" s="18"/>
      <c r="E4133" s="17" t="s">
        <v>4531</v>
      </c>
      <c r="F4133" s="17"/>
      <c r="G4133" s="18"/>
      <c r="H4133" s="18"/>
    </row>
    <row r="4134" spans="1:8" ht="13.2">
      <c r="A4134" s="15" t="s">
        <v>4704</v>
      </c>
      <c r="B4134" s="28" t="s">
        <v>4530</v>
      </c>
      <c r="C4134" s="24">
        <v>4.5</v>
      </c>
      <c r="D4134" s="18"/>
      <c r="E4134" s="17" t="s">
        <v>4531</v>
      </c>
      <c r="F4134" s="17"/>
      <c r="G4134" s="18"/>
      <c r="H4134" s="18"/>
    </row>
    <row r="4135" spans="1:8" ht="13.2">
      <c r="A4135" s="15" t="s">
        <v>4705</v>
      </c>
      <c r="B4135" s="28" t="s">
        <v>4706</v>
      </c>
      <c r="C4135" s="24">
        <v>4.5</v>
      </c>
      <c r="D4135" s="18"/>
      <c r="E4135" s="17" t="s">
        <v>4531</v>
      </c>
      <c r="F4135" s="17"/>
      <c r="G4135" s="18"/>
      <c r="H4135" s="18"/>
    </row>
    <row r="4136" spans="1:8" ht="13.2">
      <c r="A4136" s="15" t="s">
        <v>4707</v>
      </c>
      <c r="B4136" s="29" t="s">
        <v>4708</v>
      </c>
      <c r="C4136" s="24">
        <v>4.5</v>
      </c>
      <c r="D4136" s="18"/>
      <c r="E4136" s="24" t="s">
        <v>4531</v>
      </c>
      <c r="F4136" s="17"/>
      <c r="G4136" s="18"/>
      <c r="H4136" s="18"/>
    </row>
    <row r="4137" spans="1:8" ht="13.2">
      <c r="A4137" s="19" t="str">
        <f>HYPERLINK("http://codeforces.com/contest/353/problem/C","CF353-D2-C")</f>
        <v>CF353-D2-C</v>
      </c>
      <c r="B4137" s="29" t="s">
        <v>4709</v>
      </c>
      <c r="C4137" s="17">
        <v>4.5</v>
      </c>
      <c r="D4137" s="18"/>
      <c r="E4137" s="17" t="s">
        <v>4531</v>
      </c>
      <c r="F4137" s="17"/>
      <c r="G4137" s="18"/>
      <c r="H4137" s="18"/>
    </row>
    <row r="4138" spans="1:8" ht="13.2">
      <c r="A4138" s="19" t="str">
        <f>HYPERLINK("http://codeforces.com/contest/716/problem/C","CF716-D2-C")</f>
        <v>CF716-D2-C</v>
      </c>
      <c r="B4138" s="29" t="s">
        <v>4710</v>
      </c>
      <c r="C4138" s="17">
        <v>4.5</v>
      </c>
      <c r="D4138" s="18"/>
      <c r="E4138" s="17" t="s">
        <v>4531</v>
      </c>
      <c r="F4138" s="17"/>
      <c r="G4138" s="18"/>
      <c r="H4138" s="18"/>
    </row>
    <row r="4139" spans="1:8" ht="13.2">
      <c r="A4139" s="19" t="str">
        <f>HYPERLINK("http://codeforces.com/contest/680/problem/C","CF680-D2-C")</f>
        <v>CF680-D2-C</v>
      </c>
      <c r="B4139" s="29" t="s">
        <v>4711</v>
      </c>
      <c r="C4139" s="17">
        <v>4.5</v>
      </c>
      <c r="D4139" s="18"/>
      <c r="E4139" s="17" t="s">
        <v>4531</v>
      </c>
      <c r="F4139" s="17"/>
      <c r="G4139" s="18"/>
      <c r="H4139" s="18"/>
    </row>
    <row r="4140" spans="1:8" ht="13.2">
      <c r="A4140" s="19" t="str">
        <f>HYPERLINK("http://codeforces.com/contest/727/problem/C","CF727-D12-C")</f>
        <v>CF727-D12-C</v>
      </c>
      <c r="B4140" s="15" t="s">
        <v>4614</v>
      </c>
      <c r="C4140" s="17">
        <v>4.5</v>
      </c>
      <c r="D4140" s="18"/>
      <c r="E4140" s="17" t="s">
        <v>4531</v>
      </c>
      <c r="F4140" s="17"/>
      <c r="G4140" s="18"/>
      <c r="H4140" s="18"/>
    </row>
    <row r="4141" spans="1:8" ht="13.2">
      <c r="A4141" s="19" t="str">
        <f>HYPERLINK("http://codeforces.com/contest/320/problem/C","CF320-D2-C")</f>
        <v>CF320-D2-C</v>
      </c>
      <c r="B4141" s="29" t="s">
        <v>4577</v>
      </c>
      <c r="C4141" s="17">
        <v>4.5</v>
      </c>
      <c r="D4141" s="18"/>
      <c r="E4141" s="17" t="s">
        <v>4531</v>
      </c>
      <c r="F4141" s="17"/>
      <c r="G4141" s="18"/>
      <c r="H4141" s="18"/>
    </row>
    <row r="4142" spans="1:8" ht="13.2">
      <c r="A4142" s="19" t="str">
        <f>HYPERLINK("https://codeforces.com/contest/1239/problem/A","CF1239-D1-A")</f>
        <v>CF1239-D1-A</v>
      </c>
      <c r="B4142" s="15" t="s">
        <v>4577</v>
      </c>
      <c r="C4142" s="17">
        <v>4.25</v>
      </c>
      <c r="D4142" s="18"/>
      <c r="E4142" s="17" t="s">
        <v>4531</v>
      </c>
      <c r="F4142" s="17" t="s">
        <v>139</v>
      </c>
      <c r="G4142" s="18"/>
      <c r="H4142" s="18"/>
    </row>
    <row r="4143" spans="1:8" ht="13.2">
      <c r="A4143" s="19" t="str">
        <f>HYPERLINK("https://codeforces.com/contest/816/problem/B","CF816-D2-B")</f>
        <v>CF816-D2-B</v>
      </c>
      <c r="B4143" s="29" t="s">
        <v>4712</v>
      </c>
      <c r="C4143" s="17">
        <v>4</v>
      </c>
      <c r="D4143" s="18"/>
      <c r="E4143" s="17" t="s">
        <v>4531</v>
      </c>
      <c r="F4143" s="17" t="s">
        <v>173</v>
      </c>
      <c r="G4143" s="18"/>
      <c r="H4143" s="18"/>
    </row>
    <row r="4144" spans="1:8" ht="13.2">
      <c r="A4144" s="19" t="str">
        <f>HYPERLINK("https://codeforces.com/contest/1059/problem/C","CF1059-D2-C")</f>
        <v>CF1059-D2-C</v>
      </c>
      <c r="B4144" s="20" t="s">
        <v>4710</v>
      </c>
      <c r="C4144" s="21">
        <v>4</v>
      </c>
      <c r="D4144" s="18"/>
      <c r="E4144" s="17" t="s">
        <v>4531</v>
      </c>
      <c r="F4144" s="17" t="s">
        <v>139</v>
      </c>
      <c r="G4144" s="18"/>
      <c r="H4144" s="18"/>
    </row>
    <row r="4145" spans="1:8" ht="13.2">
      <c r="A4145" s="19" t="str">
        <f>HYPERLINK("https://uva.onlinejudge.org/index.php?option=com_onlinejudge&amp;Itemid=8&amp;page=show_problem&amp;problem=49","UVA 113")</f>
        <v>UVA 113</v>
      </c>
      <c r="B4145" s="29" t="s">
        <v>4713</v>
      </c>
      <c r="C4145" s="17">
        <v>4</v>
      </c>
      <c r="D4145" s="26" t="str">
        <f>HYPERLINK("https://www.algorithmist.com/index.php/UVa_113","Sol")</f>
        <v>Sol</v>
      </c>
      <c r="E4145" s="17" t="s">
        <v>4531</v>
      </c>
      <c r="F4145" s="17" t="s">
        <v>139</v>
      </c>
      <c r="G4145" s="18"/>
      <c r="H4145" s="18"/>
    </row>
    <row r="4146" spans="1:8" ht="13.2">
      <c r="A4146" s="19" t="str">
        <f>HYPERLINK("https://www.codechef.com/problems/GRIDTOUR","CODECHEF GRIDTOUR")</f>
        <v>CODECHEF GRIDTOUR</v>
      </c>
      <c r="B4146" s="20" t="s">
        <v>4564</v>
      </c>
      <c r="C4146" s="17">
        <v>4</v>
      </c>
      <c r="D4146" s="18"/>
      <c r="E4146" s="17" t="s">
        <v>4531</v>
      </c>
      <c r="F4146" s="17" t="s">
        <v>139</v>
      </c>
      <c r="G4146" s="18"/>
      <c r="H4146" s="18"/>
    </row>
    <row r="4147" spans="1:8" ht="13.2">
      <c r="A4147" s="19" t="str">
        <f>HYPERLINK("https://uva.onlinejudge.org/index.php?option=com_onlinejudge&amp;Itemid=8&amp;page=show_problem&amp;problem=1647","UVA 10706")</f>
        <v>UVA 10706</v>
      </c>
      <c r="B4147" s="29" t="s">
        <v>4530</v>
      </c>
      <c r="C4147" s="17">
        <v>4</v>
      </c>
      <c r="D4147" s="18"/>
      <c r="E4147" s="17" t="s">
        <v>4531</v>
      </c>
      <c r="F4147" s="17" t="s">
        <v>201</v>
      </c>
      <c r="G4147" s="18"/>
      <c r="H4147" s="18"/>
    </row>
    <row r="4148" spans="1:8" ht="13.2">
      <c r="A4148" s="19" t="str">
        <f>HYPERLINK("https://codeforces.com/contest/1143/problem/D","CF1143-D2-D")</f>
        <v>CF1143-D2-D</v>
      </c>
      <c r="B4148" s="15" t="s">
        <v>4714</v>
      </c>
      <c r="C4148" s="17">
        <v>4</v>
      </c>
      <c r="D4148" s="18"/>
      <c r="E4148" s="17" t="s">
        <v>4531</v>
      </c>
      <c r="F4148" s="17" t="s">
        <v>201</v>
      </c>
      <c r="G4148" s="18"/>
      <c r="H4148" s="18"/>
    </row>
    <row r="4149" spans="1:8" ht="13.2">
      <c r="A4149" s="19" t="str">
        <f>HYPERLINK("http://codeforces.com/contest/577/problem/C","CF577-D2-C")</f>
        <v>CF577-D2-C</v>
      </c>
      <c r="B4149" s="29" t="s">
        <v>4562</v>
      </c>
      <c r="C4149" s="17">
        <v>4</v>
      </c>
      <c r="D4149" s="18"/>
      <c r="E4149" s="17" t="s">
        <v>4531</v>
      </c>
      <c r="F4149" s="17" t="s">
        <v>201</v>
      </c>
      <c r="G4149" s="18"/>
      <c r="H4149" s="18"/>
    </row>
    <row r="4150" spans="1:8" ht="13.2">
      <c r="A4150" s="19" t="str">
        <f>HYPERLINK("http://codeforces.com/contest/376/problem/C","CF376-D2-C")</f>
        <v>CF376-D2-C</v>
      </c>
      <c r="B4150" s="29" t="s">
        <v>4564</v>
      </c>
      <c r="C4150" s="17">
        <v>4</v>
      </c>
      <c r="D4150" s="18"/>
      <c r="E4150" s="17" t="s">
        <v>4531</v>
      </c>
      <c r="F4150" s="17" t="s">
        <v>201</v>
      </c>
      <c r="G4150" s="18"/>
      <c r="H4150" s="18"/>
    </row>
    <row r="4151" spans="1:8" ht="13.2">
      <c r="A4151" s="19" t="str">
        <f>HYPERLINK("https://uva.onlinejudge.org/index.php?option=com_onlinejudge&amp;Itemid=8&amp;page=show_problem&amp;problem=1917","UVA 10976")</f>
        <v>UVA 10976</v>
      </c>
      <c r="B4151" s="29" t="s">
        <v>4564</v>
      </c>
      <c r="C4151" s="17">
        <v>4</v>
      </c>
      <c r="D4151" s="18"/>
      <c r="E4151" s="17" t="s">
        <v>4531</v>
      </c>
      <c r="F4151" s="17" t="s">
        <v>242</v>
      </c>
      <c r="G4151" s="18"/>
      <c r="H4151" s="18"/>
    </row>
    <row r="4152" spans="1:8" ht="13.2">
      <c r="A4152" s="19" t="str">
        <f>HYPERLINK("http://codeforces.com/gym/101864/problem/M","CF101864-GYM-M")</f>
        <v>CF101864-GYM-M</v>
      </c>
      <c r="B4152" s="29" t="s">
        <v>4715</v>
      </c>
      <c r="C4152" s="17">
        <v>4</v>
      </c>
      <c r="D4152" s="26" t="str">
        <f>HYPERLINK("https://github.com/SpeedOfMagic/CompetitiveProgramming/blob/master/CodeforcesGym/CF101864-GYM-M.cpp","Sol")</f>
        <v>Sol</v>
      </c>
      <c r="E4152" s="17" t="s">
        <v>4531</v>
      </c>
      <c r="F4152" s="17" t="s">
        <v>242</v>
      </c>
      <c r="G4152" s="18"/>
      <c r="H4152" s="18"/>
    </row>
    <row r="4153" spans="1:8" ht="13.2">
      <c r="A4153" s="19" t="str">
        <f>HYPERLINK("http://codeforces.com/contest/182/problem/D","CF182-D2-D")</f>
        <v>CF182-D2-D</v>
      </c>
      <c r="B4153" s="29" t="s">
        <v>4530</v>
      </c>
      <c r="C4153" s="17">
        <v>4</v>
      </c>
      <c r="D4153" s="18"/>
      <c r="E4153" s="17" t="s">
        <v>4531</v>
      </c>
      <c r="F4153" s="17"/>
      <c r="G4153" s="18"/>
      <c r="H4153" s="18"/>
    </row>
    <row r="4154" spans="1:8" ht="13.2">
      <c r="A4154" s="19" t="str">
        <f>HYPERLINK("http://codeforces.com/contest/186/problem/C","CF186-D2-C")</f>
        <v>CF186-D2-C</v>
      </c>
      <c r="B4154" s="29" t="s">
        <v>4530</v>
      </c>
      <c r="C4154" s="17">
        <v>4</v>
      </c>
      <c r="D4154" s="18"/>
      <c r="E4154" s="17" t="s">
        <v>4531</v>
      </c>
      <c r="F4154" s="17"/>
      <c r="G4154" s="18"/>
      <c r="H4154" s="18"/>
    </row>
    <row r="4155" spans="1:8" ht="13.2">
      <c r="A4155" s="19" t="str">
        <f>HYPERLINK("http://codeforces.com/contest/424/problem/C","CF424-D2-C")</f>
        <v>CF424-D2-C</v>
      </c>
      <c r="B4155" s="29" t="s">
        <v>4530</v>
      </c>
      <c r="C4155" s="17">
        <v>4</v>
      </c>
      <c r="D4155" s="18"/>
      <c r="E4155" s="17" t="s">
        <v>4531</v>
      </c>
      <c r="F4155" s="17"/>
      <c r="G4155" s="18"/>
      <c r="H4155" s="18"/>
    </row>
    <row r="4156" spans="1:8" ht="13.2">
      <c r="A4156" s="19" t="str">
        <f>HYPERLINK("http://codeforces.com/contest/588/problem/B","CF588-D2-B")</f>
        <v>CF588-D2-B</v>
      </c>
      <c r="B4156" s="29" t="s">
        <v>4530</v>
      </c>
      <c r="C4156" s="17">
        <v>4</v>
      </c>
      <c r="D4156" s="18"/>
      <c r="E4156" s="17" t="s">
        <v>4531</v>
      </c>
      <c r="F4156" s="17"/>
      <c r="G4156" s="18"/>
      <c r="H4156" s="18"/>
    </row>
    <row r="4157" spans="1:8" ht="13.2">
      <c r="A4157" s="19" t="str">
        <f>HYPERLINK("https://uva.onlinejudge.org/index.php?option=com_onlinejudge&amp;Itemid=8&amp;page=show_problem&amp;problem=1051","UVA 10110")</f>
        <v>UVA 10110</v>
      </c>
      <c r="B4157" s="29" t="s">
        <v>4530</v>
      </c>
      <c r="C4157" s="17">
        <v>4</v>
      </c>
      <c r="D4157" s="18"/>
      <c r="E4157" s="17" t="s">
        <v>4531</v>
      </c>
      <c r="F4157" s="17"/>
      <c r="G4157" s="18"/>
      <c r="H4157" s="18"/>
    </row>
    <row r="4158" spans="1:8" ht="13.2">
      <c r="A4158" s="15" t="s">
        <v>4716</v>
      </c>
      <c r="B4158" s="28" t="s">
        <v>4530</v>
      </c>
      <c r="C4158" s="33">
        <v>4</v>
      </c>
      <c r="D4158" s="18"/>
      <c r="E4158" s="17" t="s">
        <v>4531</v>
      </c>
      <c r="F4158" s="17"/>
      <c r="G4158" s="18"/>
      <c r="H4158" s="18"/>
    </row>
    <row r="4159" spans="1:8" ht="13.2">
      <c r="A4159" s="19" t="str">
        <f>HYPERLINK("http://codeforces.com/contest/71/problem/C","CF71-D2-C")</f>
        <v>CF71-D2-C</v>
      </c>
      <c r="B4159" s="29" t="s">
        <v>4595</v>
      </c>
      <c r="C4159" s="17">
        <v>4</v>
      </c>
      <c r="D4159" s="18"/>
      <c r="E4159" s="17" t="s">
        <v>4531</v>
      </c>
      <c r="F4159" s="17"/>
      <c r="G4159" s="18"/>
      <c r="H4159" s="18"/>
    </row>
    <row r="4160" spans="1:8" ht="13.2">
      <c r="A4160" s="15" t="s">
        <v>4717</v>
      </c>
      <c r="B4160" s="18" t="s">
        <v>4718</v>
      </c>
      <c r="C4160" s="17">
        <v>4</v>
      </c>
      <c r="D4160" s="18"/>
      <c r="E4160" s="17" t="s">
        <v>4531</v>
      </c>
      <c r="F4160" s="17"/>
      <c r="G4160" s="18"/>
      <c r="H4160" s="18"/>
    </row>
    <row r="4161" spans="1:8" ht="13.2">
      <c r="A4161" s="19" t="str">
        <f>HYPERLINK("http://codeforces.com/contest/978/problem/E","CF978-D3-E")</f>
        <v>CF978-D3-E</v>
      </c>
      <c r="B4161" s="20" t="s">
        <v>4719</v>
      </c>
      <c r="C4161" s="21">
        <v>4</v>
      </c>
      <c r="D4161" s="18"/>
      <c r="E4161" s="17" t="s">
        <v>4531</v>
      </c>
      <c r="F4161" s="17"/>
      <c r="G4161" s="18"/>
      <c r="H4161" s="18"/>
    </row>
    <row r="4162" spans="1:8" ht="13.2">
      <c r="A4162" s="19" t="str">
        <f>HYPERLINK("https://csacademy.com/contest/round-59/task/win-percentages/","CSA59-B")</f>
        <v>CSA59-B</v>
      </c>
      <c r="B4162" s="15" t="s">
        <v>4535</v>
      </c>
      <c r="C4162" s="17">
        <v>4</v>
      </c>
      <c r="D4162" s="18"/>
      <c r="E4162" s="17" t="s">
        <v>4531</v>
      </c>
      <c r="F4162" s="17"/>
      <c r="G4162" s="18"/>
      <c r="H4162" s="18"/>
    </row>
    <row r="4163" spans="1:8" ht="13.2">
      <c r="A4163" s="19" t="str">
        <f>HYPERLINK("http://codeforces.com/contest/304/problem/C","CF304-D2-C")</f>
        <v>CF304-D2-C</v>
      </c>
      <c r="B4163" s="29" t="s">
        <v>4710</v>
      </c>
      <c r="C4163" s="17">
        <v>4</v>
      </c>
      <c r="D4163" s="18"/>
      <c r="E4163" s="17" t="s">
        <v>4531</v>
      </c>
      <c r="F4163" s="17"/>
      <c r="G4163" s="18"/>
      <c r="H4163" s="18"/>
    </row>
    <row r="4164" spans="1:8" ht="13.2">
      <c r="A4164" s="15" t="s">
        <v>4720</v>
      </c>
      <c r="B4164" s="29" t="s">
        <v>4606</v>
      </c>
      <c r="C4164" s="24">
        <v>4</v>
      </c>
      <c r="D4164" s="18"/>
      <c r="E4164" s="17" t="s">
        <v>4531</v>
      </c>
      <c r="F4164" s="17"/>
      <c r="G4164" s="18"/>
      <c r="H4164" s="18"/>
    </row>
    <row r="4165" spans="1:8" ht="13.2">
      <c r="A4165" s="19" t="str">
        <f>HYPERLINK("http://codeforces.com/contest/488/problem/B","CF488-D2-B")</f>
        <v>CF488-D2-B</v>
      </c>
      <c r="B4165" s="29" t="s">
        <v>4562</v>
      </c>
      <c r="C4165" s="17">
        <v>4</v>
      </c>
      <c r="D4165" s="18"/>
      <c r="E4165" s="17" t="s">
        <v>4531</v>
      </c>
      <c r="F4165" s="17"/>
      <c r="G4165" s="18"/>
      <c r="H4165" s="18"/>
    </row>
    <row r="4166" spans="1:8" ht="13.2">
      <c r="A4166" s="15" t="s">
        <v>4721</v>
      </c>
      <c r="B4166" s="41" t="s">
        <v>4722</v>
      </c>
      <c r="C4166" s="17">
        <v>4</v>
      </c>
      <c r="D4166" s="18"/>
      <c r="E4166" s="17" t="s">
        <v>4531</v>
      </c>
      <c r="F4166" s="17"/>
      <c r="G4166" s="18"/>
      <c r="H4166" s="18"/>
    </row>
    <row r="4167" spans="1:8" ht="13.2">
      <c r="A4167" s="15" t="s">
        <v>4723</v>
      </c>
      <c r="B4167" s="48" t="s">
        <v>4564</v>
      </c>
      <c r="C4167" s="31">
        <v>4</v>
      </c>
      <c r="D4167" s="18"/>
      <c r="E4167" s="17" t="s">
        <v>4531</v>
      </c>
      <c r="F4167" s="17"/>
      <c r="G4167" s="18"/>
      <c r="H4167" s="18"/>
    </row>
    <row r="4168" spans="1:8" ht="13.2">
      <c r="A4168" s="19" t="str">
        <f>HYPERLINK("http://codeforces.com/contest/1076/problem/C","CF1076-D12-C")</f>
        <v>CF1076-D12-C</v>
      </c>
      <c r="B4168" s="15" t="s">
        <v>4724</v>
      </c>
      <c r="C4168" s="17">
        <v>3.5</v>
      </c>
      <c r="D4168" s="18"/>
      <c r="E4168" s="17" t="s">
        <v>4531</v>
      </c>
      <c r="F4168" s="17" t="s">
        <v>201</v>
      </c>
      <c r="G4168" s="18"/>
      <c r="H4168" s="18"/>
    </row>
    <row r="4169" spans="1:8" ht="13.2">
      <c r="A4169" s="15" t="s">
        <v>4725</v>
      </c>
      <c r="B4169" s="15" t="s">
        <v>4726</v>
      </c>
      <c r="C4169" s="17">
        <v>3.5</v>
      </c>
      <c r="D4169" s="18"/>
      <c r="E4169" s="17" t="s">
        <v>4531</v>
      </c>
      <c r="F4169" s="17"/>
      <c r="G4169" s="18"/>
      <c r="H4169" s="18"/>
    </row>
    <row r="4170" spans="1:8" ht="13.2">
      <c r="A4170" s="15" t="s">
        <v>4727</v>
      </c>
      <c r="B4170" s="16" t="s">
        <v>4541</v>
      </c>
      <c r="C4170" s="17">
        <v>3.5</v>
      </c>
      <c r="D4170" s="18"/>
      <c r="E4170" s="17" t="s">
        <v>4531</v>
      </c>
      <c r="F4170" s="17"/>
      <c r="G4170" s="18"/>
      <c r="H4170" s="18"/>
    </row>
    <row r="4171" spans="1:8" ht="13.2">
      <c r="A4171" s="19" t="str">
        <f>HYPERLINK("https://www.codechef.com/problems/GCDMOD", "CODECHEF GCDMOD")</f>
        <v>CODECHEF GCDMOD</v>
      </c>
      <c r="B4171" s="29" t="s">
        <v>4728</v>
      </c>
      <c r="C4171" s="21">
        <v>3</v>
      </c>
      <c r="D4171" s="26" t="str">
        <f>HYPERLINK("https://github.com/tmwilliamlin168/CompetitiveProgramming/blob/master/CodeChef/GCDMOD.cpp", "Sol. Learn __int128")</f>
        <v>Sol. Learn __int128</v>
      </c>
      <c r="E4171" s="17" t="s">
        <v>4531</v>
      </c>
      <c r="F4171" s="17" t="s">
        <v>139</v>
      </c>
      <c r="G4171" s="18"/>
      <c r="H4171" s="18"/>
    </row>
    <row r="4172" spans="1:8" ht="13.2">
      <c r="A4172" s="19" t="str">
        <f>HYPERLINK("http://codeforces.com/contest/534/problem/C","CF534-D2-C")</f>
        <v>CF534-D2-C</v>
      </c>
      <c r="B4172" s="29" t="s">
        <v>4729</v>
      </c>
      <c r="C4172" s="17">
        <v>3</v>
      </c>
      <c r="D4172" s="18"/>
      <c r="E4172" s="17" t="s">
        <v>4531</v>
      </c>
      <c r="F4172" s="17" t="s">
        <v>139</v>
      </c>
      <c r="G4172" s="18"/>
      <c r="H4172" s="18"/>
    </row>
    <row r="4173" spans="1:8" ht="13.2">
      <c r="A4173" s="15" t="s">
        <v>4730</v>
      </c>
      <c r="B4173" s="15" t="s">
        <v>4530</v>
      </c>
      <c r="C4173" s="21">
        <v>3</v>
      </c>
      <c r="D4173" s="18"/>
      <c r="E4173" s="17" t="s">
        <v>4531</v>
      </c>
      <c r="F4173" s="17" t="s">
        <v>201</v>
      </c>
      <c r="G4173" s="18"/>
      <c r="H4173" s="18"/>
    </row>
    <row r="4174" spans="1:8" ht="13.2">
      <c r="A4174" s="19" t="str">
        <f>HYPERLINK("https://www.codechef.com/problems/MULTHREE","CODECHEF MULTHREE")</f>
        <v>CODECHEF MULTHREE</v>
      </c>
      <c r="B4174" s="15" t="s">
        <v>4731</v>
      </c>
      <c r="C4174" s="17">
        <v>3</v>
      </c>
      <c r="D4174" s="18"/>
      <c r="E4174" s="17" t="s">
        <v>4531</v>
      </c>
      <c r="F4174" s="17" t="s">
        <v>201</v>
      </c>
      <c r="G4174" s="18"/>
      <c r="H4174" s="18"/>
    </row>
    <row r="4175" spans="1:8" ht="13.2">
      <c r="A4175" s="19" t="str">
        <f>HYPERLINK("http://codeforces.com/contest/758/problem/C","CF785-D2-C")</f>
        <v>CF785-D2-C</v>
      </c>
      <c r="B4175" s="18" t="s">
        <v>4530</v>
      </c>
      <c r="C4175" s="24">
        <v>3</v>
      </c>
      <c r="D4175" s="18"/>
      <c r="E4175" s="17" t="s">
        <v>4531</v>
      </c>
      <c r="F4175" s="17"/>
      <c r="G4175" s="18"/>
      <c r="H4175" s="18"/>
    </row>
    <row r="4176" spans="1:8" ht="13.2">
      <c r="A4176" s="19" t="str">
        <f>HYPERLINK("http://codeforces.com/contest/86/problem/A","CF86-D12-A")</f>
        <v>CF86-D12-A</v>
      </c>
      <c r="B4176" s="29" t="s">
        <v>4530</v>
      </c>
      <c r="C4176" s="17">
        <v>3</v>
      </c>
      <c r="D4176" s="18"/>
      <c r="E4176" s="17" t="s">
        <v>4531</v>
      </c>
      <c r="F4176" s="17"/>
      <c r="G4176" s="18"/>
      <c r="H4176" s="18"/>
    </row>
    <row r="4177" spans="1:8" ht="13.2">
      <c r="A4177" s="15" t="s">
        <v>4732</v>
      </c>
      <c r="B4177" s="29" t="s">
        <v>4530</v>
      </c>
      <c r="C4177" s="24">
        <v>3</v>
      </c>
      <c r="D4177" s="18"/>
      <c r="E4177" s="17" t="s">
        <v>4531</v>
      </c>
      <c r="F4177" s="17"/>
      <c r="G4177" s="18"/>
      <c r="H4177" s="18"/>
    </row>
    <row r="4178" spans="1:8" ht="13.2">
      <c r="A4178" s="15" t="s">
        <v>4733</v>
      </c>
      <c r="B4178" s="29" t="s">
        <v>4530</v>
      </c>
      <c r="C4178" s="24">
        <v>3</v>
      </c>
      <c r="D4178" s="18"/>
      <c r="E4178" s="17" t="s">
        <v>4531</v>
      </c>
      <c r="F4178" s="17"/>
      <c r="G4178" s="18"/>
      <c r="H4178" s="18"/>
    </row>
    <row r="4179" spans="1:8" ht="13.2">
      <c r="A4179" s="15" t="s">
        <v>4734</v>
      </c>
      <c r="B4179" s="28" t="s">
        <v>4735</v>
      </c>
      <c r="C4179" s="24">
        <v>3</v>
      </c>
      <c r="D4179" s="18"/>
      <c r="E4179" s="17" t="s">
        <v>4531</v>
      </c>
      <c r="F4179" s="17"/>
      <c r="G4179" s="18"/>
      <c r="H4179" s="18"/>
    </row>
    <row r="4180" spans="1:8" ht="13.2">
      <c r="A4180" s="15" t="s">
        <v>4736</v>
      </c>
      <c r="B4180" s="15" t="s">
        <v>4737</v>
      </c>
      <c r="C4180" s="24">
        <v>3</v>
      </c>
      <c r="D4180" s="18"/>
      <c r="E4180" s="17" t="s">
        <v>4531</v>
      </c>
      <c r="F4180" s="17"/>
      <c r="G4180" s="18"/>
      <c r="H4180" s="18"/>
    </row>
    <row r="4181" spans="1:8" ht="13.2">
      <c r="A4181" s="19" t="str">
        <f>HYPERLINK("http://codeforces.com/contest/689/problem/C","CF689-D2-C")</f>
        <v>CF689-D2-C</v>
      </c>
      <c r="B4181" s="29" t="s">
        <v>4653</v>
      </c>
      <c r="C4181" s="17">
        <v>3</v>
      </c>
      <c r="D4181" s="18"/>
      <c r="E4181" s="17" t="s">
        <v>4531</v>
      </c>
      <c r="F4181" s="17"/>
      <c r="G4181" s="18"/>
      <c r="H4181" s="18"/>
    </row>
    <row r="4182" spans="1:8" ht="13.2">
      <c r="A4182" s="15" t="s">
        <v>4738</v>
      </c>
      <c r="B4182" s="35" t="s">
        <v>4739</v>
      </c>
      <c r="C4182" s="40">
        <v>3</v>
      </c>
      <c r="D4182" s="18"/>
      <c r="E4182" s="17" t="s">
        <v>4531</v>
      </c>
      <c r="F4182" s="17"/>
      <c r="G4182" s="18"/>
      <c r="H4182" s="18"/>
    </row>
    <row r="4183" spans="1:8" ht="13.2">
      <c r="A4183" s="15" t="s">
        <v>4740</v>
      </c>
      <c r="B4183" s="30" t="s">
        <v>4741</v>
      </c>
      <c r="C4183" s="24">
        <v>3</v>
      </c>
      <c r="D4183" s="18"/>
      <c r="E4183" s="17" t="s">
        <v>4531</v>
      </c>
      <c r="F4183" s="17"/>
      <c r="G4183" s="18"/>
      <c r="H4183" s="18"/>
    </row>
    <row r="4184" spans="1:8" ht="13.2">
      <c r="A4184" s="19" t="str">
        <f>HYPERLINK("https://uva.onlinejudge.org/index.php?option=com_onlinejudge&amp;Itemid=8&amp;page=show_problem&amp;problem=1820","UVA 10879")</f>
        <v>UVA 10879</v>
      </c>
      <c r="B4184" s="29" t="s">
        <v>4564</v>
      </c>
      <c r="C4184" s="17">
        <v>3</v>
      </c>
      <c r="D4184" s="18"/>
      <c r="E4184" s="17" t="s">
        <v>4531</v>
      </c>
      <c r="F4184" s="17"/>
      <c r="G4184" s="18"/>
      <c r="H4184" s="18"/>
    </row>
    <row r="4185" spans="1:8" ht="13.2">
      <c r="A4185" s="19" t="str">
        <f>HYPERLINK("https://uva.onlinejudge.org/index.php?option=com_onlinejudge&amp;Itemid=8&amp;page=show_problem&amp;problem=322","UVA 386")</f>
        <v>UVA 386</v>
      </c>
      <c r="B4185" s="18" t="s">
        <v>4564</v>
      </c>
      <c r="C4185" s="17">
        <v>3</v>
      </c>
      <c r="D4185" s="18"/>
      <c r="E4185" s="17" t="s">
        <v>4531</v>
      </c>
      <c r="F4185" s="17"/>
      <c r="G4185" s="18"/>
      <c r="H4185" s="18"/>
    </row>
    <row r="4186" spans="1:8" ht="13.2">
      <c r="A4186" s="15" t="s">
        <v>4742</v>
      </c>
      <c r="B4186" s="29" t="s">
        <v>4743</v>
      </c>
      <c r="C4186" s="17">
        <v>3</v>
      </c>
      <c r="D4186" s="26" t="str">
        <f>HYPERLINK("http://sound-system-79.blogspot.com/2016/06/uva-983-localized-summing-for-blurring.html","Sol")</f>
        <v>Sol</v>
      </c>
      <c r="E4186" s="17" t="s">
        <v>4531</v>
      </c>
      <c r="F4186" s="17"/>
      <c r="G4186" s="18"/>
      <c r="H4186" s="18"/>
    </row>
    <row r="4187" spans="1:8" ht="13.2">
      <c r="A4187" s="19" t="str">
        <f>HYPERLINK("codeforces.com/problemset/problem/900/B","CF900-D2-B")</f>
        <v>CF900-D2-B</v>
      </c>
      <c r="B4187" s="18" t="s">
        <v>4744</v>
      </c>
      <c r="C4187" s="17">
        <v>2</v>
      </c>
      <c r="D4187" s="18"/>
      <c r="E4187" s="17" t="s">
        <v>4531</v>
      </c>
      <c r="F4187" s="17" t="s">
        <v>306</v>
      </c>
      <c r="G4187" s="18"/>
      <c r="H4187" s="18"/>
    </row>
    <row r="4188" spans="1:8" ht="13.2">
      <c r="A4188" s="15" t="s">
        <v>4745</v>
      </c>
      <c r="B4188" s="29" t="s">
        <v>4746</v>
      </c>
      <c r="C4188" s="24">
        <v>2</v>
      </c>
      <c r="D4188" s="26" t="str">
        <f>HYPERLINK("https://raw.githubusercontent.com/NadaAlaa/CompetitiveProgramming/master/LiveArchive/2557.cpp","Find a formula")</f>
        <v>Find a formula</v>
      </c>
      <c r="E4188" s="24" t="s">
        <v>4531</v>
      </c>
      <c r="F4188" s="17" t="s">
        <v>242</v>
      </c>
      <c r="G4188" s="18"/>
      <c r="H4188" s="18"/>
    </row>
    <row r="4189" spans="1:8" ht="13.2">
      <c r="A4189" s="19" t="str">
        <f>HYPERLINK("https://uva.onlinejudge.org/index.php?option=com_onlinejudge&amp;Itemid=8&amp;page=show_problem&amp;problem=1047","UVA 10106")</f>
        <v>UVA 10106</v>
      </c>
      <c r="B4189" s="29" t="s">
        <v>4530</v>
      </c>
      <c r="C4189" s="17">
        <v>2</v>
      </c>
      <c r="D4189" s="18"/>
      <c r="E4189" s="17" t="s">
        <v>4531</v>
      </c>
      <c r="F4189" s="17"/>
      <c r="G4189" s="18"/>
      <c r="H4189" s="18"/>
    </row>
    <row r="4190" spans="1:8" ht="13.2">
      <c r="A4190" s="19" t="str">
        <f>HYPERLINK("https://uva.onlinejudge.org/index.php?option=onlinejudge&amp;page=show_problem&amp;problem=1410","UVA 10469")</f>
        <v>UVA 10469</v>
      </c>
      <c r="B4190" s="29" t="s">
        <v>4530</v>
      </c>
      <c r="C4190" s="17">
        <v>2</v>
      </c>
      <c r="D4190" s="26" t="str">
        <f>HYPERLINK("https://github.com/Diusrex/UVA-Solutions/blob/master/10469%20To%20Carry%20or%20not%20to%20Carry.cpp","Sol")</f>
        <v>Sol</v>
      </c>
      <c r="E4190" s="17" t="s">
        <v>4531</v>
      </c>
      <c r="F4190" s="17"/>
      <c r="G4190" s="18"/>
      <c r="H4190" s="18"/>
    </row>
    <row r="4191" spans="1:8" ht="13.2">
      <c r="A4191" s="19" t="str">
        <f>HYPERLINK("https://uva.onlinejudge.org/index.php?option=onlinejudge&amp;page=show_problem&amp;problem=654","UVA 713")</f>
        <v>UVA 713</v>
      </c>
      <c r="B4191" s="29" t="s">
        <v>4530</v>
      </c>
      <c r="C4191" s="17">
        <v>2</v>
      </c>
      <c r="D4191" s="18"/>
      <c r="E4191" s="17" t="s">
        <v>4531</v>
      </c>
      <c r="F4191" s="17"/>
      <c r="G4191" s="18"/>
      <c r="H4191" s="18"/>
    </row>
    <row r="4192" spans="1:8" ht="13.2">
      <c r="A4192" s="15" t="s">
        <v>4747</v>
      </c>
      <c r="B4192" s="30" t="s">
        <v>4748</v>
      </c>
      <c r="C4192" s="24">
        <v>2</v>
      </c>
      <c r="D4192" s="18"/>
      <c r="E4192" s="17" t="s">
        <v>4531</v>
      </c>
      <c r="F4192" s="17"/>
      <c r="G4192" s="18"/>
      <c r="H4192" s="18"/>
    </row>
    <row r="4193" spans="1:8" ht="13.2">
      <c r="A4193" s="15" t="s">
        <v>4749</v>
      </c>
      <c r="B4193" s="34" t="s">
        <v>4750</v>
      </c>
      <c r="C4193" s="31">
        <v>5</v>
      </c>
      <c r="D4193" s="18"/>
      <c r="E4193" s="17" t="s">
        <v>4751</v>
      </c>
      <c r="F4193" s="17" t="s">
        <v>229</v>
      </c>
      <c r="G4193" s="18"/>
      <c r="H4193" s="18"/>
    </row>
    <row r="4194" spans="1:8" ht="13.2">
      <c r="A4194" s="19" t="str">
        <f>HYPERLINK("http://codeforces.com/contest/272/problem/D","CF272-D2-D")</f>
        <v>CF272-D2-D</v>
      </c>
      <c r="B4194" s="29" t="s">
        <v>4752</v>
      </c>
      <c r="C4194" s="17">
        <v>5</v>
      </c>
      <c r="D4194" s="18"/>
      <c r="E4194" s="17" t="s">
        <v>4751</v>
      </c>
      <c r="F4194" s="17" t="s">
        <v>613</v>
      </c>
      <c r="G4194" s="18"/>
      <c r="H4194" s="18"/>
    </row>
    <row r="4195" spans="1:8" ht="13.2">
      <c r="A4195" s="15" t="s">
        <v>4753</v>
      </c>
      <c r="B4195" s="28" t="s">
        <v>4754</v>
      </c>
      <c r="C4195" s="17">
        <v>5</v>
      </c>
      <c r="D4195" s="26" t="str">
        <f>HYPERLINK("https://github.com/mostafa-saad/MyCompetitiveProgramming/blob/master/LiveArchive/LIVEARCHIVE_3498.txt","Sol")</f>
        <v>Sol</v>
      </c>
      <c r="E4195" s="24" t="s">
        <v>4751</v>
      </c>
      <c r="F4195" s="17" t="s">
        <v>242</v>
      </c>
      <c r="G4195" s="18"/>
      <c r="H4195" s="18"/>
    </row>
    <row r="4196" spans="1:8" ht="13.2">
      <c r="A4196" s="15" t="s">
        <v>4755</v>
      </c>
      <c r="B4196" s="28" t="s">
        <v>4756</v>
      </c>
      <c r="C4196" s="17">
        <v>5</v>
      </c>
      <c r="D4196" s="26" t="str">
        <f>HYPERLINK("https://github.com/dasannagariraja/CompetitiveProgramming/blob/master/SPOJ/SPOJ%20MIB.cpp", "Sol")</f>
        <v>Sol</v>
      </c>
      <c r="E4196" s="17" t="s">
        <v>4751</v>
      </c>
      <c r="F4196" s="17" t="s">
        <v>242</v>
      </c>
      <c r="G4196" s="18"/>
      <c r="H4196" s="18"/>
    </row>
    <row r="4197" spans="1:8" ht="13.2">
      <c r="A4197" s="19" t="str">
        <f>HYPERLINK("https://uva.onlinejudge.org/index.php?option=com_onlinejudge&amp;Itemid=8&amp;page=show_problem&amp;problem=89","UVA 153")</f>
        <v>UVA 153</v>
      </c>
      <c r="B4197" s="29" t="s">
        <v>4757</v>
      </c>
      <c r="C4197" s="17">
        <v>4.5</v>
      </c>
      <c r="D4197" s="26" t="str">
        <f>HYPERLINK("https://github.com/ahmedcpbl/CompetitiveProgramming/blob/master/UVA/153.cpp","Sol")</f>
        <v>Sol</v>
      </c>
      <c r="E4197" s="17" t="s">
        <v>4751</v>
      </c>
      <c r="F4197" s="17" t="s">
        <v>139</v>
      </c>
      <c r="G4197" s="18"/>
      <c r="H4197" s="18"/>
    </row>
    <row r="4198" spans="1:8" ht="13.2">
      <c r="A4198" s="15" t="s">
        <v>4758</v>
      </c>
      <c r="B4198" s="28" t="s">
        <v>4759</v>
      </c>
      <c r="C4198" s="24">
        <v>4.5</v>
      </c>
      <c r="D4198" s="18"/>
      <c r="E4198" s="17" t="s">
        <v>4751</v>
      </c>
      <c r="F4198" s="17"/>
      <c r="G4198" s="18"/>
      <c r="H4198" s="18"/>
    </row>
    <row r="4199" spans="1:8" ht="13.2">
      <c r="A4199" s="15" t="s">
        <v>4760</v>
      </c>
      <c r="B4199" s="29" t="s">
        <v>4761</v>
      </c>
      <c r="C4199" s="24">
        <v>4</v>
      </c>
      <c r="D4199" s="26" t="str">
        <f>HYPERLINK("https://github.com/MedoN11/CompetitiveProgramming/blob/master/UVA/11415.cpp","Sol")</f>
        <v>Sol</v>
      </c>
      <c r="E4199" s="17" t="s">
        <v>4751</v>
      </c>
      <c r="F4199" s="17"/>
      <c r="G4199" s="18"/>
      <c r="H4199" s="18"/>
    </row>
    <row r="4200" spans="1:8" ht="13.2">
      <c r="A4200" s="15" t="s">
        <v>4762</v>
      </c>
      <c r="B4200" s="29" t="s">
        <v>4763</v>
      </c>
      <c r="C4200" s="17">
        <v>3</v>
      </c>
      <c r="D4200" s="18"/>
      <c r="E4200" s="17" t="s">
        <v>4751</v>
      </c>
      <c r="F4200" s="17"/>
      <c r="G4200" s="18"/>
      <c r="H4200" s="18"/>
    </row>
    <row r="4201" spans="1:8" ht="13.2">
      <c r="A4201" s="15" t="s">
        <v>4764</v>
      </c>
      <c r="B4201" s="28" t="s">
        <v>4765</v>
      </c>
      <c r="C4201" s="24">
        <v>2</v>
      </c>
      <c r="D4201" s="18"/>
      <c r="E4201" s="24" t="s">
        <v>4751</v>
      </c>
      <c r="F4201" s="17"/>
      <c r="G4201" s="18"/>
      <c r="H4201" s="18"/>
    </row>
    <row r="4202" spans="1:8" ht="13.2">
      <c r="A4202" s="19" t="str">
        <f>HYPERLINK("http://codeforces.com/contest/194/problem/D","CF194-D2-D")</f>
        <v>CF194-D2-D</v>
      </c>
      <c r="B4202" s="23" t="s">
        <v>4766</v>
      </c>
      <c r="C4202" s="24">
        <v>6.5</v>
      </c>
      <c r="D4202" s="18"/>
      <c r="E4202" s="17" t="s">
        <v>4767</v>
      </c>
      <c r="F4202" s="17" t="s">
        <v>201</v>
      </c>
      <c r="G4202" s="18"/>
      <c r="H4202" s="18"/>
    </row>
    <row r="4203" spans="1:8" ht="13.2">
      <c r="A4203" s="19" t="str">
        <f>HYPERLINK("http://codeforces.com/contest/554/problem/D","CF554-D2-D")</f>
        <v>CF554-D2-D</v>
      </c>
      <c r="B4203" s="29" t="s">
        <v>4768</v>
      </c>
      <c r="C4203" s="17">
        <v>6</v>
      </c>
      <c r="D4203" s="26" t="str">
        <f>HYPERLINK("https://github.com/ryuzmukhametov/CompetitiveProgramming/blob/master/Codeforces/CF554-D2-D.cpp", "Sol")</f>
        <v>Sol</v>
      </c>
      <c r="E4203" s="17" t="s">
        <v>4767</v>
      </c>
      <c r="F4203" s="17" t="s">
        <v>139</v>
      </c>
      <c r="G4203" s="18"/>
      <c r="H4203" s="18"/>
    </row>
    <row r="4204" spans="1:8" ht="13.2">
      <c r="A4204" s="19" t="str">
        <f>HYPERLINK("http://codeforces.com/problemset/problem/551/D","CF551-D2-D")</f>
        <v>CF551-D2-D</v>
      </c>
      <c r="B4204" s="29" t="s">
        <v>4769</v>
      </c>
      <c r="C4204" s="17">
        <v>6</v>
      </c>
      <c r="D4204" s="18"/>
      <c r="E4204" s="17" t="s">
        <v>4767</v>
      </c>
      <c r="F4204" s="17" t="s">
        <v>139</v>
      </c>
      <c r="G4204" s="18"/>
      <c r="H4204" s="18"/>
    </row>
    <row r="4205" spans="1:8" ht="13.2">
      <c r="A4205" s="15" t="s">
        <v>4770</v>
      </c>
      <c r="B4205" s="28" t="s">
        <v>4771</v>
      </c>
      <c r="C4205" s="24">
        <v>6</v>
      </c>
      <c r="D4205" s="18"/>
      <c r="E4205" s="17" t="s">
        <v>4767</v>
      </c>
      <c r="F4205" s="17"/>
      <c r="G4205" s="18"/>
      <c r="H4205" s="18"/>
    </row>
    <row r="4206" spans="1:8" ht="13.2">
      <c r="A4206" s="15" t="s">
        <v>4772</v>
      </c>
      <c r="B4206" s="30" t="s">
        <v>4766</v>
      </c>
      <c r="C4206" s="17">
        <v>5</v>
      </c>
      <c r="D4206" s="26" t="str">
        <f>HYPERLINK("https://github.com/MuhammadMustafaAbdalqadir/Competitive-Programming-Workspace/blob/master/UVA/12041.cpp","Sol")</f>
        <v>Sol</v>
      </c>
      <c r="E4206" s="17" t="s">
        <v>4767</v>
      </c>
      <c r="F4206" s="17" t="s">
        <v>201</v>
      </c>
      <c r="G4206" s="18"/>
      <c r="H4206" s="18"/>
    </row>
    <row r="4207" spans="1:8" ht="13.2">
      <c r="A4207" s="15" t="s">
        <v>4773</v>
      </c>
      <c r="B4207" s="28" t="s">
        <v>4774</v>
      </c>
      <c r="C4207" s="24">
        <v>5</v>
      </c>
      <c r="D4207" s="26" t="str">
        <f>HYPERLINK("https://github.com/Andres-Unt/problem_solving/blob/master/UVA/11582.cpp","Sol")</f>
        <v>Sol</v>
      </c>
      <c r="E4207" s="17" t="s">
        <v>4767</v>
      </c>
      <c r="F4207" s="17" t="s">
        <v>242</v>
      </c>
      <c r="G4207" s="18"/>
      <c r="H4207" s="18"/>
    </row>
    <row r="4208" spans="1:8" ht="13.2">
      <c r="A4208" s="15" t="s">
        <v>4775</v>
      </c>
      <c r="B4208" s="30" t="s">
        <v>4776</v>
      </c>
      <c r="C4208" s="17">
        <v>2</v>
      </c>
      <c r="D4208" s="18"/>
      <c r="E4208" s="17" t="s">
        <v>4767</v>
      </c>
      <c r="F4208" s="17"/>
      <c r="G4208" s="18"/>
      <c r="H4208" s="18"/>
    </row>
    <row r="4209" spans="1:8" ht="13.2">
      <c r="A4209" s="19" t="str">
        <f>HYPERLINK("https://onlinejudge.org/index.php?option=onlinejudge&amp;page=show_problem&amp;problem=1568","UVA 10627")</f>
        <v>UVA 10627</v>
      </c>
      <c r="B4209" s="28" t="s">
        <v>4777</v>
      </c>
      <c r="C4209" s="24">
        <v>6.75</v>
      </c>
      <c r="D4209" s="26" t="str">
        <f>HYPERLINK("http://www.voidcn.com/article/p-qcwodmzg-bha.html","Sol")</f>
        <v>Sol</v>
      </c>
      <c r="E4209" s="17" t="s">
        <v>4778</v>
      </c>
      <c r="F4209" s="17"/>
      <c r="G4209" s="18"/>
      <c r="H4209" s="18"/>
    </row>
    <row r="4210" spans="1:8" ht="13.2">
      <c r="A4210" s="19" t="str">
        <f>HYPERLINK("https://atcoder.jp/contests/yahoo-procon2019-qual/tasks/yahoo_procon2019_qual_c","AtCoder-YahooProcon-C")</f>
        <v>AtCoder-YahooProcon-C</v>
      </c>
      <c r="B4210" s="20" t="s">
        <v>4779</v>
      </c>
      <c r="C4210" s="21">
        <v>6</v>
      </c>
      <c r="D4210" s="18"/>
      <c r="E4210" s="17" t="s">
        <v>4778</v>
      </c>
      <c r="F4210" s="17"/>
      <c r="G4210" s="18"/>
      <c r="H4210" s="18"/>
    </row>
    <row r="4211" spans="1:8" ht="13.2">
      <c r="A4211" s="15" t="s">
        <v>4780</v>
      </c>
      <c r="B4211" s="30" t="s">
        <v>4779</v>
      </c>
      <c r="C4211" s="24">
        <v>6</v>
      </c>
      <c r="D4211" s="18"/>
      <c r="E4211" s="17" t="s">
        <v>4778</v>
      </c>
      <c r="F4211" s="17"/>
      <c r="G4211" s="18"/>
      <c r="H4211" s="18"/>
    </row>
    <row r="4212" spans="1:8" ht="13.2">
      <c r="A4212" s="15" t="s">
        <v>4781</v>
      </c>
      <c r="B4212" s="30" t="s">
        <v>4782</v>
      </c>
      <c r="C4212" s="17">
        <v>6</v>
      </c>
      <c r="D4212" s="18"/>
      <c r="E4212" s="17" t="s">
        <v>4778</v>
      </c>
      <c r="F4212" s="17"/>
      <c r="G4212" s="18"/>
      <c r="H4212" s="18"/>
    </row>
    <row r="4213" spans="1:8" ht="13.2">
      <c r="A4213" s="15" t="s">
        <v>4783</v>
      </c>
      <c r="B4213" s="30" t="s">
        <v>4779</v>
      </c>
      <c r="C4213" s="24">
        <v>5.5</v>
      </c>
      <c r="D4213" s="18"/>
      <c r="E4213" s="17" t="s">
        <v>4778</v>
      </c>
      <c r="F4213" s="17"/>
      <c r="G4213" s="18"/>
      <c r="H4213" s="18"/>
    </row>
    <row r="4214" spans="1:8" ht="13.2">
      <c r="A4214" s="15" t="s">
        <v>4784</v>
      </c>
      <c r="B4214" s="30" t="s">
        <v>4779</v>
      </c>
      <c r="C4214" s="24">
        <v>5.5</v>
      </c>
      <c r="D4214" s="18"/>
      <c r="E4214" s="17" t="s">
        <v>4778</v>
      </c>
      <c r="F4214" s="17"/>
      <c r="G4214" s="18"/>
      <c r="H4214" s="18"/>
    </row>
    <row r="4215" spans="1:8" ht="13.2">
      <c r="A4215" s="15" t="s">
        <v>4785</v>
      </c>
      <c r="B4215" s="30" t="s">
        <v>4779</v>
      </c>
      <c r="C4215" s="24">
        <v>5.5</v>
      </c>
      <c r="D4215" s="18"/>
      <c r="E4215" s="17" t="s">
        <v>4778</v>
      </c>
      <c r="F4215" s="17"/>
      <c r="G4215" s="18"/>
      <c r="H4215" s="18"/>
    </row>
    <row r="4216" spans="1:8" ht="13.2">
      <c r="A4216" s="15" t="s">
        <v>4786</v>
      </c>
      <c r="B4216" s="30" t="s">
        <v>4779</v>
      </c>
      <c r="C4216" s="24">
        <v>5.5</v>
      </c>
      <c r="D4216" s="18"/>
      <c r="E4216" s="17" t="s">
        <v>4778</v>
      </c>
      <c r="F4216" s="17"/>
      <c r="G4216" s="18"/>
      <c r="H4216" s="18"/>
    </row>
    <row r="4217" spans="1:8" ht="13.2">
      <c r="A4217" s="15" t="s">
        <v>4787</v>
      </c>
      <c r="B4217" s="30" t="s">
        <v>4779</v>
      </c>
      <c r="C4217" s="24">
        <v>5.5</v>
      </c>
      <c r="D4217" s="18"/>
      <c r="E4217" s="17" t="s">
        <v>4778</v>
      </c>
      <c r="F4217" s="17"/>
      <c r="G4217" s="18"/>
      <c r="H4217" s="18"/>
    </row>
    <row r="4218" spans="1:8" ht="13.2">
      <c r="A4218" s="15" t="s">
        <v>4788</v>
      </c>
      <c r="B4218" s="30" t="s">
        <v>4789</v>
      </c>
      <c r="C4218" s="24">
        <v>5.5</v>
      </c>
      <c r="D4218" s="18"/>
      <c r="E4218" s="17" t="s">
        <v>4778</v>
      </c>
      <c r="F4218" s="17"/>
      <c r="G4218" s="18"/>
      <c r="H4218" s="18"/>
    </row>
    <row r="4219" spans="1:8" ht="13.2">
      <c r="A4219" s="15" t="s">
        <v>4790</v>
      </c>
      <c r="B4219" s="29" t="s">
        <v>4779</v>
      </c>
      <c r="C4219" s="24">
        <v>5</v>
      </c>
      <c r="D4219" s="26" t="str">
        <f>HYPERLINK("https://pastebin.com/WHzEMUew","Sol")</f>
        <v>Sol</v>
      </c>
      <c r="E4219" s="17" t="s">
        <v>4778</v>
      </c>
      <c r="F4219" s="17" t="s">
        <v>201</v>
      </c>
      <c r="G4219" s="18"/>
      <c r="H4219" s="18"/>
    </row>
    <row r="4220" spans="1:8" ht="13.2">
      <c r="A4220" s="19" t="str">
        <f>HYPERLINK("http://codeforces.com/contest/143/problem/D","CF143-D2-D")</f>
        <v>CF143-D2-D</v>
      </c>
      <c r="B4220" s="29" t="s">
        <v>4791</v>
      </c>
      <c r="C4220" s="17">
        <v>5</v>
      </c>
      <c r="D4220" s="18"/>
      <c r="E4220" s="17" t="s">
        <v>4778</v>
      </c>
      <c r="F4220" s="17" t="s">
        <v>358</v>
      </c>
      <c r="G4220" s="18"/>
      <c r="H4220" s="18"/>
    </row>
    <row r="4221" spans="1:8" ht="13.2">
      <c r="A4221" s="15" t="s">
        <v>4792</v>
      </c>
      <c r="B4221" s="30" t="s">
        <v>4779</v>
      </c>
      <c r="C4221" s="24">
        <v>5</v>
      </c>
      <c r="D4221" s="18"/>
      <c r="E4221" s="17" t="s">
        <v>4778</v>
      </c>
      <c r="F4221" s="17"/>
      <c r="G4221" s="18"/>
      <c r="H4221" s="18"/>
    </row>
    <row r="4222" spans="1:8" ht="13.2">
      <c r="A4222" s="15" t="s">
        <v>4793</v>
      </c>
      <c r="B4222" s="30" t="s">
        <v>4779</v>
      </c>
      <c r="C4222" s="24">
        <v>5</v>
      </c>
      <c r="D4222" s="18"/>
      <c r="E4222" s="17" t="s">
        <v>4778</v>
      </c>
      <c r="F4222" s="17"/>
      <c r="G4222" s="18"/>
      <c r="H4222" s="18"/>
    </row>
    <row r="4223" spans="1:8" ht="13.2">
      <c r="A4223" s="15" t="s">
        <v>4794</v>
      </c>
      <c r="B4223" s="29" t="s">
        <v>4795</v>
      </c>
      <c r="C4223" s="17">
        <v>5</v>
      </c>
      <c r="D4223" s="18"/>
      <c r="E4223" s="17" t="s">
        <v>4778</v>
      </c>
      <c r="F4223" s="17"/>
      <c r="G4223" s="18"/>
      <c r="H4223" s="18"/>
    </row>
    <row r="4224" spans="1:8" ht="13.2">
      <c r="A4224" s="15" t="s">
        <v>4796</v>
      </c>
      <c r="B4224" s="30" t="s">
        <v>4779</v>
      </c>
      <c r="C4224" s="24">
        <v>4.5</v>
      </c>
      <c r="D4224" s="18"/>
      <c r="E4224" s="17" t="s">
        <v>4778</v>
      </c>
      <c r="F4224" s="17"/>
      <c r="G4224" s="18"/>
      <c r="H4224" s="18"/>
    </row>
    <row r="4225" spans="1:8" ht="13.2">
      <c r="A4225" s="15" t="s">
        <v>4797</v>
      </c>
      <c r="B4225" s="29" t="s">
        <v>4798</v>
      </c>
      <c r="C4225" s="24">
        <v>4</v>
      </c>
      <c r="D4225" s="18"/>
      <c r="E4225" s="17" t="s">
        <v>4778</v>
      </c>
      <c r="F4225" s="17" t="s">
        <v>255</v>
      </c>
      <c r="G4225" s="18"/>
      <c r="H4225" s="18"/>
    </row>
    <row r="4226" spans="1:8" ht="13.2">
      <c r="A4226" s="19" t="str">
        <f>HYPERLINK("https://agc004.contest.atcoder.jp/tasks/agc004_a","AtCoder004-AGC-A")</f>
        <v>AtCoder004-AGC-A</v>
      </c>
      <c r="B4226" s="15" t="s">
        <v>4799</v>
      </c>
      <c r="C4226" s="17">
        <v>4</v>
      </c>
      <c r="D4226" s="18"/>
      <c r="E4226" s="17" t="s">
        <v>4778</v>
      </c>
      <c r="F4226" s="17"/>
      <c r="G4226" s="18"/>
      <c r="H4226" s="18"/>
    </row>
    <row r="4227" spans="1:8" ht="13.2">
      <c r="A4227" s="15" t="s">
        <v>4800</v>
      </c>
      <c r="B4227" s="38" t="s">
        <v>4801</v>
      </c>
      <c r="C4227" s="24">
        <v>4</v>
      </c>
      <c r="D4227" s="18"/>
      <c r="E4227" s="17" t="s">
        <v>4778</v>
      </c>
      <c r="F4227" s="17"/>
      <c r="G4227" s="18"/>
      <c r="H4227" s="18"/>
    </row>
    <row r="4228" spans="1:8" ht="13.2">
      <c r="A4228" s="15" t="s">
        <v>4802</v>
      </c>
      <c r="B4228" s="28" t="s">
        <v>4803</v>
      </c>
      <c r="C4228" s="24">
        <v>3.5</v>
      </c>
      <c r="D4228" s="18"/>
      <c r="E4228" s="17" t="s">
        <v>4778</v>
      </c>
      <c r="F4228" s="17"/>
      <c r="G4228" s="18"/>
      <c r="H4228" s="18"/>
    </row>
    <row r="4229" spans="1:8" ht="13.2">
      <c r="A4229" s="15" t="s">
        <v>4804</v>
      </c>
      <c r="B4229" s="30" t="s">
        <v>4779</v>
      </c>
      <c r="C4229" s="17">
        <v>3</v>
      </c>
      <c r="D4229" s="18"/>
      <c r="E4229" s="17" t="s">
        <v>4778</v>
      </c>
      <c r="F4229" s="17" t="s">
        <v>306</v>
      </c>
      <c r="G4229" s="18"/>
      <c r="H4229" s="18"/>
    </row>
    <row r="4230" spans="1:8" ht="13.2">
      <c r="A4230" s="15" t="s">
        <v>4805</v>
      </c>
      <c r="B4230" s="30" t="s">
        <v>4779</v>
      </c>
      <c r="C4230" s="24">
        <v>3</v>
      </c>
      <c r="D4230" s="18"/>
      <c r="E4230" s="17" t="s">
        <v>4778</v>
      </c>
      <c r="F4230" s="17"/>
      <c r="G4230" s="18"/>
      <c r="H4230" s="18"/>
    </row>
    <row r="4231" spans="1:8" ht="13.2">
      <c r="A4231" s="15" t="s">
        <v>4806</v>
      </c>
      <c r="B4231" s="30" t="s">
        <v>4807</v>
      </c>
      <c r="C4231" s="24">
        <v>2</v>
      </c>
      <c r="D4231" s="18"/>
      <c r="E4231" s="17" t="s">
        <v>4778</v>
      </c>
      <c r="F4231" s="17"/>
      <c r="G4231" s="18"/>
      <c r="H4231" s="18"/>
    </row>
    <row r="4232" spans="1:8" ht="13.2">
      <c r="A4232" s="19" t="str">
        <f>HYPERLINK("http://codeforces.com/contest/114/problem/E","CF114-D2-E")</f>
        <v>CF114-D2-E</v>
      </c>
      <c r="B4232" s="29" t="s">
        <v>4808</v>
      </c>
      <c r="C4232" s="24">
        <v>8</v>
      </c>
      <c r="D4232" s="18"/>
      <c r="E4232" s="24" t="s">
        <v>4809</v>
      </c>
      <c r="F4232" s="17"/>
      <c r="G4232" s="18"/>
      <c r="H4232" s="18"/>
    </row>
    <row r="4233" spans="1:8" ht="13.2">
      <c r="A4233" s="19" t="str">
        <f>HYPERLINK("http://codeforces.com/contest/586/problem/E","CF586-D2-E")</f>
        <v>CF586-D2-E</v>
      </c>
      <c r="B4233" s="29" t="s">
        <v>4808</v>
      </c>
      <c r="C4233" s="17">
        <v>8</v>
      </c>
      <c r="D4233" s="18"/>
      <c r="E4233" s="17" t="s">
        <v>4809</v>
      </c>
      <c r="F4233" s="17"/>
      <c r="G4233" s="18"/>
      <c r="H4233" s="18"/>
    </row>
    <row r="4234" spans="1:8" ht="13.2">
      <c r="A4234" s="15" t="s">
        <v>4810</v>
      </c>
      <c r="B4234" s="28" t="s">
        <v>4808</v>
      </c>
      <c r="C4234" s="24">
        <v>7.25</v>
      </c>
      <c r="D4234" s="18"/>
      <c r="E4234" s="17" t="s">
        <v>4809</v>
      </c>
      <c r="F4234" s="17"/>
      <c r="G4234" s="18"/>
      <c r="H4234" s="18"/>
    </row>
    <row r="4235" spans="1:8" ht="13.2">
      <c r="A4235" s="15" t="s">
        <v>4811</v>
      </c>
      <c r="B4235" s="30" t="s">
        <v>4812</v>
      </c>
      <c r="C4235" s="24">
        <v>7.25</v>
      </c>
      <c r="D4235" s="18"/>
      <c r="E4235" s="17" t="s">
        <v>4809</v>
      </c>
      <c r="F4235" s="17"/>
      <c r="G4235" s="18"/>
      <c r="H4235" s="18"/>
    </row>
    <row r="4236" spans="1:8" ht="13.2">
      <c r="A4236" s="15" t="s">
        <v>4813</v>
      </c>
      <c r="B4236" s="30" t="s">
        <v>4812</v>
      </c>
      <c r="C4236" s="24">
        <v>7.25</v>
      </c>
      <c r="D4236" s="18"/>
      <c r="E4236" s="17" t="s">
        <v>4809</v>
      </c>
      <c r="F4236" s="17"/>
      <c r="G4236" s="18"/>
      <c r="H4236" s="18"/>
    </row>
    <row r="4237" spans="1:8" ht="13.2">
      <c r="A4237" s="19" t="str">
        <f>HYPERLINK("http://codeforces.com/contest/582/problem/C","CF582-D1-C")</f>
        <v>CF582-D1-C</v>
      </c>
      <c r="B4237" s="15" t="s">
        <v>4808</v>
      </c>
      <c r="C4237" s="17">
        <v>7.1</v>
      </c>
      <c r="D4237" s="18"/>
      <c r="E4237" s="17" t="s">
        <v>4809</v>
      </c>
      <c r="F4237" s="17" t="s">
        <v>154</v>
      </c>
      <c r="G4237" s="18"/>
      <c r="H4237" s="18"/>
    </row>
    <row r="4238" spans="1:8" ht="13.2">
      <c r="A4238" s="19" t="str">
        <f>HYPERLINK("http://codeforces.com/contest/509/problem/D","CF509-D2-D")</f>
        <v>CF509-D2-D</v>
      </c>
      <c r="B4238" s="29" t="s">
        <v>4808</v>
      </c>
      <c r="C4238" s="17">
        <v>7</v>
      </c>
      <c r="D4238" s="18"/>
      <c r="E4238" s="17" t="s">
        <v>4809</v>
      </c>
      <c r="F4238" s="17"/>
      <c r="G4238" s="18"/>
      <c r="H4238" s="18"/>
    </row>
    <row r="4239" spans="1:8" ht="13.2">
      <c r="A4239" s="15" t="s">
        <v>4814</v>
      </c>
      <c r="B4239" s="28" t="s">
        <v>4808</v>
      </c>
      <c r="C4239" s="17">
        <v>7</v>
      </c>
      <c r="D4239" s="18"/>
      <c r="E4239" s="17" t="s">
        <v>4809</v>
      </c>
      <c r="F4239" s="17"/>
      <c r="G4239" s="18"/>
      <c r="H4239" s="18"/>
    </row>
    <row r="4240" spans="1:8" ht="13.2">
      <c r="A4240" s="15" t="s">
        <v>4815</v>
      </c>
      <c r="B4240" s="28" t="s">
        <v>4808</v>
      </c>
      <c r="C4240" s="17">
        <v>7</v>
      </c>
      <c r="D4240" s="18"/>
      <c r="E4240" s="17" t="s">
        <v>4809</v>
      </c>
      <c r="F4240" s="17"/>
      <c r="G4240" s="18"/>
      <c r="H4240" s="18"/>
    </row>
    <row r="4241" spans="1:8" ht="13.2">
      <c r="A4241" s="19" t="str">
        <f>HYPERLINK("http://codeforces.com/contest/417/problem/E","CF417-D2-E")</f>
        <v>CF417-D2-E</v>
      </c>
      <c r="B4241" s="29" t="s">
        <v>4816</v>
      </c>
      <c r="C4241" s="17">
        <v>6.75</v>
      </c>
      <c r="D4241" s="18"/>
      <c r="E4241" s="17" t="s">
        <v>4809</v>
      </c>
      <c r="F4241" s="17" t="s">
        <v>139</v>
      </c>
      <c r="G4241" s="18"/>
      <c r="H4241" s="18"/>
    </row>
    <row r="4242" spans="1:8" ht="13.2">
      <c r="A4242" s="19" t="str">
        <f>HYPERLINK("https://atcoder.jp/contests/agc038/tasks/agc038_c","Atcoder038-AGC-C")</f>
        <v>Atcoder038-AGC-C</v>
      </c>
      <c r="B4242" s="15" t="s">
        <v>4817</v>
      </c>
      <c r="C4242" s="17">
        <v>6.25</v>
      </c>
      <c r="D4242" s="18"/>
      <c r="E4242" s="17" t="s">
        <v>4809</v>
      </c>
      <c r="F4242" s="17" t="s">
        <v>154</v>
      </c>
      <c r="G4242" s="18"/>
      <c r="H4242" s="18"/>
    </row>
    <row r="4243" spans="1:8" ht="13.2">
      <c r="A4243" s="19" t="str">
        <f>HYPERLINK("http://codeforces.com/contest/271/problem/E","CF271-D2-E")</f>
        <v>CF271-D2-E</v>
      </c>
      <c r="B4243" s="29" t="s">
        <v>4816</v>
      </c>
      <c r="C4243" s="24">
        <v>6.25</v>
      </c>
      <c r="D4243" s="18"/>
      <c r="E4243" s="17" t="s">
        <v>4809</v>
      </c>
      <c r="F4243" s="17"/>
      <c r="G4243" s="18"/>
      <c r="H4243" s="18"/>
    </row>
    <row r="4244" spans="1:8" ht="13.2">
      <c r="A4244" s="19" t="str">
        <f>HYPERLINK("https://codeforces.com/contest/1230/problem/E","CF1230-D2-E")</f>
        <v>CF1230-D2-E</v>
      </c>
      <c r="B4244" s="15" t="s">
        <v>4818</v>
      </c>
      <c r="C4244" s="17">
        <v>6.1</v>
      </c>
      <c r="D4244" s="18"/>
      <c r="E4244" s="17" t="s">
        <v>4809</v>
      </c>
      <c r="F4244" s="17" t="s">
        <v>139</v>
      </c>
      <c r="G4244" s="18"/>
      <c r="H4244" s="18"/>
    </row>
    <row r="4245" spans="1:8" ht="13.2">
      <c r="A4245" s="19" t="str">
        <f>HYPERLINK("http://codeforces.com/contest/357/problem/D","CF357-D2-D")</f>
        <v>CF357-D2-D</v>
      </c>
      <c r="B4245" s="29" t="s">
        <v>4812</v>
      </c>
      <c r="C4245" s="17">
        <v>6.1</v>
      </c>
      <c r="D4245" s="18"/>
      <c r="E4245" s="17" t="s">
        <v>4809</v>
      </c>
      <c r="F4245" s="17" t="s">
        <v>139</v>
      </c>
      <c r="G4245" s="18"/>
      <c r="H4245" s="18"/>
    </row>
    <row r="4246" spans="1:8" ht="13.2">
      <c r="A4246" s="15" t="s">
        <v>4819</v>
      </c>
      <c r="B4246" s="28" t="s">
        <v>4820</v>
      </c>
      <c r="C4246" s="24">
        <v>6.1</v>
      </c>
      <c r="D4246" s="26" t="str">
        <f>HYPERLINK("https://github.com/ryuzmukhametov/CompetitiveProgramming/blob/master/uva/UVA%2011761.cpp","Sol")</f>
        <v>Sol</v>
      </c>
      <c r="E4246" s="17" t="s">
        <v>4809</v>
      </c>
      <c r="F4246" s="17" t="s">
        <v>613</v>
      </c>
      <c r="G4246" s="18"/>
      <c r="H4246" s="18"/>
    </row>
    <row r="4247" spans="1:8" ht="13.2">
      <c r="A4247" s="15" t="s">
        <v>4821</v>
      </c>
      <c r="B4247" s="28" t="s">
        <v>4808</v>
      </c>
      <c r="C4247" s="24">
        <v>6</v>
      </c>
      <c r="D4247" s="18"/>
      <c r="E4247" s="17" t="s">
        <v>4809</v>
      </c>
      <c r="F4247" s="17" t="s">
        <v>255</v>
      </c>
      <c r="G4247" s="18"/>
      <c r="H4247" s="18"/>
    </row>
    <row r="4248" spans="1:8" ht="13.2">
      <c r="A4248" s="19" t="str">
        <f>HYPERLINK("http://codeforces.com/contest/492/problem/E","CF492-D2-E")</f>
        <v>CF492-D2-E</v>
      </c>
      <c r="B4248" s="29" t="s">
        <v>4822</v>
      </c>
      <c r="C4248" s="17">
        <v>6</v>
      </c>
      <c r="D4248" s="18"/>
      <c r="E4248" s="17" t="s">
        <v>4809</v>
      </c>
      <c r="F4248" s="17" t="s">
        <v>139</v>
      </c>
      <c r="G4248" s="18"/>
      <c r="H4248" s="18"/>
    </row>
    <row r="4249" spans="1:8" ht="13.2">
      <c r="A4249" s="15" t="s">
        <v>4823</v>
      </c>
      <c r="B4249" s="28" t="s">
        <v>4824</v>
      </c>
      <c r="C4249" s="24">
        <v>6</v>
      </c>
      <c r="D4249" s="26" t="str">
        <f>HYPERLINK("https://github.com/Andres-Unt/problem_solving/blob/master/TopCoder/SRM179-D1-500.cpp","Sol")</f>
        <v>Sol</v>
      </c>
      <c r="E4249" s="17" t="s">
        <v>4809</v>
      </c>
      <c r="F4249" s="17" t="s">
        <v>139</v>
      </c>
      <c r="G4249" s="18"/>
      <c r="H4249" s="18"/>
    </row>
    <row r="4250" spans="1:8" ht="13.2">
      <c r="A4250" s="15" t="s">
        <v>4825</v>
      </c>
      <c r="B4250" s="30" t="s">
        <v>4808</v>
      </c>
      <c r="C4250" s="24">
        <v>6</v>
      </c>
      <c r="D4250" s="18"/>
      <c r="E4250" s="17" t="s">
        <v>4809</v>
      </c>
      <c r="F4250" s="17"/>
      <c r="G4250" s="18"/>
      <c r="H4250" s="18"/>
    </row>
    <row r="4251" spans="1:8" ht="13.2">
      <c r="A4251" s="15" t="s">
        <v>4826</v>
      </c>
      <c r="B4251" s="28" t="s">
        <v>4827</v>
      </c>
      <c r="C4251" s="24">
        <v>6</v>
      </c>
      <c r="D4251" s="18"/>
      <c r="E4251" s="17" t="s">
        <v>4809</v>
      </c>
      <c r="F4251" s="17"/>
      <c r="G4251" s="18"/>
      <c r="H4251" s="18"/>
    </row>
    <row r="4252" spans="1:8" ht="13.2">
      <c r="A4252" s="15" t="s">
        <v>4828</v>
      </c>
      <c r="B4252" s="18" t="s">
        <v>4829</v>
      </c>
      <c r="C4252" s="17">
        <v>6</v>
      </c>
      <c r="D4252" s="18"/>
      <c r="E4252" s="17" t="s">
        <v>4809</v>
      </c>
      <c r="F4252" s="17"/>
      <c r="G4252" s="18"/>
      <c r="H4252" s="18"/>
    </row>
    <row r="4253" spans="1:8" ht="13.2">
      <c r="A4253" s="19" t="str">
        <f>HYPERLINK("http://codeforces.com/contest/902/problem/D","CF918-D2-D")</f>
        <v>CF918-D2-D</v>
      </c>
      <c r="B4253" s="18" t="s">
        <v>4830</v>
      </c>
      <c r="C4253" s="17">
        <v>6</v>
      </c>
      <c r="D4253" s="18"/>
      <c r="E4253" s="17" t="s">
        <v>4809</v>
      </c>
      <c r="F4253" s="17"/>
      <c r="G4253" s="18"/>
      <c r="H4253" s="18"/>
    </row>
    <row r="4254" spans="1:8" ht="13.2">
      <c r="A4254" s="15" t="s">
        <v>4831</v>
      </c>
      <c r="B4254" s="15" t="s">
        <v>4832</v>
      </c>
      <c r="C4254" s="17">
        <v>5.5</v>
      </c>
      <c r="D4254" s="26" t="str">
        <f>HYPERLINK("https://github.com/mostafa-saad/MyCompetitiveProgramming/blob/master/LiveArchive/LiveArchive_6582.txt","Sol - must read")</f>
        <v>Sol - must read</v>
      </c>
      <c r="E4254" s="17" t="s">
        <v>4809</v>
      </c>
      <c r="F4254" s="17" t="s">
        <v>154</v>
      </c>
      <c r="G4254" s="18"/>
      <c r="H4254" s="18"/>
    </row>
    <row r="4255" spans="1:8" ht="13.2">
      <c r="A4255" s="19" t="str">
        <f>HYPERLINK("https://beta.atcoder.jp/contests/agc026/tasks/agc026_b","AtCoder026-AGC-B")</f>
        <v>AtCoder026-AGC-B</v>
      </c>
      <c r="B4255" s="29" t="s">
        <v>4833</v>
      </c>
      <c r="C4255" s="17">
        <v>5.5</v>
      </c>
      <c r="D4255" s="26" t="str">
        <f>HYPERLINK("https://github.com/dasannagariraja/CompetitiveProgramming/blob/master/AtCoder/AtCoder026-AGC-B.cpp","Sol")</f>
        <v>Sol</v>
      </c>
      <c r="E4255" s="17" t="s">
        <v>4809</v>
      </c>
      <c r="F4255" s="17" t="s">
        <v>154</v>
      </c>
      <c r="G4255" s="18"/>
      <c r="H4255" s="18"/>
    </row>
    <row r="4256" spans="1:8" ht="13.2">
      <c r="A4256" s="19" t="str">
        <f>HYPERLINK("http://codeforces.com/contest/1010/problem/C","CF1010-D1-C")</f>
        <v>CF1010-D1-C</v>
      </c>
      <c r="B4256" s="29" t="s">
        <v>4834</v>
      </c>
      <c r="C4256" s="21">
        <v>5.5</v>
      </c>
      <c r="D4256" s="18"/>
      <c r="E4256" s="17" t="s">
        <v>4809</v>
      </c>
      <c r="F4256" s="17" t="s">
        <v>154</v>
      </c>
      <c r="G4256" s="18"/>
      <c r="H4256" s="18"/>
    </row>
    <row r="4257" spans="1:8" ht="13.2">
      <c r="A4257" s="15" t="s">
        <v>4835</v>
      </c>
      <c r="B4257" s="28" t="s">
        <v>4836</v>
      </c>
      <c r="C4257" s="24">
        <v>5.5</v>
      </c>
      <c r="D4257" s="26" t="str">
        <f>HYPERLINK("https://morris821028.github.io/2014/09/15/oj/uva/uva-12792/","Sol")</f>
        <v>Sol</v>
      </c>
      <c r="E4257" s="17" t="s">
        <v>4809</v>
      </c>
      <c r="F4257" s="17" t="s">
        <v>139</v>
      </c>
      <c r="G4257" s="18"/>
      <c r="H4257" s="18"/>
    </row>
    <row r="4258" spans="1:8" ht="13.2">
      <c r="A4258" s="15" t="s">
        <v>4837</v>
      </c>
      <c r="B4258" s="15" t="s">
        <v>4838</v>
      </c>
      <c r="C4258" s="24">
        <v>5.5</v>
      </c>
      <c r="D4258" s="26" t="str">
        <f>HYPERLINK("https://github.com/Huvok/CompetitiveProgramming/blob/master/TIMUS/1286.cpp","Sol")</f>
        <v>Sol</v>
      </c>
      <c r="E4258" s="17" t="s">
        <v>4809</v>
      </c>
      <c r="F4258" s="17" t="s">
        <v>201</v>
      </c>
      <c r="G4258" s="18"/>
      <c r="H4258" s="18"/>
    </row>
    <row r="4259" spans="1:8" ht="13.2">
      <c r="A4259" s="15" t="s">
        <v>4839</v>
      </c>
      <c r="B4259" s="28" t="s">
        <v>4827</v>
      </c>
      <c r="C4259" s="24">
        <v>5.5</v>
      </c>
      <c r="D4259" s="18"/>
      <c r="E4259" s="17" t="s">
        <v>4809</v>
      </c>
      <c r="F4259" s="17"/>
      <c r="G4259" s="18"/>
      <c r="H4259" s="18"/>
    </row>
    <row r="4260" spans="1:8" ht="13.2">
      <c r="A4260" s="15" t="s">
        <v>4840</v>
      </c>
      <c r="B4260" s="18" t="s">
        <v>4841</v>
      </c>
      <c r="C4260" s="17">
        <v>5.5</v>
      </c>
      <c r="D4260" s="18"/>
      <c r="E4260" s="17" t="s">
        <v>4809</v>
      </c>
      <c r="F4260" s="17"/>
      <c r="G4260" s="18"/>
      <c r="H4260" s="18"/>
    </row>
    <row r="4261" spans="1:8" ht="13.2">
      <c r="A4261" s="19" t="str">
        <f>HYPERLINK("http://codeforces.com/contest/344/problem/C","CF344-D2-C")</f>
        <v>CF344-D2-C</v>
      </c>
      <c r="B4261" s="29" t="s">
        <v>4808</v>
      </c>
      <c r="C4261" s="17">
        <v>5</v>
      </c>
      <c r="D4261" s="18"/>
      <c r="E4261" s="17" t="s">
        <v>4809</v>
      </c>
      <c r="F4261" s="17" t="s">
        <v>139</v>
      </c>
      <c r="G4261" s="18"/>
      <c r="H4261" s="18"/>
    </row>
    <row r="4262" spans="1:8" ht="13.2">
      <c r="A4262" s="19" t="str">
        <f>HYPERLINK("https://codeforces.com/contest/1055/problem/C","CF1055-D12-C")</f>
        <v>CF1055-D12-C</v>
      </c>
      <c r="B4262" s="15" t="s">
        <v>4842</v>
      </c>
      <c r="C4262" s="17">
        <v>5</v>
      </c>
      <c r="D4262" s="18"/>
      <c r="E4262" s="17" t="s">
        <v>4809</v>
      </c>
      <c r="F4262" s="17" t="s">
        <v>139</v>
      </c>
      <c r="G4262" s="18"/>
      <c r="H4262" s="18"/>
    </row>
    <row r="4263" spans="1:8" ht="13.2">
      <c r="A4263" s="19" t="str">
        <f>HYPERLINK("https://csacademy.com/contest/round-47/task/gcd-rebuild/","CSA47-C")</f>
        <v>CSA47-C</v>
      </c>
      <c r="B4263" s="15" t="s">
        <v>4812</v>
      </c>
      <c r="C4263" s="17">
        <v>5</v>
      </c>
      <c r="D4263" s="18"/>
      <c r="E4263" s="17" t="s">
        <v>4809</v>
      </c>
      <c r="F4263" s="17" t="s">
        <v>242</v>
      </c>
      <c r="G4263" s="18"/>
      <c r="H4263" s="18"/>
    </row>
    <row r="4264" spans="1:8" ht="13.2">
      <c r="A4264" s="15" t="s">
        <v>4843</v>
      </c>
      <c r="B4264" s="30" t="s">
        <v>4844</v>
      </c>
      <c r="C4264" s="24">
        <v>5</v>
      </c>
      <c r="D4264" s="18"/>
      <c r="E4264" s="17" t="s">
        <v>4809</v>
      </c>
      <c r="F4264" s="17"/>
      <c r="G4264" s="18"/>
      <c r="H4264" s="18"/>
    </row>
    <row r="4265" spans="1:8" ht="13.2">
      <c r="A4265" s="19" t="str">
        <f>HYPERLINK("http://codeforces.com/contest/236/problem/C","CF236-D2-C")</f>
        <v>CF236-D2-C</v>
      </c>
      <c r="B4265" s="29" t="s">
        <v>4812</v>
      </c>
      <c r="C4265" s="17">
        <v>5</v>
      </c>
      <c r="D4265" s="18"/>
      <c r="E4265" s="17" t="s">
        <v>4809</v>
      </c>
      <c r="F4265" s="17"/>
      <c r="G4265" s="18"/>
      <c r="H4265" s="18"/>
    </row>
    <row r="4266" spans="1:8" ht="13.2">
      <c r="A4266" s="15" t="s">
        <v>4845</v>
      </c>
      <c r="B4266" s="16" t="s">
        <v>4846</v>
      </c>
      <c r="C4266" s="31">
        <v>5</v>
      </c>
      <c r="D4266" s="18"/>
      <c r="E4266" s="17" t="s">
        <v>4809</v>
      </c>
      <c r="F4266" s="17"/>
      <c r="G4266" s="18"/>
      <c r="H4266" s="18"/>
    </row>
    <row r="4267" spans="1:8" ht="13.2">
      <c r="A4267" s="15" t="s">
        <v>4847</v>
      </c>
      <c r="B4267" s="30" t="s">
        <v>4848</v>
      </c>
      <c r="C4267" s="24">
        <v>5</v>
      </c>
      <c r="D4267" s="26" t="str">
        <f>HYPERLINK("https://pastebin.com/1s937M7e","Sol")</f>
        <v>Sol</v>
      </c>
      <c r="E4267" s="17" t="s">
        <v>4809</v>
      </c>
      <c r="F4267" s="17"/>
      <c r="G4267" s="18"/>
      <c r="H4267" s="18"/>
    </row>
    <row r="4268" spans="1:8" ht="13.2">
      <c r="A4268" s="15" t="s">
        <v>4849</v>
      </c>
      <c r="B4268" s="34" t="s">
        <v>4850</v>
      </c>
      <c r="C4268" s="17">
        <v>5</v>
      </c>
      <c r="D4268" s="18"/>
      <c r="E4268" s="17" t="s">
        <v>4809</v>
      </c>
      <c r="F4268" s="17"/>
      <c r="G4268" s="18"/>
      <c r="H4268" s="18"/>
    </row>
    <row r="4269" spans="1:8" ht="13.2">
      <c r="A4269" s="19" t="str">
        <f>HYPERLINK("https://codeforces.com/contest/1091/problem/C","CF1091-D12-C")</f>
        <v>CF1091-D12-C</v>
      </c>
      <c r="B4269" s="37" t="s">
        <v>4851</v>
      </c>
      <c r="C4269" s="17">
        <v>4.5</v>
      </c>
      <c r="D4269" s="18"/>
      <c r="E4269" s="17" t="s">
        <v>4809</v>
      </c>
      <c r="F4269" s="17" t="s">
        <v>139</v>
      </c>
      <c r="G4269" s="18"/>
      <c r="H4269" s="18"/>
    </row>
    <row r="4270" spans="1:8" ht="13.2">
      <c r="A4270" s="19" t="str">
        <f>HYPERLINK("http://codeforces.com/contest/592/problem/C","CF592-D2-C")</f>
        <v>CF592-D2-C</v>
      </c>
      <c r="B4270" s="29" t="s">
        <v>4852</v>
      </c>
      <c r="C4270" s="17">
        <v>4.5</v>
      </c>
      <c r="D4270" s="18"/>
      <c r="E4270" s="17" t="s">
        <v>4809</v>
      </c>
      <c r="F4270" s="17" t="s">
        <v>139</v>
      </c>
      <c r="G4270" s="18"/>
      <c r="H4270" s="18"/>
    </row>
    <row r="4271" spans="1:8" ht="13.2">
      <c r="A4271" s="15" t="s">
        <v>4853</v>
      </c>
      <c r="B4271" s="15" t="s">
        <v>4808</v>
      </c>
      <c r="C4271" s="21">
        <v>4.5</v>
      </c>
      <c r="D4271" s="18"/>
      <c r="E4271" s="17" t="s">
        <v>4809</v>
      </c>
      <c r="F4271" s="17" t="s">
        <v>201</v>
      </c>
      <c r="G4271" s="18"/>
      <c r="H4271" s="18"/>
    </row>
    <row r="4272" spans="1:8" ht="13.2">
      <c r="A4272" s="19" t="str">
        <f>HYPERLINK("https://uva.onlinejudge.org/index.php?option=onlinejudge&amp;page=show_problem&amp;problem=1833","UVA 10892")</f>
        <v>UVA 10892</v>
      </c>
      <c r="B4272" s="29" t="s">
        <v>4812</v>
      </c>
      <c r="C4272" s="17">
        <v>4.5</v>
      </c>
      <c r="D4272" s="18"/>
      <c r="E4272" s="17" t="s">
        <v>4809</v>
      </c>
      <c r="F4272" s="17"/>
      <c r="G4272" s="18"/>
      <c r="H4272" s="18"/>
    </row>
    <row r="4273" spans="1:8" ht="13.2">
      <c r="A4273" s="15" t="s">
        <v>4854</v>
      </c>
      <c r="B4273" s="28" t="s">
        <v>4855</v>
      </c>
      <c r="C4273" s="33">
        <v>4</v>
      </c>
      <c r="D4273" s="26" t="str">
        <f>HYPERLINK("https://github.com/TheRealImaginary/CompetitiveProgramming/blob/master/UVA/UVA_10555_DeadFraction.java","Sol")</f>
        <v>Sol</v>
      </c>
      <c r="E4273" s="17" t="s">
        <v>4809</v>
      </c>
      <c r="F4273" s="17" t="s">
        <v>306</v>
      </c>
      <c r="G4273" s="18"/>
      <c r="H4273" s="18"/>
    </row>
    <row r="4274" spans="1:8" ht="13.2">
      <c r="A4274" s="19" t="str">
        <f>HYPERLINK("http://codeforces.com/contest/894/problem/C","CF894-D2-C")</f>
        <v>CF894-D2-C</v>
      </c>
      <c r="B4274" s="18" t="s">
        <v>4808</v>
      </c>
      <c r="C4274" s="17">
        <v>4</v>
      </c>
      <c r="D4274" s="18"/>
      <c r="E4274" s="17" t="s">
        <v>4809</v>
      </c>
      <c r="F4274" s="17" t="s">
        <v>139</v>
      </c>
      <c r="G4274" s="18"/>
      <c r="H4274" s="18"/>
    </row>
    <row r="4275" spans="1:8" ht="13.2">
      <c r="A4275" s="19" t="str">
        <f>HYPERLINK("http://codeforces.com/contest/88/problem/C","CF88-D2-C")</f>
        <v>CF88-D2-C</v>
      </c>
      <c r="B4275" s="29" t="s">
        <v>4856</v>
      </c>
      <c r="C4275" s="17">
        <v>4</v>
      </c>
      <c r="D4275" s="18"/>
      <c r="E4275" s="17" t="s">
        <v>4809</v>
      </c>
      <c r="F4275" s="17" t="s">
        <v>201</v>
      </c>
      <c r="G4275" s="18"/>
      <c r="H4275" s="18"/>
    </row>
    <row r="4276" spans="1:8" ht="13.2">
      <c r="A4276" s="19" t="str">
        <f>HYPERLINK("https://uva.onlinejudge.org/index.php?option=onlinejudge&amp;page=show_problem&amp;problem=1658","UVA 10717")</f>
        <v>UVA 10717</v>
      </c>
      <c r="B4276" s="29" t="s">
        <v>4812</v>
      </c>
      <c r="C4276" s="17">
        <v>4</v>
      </c>
      <c r="D4276" s="26" t="str">
        <f>HYPERLINK("https://github.com/magdy-hasan/competitive-programming/blob/master/uva-/uva%2010717%20-%20Mint.cpp","Sol")</f>
        <v>Sol</v>
      </c>
      <c r="E4276" s="17" t="s">
        <v>4809</v>
      </c>
      <c r="F4276" s="17"/>
      <c r="G4276" s="18"/>
      <c r="H4276" s="18"/>
    </row>
    <row r="4277" spans="1:8" ht="13.2">
      <c r="A4277" s="15" t="s">
        <v>4857</v>
      </c>
      <c r="B4277" s="29" t="s">
        <v>4858</v>
      </c>
      <c r="C4277" s="24">
        <v>4</v>
      </c>
      <c r="D4277" s="26" t="str">
        <f>HYPERLINK("https://ideone.com/TwEO76","Sol")</f>
        <v>Sol</v>
      </c>
      <c r="E4277" s="17" t="s">
        <v>4809</v>
      </c>
      <c r="F4277" s="17"/>
      <c r="G4277" s="18"/>
      <c r="H4277" s="18"/>
    </row>
    <row r="4278" spans="1:8" ht="13.2">
      <c r="A4278" s="15" t="s">
        <v>4859</v>
      </c>
      <c r="B4278" s="18" t="s">
        <v>4856</v>
      </c>
      <c r="C4278" s="17">
        <v>3</v>
      </c>
      <c r="D4278" s="18"/>
      <c r="E4278" s="17" t="s">
        <v>4809</v>
      </c>
      <c r="F4278" s="17" t="s">
        <v>306</v>
      </c>
      <c r="G4278" s="18"/>
      <c r="H4278" s="18"/>
    </row>
    <row r="4279" spans="1:8" ht="13.2">
      <c r="A4279" s="19" t="str">
        <f>HYPERLINK("https://uva.onlinejudge.org/index.php?option=onlinejudge&amp;page=show_problem&amp;problem=353","UVA 412")</f>
        <v>UVA 412</v>
      </c>
      <c r="B4279" s="29" t="s">
        <v>4808</v>
      </c>
      <c r="C4279" s="17">
        <v>3</v>
      </c>
      <c r="D4279" s="18"/>
      <c r="E4279" s="17" t="s">
        <v>4809</v>
      </c>
      <c r="F4279" s="17"/>
      <c r="G4279" s="18"/>
      <c r="H4279" s="18"/>
    </row>
    <row r="4280" spans="1:8" ht="13.2">
      <c r="A4280" s="15" t="s">
        <v>4860</v>
      </c>
      <c r="B4280" s="28" t="s">
        <v>4861</v>
      </c>
      <c r="C4280" s="24">
        <v>3</v>
      </c>
      <c r="D4280" s="18"/>
      <c r="E4280" s="17" t="s">
        <v>4809</v>
      </c>
      <c r="F4280" s="17"/>
      <c r="G4280" s="18"/>
      <c r="H4280" s="18"/>
    </row>
    <row r="4281" spans="1:8" ht="13.2">
      <c r="A4281" s="19" t="str">
        <f>HYPERLINK("https://uva.onlinejudge.org/index.php?option=onlinejudge&amp;page=show_problem&amp;problem=305","UVA 369")</f>
        <v>UVA 369</v>
      </c>
      <c r="B4281" s="29" t="s">
        <v>4862</v>
      </c>
      <c r="C4281" s="17">
        <v>2</v>
      </c>
      <c r="D4281" s="18"/>
      <c r="E4281" s="17" t="s">
        <v>4809</v>
      </c>
      <c r="F4281" s="17"/>
      <c r="G4281" s="18"/>
      <c r="H4281" s="18"/>
    </row>
    <row r="4282" spans="1:8" ht="13.2">
      <c r="A4282" s="15" t="s">
        <v>4863</v>
      </c>
      <c r="B4282" s="28" t="s">
        <v>4864</v>
      </c>
      <c r="C4282" s="24">
        <v>2</v>
      </c>
      <c r="D4282" s="18"/>
      <c r="E4282" s="17" t="s">
        <v>4809</v>
      </c>
      <c r="F4282" s="17"/>
      <c r="G4282" s="18"/>
      <c r="H4282" s="18"/>
    </row>
    <row r="4283" spans="1:8" ht="13.2">
      <c r="A4283" s="15" t="s">
        <v>4865</v>
      </c>
      <c r="B4283" s="29" t="s">
        <v>4866</v>
      </c>
      <c r="C4283" s="24">
        <v>7.25</v>
      </c>
      <c r="D4283" s="18"/>
      <c r="E4283" s="17" t="s">
        <v>4867</v>
      </c>
      <c r="F4283" s="17"/>
      <c r="G4283" s="18"/>
      <c r="H4283" s="18"/>
    </row>
    <row r="4284" spans="1:8" ht="13.2">
      <c r="A4284" s="19" t="str">
        <f>HYPERLINK("http://codeforces.com/contest/902/problem/D","CF902-D2-D")</f>
        <v>CF902-D2-D</v>
      </c>
      <c r="B4284" s="18" t="s">
        <v>4868</v>
      </c>
      <c r="C4284" s="17">
        <v>6.5</v>
      </c>
      <c r="D4284" s="26" t="str">
        <f>HYPERLINK("https://github.com/Huvok/CompetitiveProgramming/blob/master/Codeforces/CF902-D2-D.cpp","Sol")</f>
        <v>Sol</v>
      </c>
      <c r="E4284" s="17" t="s">
        <v>4867</v>
      </c>
      <c r="F4284" s="17" t="s">
        <v>242</v>
      </c>
      <c r="G4284" s="18"/>
      <c r="H4284" s="18"/>
    </row>
    <row r="4285" spans="1:8" ht="13.2">
      <c r="A4285" s="15" t="s">
        <v>4869</v>
      </c>
      <c r="B4285" s="28" t="s">
        <v>4870</v>
      </c>
      <c r="C4285" s="24">
        <v>6.5</v>
      </c>
      <c r="D4285" s="18"/>
      <c r="E4285" s="17" t="s">
        <v>4867</v>
      </c>
      <c r="F4285" s="17"/>
      <c r="G4285" s="18"/>
      <c r="H4285" s="18"/>
    </row>
    <row r="4286" spans="1:8" ht="13.2">
      <c r="A4286" s="19" t="str">
        <f>HYPERLINK("http://codeforces.com/contest/337/problem/C","CF337-D2-C")</f>
        <v>CF337-D2-C</v>
      </c>
      <c r="B4286" s="29" t="s">
        <v>4871</v>
      </c>
      <c r="C4286" s="17">
        <v>5</v>
      </c>
      <c r="D4286" s="18"/>
      <c r="E4286" s="17" t="s">
        <v>4867</v>
      </c>
      <c r="F4286" s="17" t="s">
        <v>139</v>
      </c>
      <c r="G4286" s="18"/>
      <c r="H4286" s="18"/>
    </row>
    <row r="4287" spans="1:8" ht="13.2">
      <c r="A4287" s="19" t="str">
        <f>HYPERLINK("https://uva.onlinejudge.org/index.php?option=onlinejudge&amp;page=show_problem&amp;problem=2096","UVA 11155")</f>
        <v>UVA 11155</v>
      </c>
      <c r="B4287" s="29" t="s">
        <v>4866</v>
      </c>
      <c r="C4287" s="17">
        <v>5</v>
      </c>
      <c r="D4287" s="18"/>
      <c r="E4287" s="17" t="s">
        <v>4867</v>
      </c>
      <c r="F4287" s="17"/>
      <c r="G4287" s="18"/>
      <c r="H4287" s="18"/>
    </row>
    <row r="4288" spans="1:8" ht="13.2">
      <c r="A4288" s="15" t="s">
        <v>4872</v>
      </c>
      <c r="B4288" s="28" t="s">
        <v>4866</v>
      </c>
      <c r="C4288" s="17">
        <v>4</v>
      </c>
      <c r="D4288" s="18"/>
      <c r="E4288" s="24" t="s">
        <v>4867</v>
      </c>
      <c r="F4288" s="17"/>
      <c r="G4288" s="18"/>
      <c r="H4288" s="18"/>
    </row>
    <row r="4289" spans="1:8" ht="13.2">
      <c r="A4289" s="19" t="str">
        <f>HYPERLINK("https://uva.onlinejudge.org/index.php?option=onlinejudge&amp;page=show_problem&amp;problem=349","UVA 408")</f>
        <v>UVA 408</v>
      </c>
      <c r="B4289" s="29" t="s">
        <v>4866</v>
      </c>
      <c r="C4289" s="17">
        <v>3</v>
      </c>
      <c r="D4289" s="18"/>
      <c r="E4289" s="17" t="s">
        <v>4867</v>
      </c>
      <c r="F4289" s="17"/>
      <c r="G4289" s="18"/>
      <c r="H4289" s="18"/>
    </row>
    <row r="4290" spans="1:8" ht="13.2">
      <c r="A4290" s="15" t="s">
        <v>4873</v>
      </c>
      <c r="B4290" s="28" t="s">
        <v>4874</v>
      </c>
      <c r="C4290" s="24">
        <v>7.5</v>
      </c>
      <c r="D4290" s="18"/>
      <c r="E4290" s="17" t="s">
        <v>4875</v>
      </c>
      <c r="F4290" s="17" t="s">
        <v>173</v>
      </c>
      <c r="G4290" s="18"/>
      <c r="H4290" s="18"/>
    </row>
    <row r="4291" spans="1:8" ht="13.2">
      <c r="A4291" s="15" t="s">
        <v>4876</v>
      </c>
      <c r="B4291" s="29" t="s">
        <v>4877</v>
      </c>
      <c r="C4291" s="24">
        <v>6.5</v>
      </c>
      <c r="D4291" s="18"/>
      <c r="E4291" s="17" t="s">
        <v>4875</v>
      </c>
      <c r="F4291" s="17"/>
      <c r="G4291" s="18"/>
      <c r="H4291" s="18"/>
    </row>
    <row r="4292" spans="1:8" ht="13.2">
      <c r="A4292" s="19" t="str">
        <f>HYPERLINK("http://codeforces.com/contest/151/problem/D","CF151-D2-D")</f>
        <v>CF151-D2-D</v>
      </c>
      <c r="B4292" s="29" t="s">
        <v>4878</v>
      </c>
      <c r="C4292" s="17">
        <v>5.5</v>
      </c>
      <c r="D4292" s="18"/>
      <c r="E4292" s="17" t="s">
        <v>4875</v>
      </c>
      <c r="F4292" s="17" t="s">
        <v>154</v>
      </c>
      <c r="G4292" s="18"/>
      <c r="H4292" s="18"/>
    </row>
    <row r="4293" spans="1:8" ht="13.2">
      <c r="A4293" s="19" t="str">
        <f>HYPERLINK("http://codeforces.com/contest/984/problem/C","CF984-D2-C")</f>
        <v>CF984-D2-C</v>
      </c>
      <c r="B4293" s="20" t="s">
        <v>4879</v>
      </c>
      <c r="C4293" s="21">
        <v>5</v>
      </c>
      <c r="D4293" s="18"/>
      <c r="E4293" s="17" t="s">
        <v>4875</v>
      </c>
      <c r="F4293" s="17" t="s">
        <v>242</v>
      </c>
      <c r="G4293" s="18"/>
      <c r="H4293" s="18"/>
    </row>
    <row r="4294" spans="1:8" ht="13.2">
      <c r="A4294" s="15" t="s">
        <v>4880</v>
      </c>
      <c r="B4294" s="29" t="s">
        <v>4881</v>
      </c>
      <c r="C4294" s="17">
        <v>5</v>
      </c>
      <c r="D4294" s="18"/>
      <c r="E4294" s="17" t="s">
        <v>4875</v>
      </c>
      <c r="F4294" s="17"/>
      <c r="G4294" s="18"/>
      <c r="H4294" s="18"/>
    </row>
    <row r="4295" spans="1:8" ht="13.2">
      <c r="A4295" s="19" t="str">
        <f>HYPERLINK("https://www.hackerrank.com/challenges/extremely-dangerous-virus","HACKR extremely-dangerous-virus")</f>
        <v>HACKR extremely-dangerous-virus</v>
      </c>
      <c r="B4295" s="29" t="s">
        <v>4877</v>
      </c>
      <c r="C4295" s="24">
        <v>3</v>
      </c>
      <c r="D4295" s="18"/>
      <c r="E4295" s="17" t="s">
        <v>4875</v>
      </c>
      <c r="F4295" s="17"/>
      <c r="G4295" s="18"/>
      <c r="H4295" s="18"/>
    </row>
    <row r="4296" spans="1:8" ht="13.2">
      <c r="A4296" s="19" t="str">
        <f>HYPERLINK("https://uva.onlinejudge.org/index.php?option=onlinejudge&amp;page=show_problem&amp;problem=310","UVA 374")</f>
        <v>UVA 374</v>
      </c>
      <c r="B4296" s="29" t="s">
        <v>4882</v>
      </c>
      <c r="C4296" s="17">
        <v>3</v>
      </c>
      <c r="D4296" s="18"/>
      <c r="E4296" s="17" t="s">
        <v>4875</v>
      </c>
      <c r="F4296" s="17"/>
      <c r="G4296" s="18"/>
      <c r="H4296" s="18"/>
    </row>
    <row r="4297" spans="1:8" ht="13.2">
      <c r="A4297" s="15" t="s">
        <v>4883</v>
      </c>
      <c r="B4297" s="29" t="s">
        <v>4884</v>
      </c>
      <c r="C4297" s="24">
        <v>7</v>
      </c>
      <c r="D4297" s="18"/>
      <c r="E4297" s="24" t="s">
        <v>4885</v>
      </c>
      <c r="F4297" s="17"/>
      <c r="G4297" s="18"/>
      <c r="H4297" s="18"/>
    </row>
    <row r="4298" spans="1:8" ht="13.2">
      <c r="A4298" s="15" t="s">
        <v>4886</v>
      </c>
      <c r="B4298" s="34" t="s">
        <v>4884</v>
      </c>
      <c r="C4298" s="17">
        <v>6.75</v>
      </c>
      <c r="D4298" s="18"/>
      <c r="E4298" s="17" t="s">
        <v>4885</v>
      </c>
      <c r="F4298" s="17"/>
      <c r="G4298" s="18"/>
      <c r="H4298" s="18"/>
    </row>
    <row r="4299" spans="1:8" ht="13.2">
      <c r="A4299" s="15" t="s">
        <v>4887</v>
      </c>
      <c r="B4299" s="34" t="s">
        <v>4884</v>
      </c>
      <c r="C4299" s="31">
        <v>6.5</v>
      </c>
      <c r="D4299" s="18"/>
      <c r="E4299" s="17" t="s">
        <v>4885</v>
      </c>
      <c r="F4299" s="17"/>
      <c r="G4299" s="18"/>
      <c r="H4299" s="18"/>
    </row>
    <row r="4300" spans="1:8" ht="13.2">
      <c r="A4300" s="15" t="s">
        <v>4888</v>
      </c>
      <c r="B4300" s="34" t="s">
        <v>4884</v>
      </c>
      <c r="C4300" s="31">
        <v>6.5</v>
      </c>
      <c r="D4300" s="18"/>
      <c r="E4300" s="17" t="s">
        <v>4885</v>
      </c>
      <c r="F4300" s="17"/>
      <c r="G4300" s="18"/>
      <c r="H4300" s="18"/>
    </row>
    <row r="4301" spans="1:8" ht="13.2">
      <c r="A4301" s="15" t="s">
        <v>4889</v>
      </c>
      <c r="B4301" s="34" t="s">
        <v>4890</v>
      </c>
      <c r="C4301" s="31">
        <v>6</v>
      </c>
      <c r="D4301" s="18"/>
      <c r="E4301" s="17" t="s">
        <v>4885</v>
      </c>
      <c r="F4301" s="17"/>
      <c r="G4301" s="18"/>
      <c r="H4301" s="18"/>
    </row>
    <row r="4302" spans="1:8" ht="13.2">
      <c r="A4302" s="15" t="s">
        <v>4891</v>
      </c>
      <c r="B4302" s="28" t="s">
        <v>4892</v>
      </c>
      <c r="C4302" s="24">
        <v>8</v>
      </c>
      <c r="D4302" s="18"/>
      <c r="E4302" s="17" t="s">
        <v>4893</v>
      </c>
      <c r="F4302" s="17"/>
      <c r="G4302" s="18"/>
      <c r="H4302" s="18"/>
    </row>
    <row r="4303" spans="1:8" ht="13.2">
      <c r="A4303" s="19" t="str">
        <f>HYPERLINK("https://www.codechef.com/problems/C2","CODECHEF C2")</f>
        <v>CODECHEF C2</v>
      </c>
      <c r="B4303" s="18" t="s">
        <v>4894</v>
      </c>
      <c r="C4303" s="17">
        <v>7.5</v>
      </c>
      <c r="D4303" s="18"/>
      <c r="E4303" s="17" t="s">
        <v>4893</v>
      </c>
      <c r="F4303" s="17" t="s">
        <v>173</v>
      </c>
      <c r="G4303" s="18"/>
      <c r="H4303" s="18"/>
    </row>
    <row r="4304" spans="1:8" ht="13.2">
      <c r="A4304" s="15" t="s">
        <v>4895</v>
      </c>
      <c r="B4304" s="29" t="s">
        <v>4896</v>
      </c>
      <c r="C4304" s="17">
        <v>7</v>
      </c>
      <c r="D4304" s="18"/>
      <c r="E4304" s="17" t="s">
        <v>4893</v>
      </c>
      <c r="F4304" s="17"/>
      <c r="G4304" s="18"/>
      <c r="H4304" s="18"/>
    </row>
    <row r="4305" spans="1:8" ht="13.2">
      <c r="A4305" s="15" t="s">
        <v>4897</v>
      </c>
      <c r="B4305" s="28" t="s">
        <v>4898</v>
      </c>
      <c r="C4305" s="17">
        <v>7</v>
      </c>
      <c r="D4305" s="26" t="str">
        <f>HYPERLINK("https://morris821028.github.io/2014/05/31/oj/uva/uva-11260/","Sol")</f>
        <v>Sol</v>
      </c>
      <c r="E4305" s="17" t="s">
        <v>4893</v>
      </c>
      <c r="F4305" s="17"/>
      <c r="G4305" s="18"/>
      <c r="H4305" s="18"/>
    </row>
    <row r="4306" spans="1:8" ht="13.2">
      <c r="A4306" s="15" t="s">
        <v>4899</v>
      </c>
      <c r="B4306" s="34" t="s">
        <v>4900</v>
      </c>
      <c r="C4306" s="33">
        <v>6.75</v>
      </c>
      <c r="D4306" s="26" t="str">
        <f>HYPERLINK("https://github.com/mostafa-saad/MyCompetitiveProgramming/blob/master/TopCoder/SRM231-D1-500.txt","Sol")</f>
        <v>Sol</v>
      </c>
      <c r="E4306" s="17" t="s">
        <v>4893</v>
      </c>
      <c r="F4306" s="17" t="s">
        <v>154</v>
      </c>
      <c r="G4306" s="18"/>
      <c r="H4306" s="18"/>
    </row>
    <row r="4307" spans="1:8" ht="13.2">
      <c r="A4307" s="15" t="s">
        <v>4901</v>
      </c>
      <c r="B4307" s="29" t="s">
        <v>4902</v>
      </c>
      <c r="C4307" s="24">
        <v>6.75</v>
      </c>
      <c r="D4307" s="18"/>
      <c r="E4307" s="17" t="s">
        <v>4893</v>
      </c>
      <c r="F4307" s="17"/>
      <c r="G4307" s="18"/>
      <c r="H4307" s="18"/>
    </row>
    <row r="4308" spans="1:8" ht="13.2">
      <c r="A4308" s="15" t="s">
        <v>4903</v>
      </c>
      <c r="B4308" s="28" t="s">
        <v>4904</v>
      </c>
      <c r="C4308" s="24">
        <v>6.5</v>
      </c>
      <c r="D4308" s="26" t="str">
        <f>HYPERLINK("http://codeforces.com/blog/entry/22712","CF616E editorial")</f>
        <v>CF616E editorial</v>
      </c>
      <c r="E4308" s="17" t="s">
        <v>4893</v>
      </c>
      <c r="F4308" s="17" t="s">
        <v>154</v>
      </c>
      <c r="G4308" s="18"/>
      <c r="H4308" s="18"/>
    </row>
    <row r="4309" spans="1:8" ht="13.2">
      <c r="A4309" s="15" t="s">
        <v>4905</v>
      </c>
      <c r="B4309" s="30" t="s">
        <v>4906</v>
      </c>
      <c r="C4309" s="24">
        <v>6.25</v>
      </c>
      <c r="D4309" s="18"/>
      <c r="E4309" s="17" t="s">
        <v>4893</v>
      </c>
      <c r="F4309" s="17"/>
      <c r="G4309" s="18"/>
      <c r="H4309" s="18"/>
    </row>
    <row r="4310" spans="1:8" ht="13.2">
      <c r="A4310" s="19" t="str">
        <f>HYPERLINK("https://codeforces.com/contest/616/problem/E","CF616-D12-E")</f>
        <v>CF616-D12-E</v>
      </c>
      <c r="B4310" s="15" t="s">
        <v>4907</v>
      </c>
      <c r="C4310" s="17">
        <v>6</v>
      </c>
      <c r="D4310" s="18"/>
      <c r="E4310" s="17" t="s">
        <v>4893</v>
      </c>
      <c r="F4310" s="17" t="s">
        <v>201</v>
      </c>
      <c r="G4310" s="18"/>
      <c r="H4310" s="18"/>
    </row>
    <row r="4311" spans="1:8" ht="13.2">
      <c r="A4311" s="19" t="str">
        <f>HYPERLINK("http://codeforces.com/contest/599/problem/D","CF599-D2-D")</f>
        <v>CF599-D2-D</v>
      </c>
      <c r="B4311" s="29" t="s">
        <v>4908</v>
      </c>
      <c r="C4311" s="17">
        <v>5.75</v>
      </c>
      <c r="D4311" s="18"/>
      <c r="E4311" s="17" t="s">
        <v>4893</v>
      </c>
      <c r="F4311" s="17" t="s">
        <v>201</v>
      </c>
      <c r="G4311" s="18"/>
      <c r="H4311" s="18"/>
    </row>
    <row r="4312" spans="1:8" ht="13.2">
      <c r="A4312" s="19" t="str">
        <f>HYPERLINK("http://codeforces.com/contest/731/problem/F","CF731-D2-F")</f>
        <v>CF731-D2-F</v>
      </c>
      <c r="B4312" s="38" t="s">
        <v>4909</v>
      </c>
      <c r="C4312" s="17">
        <v>5.5</v>
      </c>
      <c r="D4312" s="18"/>
      <c r="E4312" s="17" t="s">
        <v>4893</v>
      </c>
      <c r="F4312" s="17"/>
      <c r="G4312" s="18"/>
      <c r="H4312" s="18"/>
    </row>
    <row r="4313" spans="1:8" ht="13.2">
      <c r="A4313" s="15" t="s">
        <v>4910</v>
      </c>
      <c r="B4313" s="29" t="s">
        <v>4911</v>
      </c>
      <c r="C4313" s="24">
        <v>5</v>
      </c>
      <c r="D4313" s="26" t="str">
        <f>HYPERLINK("https://github.com/mostafa-saad/MyCompetitiveProgramming/blob/master/UVA/UVA_1730.txt","Sol")</f>
        <v>Sol</v>
      </c>
      <c r="E4313" s="17" t="s">
        <v>4893</v>
      </c>
      <c r="F4313" s="17" t="s">
        <v>154</v>
      </c>
      <c r="G4313" s="18"/>
      <c r="H4313" s="18"/>
    </row>
    <row r="4314" spans="1:8" ht="13.2">
      <c r="A4314" s="19" t="str">
        <f>HYPERLINK("http://codeforces.com/contest/476/problem/C","CF476-D2-C")</f>
        <v>CF476-D2-C</v>
      </c>
      <c r="B4314" s="29" t="s">
        <v>4912</v>
      </c>
      <c r="C4314" s="17">
        <v>5</v>
      </c>
      <c r="D4314" s="26" t="str">
        <f>HYPERLINK("https://www.youtube.com/watch?v=KS9POnQMfmY","Watch if needed")</f>
        <v>Watch if needed</v>
      </c>
      <c r="E4314" s="17" t="s">
        <v>4893</v>
      </c>
      <c r="F4314" s="17" t="s">
        <v>1164</v>
      </c>
      <c r="G4314" s="18"/>
      <c r="H4314" s="18"/>
    </row>
    <row r="4315" spans="1:8" ht="13.2">
      <c r="A4315" s="15" t="s">
        <v>4913</v>
      </c>
      <c r="B4315" s="28" t="s">
        <v>4914</v>
      </c>
      <c r="C4315" s="24">
        <v>5</v>
      </c>
      <c r="D4315" s="26" t="str">
        <f>HYPERLINK("https://github.com/mostafa-saad/MyCompetitiveProgramming/blob/master/UVA/UVA_10830.txt","Sol")</f>
        <v>Sol</v>
      </c>
      <c r="E4315" s="17" t="s">
        <v>4893</v>
      </c>
      <c r="F4315" s="17" t="s">
        <v>196</v>
      </c>
      <c r="G4315" s="18"/>
      <c r="H4315" s="18"/>
    </row>
    <row r="4316" spans="1:8" ht="13.2">
      <c r="A4316" s="19" t="str">
        <f>HYPERLINK("http://codeforces.com/contest/76/problem/E","CF76-D12-E")</f>
        <v>CF76-D12-E</v>
      </c>
      <c r="B4316" s="15" t="s">
        <v>4915</v>
      </c>
      <c r="C4316" s="17">
        <v>5</v>
      </c>
      <c r="D4316" s="18"/>
      <c r="E4316" s="17" t="s">
        <v>4893</v>
      </c>
      <c r="F4316" s="17" t="s">
        <v>139</v>
      </c>
      <c r="G4316" s="18"/>
      <c r="H4316" s="18"/>
    </row>
    <row r="4317" spans="1:8" ht="13.2">
      <c r="A4317" s="19" t="str">
        <f>HYPERLINK("http://codeforces.com/contest/201/problem/B","CF201-D1-B")</f>
        <v>CF201-D1-B</v>
      </c>
      <c r="B4317" s="29" t="s">
        <v>4916</v>
      </c>
      <c r="C4317" s="17">
        <v>5</v>
      </c>
      <c r="D4317" s="18"/>
      <c r="E4317" s="17" t="s">
        <v>4893</v>
      </c>
      <c r="F4317" s="17" t="s">
        <v>242</v>
      </c>
      <c r="G4317" s="18"/>
      <c r="H4317" s="18"/>
    </row>
    <row r="4318" spans="1:8" ht="13.2">
      <c r="A4318" s="15" t="s">
        <v>4917</v>
      </c>
      <c r="B4318" s="30" t="s">
        <v>4918</v>
      </c>
      <c r="C4318" s="24">
        <v>5</v>
      </c>
      <c r="D4318" s="18"/>
      <c r="E4318" s="17" t="s">
        <v>4893</v>
      </c>
      <c r="F4318" s="17"/>
      <c r="G4318" s="18"/>
      <c r="H4318" s="18"/>
    </row>
    <row r="4319" spans="1:8" ht="13.2">
      <c r="A4319" s="19" t="str">
        <f>HYPERLINK("https://www.hackerrank.com/challenges/jim-and-the-challenge","HACKR jim-and-the-challenge")</f>
        <v>HACKR jim-and-the-challenge</v>
      </c>
      <c r="B4319" s="29" t="s">
        <v>4919</v>
      </c>
      <c r="C4319" s="17">
        <v>5</v>
      </c>
      <c r="D4319" s="18"/>
      <c r="E4319" s="17" t="s">
        <v>4893</v>
      </c>
      <c r="F4319" s="17"/>
      <c r="G4319" s="18"/>
      <c r="H4319" s="18"/>
    </row>
    <row r="4320" spans="1:8" ht="13.2">
      <c r="A4320" s="15" t="s">
        <v>4920</v>
      </c>
      <c r="B4320" s="30" t="s">
        <v>4921</v>
      </c>
      <c r="C4320" s="24">
        <v>5</v>
      </c>
      <c r="D4320" s="18"/>
      <c r="E4320" s="17" t="s">
        <v>4893</v>
      </c>
      <c r="F4320" s="17"/>
      <c r="G4320" s="18"/>
      <c r="H4320" s="18"/>
    </row>
    <row r="4321" spans="1:8" ht="13.2">
      <c r="A4321" s="19" t="str">
        <f>HYPERLINK("http://codeforces.com/contest/227/problem/C","CF227-D2-C")</f>
        <v>CF227-D2-C</v>
      </c>
      <c r="B4321" s="29" t="s">
        <v>4922</v>
      </c>
      <c r="C4321" s="17">
        <v>4.5</v>
      </c>
      <c r="D4321" s="18"/>
      <c r="E4321" s="17" t="s">
        <v>4893</v>
      </c>
      <c r="F4321" s="17" t="s">
        <v>139</v>
      </c>
      <c r="G4321" s="18"/>
      <c r="H4321" s="18"/>
    </row>
    <row r="4322" spans="1:8" ht="13.2">
      <c r="A4322" s="15" t="s">
        <v>4923</v>
      </c>
      <c r="B4322" s="30" t="s">
        <v>4924</v>
      </c>
      <c r="C4322" s="24">
        <v>4.5</v>
      </c>
      <c r="D4322" s="26" t="str">
        <f>HYPERLINK("https://github.com/TheRealImaginary/CompetitiveProgramming/blob/master/UVA/UVA_655_Scrabble.java","Sol")</f>
        <v>Sol</v>
      </c>
      <c r="E4322" s="17" t="s">
        <v>4893</v>
      </c>
      <c r="F4322" s="17"/>
      <c r="G4322" s="18"/>
      <c r="H4322" s="18"/>
    </row>
    <row r="4323" spans="1:8" ht="13.2">
      <c r="A4323" s="15" t="s">
        <v>4925</v>
      </c>
      <c r="B4323" s="30" t="s">
        <v>4926</v>
      </c>
      <c r="C4323" s="17">
        <v>4</v>
      </c>
      <c r="D4323" s="18"/>
      <c r="E4323" s="17" t="s">
        <v>4893</v>
      </c>
      <c r="F4323" s="17"/>
      <c r="G4323" s="18"/>
      <c r="H4323" s="18"/>
    </row>
    <row r="4324" spans="1:8" ht="13.2">
      <c r="A4324" s="15" t="s">
        <v>4927</v>
      </c>
      <c r="B4324" s="43" t="s">
        <v>4928</v>
      </c>
      <c r="C4324" s="24">
        <v>3</v>
      </c>
      <c r="D4324" s="18"/>
      <c r="E4324" s="17" t="s">
        <v>4893</v>
      </c>
      <c r="F4324" s="17"/>
      <c r="G4324" s="18"/>
      <c r="H4324" s="18"/>
    </row>
    <row r="4325" spans="1:8" ht="13.2">
      <c r="A4325" s="15" t="s">
        <v>4929</v>
      </c>
      <c r="B4325" s="29" t="s">
        <v>4907</v>
      </c>
      <c r="C4325" s="24">
        <v>2</v>
      </c>
      <c r="D4325" s="18"/>
      <c r="E4325" s="17" t="s">
        <v>4893</v>
      </c>
      <c r="F4325" s="17"/>
      <c r="G4325" s="18"/>
      <c r="H4325" s="18"/>
    </row>
    <row r="4326" spans="1:8" ht="13.2">
      <c r="A4326" s="15" t="s">
        <v>4930</v>
      </c>
      <c r="B4326" s="28" t="s">
        <v>4931</v>
      </c>
      <c r="C4326" s="24">
        <v>7</v>
      </c>
      <c r="D4326" s="18"/>
      <c r="E4326" s="17" t="s">
        <v>4932</v>
      </c>
      <c r="F4326" s="17"/>
      <c r="G4326" s="18"/>
      <c r="H4326" s="18"/>
    </row>
    <row r="4327" spans="1:8" ht="13.2">
      <c r="A4327" s="15" t="s">
        <v>4933</v>
      </c>
      <c r="B4327" s="28" t="s">
        <v>4931</v>
      </c>
      <c r="C4327" s="17">
        <v>7</v>
      </c>
      <c r="D4327" s="18"/>
      <c r="E4327" s="17" t="s">
        <v>4932</v>
      </c>
      <c r="F4327" s="17"/>
      <c r="G4327" s="18"/>
      <c r="H4327" s="18"/>
    </row>
    <row r="4328" spans="1:8" ht="13.2">
      <c r="A4328" s="15" t="s">
        <v>4934</v>
      </c>
      <c r="B4328" s="28" t="s">
        <v>4931</v>
      </c>
      <c r="C4328" s="24">
        <v>7</v>
      </c>
      <c r="D4328" s="18"/>
      <c r="E4328" s="17" t="s">
        <v>4932</v>
      </c>
      <c r="F4328" s="17"/>
      <c r="G4328" s="18"/>
      <c r="H4328" s="18"/>
    </row>
    <row r="4329" spans="1:8" ht="13.2">
      <c r="A4329" s="15" t="s">
        <v>4935</v>
      </c>
      <c r="B4329" s="28" t="s">
        <v>4931</v>
      </c>
      <c r="C4329" s="24">
        <v>6.25</v>
      </c>
      <c r="D4329" s="18"/>
      <c r="E4329" s="17" t="s">
        <v>4932</v>
      </c>
      <c r="F4329" s="17"/>
      <c r="G4329" s="18"/>
      <c r="H4329" s="18"/>
    </row>
    <row r="4330" spans="1:8" ht="13.2">
      <c r="A4330" s="19" t="str">
        <f>HYPERLINK("https://uva.onlinejudge.org/index.php?option=com_onlinejudge&amp;Itemid=8&amp;page=show_problem&amp;problem=668","UVA 727")</f>
        <v>UVA 727</v>
      </c>
      <c r="B4330" s="29" t="s">
        <v>4931</v>
      </c>
      <c r="C4330" s="17">
        <v>4</v>
      </c>
      <c r="D4330" s="18"/>
      <c r="E4330" s="17" t="s">
        <v>4932</v>
      </c>
      <c r="F4330" s="17"/>
      <c r="G4330" s="18"/>
      <c r="H4330" s="18"/>
    </row>
    <row r="4331" spans="1:8" ht="13.2">
      <c r="A4331" s="15" t="s">
        <v>4936</v>
      </c>
      <c r="B4331" s="28" t="s">
        <v>4937</v>
      </c>
      <c r="C4331" s="17">
        <v>3.5</v>
      </c>
      <c r="D4331" s="18"/>
      <c r="E4331" s="17" t="s">
        <v>4932</v>
      </c>
      <c r="F4331" s="17"/>
      <c r="G4331" s="18"/>
      <c r="H4331" s="18"/>
    </row>
    <row r="4332" spans="1:8" ht="13.2">
      <c r="A4332" s="15" t="s">
        <v>4938</v>
      </c>
      <c r="B4332" s="28" t="s">
        <v>4937</v>
      </c>
      <c r="C4332" s="24">
        <v>3</v>
      </c>
      <c r="D4332" s="26" t="str">
        <f>HYPERLINK("https://github.com/MohamedNabil97/CompetitiveProgramming/tree/master/UVA/12392.cpp","Sol")</f>
        <v>Sol</v>
      </c>
      <c r="E4332" s="17" t="s">
        <v>4932</v>
      </c>
      <c r="F4332" s="17"/>
      <c r="G4332" s="18"/>
      <c r="H4332" s="18"/>
    </row>
    <row r="4333" spans="1:8" ht="13.2">
      <c r="A4333" s="15" t="s">
        <v>4939</v>
      </c>
      <c r="B4333" s="28" t="s">
        <v>4940</v>
      </c>
      <c r="C4333" s="24">
        <v>7</v>
      </c>
      <c r="D4333" s="18"/>
      <c r="E4333" s="17" t="s">
        <v>4941</v>
      </c>
      <c r="F4333" s="17"/>
      <c r="G4333" s="18"/>
      <c r="H4333" s="18"/>
    </row>
    <row r="4334" spans="1:8" ht="13.2">
      <c r="A4334" s="15" t="s">
        <v>4942</v>
      </c>
      <c r="B4334" s="29" t="s">
        <v>4943</v>
      </c>
      <c r="C4334" s="24">
        <v>4.5</v>
      </c>
      <c r="D4334" s="26" t="str">
        <f>HYPERLINK("https://github.com/AmrMaghraby/Competitve-Programming/blob/master/UVA/UVA%2011666.cpp","Sol")</f>
        <v>Sol</v>
      </c>
      <c r="E4334" s="17" t="s">
        <v>4941</v>
      </c>
      <c r="F4334" s="17"/>
      <c r="G4334" s="18"/>
      <c r="H4334" s="18"/>
    </row>
    <row r="4335" spans="1:8" ht="13.2">
      <c r="A4335" s="15" t="s">
        <v>4944</v>
      </c>
      <c r="B4335" s="29" t="s">
        <v>4945</v>
      </c>
      <c r="C4335" s="17">
        <v>4</v>
      </c>
      <c r="D4335" s="18"/>
      <c r="E4335" s="17" t="s">
        <v>4941</v>
      </c>
      <c r="F4335" s="17"/>
      <c r="G4335" s="18"/>
      <c r="H4335" s="18"/>
    </row>
    <row r="4336" spans="1:8" ht="13.2">
      <c r="A4336" s="15" t="s">
        <v>4946</v>
      </c>
      <c r="B4336" s="28" t="s">
        <v>4947</v>
      </c>
      <c r="C4336" s="24">
        <v>3</v>
      </c>
      <c r="D4336" s="18"/>
      <c r="E4336" s="17" t="s">
        <v>4941</v>
      </c>
      <c r="F4336" s="17"/>
      <c r="G4336" s="18"/>
      <c r="H4336" s="18"/>
    </row>
    <row r="4337" spans="1:8" ht="13.2">
      <c r="A4337" s="15" t="s">
        <v>4948</v>
      </c>
      <c r="B4337" s="38" t="s">
        <v>4949</v>
      </c>
      <c r="C4337" s="17">
        <v>5</v>
      </c>
      <c r="D4337" s="18"/>
      <c r="E4337" s="17" t="s">
        <v>4950</v>
      </c>
      <c r="F4337" s="17"/>
      <c r="G4337" s="18"/>
      <c r="H4337" s="18"/>
    </row>
    <row r="4338" spans="1:8" ht="13.2">
      <c r="A4338" s="15" t="s">
        <v>4951</v>
      </c>
      <c r="B4338" s="38" t="s">
        <v>4952</v>
      </c>
      <c r="C4338" s="24">
        <v>5</v>
      </c>
      <c r="D4338" s="26" t="str">
        <f>HYPERLINK("https://github.com/sggutier/CompetitiveProgramming/blob/master/PKU/3191.cpp","Sol")</f>
        <v>Sol</v>
      </c>
      <c r="E4338" s="17" t="s">
        <v>4950</v>
      </c>
      <c r="F4338" s="17"/>
      <c r="G4338" s="18"/>
      <c r="H4338" s="18"/>
    </row>
    <row r="4339" spans="1:8" ht="13.2">
      <c r="A4339" s="15" t="s">
        <v>4953</v>
      </c>
      <c r="B4339" s="30" t="s">
        <v>4954</v>
      </c>
      <c r="C4339" s="24">
        <v>4</v>
      </c>
      <c r="D4339" s="18"/>
      <c r="E4339" s="17" t="s">
        <v>4950</v>
      </c>
      <c r="F4339" s="17"/>
      <c r="G4339" s="18"/>
      <c r="H4339" s="18"/>
    </row>
    <row r="4340" spans="1:8" ht="13.2">
      <c r="A4340" s="15" t="s">
        <v>4955</v>
      </c>
      <c r="B4340" s="28" t="s">
        <v>4956</v>
      </c>
      <c r="C4340" s="24">
        <v>3</v>
      </c>
      <c r="D4340" s="18"/>
      <c r="E4340" s="17" t="s">
        <v>4950</v>
      </c>
      <c r="F4340" s="17"/>
      <c r="G4340" s="18"/>
      <c r="H4340" s="18"/>
    </row>
    <row r="4341" spans="1:8" ht="13.2">
      <c r="A4341" s="19" t="str">
        <f>HYPERLINK("http://codeforces.com/contest/113/problem/E","CF113-D1-E")</f>
        <v>CF113-D1-E</v>
      </c>
      <c r="B4341" s="30" t="s">
        <v>4957</v>
      </c>
      <c r="C4341" s="24">
        <v>9.5</v>
      </c>
      <c r="D4341" s="18"/>
      <c r="E4341" s="17" t="s">
        <v>4958</v>
      </c>
      <c r="F4341" s="17"/>
      <c r="G4341" s="18"/>
      <c r="H4341" s="18"/>
    </row>
    <row r="4342" spans="1:8" ht="13.2">
      <c r="A4342" s="19" t="str">
        <f>HYPERLINK("http://codeforces.com/contest/145/problem/D","CF145-D1-D")</f>
        <v>CF145-D1-D</v>
      </c>
      <c r="B4342" s="15" t="s">
        <v>4959</v>
      </c>
      <c r="C4342" s="24">
        <v>9</v>
      </c>
      <c r="D4342" s="18"/>
      <c r="E4342" s="17" t="s">
        <v>4958</v>
      </c>
      <c r="F4342" s="17" t="s">
        <v>173</v>
      </c>
      <c r="G4342" s="18"/>
      <c r="H4342" s="18"/>
    </row>
    <row r="4343" spans="1:8" ht="13.2">
      <c r="A4343" s="19" t="str">
        <f>HYPERLINK("http://codeforces.com/contest/698/problem/F","CF698-D1-F")</f>
        <v>CF698-D1-F</v>
      </c>
      <c r="B4343" s="15" t="s">
        <v>4960</v>
      </c>
      <c r="C4343" s="24">
        <v>9</v>
      </c>
      <c r="D4343" s="18"/>
      <c r="E4343" s="17" t="s">
        <v>4958</v>
      </c>
      <c r="F4343" s="17" t="s">
        <v>173</v>
      </c>
      <c r="G4343" s="18"/>
      <c r="H4343" s="18"/>
    </row>
    <row r="4344" spans="1:8" ht="13.2">
      <c r="A4344" s="19" t="str">
        <f>HYPERLINK("https://www.hackerrank.com/challenges/value-of-all-permutations","HACKR value-of-all-permutations")</f>
        <v>HACKR value-of-all-permutations</v>
      </c>
      <c r="B4344" s="29" t="s">
        <v>4961</v>
      </c>
      <c r="C4344" s="17">
        <v>9</v>
      </c>
      <c r="D4344" s="18"/>
      <c r="E4344" s="17" t="s">
        <v>4958</v>
      </c>
      <c r="F4344" s="17"/>
      <c r="G4344" s="18"/>
      <c r="H4344" s="18"/>
    </row>
    <row r="4345" spans="1:8" ht="13.2">
      <c r="A4345" s="19" t="str">
        <f>HYPERLINK("https://www.hackerrank.com/challenges/tile-painting-revisited","HACKR tile-painting-revisited")</f>
        <v>HACKR tile-painting-revisited</v>
      </c>
      <c r="B4345" s="29" t="s">
        <v>4960</v>
      </c>
      <c r="C4345" s="17">
        <v>8.5</v>
      </c>
      <c r="D4345" s="18"/>
      <c r="E4345" s="17" t="s">
        <v>4958</v>
      </c>
      <c r="F4345" s="17"/>
      <c r="G4345" s="18"/>
      <c r="H4345" s="18"/>
    </row>
    <row r="4346" spans="1:8" ht="13.2">
      <c r="A4346" s="15" t="s">
        <v>4962</v>
      </c>
      <c r="B4346" s="30" t="s">
        <v>4963</v>
      </c>
      <c r="C4346" s="24">
        <v>8</v>
      </c>
      <c r="D4346" s="26" t="str">
        <f>HYPERLINK("https://github.com/swapnil119/CompetitiveProgramming/blob/master/CompetitiveProgramming/Topcoder/SRM472-D1-500.cpp","Sol")</f>
        <v>Sol</v>
      </c>
      <c r="E4346" s="17" t="s">
        <v>4958</v>
      </c>
      <c r="F4346" s="17" t="s">
        <v>154</v>
      </c>
      <c r="G4346" s="18"/>
      <c r="H4346" s="18"/>
    </row>
    <row r="4347" spans="1:8" ht="13.2">
      <c r="A4347" s="19" t="str">
        <f>HYPERLINK("http://codeforces.com/contest/224/problem/E","CF224-D2-E")</f>
        <v>CF224-D2-E</v>
      </c>
      <c r="B4347" s="29" t="s">
        <v>4964</v>
      </c>
      <c r="C4347" s="24">
        <v>8</v>
      </c>
      <c r="D4347" s="18"/>
      <c r="E4347" s="17" t="s">
        <v>4958</v>
      </c>
      <c r="F4347" s="17"/>
      <c r="G4347" s="18"/>
      <c r="H4347" s="18"/>
    </row>
    <row r="4348" spans="1:8" ht="13.2">
      <c r="A4348" s="19" t="str">
        <f>HYPERLINK("https://codeforces.com/contest/1205/problem/E", "CF1205-D1-E")</f>
        <v>CF1205-D1-E</v>
      </c>
      <c r="B4348" s="20" t="s">
        <v>4964</v>
      </c>
      <c r="C4348" s="21">
        <v>7.75</v>
      </c>
      <c r="D4348" s="18"/>
      <c r="E4348" s="17" t="s">
        <v>4958</v>
      </c>
      <c r="F4348" s="17" t="s">
        <v>139</v>
      </c>
      <c r="G4348" s="18"/>
      <c r="H4348" s="18"/>
    </row>
    <row r="4349" spans="1:8" ht="13.2">
      <c r="A4349" s="19" t="str">
        <f>HYPERLINK("https://arc102.contest.atcoder.jp/tasks/arc102_c","AtCoder102-ARC-E")</f>
        <v>AtCoder102-ARC-E</v>
      </c>
      <c r="B4349" s="20" t="s">
        <v>4964</v>
      </c>
      <c r="C4349" s="21">
        <v>7.5</v>
      </c>
      <c r="D4349" s="18"/>
      <c r="E4349" s="17" t="s">
        <v>4958</v>
      </c>
      <c r="F4349" s="17" t="s">
        <v>139</v>
      </c>
      <c r="G4349" s="18"/>
      <c r="H4349" s="18"/>
    </row>
    <row r="4350" spans="1:8" ht="13.2">
      <c r="A4350" s="19" t="str">
        <f>HYPERLINK("http://codeforces.com/contest/380/problem/D","CF380-D1-D")</f>
        <v>CF380-D1-D</v>
      </c>
      <c r="B4350" s="29" t="s">
        <v>4964</v>
      </c>
      <c r="C4350" s="17">
        <v>7.5</v>
      </c>
      <c r="D4350" s="18"/>
      <c r="E4350" s="17" t="s">
        <v>4958</v>
      </c>
      <c r="F4350" s="17" t="s">
        <v>139</v>
      </c>
      <c r="G4350" s="18"/>
      <c r="H4350" s="18"/>
    </row>
    <row r="4351" spans="1:8" ht="13.2">
      <c r="A4351" s="19" t="str">
        <f>HYPERLINK("https://codeforces.com/problemset/problem/1261/F", "CF1261-D1-F")</f>
        <v>CF1261-D1-F</v>
      </c>
      <c r="B4351" s="20" t="s">
        <v>4964</v>
      </c>
      <c r="C4351" s="21">
        <v>7.5</v>
      </c>
      <c r="D4351" s="18"/>
      <c r="E4351" s="17" t="s">
        <v>4958</v>
      </c>
      <c r="F4351" s="17" t="s">
        <v>201</v>
      </c>
      <c r="G4351" s="18"/>
      <c r="H4351" s="18"/>
    </row>
    <row r="4352" spans="1:8" ht="13.2">
      <c r="A4352" s="19" t="str">
        <f>HYPERLINK("http://codeforces.com/contest/288/problem/D","CF288-D1-D")</f>
        <v>CF288-D1-D</v>
      </c>
      <c r="B4352" s="29" t="s">
        <v>4965</v>
      </c>
      <c r="C4352" s="17">
        <v>7.5</v>
      </c>
      <c r="D4352" s="18"/>
      <c r="E4352" s="17" t="s">
        <v>4958</v>
      </c>
      <c r="F4352" s="17"/>
      <c r="G4352" s="18"/>
      <c r="H4352" s="18"/>
    </row>
    <row r="4353" spans="1:8" ht="13.2">
      <c r="A4353" s="19" t="str">
        <f>HYPERLINK("http://codeforces.com/contest/653/problem/G","CF653-D12-G")</f>
        <v>CF653-D12-G</v>
      </c>
      <c r="B4353" s="15" t="s">
        <v>4966</v>
      </c>
      <c r="C4353" s="17">
        <v>7.25</v>
      </c>
      <c r="D4353" s="26" t="str">
        <f>HYPERLINK("http://codeforces.com/blog/entry/43886?#comment-285657","Sol - must to read")</f>
        <v>Sol - must to read</v>
      </c>
      <c r="E4353" s="17" t="s">
        <v>4958</v>
      </c>
      <c r="F4353" s="17" t="s">
        <v>154</v>
      </c>
      <c r="G4353" s="18"/>
      <c r="H4353" s="18"/>
    </row>
    <row r="4354" spans="1:8" ht="13.2">
      <c r="A4354" s="19" t="str">
        <f>HYPERLINK("https://codeforces.com/gym/102032/problem/E","CF102032-GYM-E")</f>
        <v>CF102032-GYM-E</v>
      </c>
      <c r="B4354" s="23" t="s">
        <v>4964</v>
      </c>
      <c r="C4354" s="17">
        <v>7.25</v>
      </c>
      <c r="D4354" s="26" t="str">
        <f>HYPERLINK("https://github.com/mraron/CompetitiveProgramming/blob/master/CodeForces/102032E.cpp","ASol")</f>
        <v>ASol</v>
      </c>
      <c r="E4354" s="17" t="s">
        <v>4958</v>
      </c>
      <c r="F4354" s="17" t="s">
        <v>139</v>
      </c>
      <c r="G4354" s="18"/>
      <c r="H4354" s="18"/>
    </row>
    <row r="4355" spans="1:8" ht="13.2">
      <c r="A4355" s="15" t="s">
        <v>4967</v>
      </c>
      <c r="B4355" s="28" t="s">
        <v>4968</v>
      </c>
      <c r="C4355" s="24">
        <v>7.25</v>
      </c>
      <c r="D4355" s="18"/>
      <c r="E4355" s="17" t="s">
        <v>4958</v>
      </c>
      <c r="F4355" s="17" t="s">
        <v>139</v>
      </c>
      <c r="G4355" s="18"/>
      <c r="H4355" s="18"/>
    </row>
    <row r="4356" spans="1:8" ht="13.2">
      <c r="A4356" s="19" t="str">
        <f>HYPERLINK("https://codeforces.com/contest/1109/problem/D","CF1109-D1-D")</f>
        <v>CF1109-D1-D</v>
      </c>
      <c r="B4356" s="15" t="s">
        <v>4964</v>
      </c>
      <c r="C4356" s="17">
        <v>7.25</v>
      </c>
      <c r="D4356" s="18"/>
      <c r="E4356" s="17" t="s">
        <v>4958</v>
      </c>
      <c r="F4356" s="17"/>
      <c r="G4356" s="18"/>
      <c r="H4356" s="18"/>
    </row>
    <row r="4357" spans="1:8" ht="13.2">
      <c r="A4357" s="15" t="s">
        <v>4969</v>
      </c>
      <c r="B4357" s="30" t="s">
        <v>4970</v>
      </c>
      <c r="C4357" s="24">
        <v>7.25</v>
      </c>
      <c r="D4357" s="18"/>
      <c r="E4357" s="17" t="s">
        <v>4958</v>
      </c>
      <c r="F4357" s="17"/>
      <c r="G4357" s="18"/>
      <c r="H4357" s="18"/>
    </row>
    <row r="4358" spans="1:8" ht="13.2">
      <c r="A4358" s="19" t="str">
        <f>HYPERLINK("https://www.codechef.com/problems/MDN", "CODECHEF MDN")</f>
        <v>CODECHEF MDN</v>
      </c>
      <c r="B4358" s="15" t="s">
        <v>4964</v>
      </c>
      <c r="C4358" s="17">
        <v>7</v>
      </c>
      <c r="D4358" s="18"/>
      <c r="E4358" s="17" t="s">
        <v>4958</v>
      </c>
      <c r="F4358" s="17" t="s">
        <v>139</v>
      </c>
      <c r="G4358" s="18"/>
      <c r="H4358" s="18"/>
    </row>
    <row r="4359" spans="1:8" ht="13.2">
      <c r="A4359" s="19" t="str">
        <f>HYPERLINK("http://codeforces.com/contest/834/problem/E","CF834-D2-E")</f>
        <v>CF834-D2-E</v>
      </c>
      <c r="B4359" s="15" t="s">
        <v>4971</v>
      </c>
      <c r="C4359" s="17">
        <v>7</v>
      </c>
      <c r="D4359" s="18"/>
      <c r="E4359" s="17" t="s">
        <v>4958</v>
      </c>
      <c r="F4359" s="17" t="s">
        <v>139</v>
      </c>
      <c r="G4359" s="18"/>
      <c r="H4359" s="18"/>
    </row>
    <row r="4360" spans="1:8" ht="13.2">
      <c r="A4360" s="15" t="s">
        <v>4972</v>
      </c>
      <c r="B4360" s="29" t="s">
        <v>4973</v>
      </c>
      <c r="C4360" s="17">
        <v>7</v>
      </c>
      <c r="D4360" s="18"/>
      <c r="E4360" s="17" t="s">
        <v>4958</v>
      </c>
      <c r="F4360" s="17"/>
      <c r="G4360" s="18"/>
      <c r="H4360" s="18"/>
    </row>
    <row r="4361" spans="1:8" ht="13.2">
      <c r="A4361" s="15" t="s">
        <v>4974</v>
      </c>
      <c r="B4361" s="38" t="s">
        <v>4975</v>
      </c>
      <c r="C4361" s="17">
        <v>7</v>
      </c>
      <c r="D4361" s="18"/>
      <c r="E4361" s="17" t="s">
        <v>4958</v>
      </c>
      <c r="F4361" s="17"/>
      <c r="G4361" s="18"/>
      <c r="H4361" s="18"/>
    </row>
    <row r="4362" spans="1:8" ht="13.2">
      <c r="A4362" s="19" t="str">
        <f>HYPERLINK("https://codeforces.com/contest/833/problem/C", "CF833-D1-C")</f>
        <v>CF833-D1-C</v>
      </c>
      <c r="B4362" s="20" t="s">
        <v>4976</v>
      </c>
      <c r="C4362" s="21">
        <v>6.8</v>
      </c>
      <c r="D4362" s="18"/>
      <c r="E4362" s="17" t="s">
        <v>4958</v>
      </c>
      <c r="F4362" s="17" t="s">
        <v>154</v>
      </c>
      <c r="G4362" s="18"/>
      <c r="H4362" s="18"/>
    </row>
    <row r="4363" spans="1:8" ht="13.2">
      <c r="A4363" s="19" t="str">
        <f>HYPERLINK("https://www.hackerearth.com/challenge/competitive/may-easy-18/algorithm/influential-groups-f5b40db9/","HACKER influential-groups")</f>
        <v>HACKER influential-groups</v>
      </c>
      <c r="B4363" s="23" t="s">
        <v>4977</v>
      </c>
      <c r="C4363" s="17">
        <v>6.75</v>
      </c>
      <c r="D4363" s="18"/>
      <c r="E4363" s="17" t="s">
        <v>4958</v>
      </c>
      <c r="F4363" s="17" t="s">
        <v>154</v>
      </c>
      <c r="G4363" s="18"/>
      <c r="H4363" s="18"/>
    </row>
    <row r="4364" spans="1:8" ht="13.2">
      <c r="A4364" s="19" t="str">
        <f>HYPERLINK("http://codeforces.com/contest/633/problem/E","CF633-D12-E")</f>
        <v>CF633-D12-E</v>
      </c>
      <c r="B4364" s="20" t="s">
        <v>4978</v>
      </c>
      <c r="C4364" s="21">
        <v>6.75</v>
      </c>
      <c r="D4364" s="42" t="s">
        <v>4979</v>
      </c>
      <c r="E4364" s="17" t="s">
        <v>4958</v>
      </c>
      <c r="F4364" s="17" t="s">
        <v>139</v>
      </c>
      <c r="G4364" s="18"/>
      <c r="H4364" s="18"/>
    </row>
    <row r="4365" spans="1:8" ht="13.2">
      <c r="A4365" s="19" t="str">
        <f>HYPERLINK("http://codeforces.com/contest/305/problem/D","CF305-D2-D")</f>
        <v>CF305-D2-D</v>
      </c>
      <c r="B4365" s="29" t="s">
        <v>4964</v>
      </c>
      <c r="C4365" s="17">
        <v>6.75</v>
      </c>
      <c r="D4365" s="18"/>
      <c r="E4365" s="17" t="s">
        <v>4958</v>
      </c>
      <c r="F4365" s="17"/>
      <c r="G4365" s="18"/>
      <c r="H4365" s="18"/>
    </row>
    <row r="4366" spans="1:8" ht="13.2">
      <c r="A4366" s="19" t="str">
        <f>HYPERLINK("http://codeforces.com/contest/1065/problem/E","CF1065-D12-E")</f>
        <v>CF1065-D12-E</v>
      </c>
      <c r="B4366" s="15" t="s">
        <v>4964</v>
      </c>
      <c r="C4366" s="17">
        <v>6.5</v>
      </c>
      <c r="D4366" s="18"/>
      <c r="E4366" s="17" t="s">
        <v>4958</v>
      </c>
      <c r="F4366" s="17" t="s">
        <v>139</v>
      </c>
      <c r="G4366" s="18"/>
      <c r="H4366" s="18"/>
    </row>
    <row r="4367" spans="1:8" ht="13.2">
      <c r="A4367" s="15" t="s">
        <v>4980</v>
      </c>
      <c r="B4367" s="28" t="s">
        <v>4981</v>
      </c>
      <c r="C4367" s="24">
        <v>6.5</v>
      </c>
      <c r="D4367" s="18"/>
      <c r="E4367" s="17" t="s">
        <v>4958</v>
      </c>
      <c r="F4367" s="17"/>
      <c r="G4367" s="18"/>
      <c r="H4367" s="18"/>
    </row>
    <row r="4368" spans="1:8" ht="13.2">
      <c r="A4368" s="15" t="s">
        <v>4982</v>
      </c>
      <c r="B4368" s="29" t="s">
        <v>4983</v>
      </c>
      <c r="C4368" s="31">
        <v>6.5</v>
      </c>
      <c r="D4368" s="18"/>
      <c r="E4368" s="17" t="s">
        <v>4958</v>
      </c>
      <c r="F4368" s="17"/>
      <c r="G4368" s="18"/>
      <c r="H4368" s="18"/>
    </row>
    <row r="4369" spans="1:8" ht="13.2">
      <c r="A4369" s="19" t="str">
        <f>HYPERLINK("https://codeforces.com/contest/1262/problem/F2","CF1262-D2-F2")</f>
        <v>CF1262-D2-F2</v>
      </c>
      <c r="B4369" s="20" t="s">
        <v>4964</v>
      </c>
      <c r="C4369" s="21">
        <v>6.4</v>
      </c>
      <c r="D4369" s="18"/>
      <c r="E4369" s="17" t="s">
        <v>4958</v>
      </c>
      <c r="F4369" s="17" t="s">
        <v>139</v>
      </c>
      <c r="G4369" s="18"/>
      <c r="H4369" s="18"/>
    </row>
    <row r="4370" spans="1:8" ht="13.2">
      <c r="A4370" s="19" t="str">
        <f>HYPERLINK("http://codeforces.com/contest/336/problem/D","CF336-D2-D")</f>
        <v>CF336-D2-D</v>
      </c>
      <c r="B4370" s="29" t="s">
        <v>4984</v>
      </c>
      <c r="C4370" s="17">
        <v>6.25</v>
      </c>
      <c r="D4370" s="18"/>
      <c r="E4370" s="17" t="s">
        <v>4958</v>
      </c>
      <c r="F4370" s="17" t="s">
        <v>196</v>
      </c>
      <c r="G4370" s="18"/>
      <c r="H4370" s="18"/>
    </row>
    <row r="4371" spans="1:8" ht="13.2">
      <c r="A4371" s="19" t="str">
        <f>HYPERLINK("https://codeforces.com/contest/691/problem/F","CF691-D12-F")</f>
        <v>CF691-D12-F</v>
      </c>
      <c r="B4371" s="20" t="s">
        <v>4985</v>
      </c>
      <c r="C4371" s="17">
        <v>6.25</v>
      </c>
      <c r="D4371" s="26" t="str">
        <f>HYPERLINK("https://github.com/LeTrongDat/CompetitiveProgramming/blob/master/Codeforces/CF691-D2-F.cpp","Sol")</f>
        <v>Sol</v>
      </c>
      <c r="E4371" s="17" t="s">
        <v>4958</v>
      </c>
      <c r="F4371" s="17"/>
      <c r="G4371" s="18"/>
      <c r="H4371" s="18"/>
    </row>
    <row r="4372" spans="1:8" ht="13.2">
      <c r="A4372" s="15" t="s">
        <v>4986</v>
      </c>
      <c r="B4372" s="28" t="s">
        <v>4987</v>
      </c>
      <c r="C4372" s="24">
        <v>6.25</v>
      </c>
      <c r="D4372" s="18"/>
      <c r="E4372" s="17" t="s">
        <v>4958</v>
      </c>
      <c r="F4372" s="17"/>
      <c r="G4372" s="18"/>
      <c r="H4372" s="18"/>
    </row>
    <row r="4373" spans="1:8" ht="13.2">
      <c r="A4373" s="19" t="str">
        <f>HYPERLINK("http://codeforces.com/contest/109/problem/C","CF109-D1-C")</f>
        <v>CF109-D1-C</v>
      </c>
      <c r="B4373" s="15" t="s">
        <v>4988</v>
      </c>
      <c r="C4373" s="24">
        <v>6.1</v>
      </c>
      <c r="D4373" s="18"/>
      <c r="E4373" s="17" t="s">
        <v>4958</v>
      </c>
      <c r="F4373" s="17" t="s">
        <v>139</v>
      </c>
      <c r="G4373" s="18"/>
      <c r="H4373" s="18"/>
    </row>
    <row r="4374" spans="1:8" ht="13.2">
      <c r="A4374" s="19" t="str">
        <f>HYPERLINK("https://codeforces.com/problemset/problem/893/E","CF893-D2-E")</f>
        <v>CF893-D2-E</v>
      </c>
      <c r="B4374" s="20" t="s">
        <v>4964</v>
      </c>
      <c r="C4374" s="17">
        <v>6</v>
      </c>
      <c r="D4374" s="18"/>
      <c r="E4374" s="17" t="s">
        <v>4958</v>
      </c>
      <c r="F4374" s="17" t="s">
        <v>139</v>
      </c>
      <c r="G4374" s="18"/>
      <c r="H4374" s="18"/>
    </row>
    <row r="4375" spans="1:8" ht="13.2">
      <c r="A4375" s="19" t="str">
        <f>HYPERLINK("https://codeforces.com/contest/1284/problem/E","CF1284-D12-E")</f>
        <v>CF1284-D12-E</v>
      </c>
      <c r="B4375" s="20" t="s">
        <v>4989</v>
      </c>
      <c r="C4375" s="21">
        <v>6</v>
      </c>
      <c r="D4375" s="18"/>
      <c r="E4375" s="17" t="s">
        <v>4958</v>
      </c>
      <c r="F4375" s="17" t="s">
        <v>139</v>
      </c>
      <c r="G4375" s="18"/>
      <c r="H4375" s="18"/>
    </row>
    <row r="4376" spans="1:8" ht="13.2">
      <c r="A4376" s="19" t="str">
        <f>HYPERLINK("https://codeforces.com/contest/690/problem/D2","CF690-D12-D2")</f>
        <v>CF690-D12-D2</v>
      </c>
      <c r="B4376" s="15" t="s">
        <v>4990</v>
      </c>
      <c r="C4376" s="17">
        <v>6</v>
      </c>
      <c r="D4376" s="26" t="str">
        <f>HYPERLINK("https://codeforces.com/contest/690/submission/45341025","Sol")</f>
        <v>Sol</v>
      </c>
      <c r="E4376" s="17" t="s">
        <v>4958</v>
      </c>
      <c r="F4376" s="17" t="s">
        <v>139</v>
      </c>
      <c r="G4376" s="18"/>
      <c r="H4376" s="18"/>
    </row>
    <row r="4377" spans="1:8" ht="13.2">
      <c r="A4377" s="19" t="str">
        <f>HYPERLINK("https://agc028.contest.atcoder.jp/tasks/agc028_b", "AtCoder028-AGC-B")</f>
        <v>AtCoder028-AGC-B</v>
      </c>
      <c r="B4377" s="20" t="s">
        <v>4991</v>
      </c>
      <c r="C4377" s="21">
        <v>6</v>
      </c>
      <c r="D4377" s="18"/>
      <c r="E4377" s="17" t="s">
        <v>4958</v>
      </c>
      <c r="F4377" s="17" t="s">
        <v>139</v>
      </c>
      <c r="G4377" s="18"/>
      <c r="H4377" s="18"/>
    </row>
    <row r="4378" spans="1:8" ht="13.2">
      <c r="A4378" s="19" t="str">
        <f>HYPERLINK("http://codeforces.com/contest/938/problem/E","CF938-D12-E")</f>
        <v>CF938-D12-E</v>
      </c>
      <c r="B4378" s="20" t="s">
        <v>4964</v>
      </c>
      <c r="C4378" s="17">
        <v>6</v>
      </c>
      <c r="D4378" s="18"/>
      <c r="E4378" s="17" t="s">
        <v>4958</v>
      </c>
      <c r="F4378" s="17" t="s">
        <v>201</v>
      </c>
      <c r="G4378" s="18"/>
      <c r="H4378" s="18"/>
    </row>
    <row r="4379" spans="1:8" ht="13.2">
      <c r="A4379" s="15" t="s">
        <v>4992</v>
      </c>
      <c r="B4379" s="28" t="s">
        <v>4993</v>
      </c>
      <c r="C4379" s="24">
        <v>6</v>
      </c>
      <c r="D4379" s="18"/>
      <c r="E4379" s="17" t="s">
        <v>4958</v>
      </c>
      <c r="F4379" s="17" t="s">
        <v>242</v>
      </c>
      <c r="G4379" s="18"/>
      <c r="H4379" s="18"/>
    </row>
    <row r="4380" spans="1:8" ht="13.2">
      <c r="A4380" s="19" t="str">
        <f>HYPERLINK("https://atcoder.jp/contests/abc154/tasks/abc154_f","AtCoder154-ABC-F")</f>
        <v>AtCoder154-ABC-F</v>
      </c>
      <c r="B4380" s="23" t="s">
        <v>4964</v>
      </c>
      <c r="C4380" s="17">
        <v>6</v>
      </c>
      <c r="D4380" s="18"/>
      <c r="E4380" s="17" t="s">
        <v>4958</v>
      </c>
      <c r="F4380" s="17"/>
      <c r="G4380" s="18"/>
      <c r="H4380" s="18"/>
    </row>
    <row r="4381" spans="1:8" ht="13.2">
      <c r="A4381" s="19" t="str">
        <f>HYPERLINK("http://codeforces.com/problemset/gymProblem/101498/D","CF1014980-GYM-D")</f>
        <v>CF1014980-GYM-D</v>
      </c>
      <c r="B4381" s="15" t="s">
        <v>4964</v>
      </c>
      <c r="C4381" s="17">
        <v>6</v>
      </c>
      <c r="D4381" s="26" t="str">
        <f>HYPERLINK("https://github.com/MedoN11/CompetitiveProgramming/blob/master/CodeForces/GYM/CF10149-GYM-D.cpp","Sol")</f>
        <v>Sol</v>
      </c>
      <c r="E4381" s="17" t="s">
        <v>4958</v>
      </c>
      <c r="F4381" s="17"/>
      <c r="G4381" s="18"/>
      <c r="H4381" s="18"/>
    </row>
    <row r="4382" spans="1:8" ht="13.2">
      <c r="A4382" s="15" t="s">
        <v>4994</v>
      </c>
      <c r="B4382" s="34" t="s">
        <v>4964</v>
      </c>
      <c r="C4382" s="33">
        <v>6</v>
      </c>
      <c r="D4382" s="18"/>
      <c r="E4382" s="17" t="s">
        <v>4958</v>
      </c>
      <c r="F4382" s="17"/>
      <c r="G4382" s="18"/>
      <c r="H4382" s="18"/>
    </row>
    <row r="4383" spans="1:8" ht="13.2">
      <c r="A4383" s="15" t="s">
        <v>4995</v>
      </c>
      <c r="B4383" s="34" t="s">
        <v>4964</v>
      </c>
      <c r="C4383" s="31">
        <v>6</v>
      </c>
      <c r="D4383" s="18"/>
      <c r="E4383" s="17" t="s">
        <v>4958</v>
      </c>
      <c r="F4383" s="17"/>
      <c r="G4383" s="18"/>
      <c r="H4383" s="18"/>
    </row>
    <row r="4384" spans="1:8" ht="13.2">
      <c r="A4384" s="15" t="s">
        <v>4996</v>
      </c>
      <c r="B4384" s="28" t="s">
        <v>4981</v>
      </c>
      <c r="C4384" s="17">
        <v>6</v>
      </c>
      <c r="D4384" s="18"/>
      <c r="E4384" s="17" t="s">
        <v>4958</v>
      </c>
      <c r="F4384" s="17"/>
      <c r="G4384" s="18"/>
      <c r="H4384" s="18"/>
    </row>
    <row r="4385" spans="1:8" ht="13.2">
      <c r="A4385" s="15" t="s">
        <v>4997</v>
      </c>
      <c r="B4385" s="29" t="s">
        <v>4998</v>
      </c>
      <c r="C4385" s="17">
        <v>6</v>
      </c>
      <c r="D4385" s="18"/>
      <c r="E4385" s="17" t="s">
        <v>4958</v>
      </c>
      <c r="F4385" s="17"/>
      <c r="G4385" s="18"/>
      <c r="H4385" s="18"/>
    </row>
    <row r="4386" spans="1:8" ht="13.2">
      <c r="A4386" s="19" t="str">
        <f>HYPERLINK("http://codeforces.com/contest/340/problem/E","CF340-D2-E")</f>
        <v>CF340-D2-E</v>
      </c>
      <c r="B4386" s="29" t="s">
        <v>4999</v>
      </c>
      <c r="C4386" s="17">
        <v>6</v>
      </c>
      <c r="D4386" s="18"/>
      <c r="E4386" s="17" t="s">
        <v>4958</v>
      </c>
      <c r="F4386" s="17"/>
      <c r="G4386" s="18"/>
      <c r="H4386" s="18"/>
    </row>
    <row r="4387" spans="1:8" ht="13.2">
      <c r="A4387" s="19" t="str">
        <f>HYPERLINK("https://csacademy.com/contest/round-82/task/restricted-arrays/", "CSA82-D")</f>
        <v>CSA82-D</v>
      </c>
      <c r="B4387" s="15" t="s">
        <v>5000</v>
      </c>
      <c r="C4387" s="17">
        <v>6</v>
      </c>
      <c r="D4387" s="18"/>
      <c r="E4387" s="17" t="s">
        <v>4958</v>
      </c>
      <c r="F4387" s="17"/>
      <c r="G4387" s="18"/>
      <c r="H4387" s="18"/>
    </row>
    <row r="4388" spans="1:8" ht="13.2">
      <c r="A4388" s="15" t="s">
        <v>5001</v>
      </c>
      <c r="B4388" s="28" t="s">
        <v>5002</v>
      </c>
      <c r="C4388" s="24">
        <v>6</v>
      </c>
      <c r="D4388" s="18"/>
      <c r="E4388" s="17" t="s">
        <v>4958</v>
      </c>
      <c r="F4388" s="17"/>
      <c r="G4388" s="18"/>
      <c r="H4388" s="18"/>
    </row>
    <row r="4389" spans="1:8" ht="13.2">
      <c r="A4389" s="19" t="str">
        <f>HYPERLINK("https://www.codechef.com/NOV18B/problems/GMEDIAN","CODECHEF GMEDIAN")</f>
        <v>CODECHEF GMEDIAN</v>
      </c>
      <c r="B4389" s="15" t="s">
        <v>5003</v>
      </c>
      <c r="C4389" s="17">
        <v>5.75</v>
      </c>
      <c r="D4389" s="18"/>
      <c r="E4389" s="17" t="s">
        <v>4958</v>
      </c>
      <c r="F4389" s="17" t="s">
        <v>154</v>
      </c>
      <c r="G4389" s="18"/>
      <c r="H4389" s="18"/>
    </row>
    <row r="4390" spans="1:8" ht="13.2">
      <c r="A4390" s="19" t="str">
        <f>HYPERLINK("https://codeforces.com/contest/1091/problem/D","CF1091-D12-D")</f>
        <v>CF1091-D12-D</v>
      </c>
      <c r="B4390" s="23" t="s">
        <v>4964</v>
      </c>
      <c r="C4390" s="17">
        <v>5.75</v>
      </c>
      <c r="D4390" s="18"/>
      <c r="E4390" s="17" t="s">
        <v>4958</v>
      </c>
      <c r="F4390" s="17" t="s">
        <v>139</v>
      </c>
      <c r="G4390" s="18"/>
      <c r="H4390" s="18"/>
    </row>
    <row r="4391" spans="1:8" ht="13.2">
      <c r="A4391" s="19" t="str">
        <f>HYPERLINK("http://codeforces.com/contest/294/problem/C","CF294-D2-C")</f>
        <v>CF294-D2-C</v>
      </c>
      <c r="B4391" s="29" t="s">
        <v>5004</v>
      </c>
      <c r="C4391" s="17">
        <v>5.5</v>
      </c>
      <c r="D4391" s="18"/>
      <c r="E4391" s="17" t="s">
        <v>4958</v>
      </c>
      <c r="F4391" s="17" t="s">
        <v>139</v>
      </c>
      <c r="G4391" s="18"/>
      <c r="H4391" s="18"/>
    </row>
    <row r="4392" spans="1:8" ht="13.2">
      <c r="A4392" s="19" t="str">
        <f>HYPERLINK("https://atcoder.jp/contests/abc150/tasks/abc150_e","AtCoder150-ABC-E")</f>
        <v>AtCoder150-ABC-E</v>
      </c>
      <c r="B4392" s="20" t="s">
        <v>4964</v>
      </c>
      <c r="C4392" s="21">
        <v>5.25</v>
      </c>
      <c r="D4392" s="18"/>
      <c r="E4392" s="17" t="s">
        <v>4958</v>
      </c>
      <c r="F4392" s="17" t="s">
        <v>201</v>
      </c>
      <c r="G4392" s="18"/>
      <c r="H4392" s="18"/>
    </row>
    <row r="4393" spans="1:8" ht="13.2">
      <c r="A4393" s="19" t="str">
        <f>HYPERLINK("https://www.hackerrank.com/challenges/ajourney","HACKR ajourney")</f>
        <v>HACKR ajourney</v>
      </c>
      <c r="B4393" s="29" t="s">
        <v>5005</v>
      </c>
      <c r="C4393" s="17">
        <v>5</v>
      </c>
      <c r="D4393" s="18"/>
      <c r="E4393" s="17" t="s">
        <v>4958</v>
      </c>
      <c r="F4393" s="17" t="s">
        <v>154</v>
      </c>
      <c r="G4393" s="18"/>
      <c r="H4393" s="18"/>
    </row>
    <row r="4394" spans="1:8" ht="13.2">
      <c r="A4394" s="19" t="str">
        <f>HYPERLINK("http://codeforces.com/problemset/problem/869/C","CF869-D2-C")</f>
        <v>CF869-D2-C</v>
      </c>
      <c r="B4394" s="29" t="s">
        <v>5006</v>
      </c>
      <c r="C4394" s="17">
        <v>5</v>
      </c>
      <c r="D4394" s="18"/>
      <c r="E4394" s="17" t="s">
        <v>4958</v>
      </c>
      <c r="F4394" s="17" t="s">
        <v>196</v>
      </c>
      <c r="G4394" s="18"/>
      <c r="H4394" s="18"/>
    </row>
    <row r="4395" spans="1:8" ht="13.2">
      <c r="A4395" s="19" t="str">
        <f>HYPERLINK("https://atcoder.jp/contests/abc132/tasks/abc132_d","AtCoder132-ABC-D")</f>
        <v>AtCoder132-ABC-D</v>
      </c>
      <c r="B4395" s="20" t="s">
        <v>4964</v>
      </c>
      <c r="C4395" s="17">
        <v>5</v>
      </c>
      <c r="D4395" s="18"/>
      <c r="E4395" s="17" t="s">
        <v>4958</v>
      </c>
      <c r="F4395" s="17" t="s">
        <v>139</v>
      </c>
      <c r="G4395" s="18"/>
      <c r="H4395" s="18"/>
    </row>
    <row r="4396" spans="1:8" ht="13.2">
      <c r="A4396" s="19" t="str">
        <f>HYPERLINK("http://codeforces.com/contest/758/problem/C","CF758-D2-C")</f>
        <v>CF758-D2-C</v>
      </c>
      <c r="B4396" s="28" t="s">
        <v>5007</v>
      </c>
      <c r="C4396" s="24">
        <v>5</v>
      </c>
      <c r="D4396" s="18"/>
      <c r="E4396" s="17" t="s">
        <v>4958</v>
      </c>
      <c r="F4396" s="17" t="s">
        <v>139</v>
      </c>
      <c r="G4396" s="18"/>
      <c r="H4396" s="18"/>
    </row>
    <row r="4397" spans="1:8" ht="13.2">
      <c r="A4397" s="19" t="str">
        <f>HYPERLINK("http://codeforces.com/contest/459/problem/C","CF459-D2-C")</f>
        <v>CF459-D2-C</v>
      </c>
      <c r="B4397" s="15" t="s">
        <v>5008</v>
      </c>
      <c r="C4397" s="17">
        <v>5</v>
      </c>
      <c r="D4397" s="18"/>
      <c r="E4397" s="17" t="s">
        <v>4958</v>
      </c>
      <c r="F4397" s="17" t="s">
        <v>139</v>
      </c>
      <c r="G4397" s="18"/>
      <c r="H4397" s="18"/>
    </row>
    <row r="4398" spans="1:8" ht="13.2">
      <c r="A4398" s="19" t="str">
        <f>HYPERLINK("http://codeforces.com/contest/340/problem/C","CF340-D2-C")</f>
        <v>CF340-D2-C</v>
      </c>
      <c r="B4398" s="29" t="s">
        <v>5009</v>
      </c>
      <c r="C4398" s="17">
        <v>5</v>
      </c>
      <c r="D4398" s="18"/>
      <c r="E4398" s="17" t="s">
        <v>4958</v>
      </c>
      <c r="F4398" s="17" t="s">
        <v>139</v>
      </c>
      <c r="G4398" s="18"/>
      <c r="H4398" s="18"/>
    </row>
    <row r="4399" spans="1:8" ht="13.2">
      <c r="A4399" s="19" t="str">
        <f>HYPERLINK("https://atcoder.jp/contests/abc156/tasks/abc156_e","AtCoder156-ABC-E")</f>
        <v>AtCoder156-ABC-E</v>
      </c>
      <c r="B4399" s="20" t="s">
        <v>4964</v>
      </c>
      <c r="C4399" s="21">
        <v>5</v>
      </c>
      <c r="D4399" s="18"/>
      <c r="E4399" s="17" t="s">
        <v>4958</v>
      </c>
      <c r="F4399" s="17" t="s">
        <v>201</v>
      </c>
      <c r="G4399" s="18"/>
      <c r="H4399" s="18"/>
    </row>
    <row r="4400" spans="1:8" ht="13.2">
      <c r="A4400" s="19" t="str">
        <f>HYPERLINK("http://codeforces.com/problemset/problem/204/A","CF204-D1-A")</f>
        <v>CF204-D1-A</v>
      </c>
      <c r="B4400" s="29" t="s">
        <v>4964</v>
      </c>
      <c r="C4400" s="17">
        <v>5</v>
      </c>
      <c r="D4400" s="18"/>
      <c r="E4400" s="17" t="s">
        <v>4958</v>
      </c>
      <c r="F4400" s="17" t="s">
        <v>201</v>
      </c>
      <c r="G4400" s="18"/>
      <c r="H4400" s="18"/>
    </row>
    <row r="4401" spans="1:8" ht="13.2">
      <c r="A4401" s="15" t="s">
        <v>5010</v>
      </c>
      <c r="B4401" s="34" t="s">
        <v>5011</v>
      </c>
      <c r="C4401" s="31">
        <v>5</v>
      </c>
      <c r="D4401" s="18"/>
      <c r="E4401" s="17" t="s">
        <v>4958</v>
      </c>
      <c r="F4401" s="17" t="s">
        <v>201</v>
      </c>
      <c r="G4401" s="18"/>
      <c r="H4401" s="18"/>
    </row>
    <row r="4402" spans="1:8" ht="13.2">
      <c r="A4402" s="15" t="s">
        <v>5012</v>
      </c>
      <c r="B4402" s="29" t="s">
        <v>5013</v>
      </c>
      <c r="C4402" s="17">
        <v>5</v>
      </c>
      <c r="D4402" s="26" t="str">
        <f>HYPERLINK("https://github.com/thackerhelik/UVA/blob/master/10460.py","Sol")</f>
        <v>Sol</v>
      </c>
      <c r="E4402" s="17" t="s">
        <v>4958</v>
      </c>
      <c r="F4402" s="17" t="s">
        <v>201</v>
      </c>
      <c r="G4402" s="18"/>
      <c r="H4402" s="18"/>
    </row>
    <row r="4403" spans="1:8" ht="13.2">
      <c r="A4403" s="19" t="str">
        <f>HYPERLINK("http://codeforces.com/contest/810/problem/C","CF810-D2-C")</f>
        <v>CF810-D2-C</v>
      </c>
      <c r="B4403" s="29" t="s">
        <v>4964</v>
      </c>
      <c r="C4403" s="17">
        <v>5</v>
      </c>
      <c r="D4403" s="18"/>
      <c r="E4403" s="17" t="s">
        <v>4958</v>
      </c>
      <c r="F4403" s="17"/>
      <c r="G4403" s="18"/>
      <c r="H4403" s="18"/>
    </row>
    <row r="4404" spans="1:8" ht="13.2">
      <c r="A4404" s="19" t="str">
        <f>HYPERLINK("https://www.hackerrank.com/contests/hourrank-25/challenges/maximum-palindromes","HACKR maximum-palindromes")</f>
        <v>HACKR maximum-palindromes</v>
      </c>
      <c r="B4404" s="15" t="s">
        <v>4964</v>
      </c>
      <c r="C4404" s="17">
        <v>5</v>
      </c>
      <c r="D4404" s="18"/>
      <c r="E4404" s="17" t="s">
        <v>4958</v>
      </c>
      <c r="F4404" s="17"/>
      <c r="G4404" s="18"/>
      <c r="H4404" s="18"/>
    </row>
    <row r="4405" spans="1:8" ht="13.2">
      <c r="A4405" s="15" t="s">
        <v>5014</v>
      </c>
      <c r="B4405" s="16" t="s">
        <v>5015</v>
      </c>
      <c r="C4405" s="17">
        <v>5</v>
      </c>
      <c r="D4405" s="18"/>
      <c r="E4405" s="17" t="s">
        <v>4958</v>
      </c>
      <c r="F4405" s="17"/>
      <c r="G4405" s="18"/>
      <c r="H4405" s="18"/>
    </row>
    <row r="4406" spans="1:8" ht="13.2">
      <c r="A4406" s="15" t="s">
        <v>5016</v>
      </c>
      <c r="B4406" s="34" t="s">
        <v>4983</v>
      </c>
      <c r="C4406" s="31">
        <v>5</v>
      </c>
      <c r="D4406" s="18"/>
      <c r="E4406" s="17" t="s">
        <v>4958</v>
      </c>
      <c r="F4406" s="17"/>
      <c r="G4406" s="18"/>
      <c r="H4406" s="18"/>
    </row>
    <row r="4407" spans="1:8" ht="13.2">
      <c r="A4407" s="19" t="str">
        <f>HYPERLINK("http://codeforces.com/contest/110/problem/E","CF110-D2-E")</f>
        <v>CF110-D2-E</v>
      </c>
      <c r="B4407" s="29" t="s">
        <v>4965</v>
      </c>
      <c r="C4407" s="17">
        <v>5</v>
      </c>
      <c r="D4407" s="18"/>
      <c r="E4407" s="17" t="s">
        <v>4958</v>
      </c>
      <c r="F4407" s="17"/>
      <c r="G4407" s="18"/>
      <c r="H4407" s="18"/>
    </row>
    <row r="4408" spans="1:8" ht="13.2">
      <c r="A4408" s="15" t="s">
        <v>5017</v>
      </c>
      <c r="B4408" s="28" t="s">
        <v>5018</v>
      </c>
      <c r="C4408" s="24">
        <v>5</v>
      </c>
      <c r="D4408" s="18"/>
      <c r="E4408" s="17" t="s">
        <v>4958</v>
      </c>
      <c r="F4408" s="17"/>
      <c r="G4408" s="18"/>
      <c r="H4408" s="18"/>
    </row>
    <row r="4409" spans="1:8" ht="13.2">
      <c r="A4409" s="15" t="s">
        <v>5019</v>
      </c>
      <c r="B4409" s="16" t="s">
        <v>5020</v>
      </c>
      <c r="C4409" s="17">
        <v>5</v>
      </c>
      <c r="D4409" s="26" t="str">
        <f>HYPERLINK("https://github.com/osamahatem/CompetitiveProgramming/blob/master/UVA/11525%20-%20Permutation.cpp","Sol")</f>
        <v>Sol</v>
      </c>
      <c r="E4409" s="17" t="s">
        <v>4958</v>
      </c>
      <c r="F4409" s="17"/>
      <c r="G4409" s="18"/>
      <c r="H4409" s="18"/>
    </row>
    <row r="4410" spans="1:8" ht="13.2">
      <c r="A4410" s="15" t="s">
        <v>5021</v>
      </c>
      <c r="B4410" s="48" t="s">
        <v>5022</v>
      </c>
      <c r="C4410" s="31">
        <v>5</v>
      </c>
      <c r="D4410" s="18"/>
      <c r="E4410" s="17" t="s">
        <v>4958</v>
      </c>
      <c r="F4410" s="17"/>
      <c r="G4410" s="18"/>
      <c r="H4410" s="18"/>
    </row>
    <row r="4411" spans="1:8" ht="13.2">
      <c r="A4411" s="15" t="s">
        <v>5023</v>
      </c>
      <c r="B4411" s="34" t="s">
        <v>5024</v>
      </c>
      <c r="C4411" s="17">
        <v>5</v>
      </c>
      <c r="D4411" s="18"/>
      <c r="E4411" s="17" t="s">
        <v>4958</v>
      </c>
      <c r="F4411" s="17"/>
      <c r="G4411" s="18"/>
      <c r="H4411" s="18"/>
    </row>
    <row r="4412" spans="1:8" ht="13.2">
      <c r="A4412" s="15" t="s">
        <v>5025</v>
      </c>
      <c r="B4412" s="29" t="s">
        <v>5026</v>
      </c>
      <c r="C4412" s="17">
        <v>4.5</v>
      </c>
      <c r="D4412" s="18"/>
      <c r="E4412" s="17" t="s">
        <v>4958</v>
      </c>
      <c r="F4412" s="17" t="s">
        <v>139</v>
      </c>
      <c r="G4412" s="18"/>
      <c r="H4412" s="18"/>
    </row>
    <row r="4413" spans="1:8" ht="13.2">
      <c r="A4413" s="19" t="str">
        <f>HYPERLINK("http://codeforces.com/contest/289/problem/D","CF289-D2-D")</f>
        <v>CF289-D2-D</v>
      </c>
      <c r="B4413" s="29" t="s">
        <v>5027</v>
      </c>
      <c r="C4413" s="17">
        <v>4.5</v>
      </c>
      <c r="D4413" s="18"/>
      <c r="E4413" s="17" t="s">
        <v>4958</v>
      </c>
      <c r="F4413" s="17"/>
      <c r="G4413" s="18"/>
      <c r="H4413" s="18"/>
    </row>
    <row r="4414" spans="1:8" ht="13.2">
      <c r="A4414" s="15" t="s">
        <v>5028</v>
      </c>
      <c r="B4414" s="30" t="s">
        <v>5029</v>
      </c>
      <c r="C4414" s="24">
        <v>4.5</v>
      </c>
      <c r="D4414" s="18"/>
      <c r="E4414" s="17" t="s">
        <v>4958</v>
      </c>
      <c r="F4414" s="17"/>
      <c r="G4414" s="18"/>
      <c r="H4414" s="18"/>
    </row>
    <row r="4415" spans="1:8" ht="13.2">
      <c r="A4415" s="19" t="str">
        <f>HYPERLINK("https://www.hackerrank.com/challenges/super-humble-matrix","HACKR super-humble-matrix")</f>
        <v>HACKR super-humble-matrix</v>
      </c>
      <c r="B4415" s="29" t="s">
        <v>5030</v>
      </c>
      <c r="C4415" s="17">
        <v>4.5</v>
      </c>
      <c r="D4415" s="26" t="str">
        <f>HYPERLINK("https://github.com/MohamedNabil97/CompetitiveProgramming/blob/master/Hackerrank/super-humble-matrix.cpp","Sol")</f>
        <v>Sol</v>
      </c>
      <c r="E4415" s="17" t="s">
        <v>4958</v>
      </c>
      <c r="F4415" s="17"/>
      <c r="G4415" s="18"/>
      <c r="H4415" s="18"/>
    </row>
    <row r="4416" spans="1:8" ht="13.2">
      <c r="A4416" s="15" t="s">
        <v>5031</v>
      </c>
      <c r="B4416" s="30" t="s">
        <v>5032</v>
      </c>
      <c r="C4416" s="24">
        <v>4</v>
      </c>
      <c r="D4416" s="18"/>
      <c r="E4416" s="17" t="s">
        <v>4958</v>
      </c>
      <c r="F4416" s="17" t="s">
        <v>139</v>
      </c>
      <c r="G4416" s="18"/>
      <c r="H4416" s="18"/>
    </row>
    <row r="4417" spans="1:8" ht="13.2">
      <c r="A4417" s="15" t="s">
        <v>5033</v>
      </c>
      <c r="B4417" s="15" t="s">
        <v>5034</v>
      </c>
      <c r="C4417" s="17">
        <v>4</v>
      </c>
      <c r="D4417" s="26" t="str">
        <f>HYPERLINK("https://github.com/goswami-rahul/competitive-coding/blob/master/CompetitiveProgramming/spoj/ITRIX_E.py","Sol")</f>
        <v>Sol</v>
      </c>
      <c r="E4417" s="17" t="s">
        <v>4958</v>
      </c>
      <c r="F4417" s="17" t="s">
        <v>139</v>
      </c>
      <c r="G4417" s="18"/>
      <c r="H4417" s="18"/>
    </row>
    <row r="4418" spans="1:8" ht="13.2">
      <c r="A4418" s="15" t="s">
        <v>5035</v>
      </c>
      <c r="B4418" s="28" t="s">
        <v>5036</v>
      </c>
      <c r="C4418" s="31">
        <v>4</v>
      </c>
      <c r="D4418" s="18"/>
      <c r="E4418" s="17" t="s">
        <v>4958</v>
      </c>
      <c r="F4418" s="17" t="s">
        <v>201</v>
      </c>
      <c r="G4418" s="18"/>
      <c r="H4418" s="18"/>
    </row>
    <row r="4419" spans="1:8" ht="13.2">
      <c r="A4419" s="19" t="str">
        <f>HYPERLINK("http://codeforces.com/contest/131/problem/C","CF131-D2-C")</f>
        <v>CF131-D2-C</v>
      </c>
      <c r="B4419" s="29" t="s">
        <v>4964</v>
      </c>
      <c r="C4419" s="17">
        <v>4</v>
      </c>
      <c r="D4419" s="18"/>
      <c r="E4419" s="17" t="s">
        <v>4958</v>
      </c>
      <c r="F4419" s="17"/>
      <c r="G4419" s="18"/>
      <c r="H4419" s="18"/>
    </row>
    <row r="4420" spans="1:8" ht="13.2">
      <c r="A4420" s="19" t="str">
        <f>HYPERLINK("http://codeforces.com/contest/152/problem/C","CF152-D2-C")</f>
        <v>CF152-D2-C</v>
      </c>
      <c r="B4420" s="29" t="s">
        <v>4964</v>
      </c>
      <c r="C4420" s="17">
        <v>4</v>
      </c>
      <c r="D4420" s="18"/>
      <c r="E4420" s="17" t="s">
        <v>4958</v>
      </c>
      <c r="F4420" s="17"/>
      <c r="G4420" s="18"/>
      <c r="H4420" s="18"/>
    </row>
    <row r="4421" spans="1:8" ht="13.2">
      <c r="A4421" s="19" t="str">
        <f>HYPERLINK("https://uva.onlinejudge.org/index.php?option=onlinejudge&amp;page=show_problem&amp;problem=2172","UVA 11231")</f>
        <v>UVA 11231</v>
      </c>
      <c r="B4421" s="29" t="s">
        <v>4983</v>
      </c>
      <c r="C4421" s="17">
        <v>4</v>
      </c>
      <c r="D4421" s="18"/>
      <c r="E4421" s="17" t="s">
        <v>4958</v>
      </c>
      <c r="F4421" s="17"/>
      <c r="G4421" s="18"/>
      <c r="H4421" s="18"/>
    </row>
    <row r="4422" spans="1:8" ht="13.2">
      <c r="A4422" s="19" t="str">
        <f>HYPERLINK("https://www.hackerrank.com/challenges/number-list","HACKR number-list")</f>
        <v>HACKR number-list</v>
      </c>
      <c r="B4422" s="29" t="s">
        <v>5009</v>
      </c>
      <c r="C4422" s="17">
        <v>4</v>
      </c>
      <c r="D4422" s="18"/>
      <c r="E4422" s="17" t="s">
        <v>4958</v>
      </c>
      <c r="F4422" s="17"/>
      <c r="G4422" s="18"/>
      <c r="H4422" s="18"/>
    </row>
    <row r="4423" spans="1:8" ht="13.2">
      <c r="A4423" s="19" t="str">
        <f>HYPERLINK("http://codeforces.com/contest/52/problem/B","CF52-D12-B")</f>
        <v>CF52-D12-B</v>
      </c>
      <c r="B4423" s="15" t="s">
        <v>5037</v>
      </c>
      <c r="C4423" s="17">
        <v>3.5</v>
      </c>
      <c r="D4423" s="18"/>
      <c r="E4423" s="17" t="s">
        <v>4958</v>
      </c>
      <c r="F4423" s="17" t="s">
        <v>201</v>
      </c>
      <c r="G4423" s="18"/>
      <c r="H4423" s="18"/>
    </row>
    <row r="4424" spans="1:8" ht="13.2">
      <c r="A4424" s="19" t="str">
        <f>HYPERLINK("https://www.hackerrank.com/challenges/a-chocolate-fiesta","HACKR a-chocolate-fiesta")</f>
        <v>HACKR a-chocolate-fiesta</v>
      </c>
      <c r="B4424" s="29" t="s">
        <v>4964</v>
      </c>
      <c r="C4424" s="17">
        <v>3.5</v>
      </c>
      <c r="D4424" s="18"/>
      <c r="E4424" s="17" t="s">
        <v>4958</v>
      </c>
      <c r="F4424" s="17"/>
      <c r="G4424" s="18"/>
      <c r="H4424" s="18"/>
    </row>
    <row r="4425" spans="1:8" ht="13.2">
      <c r="A4425" s="19" t="str">
        <f>HYPERLINK("https://www.hackerrank.com/challenges/picking-cards","HACKR picking-cards")</f>
        <v>HACKR picking-cards</v>
      </c>
      <c r="B4425" s="29" t="s">
        <v>4964</v>
      </c>
      <c r="C4425" s="17">
        <v>3</v>
      </c>
      <c r="D4425" s="18"/>
      <c r="E4425" s="17" t="s">
        <v>4958</v>
      </c>
      <c r="F4425" s="17"/>
      <c r="G4425" s="18"/>
      <c r="H4425" s="18"/>
    </row>
    <row r="4426" spans="1:8" ht="13.2">
      <c r="A4426" s="15" t="s">
        <v>5038</v>
      </c>
      <c r="B4426" s="30" t="s">
        <v>5039</v>
      </c>
      <c r="C4426" s="24">
        <v>3</v>
      </c>
      <c r="D4426" s="18"/>
      <c r="E4426" s="17" t="s">
        <v>4958</v>
      </c>
      <c r="F4426" s="17"/>
      <c r="G4426" s="18"/>
      <c r="H4426" s="18"/>
    </row>
    <row r="4427" spans="1:8" ht="13.2">
      <c r="A4427" s="19" t="str">
        <f>HYPERLINK("https://www.hackerrank.com/challenges/antipalindromic-strings","HACKR antipalindromic-strings")</f>
        <v>HACKR antipalindromic-strings</v>
      </c>
      <c r="B4427" s="29" t="s">
        <v>5000</v>
      </c>
      <c r="C4427" s="24">
        <v>2</v>
      </c>
      <c r="D4427" s="18"/>
      <c r="E4427" s="17" t="s">
        <v>4958</v>
      </c>
      <c r="F4427" s="17"/>
      <c r="G4427" s="18"/>
      <c r="H4427" s="18"/>
    </row>
    <row r="4428" spans="1:8" ht="13.2">
      <c r="A4428" s="19" t="str">
        <f>HYPERLINK("https://codeforces.com/problemset/problem/1254/E", "CF1254-D1-E")</f>
        <v>CF1254-D1-E</v>
      </c>
      <c r="B4428" s="20" t="s">
        <v>5040</v>
      </c>
      <c r="C4428" s="17"/>
      <c r="D4428" s="18"/>
      <c r="E4428" s="17" t="s">
        <v>4958</v>
      </c>
      <c r="F4428" s="17" t="s">
        <v>139</v>
      </c>
      <c r="G4428" s="18"/>
      <c r="H4428" s="18"/>
    </row>
    <row r="4429" spans="1:8" ht="13.2">
      <c r="A4429" s="15" t="s">
        <v>5041</v>
      </c>
      <c r="B4429" s="28" t="s">
        <v>5042</v>
      </c>
      <c r="C4429" s="24">
        <v>8</v>
      </c>
      <c r="D4429" s="18"/>
      <c r="E4429" s="17" t="s">
        <v>5043</v>
      </c>
      <c r="F4429" s="17"/>
      <c r="G4429" s="18"/>
      <c r="H4429" s="18"/>
    </row>
    <row r="4430" spans="1:8" ht="13.2">
      <c r="A4430" s="15" t="s">
        <v>5044</v>
      </c>
      <c r="B4430" s="30" t="s">
        <v>5045</v>
      </c>
      <c r="C4430" s="17">
        <v>7</v>
      </c>
      <c r="D4430" s="18"/>
      <c r="E4430" s="17" t="s">
        <v>5043</v>
      </c>
      <c r="F4430" s="17"/>
      <c r="G4430" s="18"/>
      <c r="H4430" s="18"/>
    </row>
    <row r="4431" spans="1:8" ht="13.2">
      <c r="A4431" s="19" t="str">
        <f>HYPERLINK("https://community.topcoder.com/stat?c=problem_statement&amp;pm=2321","TC(QUICKTABLEAU)")</f>
        <v>TC(QUICKTABLEAU)</v>
      </c>
      <c r="B4431" s="28" t="s">
        <v>5045</v>
      </c>
      <c r="C4431" s="24">
        <v>7</v>
      </c>
      <c r="D4431" s="18"/>
      <c r="E4431" s="17" t="s">
        <v>5043</v>
      </c>
      <c r="F4431" s="17"/>
      <c r="G4431" s="18"/>
      <c r="H4431" s="18"/>
    </row>
    <row r="4432" spans="1:8" ht="13.2">
      <c r="A4432" s="19" t="str">
        <f>HYPERLINK("https://community.topcoder.com/stat?c=problem_statement&amp;pm=6742","TC(SHUFFLEMETHOD)")</f>
        <v>TC(SHUFFLEMETHOD)</v>
      </c>
      <c r="B4432" s="28" t="s">
        <v>5045</v>
      </c>
      <c r="C4432" s="24">
        <v>7</v>
      </c>
      <c r="D4432" s="18"/>
      <c r="E4432" s="17" t="s">
        <v>5043</v>
      </c>
      <c r="F4432" s="17"/>
      <c r="G4432" s="18"/>
      <c r="H4432" s="18"/>
    </row>
    <row r="4433" spans="1:8" ht="13.2">
      <c r="A4433" s="15" t="s">
        <v>5046</v>
      </c>
      <c r="B4433" s="28" t="s">
        <v>5045</v>
      </c>
      <c r="C4433" s="17">
        <v>7</v>
      </c>
      <c r="D4433" s="18"/>
      <c r="E4433" s="17" t="s">
        <v>5043</v>
      </c>
      <c r="F4433" s="17"/>
      <c r="G4433" s="18"/>
      <c r="H4433" s="18"/>
    </row>
    <row r="4434" spans="1:8" ht="13.2">
      <c r="A4434" s="15" t="s">
        <v>5047</v>
      </c>
      <c r="B4434" s="28" t="s">
        <v>5048</v>
      </c>
      <c r="C4434" s="24">
        <v>7</v>
      </c>
      <c r="D4434" s="26" t="str">
        <f>HYPERLINK("https://github.com/MedoN11/CompetitiveProgramming/blob/master/UVA/10570.cpp","Sol")</f>
        <v>Sol</v>
      </c>
      <c r="E4434" s="17" t="s">
        <v>5043</v>
      </c>
      <c r="F4434" s="17"/>
      <c r="G4434" s="18"/>
      <c r="H4434" s="18"/>
    </row>
    <row r="4435" spans="1:8" ht="13.2">
      <c r="A4435" s="15" t="s">
        <v>5049</v>
      </c>
      <c r="B4435" s="28" t="s">
        <v>5050</v>
      </c>
      <c r="C4435" s="17">
        <v>7</v>
      </c>
      <c r="D4435" s="18"/>
      <c r="E4435" s="17" t="s">
        <v>5043</v>
      </c>
      <c r="F4435" s="17"/>
      <c r="G4435" s="18"/>
      <c r="H4435" s="18"/>
    </row>
    <row r="4436" spans="1:8" ht="13.2">
      <c r="A4436" s="15" t="s">
        <v>5051</v>
      </c>
      <c r="B4436" s="28" t="s">
        <v>5052</v>
      </c>
      <c r="C4436" s="24">
        <v>7</v>
      </c>
      <c r="D4436" s="18"/>
      <c r="E4436" s="17" t="s">
        <v>5043</v>
      </c>
      <c r="F4436" s="17"/>
      <c r="G4436" s="18"/>
      <c r="H4436" s="18"/>
    </row>
    <row r="4437" spans="1:8" ht="13.2">
      <c r="A4437" s="15" t="s">
        <v>5053</v>
      </c>
      <c r="B4437" s="18" t="s">
        <v>5054</v>
      </c>
      <c r="C4437" s="17">
        <v>6.5</v>
      </c>
      <c r="D4437" s="18"/>
      <c r="E4437" s="17" t="s">
        <v>5043</v>
      </c>
      <c r="F4437" s="17" t="s">
        <v>139</v>
      </c>
      <c r="G4437" s="18"/>
      <c r="H4437" s="18"/>
    </row>
    <row r="4438" spans="1:8" ht="13.2">
      <c r="A4438" s="15" t="s">
        <v>5055</v>
      </c>
      <c r="B4438" s="28" t="s">
        <v>5056</v>
      </c>
      <c r="C4438" s="24">
        <v>6.5</v>
      </c>
      <c r="D4438" s="18"/>
      <c r="E4438" s="17" t="s">
        <v>5043</v>
      </c>
      <c r="F4438" s="17"/>
      <c r="G4438" s="18"/>
      <c r="H4438" s="18"/>
    </row>
    <row r="4439" spans="1:8" ht="13.2">
      <c r="A4439" s="15" t="s">
        <v>5057</v>
      </c>
      <c r="B4439" s="28" t="s">
        <v>5058</v>
      </c>
      <c r="C4439" s="24">
        <v>6.5</v>
      </c>
      <c r="D4439" s="18"/>
      <c r="E4439" s="17" t="s">
        <v>5043</v>
      </c>
      <c r="F4439" s="17"/>
      <c r="G4439" s="18"/>
      <c r="H4439" s="18"/>
    </row>
    <row r="4440" spans="1:8" ht="13.2">
      <c r="A4440" s="19" t="str">
        <f>HYPERLINK("http://codeforces.com/contest/584/problem/E","CF584-D2-E")</f>
        <v>CF584-D2-E</v>
      </c>
      <c r="B4440" s="29" t="s">
        <v>5059</v>
      </c>
      <c r="C4440" s="17">
        <v>6.1</v>
      </c>
      <c r="D4440" s="18"/>
      <c r="E4440" s="17" t="s">
        <v>5043</v>
      </c>
      <c r="F4440" s="17" t="s">
        <v>1164</v>
      </c>
      <c r="G4440" s="18"/>
      <c r="H4440" s="18"/>
    </row>
    <row r="4441" spans="1:8" ht="13.2">
      <c r="A4441" s="15" t="s">
        <v>5060</v>
      </c>
      <c r="B4441" s="28" t="s">
        <v>5061</v>
      </c>
      <c r="C4441" s="17">
        <v>5.75</v>
      </c>
      <c r="D4441" s="26" t="str">
        <f>HYPERLINK("https://github.com/mostafa-saad/MyCompetitiveProgramming/blob/master/SPOJ/SPOJ_LEONARDO.txt","Sol")</f>
        <v>Sol</v>
      </c>
      <c r="E4441" s="17" t="s">
        <v>5043</v>
      </c>
      <c r="F4441" s="17" t="s">
        <v>154</v>
      </c>
      <c r="G4441" s="18"/>
      <c r="H4441" s="18"/>
    </row>
    <row r="4442" spans="1:8" ht="13.2">
      <c r="A4442" s="15" t="s">
        <v>5062</v>
      </c>
      <c r="B4442" s="28" t="s">
        <v>5063</v>
      </c>
      <c r="C4442" s="24">
        <v>5.75</v>
      </c>
      <c r="D4442" s="26" t="str">
        <f>HYPERLINK("http://www.topcoder.com/tc?module=Static&amp;d1=match_editorials&amp;d2=srm280","See Editorial")</f>
        <v>See Editorial</v>
      </c>
      <c r="E4442" s="17" t="s">
        <v>5043</v>
      </c>
      <c r="F4442" s="17" t="s">
        <v>139</v>
      </c>
      <c r="G4442" s="18"/>
      <c r="H4442" s="18"/>
    </row>
    <row r="4443" spans="1:8" ht="13.2">
      <c r="A4443" s="19" t="str">
        <f>HYPERLINK("https://www.facebook.com/hackercup/problem/232395994158286/","FbHkrCup 18-R1-B")</f>
        <v>FbHkrCup 18-R1-B</v>
      </c>
      <c r="B4443" s="20" t="s">
        <v>5064</v>
      </c>
      <c r="C4443" s="21">
        <v>5.5</v>
      </c>
      <c r="D4443" s="18"/>
      <c r="E4443" s="17" t="s">
        <v>5043</v>
      </c>
      <c r="F4443" s="17" t="s">
        <v>201</v>
      </c>
      <c r="G4443" s="18"/>
      <c r="H4443" s="18"/>
    </row>
    <row r="4444" spans="1:8" ht="13.2">
      <c r="A4444" s="15" t="s">
        <v>5065</v>
      </c>
      <c r="B4444" s="20" t="s">
        <v>5066</v>
      </c>
      <c r="C4444" s="33">
        <v>5</v>
      </c>
      <c r="D4444" s="18"/>
      <c r="E4444" s="17" t="s">
        <v>5043</v>
      </c>
      <c r="F4444" s="17" t="s">
        <v>613</v>
      </c>
      <c r="G4444" s="18"/>
      <c r="H4444" s="18"/>
    </row>
    <row r="4445" spans="1:8" ht="13.2">
      <c r="A4445" s="19" t="str">
        <f>HYPERLINK("http://codeforces.com/contest/986/problem/B","CF986-D1-B")</f>
        <v>CF986-D1-B</v>
      </c>
      <c r="B4445" s="20" t="s">
        <v>5045</v>
      </c>
      <c r="C4445" s="21">
        <v>5</v>
      </c>
      <c r="D4445" s="18"/>
      <c r="E4445" s="17" t="s">
        <v>5043</v>
      </c>
      <c r="F4445" s="17" t="s">
        <v>201</v>
      </c>
      <c r="G4445" s="18"/>
      <c r="H4445" s="18"/>
    </row>
    <row r="4446" spans="1:8" ht="13.2">
      <c r="A4446" s="15" t="s">
        <v>5067</v>
      </c>
      <c r="B4446" s="28" t="s">
        <v>5068</v>
      </c>
      <c r="C4446" s="31">
        <v>5</v>
      </c>
      <c r="D4446" s="18" t="s">
        <v>5069</v>
      </c>
      <c r="E4446" s="17" t="s">
        <v>5043</v>
      </c>
      <c r="F4446" s="17"/>
      <c r="G4446" s="18"/>
      <c r="H4446" s="18"/>
    </row>
    <row r="4447" spans="1:8" ht="13.2">
      <c r="A4447" s="15" t="s">
        <v>5070</v>
      </c>
      <c r="B4447" s="28" t="s">
        <v>5045</v>
      </c>
      <c r="C4447" s="24">
        <v>3</v>
      </c>
      <c r="D4447" s="18"/>
      <c r="E4447" s="17" t="s">
        <v>5043</v>
      </c>
      <c r="F4447" s="17"/>
      <c r="G4447" s="18"/>
      <c r="H4447" s="18"/>
    </row>
    <row r="4448" spans="1:8" ht="13.2">
      <c r="A4448" s="15" t="s">
        <v>5071</v>
      </c>
      <c r="B4448" s="28" t="s">
        <v>5072</v>
      </c>
      <c r="C4448" s="40">
        <v>3</v>
      </c>
      <c r="D4448" s="18"/>
      <c r="E4448" s="17" t="s">
        <v>5043</v>
      </c>
      <c r="F4448" s="17"/>
      <c r="G4448" s="18"/>
      <c r="H4448" s="18"/>
    </row>
    <row r="4449" spans="1:8" ht="13.2">
      <c r="A4449" s="15" t="s">
        <v>5073</v>
      </c>
      <c r="B4449" s="30" t="s">
        <v>5074</v>
      </c>
      <c r="C4449" s="17">
        <v>8</v>
      </c>
      <c r="D4449" s="18"/>
      <c r="E4449" s="17" t="s">
        <v>5075</v>
      </c>
      <c r="F4449" s="17"/>
      <c r="G4449" s="18"/>
      <c r="H4449" s="18"/>
    </row>
    <row r="4450" spans="1:8" ht="13.2">
      <c r="A4450" s="15" t="s">
        <v>5076</v>
      </c>
      <c r="B4450" s="28" t="s">
        <v>5077</v>
      </c>
      <c r="C4450" s="24">
        <v>7.5</v>
      </c>
      <c r="D4450" s="18"/>
      <c r="E4450" s="17" t="s">
        <v>5075</v>
      </c>
      <c r="F4450" s="17"/>
      <c r="G4450" s="18"/>
      <c r="H4450" s="18"/>
    </row>
    <row r="4451" spans="1:8" ht="13.2">
      <c r="A4451" s="19" t="str">
        <f>HYPERLINK("http://codeforces.com/contest/338/problem/C","CF338-D1-C")</f>
        <v>CF338-D1-C</v>
      </c>
      <c r="B4451" s="29" t="s">
        <v>5078</v>
      </c>
      <c r="C4451" s="17">
        <v>7.5</v>
      </c>
      <c r="D4451" s="18"/>
      <c r="E4451" s="17" t="s">
        <v>5075</v>
      </c>
      <c r="F4451" s="17"/>
      <c r="G4451" s="18"/>
      <c r="H4451" s="18"/>
    </row>
    <row r="4452" spans="1:8" ht="13.2">
      <c r="A4452" s="19" t="str">
        <f>HYPERLINK("http://codeforces.com/contest/1071/problem/D","CF1072-D2-F")</f>
        <v>CF1072-D2-F</v>
      </c>
      <c r="B4452" s="20" t="s">
        <v>5079</v>
      </c>
      <c r="C4452" s="21">
        <v>7.5</v>
      </c>
      <c r="D4452" s="18"/>
      <c r="E4452" s="17" t="s">
        <v>5075</v>
      </c>
      <c r="F4452" s="17"/>
      <c r="G4452" s="18"/>
      <c r="H4452" s="18"/>
    </row>
    <row r="4453" spans="1:8" ht="13.2">
      <c r="A4453" s="15" t="s">
        <v>5080</v>
      </c>
      <c r="B4453" s="30" t="s">
        <v>5081</v>
      </c>
      <c r="C4453" s="24">
        <v>7</v>
      </c>
      <c r="D4453" s="26" t="str">
        <f>HYPERLINK("https://github.com/jebouin/CompetitiveProgramming/blob/master/UVA/UVA%201635.cpp","Sol")</f>
        <v>Sol</v>
      </c>
      <c r="E4453" s="17" t="s">
        <v>5075</v>
      </c>
      <c r="F4453" s="17" t="s">
        <v>139</v>
      </c>
      <c r="G4453" s="18"/>
      <c r="H4453" s="18"/>
    </row>
    <row r="4454" spans="1:8" ht="13.2">
      <c r="A4454" s="15" t="s">
        <v>5082</v>
      </c>
      <c r="B4454" s="28" t="s">
        <v>5083</v>
      </c>
      <c r="C4454" s="24">
        <v>7</v>
      </c>
      <c r="D4454" s="18"/>
      <c r="E4454" s="17" t="s">
        <v>5075</v>
      </c>
      <c r="F4454" s="17"/>
      <c r="G4454" s="18"/>
      <c r="H4454" s="18"/>
    </row>
    <row r="4455" spans="1:8" ht="13.2">
      <c r="A4455" s="15" t="s">
        <v>5084</v>
      </c>
      <c r="B4455" s="15" t="s">
        <v>5085</v>
      </c>
      <c r="C4455" s="17">
        <v>6.75</v>
      </c>
      <c r="D4455" s="18"/>
      <c r="E4455" s="17" t="s">
        <v>5075</v>
      </c>
      <c r="F4455" s="17" t="s">
        <v>139</v>
      </c>
      <c r="G4455" s="18"/>
      <c r="H4455" s="18"/>
    </row>
    <row r="4456" spans="1:8" ht="13.2">
      <c r="A4456" s="15" t="s">
        <v>5086</v>
      </c>
      <c r="B4456" s="30" t="s">
        <v>5085</v>
      </c>
      <c r="C4456" s="24">
        <v>6.25</v>
      </c>
      <c r="D4456" s="18"/>
      <c r="E4456" s="17" t="s">
        <v>5075</v>
      </c>
      <c r="F4456" s="17"/>
      <c r="G4456" s="18"/>
      <c r="H4456" s="18"/>
    </row>
    <row r="4457" spans="1:8" ht="13.2">
      <c r="A4457" s="15" t="s">
        <v>5087</v>
      </c>
      <c r="B4457" s="38" t="s">
        <v>5088</v>
      </c>
      <c r="C4457" s="24">
        <v>6.25</v>
      </c>
      <c r="D4457" s="18"/>
      <c r="E4457" s="17" t="s">
        <v>5075</v>
      </c>
      <c r="F4457" s="17"/>
      <c r="G4457" s="18"/>
      <c r="H4457" s="18"/>
    </row>
    <row r="4458" spans="1:8" ht="13.2">
      <c r="A4458" s="19" t="str">
        <f>HYPERLINK("https://www.codechef.com/problems/B3","CODECHEF B3")</f>
        <v>CODECHEF B3</v>
      </c>
      <c r="B4458" s="15" t="s">
        <v>5085</v>
      </c>
      <c r="C4458" s="17">
        <v>6.1</v>
      </c>
      <c r="D4458" s="26" t="str">
        <f>HYPERLINK("https://github.com/sggutier/CompetitiveProgramming/blob/master/Codechef/B3.cpp","Sol")</f>
        <v>Sol</v>
      </c>
      <c r="E4458" s="17" t="s">
        <v>5075</v>
      </c>
      <c r="F4458" s="17" t="s">
        <v>242</v>
      </c>
      <c r="G4458" s="18"/>
      <c r="H4458" s="18"/>
    </row>
    <row r="4459" spans="1:8" ht="13.2">
      <c r="A4459" s="19" t="str">
        <f>HYPERLINK("https://www.codechef.com/problems/CHEFDIV","CODECHEF CHEFDIV")</f>
        <v>CODECHEF CHEFDIV</v>
      </c>
      <c r="B4459" s="18" t="s">
        <v>5089</v>
      </c>
      <c r="C4459" s="17">
        <v>6</v>
      </c>
      <c r="D4459" s="26" t="str">
        <f>HYPERLINK("https://github.com/thackerhelik/Codechef/blob/master/CHEFDIV.cpp","Sol")</f>
        <v>Sol</v>
      </c>
      <c r="E4459" s="17" t="s">
        <v>5075</v>
      </c>
      <c r="F4459" s="17" t="s">
        <v>196</v>
      </c>
      <c r="G4459" s="18"/>
      <c r="H4459" s="18"/>
    </row>
    <row r="4460" spans="1:8" ht="13.2">
      <c r="A4460" s="19" t="str">
        <f>HYPERLINK("http://codeforces.com/contest/980/problem/D","CF980-D2-D")</f>
        <v>CF980-D2-D</v>
      </c>
      <c r="B4460" s="15" t="s">
        <v>5085</v>
      </c>
      <c r="C4460" s="17">
        <v>6</v>
      </c>
      <c r="D4460" s="18"/>
      <c r="E4460" s="17" t="s">
        <v>5075</v>
      </c>
      <c r="F4460" s="17" t="s">
        <v>139</v>
      </c>
      <c r="G4460" s="18"/>
      <c r="H4460" s="18"/>
    </row>
    <row r="4461" spans="1:8" ht="13.2">
      <c r="A4461" s="19" t="str">
        <f>HYPERLINK("https://www.codechef.com/SNCK1A19/problems/PERIODIC","CODECHEF PERIODIC")</f>
        <v>CODECHEF PERIODIC</v>
      </c>
      <c r="B4461" s="15" t="s">
        <v>5090</v>
      </c>
      <c r="C4461" s="17">
        <v>6</v>
      </c>
      <c r="D4461" s="18"/>
      <c r="E4461" s="17" t="s">
        <v>5075</v>
      </c>
      <c r="F4461" s="17" t="s">
        <v>139</v>
      </c>
      <c r="G4461" s="18"/>
      <c r="H4461" s="18"/>
    </row>
    <row r="4462" spans="1:8" ht="13.2">
      <c r="A4462" s="19" t="str">
        <f>HYPERLINK("http://codeforces.com/gym/101856","CF101856-gym-D")</f>
        <v>CF101856-gym-D</v>
      </c>
      <c r="B4462" s="15" t="s">
        <v>5091</v>
      </c>
      <c r="C4462" s="17">
        <v>6</v>
      </c>
      <c r="D4462" s="18"/>
      <c r="E4462" s="17" t="s">
        <v>5075</v>
      </c>
      <c r="F4462" s="17" t="s">
        <v>139</v>
      </c>
      <c r="G4462" s="18"/>
      <c r="H4462" s="18"/>
    </row>
    <row r="4463" spans="1:8" ht="13.2">
      <c r="A4463" s="19" t="str">
        <f>HYPERLINK("https://codeforces.com/gym/102299/problem/F", "CF102299-GYM-F")</f>
        <v>CF102299-GYM-F</v>
      </c>
      <c r="B4463" s="25" t="s">
        <v>5092</v>
      </c>
      <c r="C4463" s="21">
        <v>6</v>
      </c>
      <c r="D4463" s="26" t="str">
        <f>HYPERLINK("https://github.com/YazanZebak/CompetitiveProgramming/blob/master/Codeforces/CF102299-GYM-F.cpp", "Sol")</f>
        <v>Sol</v>
      </c>
      <c r="E4463" s="17" t="s">
        <v>5075</v>
      </c>
      <c r="F4463" s="17" t="s">
        <v>139</v>
      </c>
      <c r="G4463" s="18"/>
      <c r="H4463" s="18"/>
    </row>
    <row r="4464" spans="1:8" ht="13.2">
      <c r="A4464" s="19" t="str">
        <f>HYPERLINK("http://codeforces.com/contest/831/problem/F","CF831-D12-F")</f>
        <v>CF831-D12-F</v>
      </c>
      <c r="B4464" s="15" t="s">
        <v>5085</v>
      </c>
      <c r="C4464" s="17">
        <v>6</v>
      </c>
      <c r="D4464" s="18"/>
      <c r="E4464" s="17" t="s">
        <v>5075</v>
      </c>
      <c r="F4464" s="17" t="s">
        <v>242</v>
      </c>
      <c r="G4464" s="18"/>
      <c r="H4464" s="18"/>
    </row>
    <row r="4465" spans="1:8" ht="13.2">
      <c r="A4465" s="19" t="str">
        <f>HYPERLINK("http://codeforces.com/contest/300/problem/E","CF300-D2-E")</f>
        <v>CF300-D2-E</v>
      </c>
      <c r="B4465" s="29" t="s">
        <v>5093</v>
      </c>
      <c r="C4465" s="17">
        <v>6</v>
      </c>
      <c r="D4465" s="18"/>
      <c r="E4465" s="17" t="s">
        <v>5075</v>
      </c>
      <c r="F4465" s="17" t="s">
        <v>242</v>
      </c>
      <c r="G4465" s="18"/>
      <c r="H4465" s="18"/>
    </row>
    <row r="4466" spans="1:8" ht="13.2">
      <c r="A4466" s="19" t="str">
        <f>HYPERLINK("http://codeforces.com/contest/180/problem/B","CF180-D2-B")</f>
        <v>CF180-D2-B</v>
      </c>
      <c r="B4466" s="29" t="s">
        <v>5085</v>
      </c>
      <c r="C4466" s="17">
        <v>6</v>
      </c>
      <c r="D4466" s="18"/>
      <c r="E4466" s="17" t="s">
        <v>5075</v>
      </c>
      <c r="F4466" s="17"/>
      <c r="G4466" s="18"/>
      <c r="H4466" s="18"/>
    </row>
    <row r="4467" spans="1:8" ht="13.2">
      <c r="A4467" s="15" t="s">
        <v>5094</v>
      </c>
      <c r="B4467" s="30" t="s">
        <v>5074</v>
      </c>
      <c r="C4467" s="17">
        <v>6</v>
      </c>
      <c r="D4467" s="18"/>
      <c r="E4467" s="17" t="s">
        <v>5075</v>
      </c>
      <c r="F4467" s="17"/>
      <c r="G4467" s="18"/>
      <c r="H4467" s="18"/>
    </row>
    <row r="4468" spans="1:8" ht="13.2">
      <c r="A4468" s="15" t="s">
        <v>5095</v>
      </c>
      <c r="B4468" s="30" t="s">
        <v>5096</v>
      </c>
      <c r="C4468" s="54">
        <v>6</v>
      </c>
      <c r="D4468" s="18"/>
      <c r="E4468" s="17" t="s">
        <v>5075</v>
      </c>
      <c r="F4468" s="17"/>
      <c r="G4468" s="18"/>
      <c r="H4468" s="18"/>
    </row>
    <row r="4469" spans="1:8" ht="13.2">
      <c r="A4469" s="19" t="str">
        <f>HYPERLINK("http://www.spoj.com/problems/PROOT/","SPOJ PROOT")</f>
        <v>SPOJ PROOT</v>
      </c>
      <c r="B4469" s="29" t="s">
        <v>5097</v>
      </c>
      <c r="C4469" s="17">
        <v>5.75</v>
      </c>
      <c r="D4469" s="26" t="str">
        <f>HYPERLINK("https://github.com/YazanZebak/CompetitiveProgramming/blob/master/Spoj/PROOT.cpp","Sol")</f>
        <v>Sol</v>
      </c>
      <c r="E4469" s="17" t="s">
        <v>5075</v>
      </c>
      <c r="F4469" s="17" t="s">
        <v>1053</v>
      </c>
      <c r="G4469" s="18"/>
      <c r="H4469" s="18"/>
    </row>
    <row r="4470" spans="1:8" ht="13.2">
      <c r="A4470" s="15" t="s">
        <v>5098</v>
      </c>
      <c r="B4470" s="30" t="s">
        <v>5099</v>
      </c>
      <c r="C4470" s="24">
        <v>5.75</v>
      </c>
      <c r="D4470" s="18"/>
      <c r="E4470" s="17" t="s">
        <v>5075</v>
      </c>
      <c r="F4470" s="17"/>
      <c r="G4470" s="18"/>
      <c r="H4470" s="18"/>
    </row>
    <row r="4471" spans="1:8" ht="13.2">
      <c r="A4471" s="19" t="str">
        <f>HYPERLINK("https://community.topcoder.com/stat?c=problem_statement&amp;pm=15211", "SRM743-D2-1000")</f>
        <v>SRM743-D2-1000</v>
      </c>
      <c r="B4471" s="15" t="s">
        <v>5085</v>
      </c>
      <c r="C4471" s="17">
        <v>5.5</v>
      </c>
      <c r="D4471" s="18"/>
      <c r="E4471" s="17" t="s">
        <v>5075</v>
      </c>
      <c r="F4471" s="17"/>
      <c r="G4471" s="18"/>
      <c r="H4471" s="18"/>
    </row>
    <row r="4472" spans="1:8" ht="13.2">
      <c r="A4472" s="19" t="str">
        <f>HYPERLINK("http://codeforces.com/contest/837/problem/E","CF837-D12-E")</f>
        <v>CF837-D12-E</v>
      </c>
      <c r="B4472" s="18" t="s">
        <v>5100</v>
      </c>
      <c r="C4472" s="17">
        <v>5.5</v>
      </c>
      <c r="D4472" s="18"/>
      <c r="E4472" s="17" t="s">
        <v>5075</v>
      </c>
      <c r="F4472" s="17"/>
      <c r="G4472" s="18"/>
      <c r="H4472" s="18"/>
    </row>
    <row r="4473" spans="1:8" ht="13.2">
      <c r="A4473" s="15" t="s">
        <v>5101</v>
      </c>
      <c r="B4473" s="30" t="s">
        <v>5074</v>
      </c>
      <c r="C4473" s="24">
        <v>5.5</v>
      </c>
      <c r="D4473" s="18"/>
      <c r="E4473" s="17" t="s">
        <v>5075</v>
      </c>
      <c r="F4473" s="17"/>
      <c r="G4473" s="18"/>
      <c r="H4473" s="18"/>
    </row>
    <row r="4474" spans="1:8" ht="13.2">
      <c r="A4474" s="19" t="str">
        <f>HYPERLINK("https://codeforces.com/contest/1029/problem/F", "CF1029-D3-F")</f>
        <v>CF1029-D3-F</v>
      </c>
      <c r="B4474" s="15" t="s">
        <v>5085</v>
      </c>
      <c r="C4474" s="21">
        <v>5</v>
      </c>
      <c r="D4474" s="26" t="str">
        <f>HYPERLINK("https://github.com/Huvok/CompetitiveProgramming/blob/master/Codeforces/CF1029-D3-F.cpp", "Sol")</f>
        <v>Sol</v>
      </c>
      <c r="E4474" s="17" t="s">
        <v>5075</v>
      </c>
      <c r="F4474" s="17" t="s">
        <v>139</v>
      </c>
      <c r="G4474" s="18"/>
      <c r="H4474" s="18"/>
    </row>
    <row r="4475" spans="1:8" ht="13.2">
      <c r="A4475" s="19" t="str">
        <f>HYPERLINK("http://codeforces.com/problemset/problem/1033/D", "CF1033-D12-D")</f>
        <v>CF1033-D12-D</v>
      </c>
      <c r="B4475" s="20" t="s">
        <v>5085</v>
      </c>
      <c r="C4475" s="17">
        <v>5</v>
      </c>
      <c r="D4475" s="18"/>
      <c r="E4475" s="17" t="s">
        <v>5075</v>
      </c>
      <c r="F4475" s="17" t="s">
        <v>139</v>
      </c>
      <c r="G4475" s="18"/>
      <c r="H4475" s="18"/>
    </row>
    <row r="4476" spans="1:8" ht="13.2">
      <c r="A4476" s="19" t="str">
        <f>HYPERLINK("http://codeforces.com/contest/851/problem/D","CF851-D2-D")</f>
        <v>CF851-D2-D</v>
      </c>
      <c r="B4476" s="15" t="s">
        <v>5100</v>
      </c>
      <c r="C4476" s="17">
        <v>5</v>
      </c>
      <c r="D4476" s="18"/>
      <c r="E4476" s="17" t="s">
        <v>5075</v>
      </c>
      <c r="F4476" s="17" t="s">
        <v>139</v>
      </c>
      <c r="G4476" s="18"/>
      <c r="H4476" s="18"/>
    </row>
    <row r="4477" spans="1:8" ht="13.2">
      <c r="A4477" s="15" t="s">
        <v>5102</v>
      </c>
      <c r="B4477" s="29" t="s">
        <v>5103</v>
      </c>
      <c r="C4477" s="17">
        <v>5</v>
      </c>
      <c r="D4477" s="18"/>
      <c r="E4477" s="17" t="s">
        <v>5075</v>
      </c>
      <c r="F4477" s="17"/>
      <c r="G4477" s="18"/>
      <c r="H4477" s="18"/>
    </row>
    <row r="4478" spans="1:8" ht="13.2">
      <c r="A4478" s="19" t="str">
        <f>HYPERLINK("https://uva.onlinejudge.org/index.php?option=onlinejudge&amp;page=show_problem&amp;problem=2322","UVA 11347")</f>
        <v>UVA 11347</v>
      </c>
      <c r="B4478" s="29" t="s">
        <v>5104</v>
      </c>
      <c r="C4478" s="17">
        <v>5</v>
      </c>
      <c r="D4478" s="18"/>
      <c r="E4478" s="17" t="s">
        <v>5075</v>
      </c>
      <c r="F4478" s="17"/>
      <c r="G4478" s="18"/>
      <c r="H4478" s="18"/>
    </row>
    <row r="4479" spans="1:8" ht="13.2">
      <c r="A4479" s="15" t="s">
        <v>5105</v>
      </c>
      <c r="B4479" s="29" t="s">
        <v>5106</v>
      </c>
      <c r="C4479" s="17">
        <v>5</v>
      </c>
      <c r="D4479" s="26" t="str">
        <f>HYPERLINK("https://github.com/mostafa-saad/MyCompetitiveProgramming/blob/master/UVA/UVA_12154.txt","Sol")</f>
        <v>Sol</v>
      </c>
      <c r="E4479" s="17" t="s">
        <v>5075</v>
      </c>
      <c r="F4479" s="17"/>
      <c r="G4479" s="18"/>
      <c r="H4479" s="18"/>
    </row>
    <row r="4480" spans="1:8" ht="13.2">
      <c r="A4480" s="15" t="s">
        <v>5107</v>
      </c>
      <c r="B4480" s="30" t="s">
        <v>5108</v>
      </c>
      <c r="C4480" s="17">
        <v>5</v>
      </c>
      <c r="D4480" s="18"/>
      <c r="E4480" s="17" t="s">
        <v>5075</v>
      </c>
      <c r="F4480" s="17"/>
      <c r="G4480" s="18"/>
      <c r="H4480" s="18"/>
    </row>
    <row r="4481" spans="1:8" ht="13.2">
      <c r="A4481" s="19" t="str">
        <f>HYPERLINK("codeforces.com/gym/100753","CF100753-gym-F")</f>
        <v>CF100753-gym-F</v>
      </c>
      <c r="B4481" s="30" t="s">
        <v>5074</v>
      </c>
      <c r="C4481" s="17">
        <v>5</v>
      </c>
      <c r="D4481" s="26" t="str">
        <f>HYPERLINK("http://codeforces.com/blog/entry/22929","See")</f>
        <v>See</v>
      </c>
      <c r="E4481" s="17" t="s">
        <v>5075</v>
      </c>
      <c r="F4481" s="17"/>
      <c r="G4481" s="18"/>
      <c r="H4481" s="18"/>
    </row>
    <row r="4482" spans="1:8" ht="13.2">
      <c r="A4482" s="15" t="s">
        <v>5109</v>
      </c>
      <c r="B4482" s="18" t="s">
        <v>5110</v>
      </c>
      <c r="C4482" s="17">
        <v>4.5</v>
      </c>
      <c r="D4482" s="26" t="str">
        <f>HYPERLINK("https://github.com/MohamedNabil97/CompetitiveProgramming/blob/master/Timus/1854.cpp","Sol")</f>
        <v>Sol</v>
      </c>
      <c r="E4482" s="17" t="s">
        <v>5075</v>
      </c>
      <c r="F4482" s="17" t="s">
        <v>255</v>
      </c>
      <c r="G4482" s="18"/>
      <c r="H4482" s="18"/>
    </row>
    <row r="4483" spans="1:8" ht="13.2">
      <c r="A4483" s="19" t="str">
        <f>HYPERLINK("http://codeforces.com/contest/1047/problem/C","CF1047-D2-C")</f>
        <v>CF1047-D2-C</v>
      </c>
      <c r="B4483" s="15" t="s">
        <v>5085</v>
      </c>
      <c r="C4483" s="17">
        <v>4.5</v>
      </c>
      <c r="D4483" s="18"/>
      <c r="E4483" s="17" t="s">
        <v>5075</v>
      </c>
      <c r="F4483" s="17" t="s">
        <v>139</v>
      </c>
      <c r="G4483" s="18"/>
      <c r="H4483" s="18"/>
    </row>
    <row r="4484" spans="1:8" ht="13.2">
      <c r="A4484" s="15" t="s">
        <v>5111</v>
      </c>
      <c r="B4484" s="15" t="s">
        <v>5085</v>
      </c>
      <c r="C4484" s="17">
        <v>4.5</v>
      </c>
      <c r="D4484" s="18"/>
      <c r="E4484" s="17" t="s">
        <v>5075</v>
      </c>
      <c r="F4484" s="17" t="s">
        <v>139</v>
      </c>
      <c r="G4484" s="18"/>
      <c r="H4484" s="18"/>
    </row>
    <row r="4485" spans="1:8" ht="13.2">
      <c r="A4485" s="15" t="s">
        <v>5112</v>
      </c>
      <c r="B4485" s="15" t="s">
        <v>5113</v>
      </c>
      <c r="C4485" s="17">
        <v>4.5</v>
      </c>
      <c r="D4485" s="18"/>
      <c r="E4485" s="17" t="s">
        <v>5075</v>
      </c>
      <c r="F4485" s="17" t="s">
        <v>139</v>
      </c>
      <c r="G4485" s="18"/>
      <c r="H4485" s="18"/>
    </row>
    <row r="4486" spans="1:8" ht="13.2">
      <c r="A4486" s="19" t="str">
        <f>HYPERLINK("https://uva.onlinejudge.org/index.php?option=onlinejudge&amp;page=show_problem&amp;problem=488","UVA 547")</f>
        <v>UVA 547</v>
      </c>
      <c r="B4486" s="29" t="s">
        <v>5114</v>
      </c>
      <c r="C4486" s="17">
        <v>4.5</v>
      </c>
      <c r="D4486" s="18"/>
      <c r="E4486" s="17" t="s">
        <v>5075</v>
      </c>
      <c r="F4486" s="17"/>
      <c r="G4486" s="18"/>
      <c r="H4486" s="18"/>
    </row>
    <row r="4487" spans="1:8" ht="13.2">
      <c r="A4487" s="19" t="str">
        <f>HYPERLINK("https://codeforces.com/contest/1061/problem/C","CF1061-D2-C")</f>
        <v>CF1061-D2-C</v>
      </c>
      <c r="B4487" s="15" t="s">
        <v>5115</v>
      </c>
      <c r="C4487" s="17">
        <v>4</v>
      </c>
      <c r="D4487" s="18"/>
      <c r="E4487" s="17" t="s">
        <v>5075</v>
      </c>
      <c r="F4487" s="17" t="s">
        <v>139</v>
      </c>
      <c r="G4487" s="18"/>
      <c r="H4487" s="18"/>
    </row>
    <row r="4488" spans="1:8" ht="13.2">
      <c r="A4488" s="19" t="str">
        <f>HYPERLINK("https://uva.onlinejudge.org/index.php?option=onlinejudge&amp;page=show_problem&amp;problem=1563","UVA 10622")</f>
        <v>UVA 10622</v>
      </c>
      <c r="B4488" s="29" t="s">
        <v>5085</v>
      </c>
      <c r="C4488" s="17">
        <v>4</v>
      </c>
      <c r="D4488" s="18"/>
      <c r="E4488" s="17" t="s">
        <v>5075</v>
      </c>
      <c r="F4488" s="17" t="s">
        <v>242</v>
      </c>
      <c r="G4488" s="18"/>
      <c r="H4488" s="18"/>
    </row>
    <row r="4489" spans="1:8" ht="13.2">
      <c r="A4489" s="15" t="s">
        <v>5116</v>
      </c>
      <c r="B4489" s="30" t="s">
        <v>5117</v>
      </c>
      <c r="C4489" s="24">
        <v>4</v>
      </c>
      <c r="D4489" s="18"/>
      <c r="E4489" s="17" t="s">
        <v>5075</v>
      </c>
      <c r="F4489" s="17" t="s">
        <v>242</v>
      </c>
      <c r="G4489" s="18"/>
      <c r="H4489" s="18"/>
    </row>
    <row r="4490" spans="1:8" ht="13.2">
      <c r="A4490" s="15" t="s">
        <v>5118</v>
      </c>
      <c r="B4490" s="28" t="s">
        <v>5077</v>
      </c>
      <c r="C4490" s="24">
        <v>4</v>
      </c>
      <c r="D4490" s="18"/>
      <c r="E4490" s="17" t="s">
        <v>5075</v>
      </c>
      <c r="F4490" s="17"/>
      <c r="G4490" s="18"/>
      <c r="H4490" s="18"/>
    </row>
    <row r="4491" spans="1:8" ht="13.2">
      <c r="A4491" s="15" t="s">
        <v>5119</v>
      </c>
      <c r="B4491" s="29" t="s">
        <v>5120</v>
      </c>
      <c r="C4491" s="24">
        <v>4</v>
      </c>
      <c r="D4491" s="18"/>
      <c r="E4491" s="17" t="s">
        <v>5075</v>
      </c>
      <c r="F4491" s="17"/>
      <c r="G4491" s="18"/>
      <c r="H4491" s="18"/>
    </row>
    <row r="4492" spans="1:8" ht="13.2">
      <c r="A4492" s="19" t="str">
        <f>HYPERLINK("https://uva.onlinejudge.org/index.php?option=onlinejudge&amp;Itemid=8&amp;page=show_problem&amp;problem=1080","UVA 10139")</f>
        <v>UVA 10139</v>
      </c>
      <c r="B4492" s="29" t="s">
        <v>5121</v>
      </c>
      <c r="C4492" s="17">
        <v>4</v>
      </c>
      <c r="D4492" s="18"/>
      <c r="E4492" s="17" t="s">
        <v>5075</v>
      </c>
      <c r="F4492" s="17"/>
      <c r="G4492" s="18"/>
      <c r="H4492" s="18"/>
    </row>
    <row r="4493" spans="1:8" ht="13.2">
      <c r="A4493" s="15" t="s">
        <v>5122</v>
      </c>
      <c r="B4493" s="15" t="s">
        <v>5085</v>
      </c>
      <c r="C4493" s="17">
        <v>3.5</v>
      </c>
      <c r="D4493" s="18"/>
      <c r="E4493" s="17" t="s">
        <v>5075</v>
      </c>
      <c r="F4493" s="17"/>
      <c r="G4493" s="18"/>
      <c r="H4493" s="18"/>
    </row>
    <row r="4494" spans="1:8" ht="13.2">
      <c r="A4494" s="15" t="s">
        <v>5123</v>
      </c>
      <c r="B4494" s="28" t="s">
        <v>5124</v>
      </c>
      <c r="C4494" s="17">
        <v>3.5</v>
      </c>
      <c r="D4494" s="18"/>
      <c r="E4494" s="17" t="s">
        <v>5075</v>
      </c>
      <c r="F4494" s="17"/>
      <c r="G4494" s="18"/>
      <c r="H4494" s="18"/>
    </row>
    <row r="4495" spans="1:8" ht="13.2">
      <c r="A4495" s="19" t="str">
        <f>HYPERLINK("http://codeforces.com/problemset/problem/236/B","CF236-D2-B")</f>
        <v>CF236-D2-B</v>
      </c>
      <c r="B4495" s="37" t="s">
        <v>5085</v>
      </c>
      <c r="C4495" s="24">
        <v>3</v>
      </c>
      <c r="D4495" s="18"/>
      <c r="E4495" s="17" t="s">
        <v>5075</v>
      </c>
      <c r="F4495" s="17"/>
      <c r="G4495" s="18"/>
      <c r="H4495" s="18"/>
    </row>
    <row r="4496" spans="1:8" ht="13.2">
      <c r="A4496" s="19" t="str">
        <f>HYPERLINK("https://uva.onlinejudge.org/index.php?option=com_onlinejudge&amp;Itemid=8&amp;page=show_problem&amp;problem=1431","UVA 10490")</f>
        <v>UVA 10490</v>
      </c>
      <c r="B4496" s="29" t="s">
        <v>5085</v>
      </c>
      <c r="C4496" s="17">
        <v>3</v>
      </c>
      <c r="D4496" s="18"/>
      <c r="E4496" s="17" t="s">
        <v>5075</v>
      </c>
      <c r="F4496" s="17"/>
      <c r="G4496" s="18"/>
      <c r="H4496" s="18"/>
    </row>
    <row r="4497" spans="1:8" ht="13.2">
      <c r="A4497" s="19" t="str">
        <f>HYPERLINK("https://uva.onlinejudge.org/index.php?option=com_onlinejudge&amp;Itemid=8&amp;page=show_problem&amp;problem=457","UVA 516")</f>
        <v>UVA 516</v>
      </c>
      <c r="B4497" s="29" t="s">
        <v>5085</v>
      </c>
      <c r="C4497" s="17">
        <v>3</v>
      </c>
      <c r="D4497" s="18"/>
      <c r="E4497" s="17" t="s">
        <v>5075</v>
      </c>
      <c r="F4497" s="17"/>
      <c r="G4497" s="18"/>
      <c r="H4497" s="18"/>
    </row>
    <row r="4498" spans="1:8" ht="13.2">
      <c r="A4498" s="15" t="s">
        <v>5125</v>
      </c>
      <c r="B4498" s="29" t="s">
        <v>5126</v>
      </c>
      <c r="C4498" s="24">
        <v>3</v>
      </c>
      <c r="D4498" s="18"/>
      <c r="E4498" s="17" t="s">
        <v>5075</v>
      </c>
      <c r="F4498" s="17"/>
      <c r="G4498" s="18"/>
      <c r="H4498" s="18"/>
    </row>
    <row r="4499" spans="1:8" ht="13.2">
      <c r="A4499" s="15" t="s">
        <v>5127</v>
      </c>
      <c r="B4499" s="28" t="s">
        <v>5085</v>
      </c>
      <c r="C4499" s="24">
        <v>2</v>
      </c>
      <c r="D4499" s="18"/>
      <c r="E4499" s="24" t="s">
        <v>5075</v>
      </c>
      <c r="F4499" s="17"/>
      <c r="G4499" s="18"/>
      <c r="H4499" s="18"/>
    </row>
    <row r="4500" spans="1:8" ht="13.2">
      <c r="A4500" s="15" t="s">
        <v>5128</v>
      </c>
      <c r="B4500" s="28" t="s">
        <v>5085</v>
      </c>
      <c r="C4500" s="24">
        <v>2</v>
      </c>
      <c r="D4500" s="18"/>
      <c r="E4500" s="24" t="s">
        <v>5075</v>
      </c>
      <c r="F4500" s="17"/>
      <c r="G4500" s="18"/>
      <c r="H4500" s="18"/>
    </row>
    <row r="4501" spans="1:8" ht="13.2">
      <c r="A4501" s="19" t="str">
        <f>HYPERLINK("https://uva.onlinejudge.org/index.php?option=com_onlinejudge&amp;Itemid=8&amp;page=show_problem&amp;problem=1640","UVA 10699")</f>
        <v>UVA 10699</v>
      </c>
      <c r="B4501" s="29" t="s">
        <v>5085</v>
      </c>
      <c r="C4501" s="17">
        <v>2</v>
      </c>
      <c r="D4501" s="18"/>
      <c r="E4501" s="17" t="s">
        <v>5075</v>
      </c>
      <c r="F4501" s="17"/>
      <c r="G4501" s="18"/>
      <c r="H4501" s="18"/>
    </row>
    <row r="4502" spans="1:8" ht="13.2">
      <c r="A4502" s="15" t="s">
        <v>5129</v>
      </c>
      <c r="B4502" s="28" t="s">
        <v>5085</v>
      </c>
      <c r="C4502" s="24">
        <v>2</v>
      </c>
      <c r="D4502" s="26" t="str">
        <f>HYPERLINK("https://raw.githubusercontent.com/NadaAlaa/CompetitiveProgramming/master/LiveArchive/2557.cpp","Solve in O(1)")</f>
        <v>Solve in O(1)</v>
      </c>
      <c r="E4502" s="17" t="s">
        <v>5075</v>
      </c>
      <c r="F4502" s="17"/>
      <c r="G4502" s="18"/>
      <c r="H4502" s="18"/>
    </row>
    <row r="4503" spans="1:8" ht="13.2">
      <c r="A4503" s="19" t="str">
        <f>HYPERLINK("https://uva.onlinejudge.org/index.php?option=com_onlinejudge&amp;Itemid=8&amp;page=show_problem&amp;problem=318","UVA 382")</f>
        <v>UVA 382</v>
      </c>
      <c r="B4503" s="29" t="s">
        <v>5085</v>
      </c>
      <c r="C4503" s="17">
        <v>2</v>
      </c>
      <c r="D4503" s="18"/>
      <c r="E4503" s="17" t="s">
        <v>5075</v>
      </c>
      <c r="F4503" s="17"/>
      <c r="G4503" s="18"/>
      <c r="H4503" s="18"/>
    </row>
    <row r="4504" spans="1:8" ht="13.2">
      <c r="A4504" s="19" t="str">
        <f>HYPERLINK("https://uva.onlinejudge.org/index.php?option=com_onlinejudge&amp;Itemid=8&amp;page=show_problem&amp;problem=524","UVA 583")</f>
        <v>UVA 583</v>
      </c>
      <c r="B4504" s="29" t="s">
        <v>5085</v>
      </c>
      <c r="C4504" s="17">
        <v>2</v>
      </c>
      <c r="D4504" s="18"/>
      <c r="E4504" s="17" t="s">
        <v>5075</v>
      </c>
      <c r="F4504" s="17"/>
      <c r="G4504" s="18"/>
      <c r="H4504" s="18"/>
    </row>
    <row r="4505" spans="1:8" ht="13.2">
      <c r="A4505" s="15" t="s">
        <v>5130</v>
      </c>
      <c r="B4505" s="28" t="s">
        <v>5131</v>
      </c>
      <c r="C4505" s="24">
        <v>2</v>
      </c>
      <c r="D4505" s="18"/>
      <c r="E4505" s="17" t="s">
        <v>5075</v>
      </c>
      <c r="F4505" s="17"/>
      <c r="G4505" s="18"/>
      <c r="H4505" s="18"/>
    </row>
    <row r="4506" spans="1:8" ht="13.2">
      <c r="A4506" s="19" t="str">
        <f>HYPERLINK("https://uva.onlinejudge.org/index.php?option=com_onlinejudge&amp;Itemid=8&amp;page=show_problem&amp;problem=230","UVA 294")</f>
        <v>UVA 294</v>
      </c>
      <c r="B4506" s="29" t="s">
        <v>5126</v>
      </c>
      <c r="C4506" s="17">
        <v>2</v>
      </c>
      <c r="D4506" s="18"/>
      <c r="E4506" s="17" t="s">
        <v>5075</v>
      </c>
      <c r="F4506" s="17"/>
      <c r="G4506" s="18"/>
      <c r="H4506" s="18"/>
    </row>
    <row r="4507" spans="1:8" ht="13.2">
      <c r="A4507" s="15" t="s">
        <v>5132</v>
      </c>
      <c r="B4507" s="39" t="s">
        <v>5133</v>
      </c>
      <c r="C4507" s="40">
        <v>8.5</v>
      </c>
      <c r="D4507" s="18"/>
      <c r="E4507" s="17" t="s">
        <v>5134</v>
      </c>
      <c r="F4507" s="17"/>
      <c r="G4507" s="18"/>
      <c r="H4507" s="18"/>
    </row>
    <row r="4508" spans="1:8" ht="13.2">
      <c r="A4508" s="19" t="str">
        <f>HYPERLINK("https://www.codechef.com/problems/SEALCM","CODECHEF SEALCM")</f>
        <v>CODECHEF SEALCM</v>
      </c>
      <c r="B4508" s="18" t="s">
        <v>5135</v>
      </c>
      <c r="C4508" s="17">
        <v>7</v>
      </c>
      <c r="D4508" s="18"/>
      <c r="E4508" s="17" t="s">
        <v>5134</v>
      </c>
      <c r="F4508" s="17" t="s">
        <v>139</v>
      </c>
      <c r="G4508" s="18"/>
      <c r="H4508" s="18"/>
    </row>
    <row r="4509" spans="1:8" ht="13.2">
      <c r="A4509" s="19" t="str">
        <f>HYPERLINK("http://codeforces.com/contest/585/problem/E","CF585-D1-E")</f>
        <v>CF585-D1-E</v>
      </c>
      <c r="B4509" s="15" t="s">
        <v>5136</v>
      </c>
      <c r="C4509" s="24">
        <v>7</v>
      </c>
      <c r="D4509" s="18"/>
      <c r="E4509" s="17" t="s">
        <v>5134</v>
      </c>
      <c r="F4509" s="17" t="s">
        <v>139</v>
      </c>
      <c r="G4509" s="18"/>
      <c r="H4509" s="18"/>
    </row>
    <row r="4510" spans="1:8" ht="13.2">
      <c r="A4510" s="19" t="str">
        <f>HYPERLINK("http://codeforces.com/contest/1037/problem/F","CF1037-D12-F")</f>
        <v>CF1037-D12-F</v>
      </c>
      <c r="B4510" s="20" t="s">
        <v>5137</v>
      </c>
      <c r="C4510" s="21">
        <v>7</v>
      </c>
      <c r="D4510" s="18"/>
      <c r="E4510" s="17" t="s">
        <v>5134</v>
      </c>
      <c r="F4510" s="17" t="s">
        <v>242</v>
      </c>
      <c r="G4510" s="18"/>
      <c r="H4510" s="18"/>
    </row>
    <row r="4511" spans="1:8" ht="13.2">
      <c r="A4511" s="15" t="s">
        <v>5138</v>
      </c>
      <c r="B4511" s="30" t="s">
        <v>5139</v>
      </c>
      <c r="C4511" s="54">
        <v>7</v>
      </c>
      <c r="D4511" s="26" t="str">
        <f>HYPERLINK("https://github.com/Otrebus/timus/blob/master/1940.cpp","Sol")</f>
        <v>Sol</v>
      </c>
      <c r="E4511" s="17" t="s">
        <v>5134</v>
      </c>
      <c r="F4511" s="17"/>
      <c r="G4511" s="18"/>
      <c r="H4511" s="18"/>
    </row>
    <row r="4512" spans="1:8" ht="13.2">
      <c r="A4512" s="15" t="s">
        <v>5140</v>
      </c>
      <c r="B4512" s="34" t="s">
        <v>5141</v>
      </c>
      <c r="C4512" s="33">
        <v>7</v>
      </c>
      <c r="D4512" s="18"/>
      <c r="E4512" s="17" t="s">
        <v>5134</v>
      </c>
      <c r="F4512" s="17"/>
      <c r="G4512" s="18"/>
      <c r="H4512" s="18"/>
    </row>
    <row r="4513" spans="1:8" ht="13.2">
      <c r="A4513" s="19" t="str">
        <f>HYPERLINK("https://www.hackerrank.com/challenges/cyclicquadruples","HACKR cyclicquadruples")</f>
        <v>HACKR cyclicquadruples</v>
      </c>
      <c r="B4513" s="29" t="s">
        <v>5142</v>
      </c>
      <c r="C4513" s="17">
        <v>7</v>
      </c>
      <c r="D4513" s="18"/>
      <c r="E4513" s="17" t="s">
        <v>5134</v>
      </c>
      <c r="F4513" s="17"/>
      <c r="G4513" s="18"/>
      <c r="H4513" s="18"/>
    </row>
    <row r="4514" spans="1:8" ht="13.2">
      <c r="A4514" s="15" t="s">
        <v>5143</v>
      </c>
      <c r="B4514" s="28" t="s">
        <v>5144</v>
      </c>
      <c r="C4514" s="17">
        <v>7</v>
      </c>
      <c r="D4514" s="18"/>
      <c r="E4514" s="17" t="s">
        <v>5134</v>
      </c>
      <c r="F4514" s="17"/>
      <c r="G4514" s="18"/>
      <c r="H4514" s="18"/>
    </row>
    <row r="4515" spans="1:8" ht="13.2">
      <c r="A4515" s="19" t="str">
        <f>HYPERLINK("http://codeforces.com/contest/83/problem/D","CF83-D1-D")</f>
        <v>CF83-D1-D</v>
      </c>
      <c r="B4515" s="29" t="s">
        <v>5145</v>
      </c>
      <c r="C4515" s="17">
        <v>7</v>
      </c>
      <c r="D4515" s="18"/>
      <c r="E4515" s="17" t="s">
        <v>5134</v>
      </c>
      <c r="F4515" s="17"/>
      <c r="G4515" s="18"/>
      <c r="H4515" s="18"/>
    </row>
    <row r="4516" spans="1:8" ht="13.2">
      <c r="A4516" s="19" t="str">
        <f>HYPERLINK("http://codeforces.com/contest/451/problem/E","CF451-D2-E")</f>
        <v>CF451-D2-E</v>
      </c>
      <c r="B4516" s="29" t="s">
        <v>5146</v>
      </c>
      <c r="C4516" s="17">
        <v>6.75</v>
      </c>
      <c r="D4516" s="18"/>
      <c r="E4516" s="17" t="s">
        <v>5134</v>
      </c>
      <c r="F4516" s="17" t="s">
        <v>154</v>
      </c>
      <c r="G4516" s="18"/>
      <c r="H4516" s="18"/>
    </row>
    <row r="4517" spans="1:8" ht="13.2">
      <c r="A4517" s="19" t="str">
        <f>HYPERLINK("http://codeforces.com/contest/1036/problem/F","CF1036-D2-F")</f>
        <v>CF1036-D2-F</v>
      </c>
      <c r="B4517" s="20" t="s">
        <v>5147</v>
      </c>
      <c r="C4517" s="21">
        <v>6.75</v>
      </c>
      <c r="D4517" s="18"/>
      <c r="E4517" s="17" t="s">
        <v>5134</v>
      </c>
      <c r="F4517" s="17" t="s">
        <v>201</v>
      </c>
      <c r="G4517" s="18"/>
      <c r="H4517" s="18"/>
    </row>
    <row r="4518" spans="1:8" ht="13.2">
      <c r="A4518" s="15" t="s">
        <v>5148</v>
      </c>
      <c r="B4518" s="39" t="s">
        <v>5139</v>
      </c>
      <c r="C4518" s="17">
        <v>6.5</v>
      </c>
      <c r="D4518" s="26" t="str">
        <f>HYPERLINK("https://github.com/mostafa-saad/MyCompetitiveProgramming/blob/master/Timus/TIMUS_1675.txt","Sol")</f>
        <v>Sol</v>
      </c>
      <c r="E4518" s="17" t="s">
        <v>5134</v>
      </c>
      <c r="F4518" s="17" t="s">
        <v>139</v>
      </c>
      <c r="G4518" s="18"/>
      <c r="H4518" s="18"/>
    </row>
    <row r="4519" spans="1:8" ht="13.2">
      <c r="A4519" s="19" t="str">
        <f>HYPERLINK("http://codeforces.com/contest/439/problem/E","CF439-D2-E")</f>
        <v>CF439-D2-E</v>
      </c>
      <c r="B4519" s="18" t="s">
        <v>5149</v>
      </c>
      <c r="C4519" s="24">
        <v>6.5</v>
      </c>
      <c r="D4519" s="26" t="str">
        <f>HYPERLINK("https://github.com/osamahatem/CompetitiveProgramming/blob/master/Codeforces/439E.%20Devu%20and%20Birthday%20Celebration.cpp","Sol. Read Editorial.")</f>
        <v>Sol. Read Editorial.</v>
      </c>
      <c r="E4519" s="17" t="s">
        <v>5134</v>
      </c>
      <c r="F4519" s="17" t="s">
        <v>139</v>
      </c>
      <c r="G4519" s="18"/>
      <c r="H4519" s="18"/>
    </row>
    <row r="4520" spans="1:8" ht="13.2">
      <c r="A4520" s="19" t="str">
        <f>HYPERLINK("http://codeforces.com/contest/1008/problem/D", "CF1008-D2-D")</f>
        <v>CF1008-D2-D</v>
      </c>
      <c r="B4520" s="15" t="s">
        <v>5150</v>
      </c>
      <c r="C4520" s="17">
        <v>6.5</v>
      </c>
      <c r="D4520" s="18"/>
      <c r="E4520" s="17" t="s">
        <v>5134</v>
      </c>
      <c r="F4520" s="17" t="s">
        <v>139</v>
      </c>
      <c r="G4520" s="18"/>
      <c r="H4520" s="18"/>
    </row>
    <row r="4521" spans="1:8" ht="13.2">
      <c r="A4521" s="19" t="str">
        <f>HYPERLINK("https://codeforces.com/contest/1096/problem/E","CF1096-D12-E")</f>
        <v>CF1096-D12-E</v>
      </c>
      <c r="B4521" s="15" t="s">
        <v>5139</v>
      </c>
      <c r="C4521" s="17">
        <v>6.5</v>
      </c>
      <c r="D4521" s="18"/>
      <c r="E4521" s="17" t="s">
        <v>5134</v>
      </c>
      <c r="F4521" s="17"/>
      <c r="G4521" s="18"/>
      <c r="H4521" s="18"/>
    </row>
    <row r="4522" spans="1:8" ht="13.2">
      <c r="A4522" s="19" t="str">
        <f>HYPERLINK("https://codeforces.com/gym/101992/problem/D","CF101992-GYM-D")</f>
        <v>CF101992-GYM-D</v>
      </c>
      <c r="B4522" s="15" t="s">
        <v>5151</v>
      </c>
      <c r="C4522" s="17">
        <v>6.3</v>
      </c>
      <c r="D4522" s="26" t="str">
        <f>HYPERLINK("https://ideone.com/bDMQGD","Sol")</f>
        <v>Sol</v>
      </c>
      <c r="E4522" s="17" t="s">
        <v>5134</v>
      </c>
      <c r="F4522" s="17" t="s">
        <v>154</v>
      </c>
      <c r="G4522" s="18"/>
      <c r="H4522" s="18"/>
    </row>
    <row r="4523" spans="1:8" ht="13.2">
      <c r="A4523" s="19" t="str">
        <f>HYPERLINK("http://codeforces.com/contest/839/problem/D","CF839-D2-D")</f>
        <v>CF839-D2-D</v>
      </c>
      <c r="B4523" s="18" t="s">
        <v>5152</v>
      </c>
      <c r="C4523" s="17">
        <v>6.25</v>
      </c>
      <c r="D4523" s="26" t="str">
        <f>HYPERLINK("https://github.com/amrayman88/CompetitiveProgramming/blob/master/CodeForces/CF428-D2-D.cpp","Sol")</f>
        <v>Sol</v>
      </c>
      <c r="E4523" s="17" t="s">
        <v>5134</v>
      </c>
      <c r="F4523" s="17" t="s">
        <v>154</v>
      </c>
      <c r="G4523" s="18"/>
      <c r="H4523" s="18"/>
    </row>
    <row r="4524" spans="1:8" ht="13.2">
      <c r="A4524" s="15" t="s">
        <v>5153</v>
      </c>
      <c r="B4524" s="28" t="s">
        <v>5154</v>
      </c>
      <c r="C4524" s="24">
        <v>6</v>
      </c>
      <c r="D4524" s="26" t="str">
        <f>HYPERLINK("https://github.com/mostafa-saad/MyCompetitiveProgramming/blob/master/SPOJ/SPOJ_MSKYCODE.txt","Sol")</f>
        <v>Sol</v>
      </c>
      <c r="E4524" s="24" t="s">
        <v>5134</v>
      </c>
      <c r="F4524" s="17" t="s">
        <v>154</v>
      </c>
      <c r="G4524" s="18"/>
      <c r="H4524" s="18"/>
    </row>
    <row r="4525" spans="1:8" ht="13.2">
      <c r="A4525" s="19" t="str">
        <f>HYPERLINK("http://codeforces.com/problemset/problem/547/C","CF547-D1-C")</f>
        <v>CF547-D1-C</v>
      </c>
      <c r="B4525" s="20" t="s">
        <v>5155</v>
      </c>
      <c r="C4525" s="17">
        <v>6</v>
      </c>
      <c r="D4525" s="18"/>
      <c r="E4525" s="17" t="s">
        <v>5134</v>
      </c>
      <c r="F4525" s="17"/>
      <c r="G4525" s="18"/>
      <c r="H4525" s="18"/>
    </row>
    <row r="4526" spans="1:8" ht="13.2">
      <c r="A4526" s="19" t="str">
        <f>HYPERLINK("https://www.hackerrank.com/contests/university-codesprint-5/challenges/cube-loving-numbers","HACKR cube-loving-numbers")</f>
        <v>HACKR cube-loving-numbers</v>
      </c>
      <c r="B4526" s="20" t="s">
        <v>5156</v>
      </c>
      <c r="C4526" s="21">
        <v>6</v>
      </c>
      <c r="D4526" s="18"/>
      <c r="E4526" s="17" t="s">
        <v>5134</v>
      </c>
      <c r="F4526" s="17"/>
      <c r="G4526" s="18"/>
      <c r="H4526" s="18"/>
    </row>
    <row r="4527" spans="1:8" ht="13.2">
      <c r="A4527" s="19" t="str">
        <f>HYPERLINK("https://www.hackerrank.com/challenges/mehta-and-the-typical-supermarket","HACKR mehta-and-the-typical-supermarket")</f>
        <v>HACKR mehta-and-the-typical-supermarket</v>
      </c>
      <c r="B4527" s="29" t="s">
        <v>5157</v>
      </c>
      <c r="C4527" s="17">
        <v>5.75</v>
      </c>
      <c r="D4527" s="26" t="str">
        <f>HYPERLINK("https://github.com/Huvok/CompetitiveProgramming/blob/master/Hackerrank/HACKR%20mehta-and-the-typical-supermarket.cpp", "Sol")</f>
        <v>Sol</v>
      </c>
      <c r="E4527" s="17" t="s">
        <v>5134</v>
      </c>
      <c r="F4527" s="17" t="s">
        <v>154</v>
      </c>
      <c r="G4527" s="18"/>
      <c r="H4527" s="18"/>
    </row>
    <row r="4528" spans="1:8" ht="13.2">
      <c r="A4528" s="19" t="str">
        <f>HYPERLINK("http://codeforces.com/contest/372/problem/B","CF372-D1-B")</f>
        <v>CF372-D1-B</v>
      </c>
      <c r="B4528" s="28" t="s">
        <v>5158</v>
      </c>
      <c r="C4528" s="17">
        <v>5.75</v>
      </c>
      <c r="D4528" s="18"/>
      <c r="E4528" s="17" t="s">
        <v>5134</v>
      </c>
      <c r="F4528" s="17" t="s">
        <v>139</v>
      </c>
      <c r="G4528" s="18"/>
      <c r="H4528" s="18"/>
    </row>
    <row r="4529" spans="1:8" ht="13.2">
      <c r="A4529" s="15" t="s">
        <v>5159</v>
      </c>
      <c r="B4529" s="30" t="s">
        <v>5160</v>
      </c>
      <c r="C4529" s="24">
        <v>5</v>
      </c>
      <c r="D4529" s="18"/>
      <c r="E4529" s="17" t="s">
        <v>5134</v>
      </c>
      <c r="F4529" s="17"/>
      <c r="G4529" s="18"/>
      <c r="H4529" s="18"/>
    </row>
    <row r="4530" spans="1:8" ht="13.2">
      <c r="A4530" s="19" t="str">
        <f>HYPERLINK("https://codeforces.com/gym/101933/problem/K","CF101933-GYM-K")</f>
        <v>CF101933-GYM-K</v>
      </c>
      <c r="B4530" s="15" t="s">
        <v>5139</v>
      </c>
      <c r="C4530" s="17">
        <v>4</v>
      </c>
      <c r="D4530" s="26" t="str">
        <f>HYPERLINK("https://github.com/pranavjangir/CompetitiveProgramming/blob/master/CodeForces/CF101933-GYM-K.cpp","Sol")</f>
        <v>Sol</v>
      </c>
      <c r="E4530" s="17" t="s">
        <v>5134</v>
      </c>
      <c r="F4530" s="17"/>
      <c r="G4530" s="18"/>
      <c r="H4530" s="18"/>
    </row>
    <row r="4531" spans="1:8" ht="13.2">
      <c r="A4531" s="19" t="str">
        <f>HYPERLINK("http://www.spoj.com/problems/NGM2/","SPOJ NGM2")</f>
        <v>SPOJ NGM2</v>
      </c>
      <c r="B4531" s="29" t="s">
        <v>5139</v>
      </c>
      <c r="C4531" s="17">
        <v>3.5</v>
      </c>
      <c r="D4531" s="18"/>
      <c r="E4531" s="17" t="s">
        <v>5134</v>
      </c>
      <c r="F4531" s="17"/>
      <c r="G4531" s="18"/>
      <c r="H4531" s="18"/>
    </row>
    <row r="4532" spans="1:8" ht="13.2">
      <c r="A4532" s="19" t="str">
        <f>HYPERLINK("https://uva.onlinejudge.org/index.php?option=onlinejudge&amp;page=show_problem&amp;problem=1266","UVA 10325")</f>
        <v>UVA 10325</v>
      </c>
      <c r="B4532" s="29" t="s">
        <v>5161</v>
      </c>
      <c r="C4532" s="17">
        <v>3.5</v>
      </c>
      <c r="D4532" s="26" t="str">
        <f>HYPERLINK("https://github.com/ilyesG/Competitive-Programming/blob/master/UVA/UVA%2010325.cpp","Sol")</f>
        <v>Sol</v>
      </c>
      <c r="E4532" s="17" t="s">
        <v>5134</v>
      </c>
      <c r="F4532" s="17"/>
      <c r="G4532" s="18"/>
      <c r="H4532" s="18"/>
    </row>
    <row r="4533" spans="1:8" ht="13.2">
      <c r="A4533" s="15" t="s">
        <v>5162</v>
      </c>
      <c r="B4533" s="29" t="s">
        <v>5163</v>
      </c>
      <c r="C4533" s="24">
        <v>3</v>
      </c>
      <c r="D4533" s="18"/>
      <c r="E4533" s="17" t="s">
        <v>5134</v>
      </c>
      <c r="F4533" s="17" t="s">
        <v>229</v>
      </c>
      <c r="G4533" s="18"/>
      <c r="H4533" s="18"/>
    </row>
    <row r="4534" spans="1:8" ht="13.2">
      <c r="A4534" s="19" t="str">
        <f>HYPERLINK("http://codeforces.com/contest/371/problem/C","CF371-D2-C")</f>
        <v>CF371-D2-C</v>
      </c>
      <c r="B4534" s="29" t="s">
        <v>5164</v>
      </c>
      <c r="C4534" s="17">
        <v>3</v>
      </c>
      <c r="D4534" s="18"/>
      <c r="E4534" s="17" t="s">
        <v>5134</v>
      </c>
      <c r="F4534" s="17"/>
      <c r="G4534" s="18"/>
      <c r="H4534" s="18"/>
    </row>
    <row r="4535" spans="1:8" ht="13.2">
      <c r="A4535" s="15" t="s">
        <v>5165</v>
      </c>
      <c r="B4535" s="37" t="s">
        <v>5139</v>
      </c>
      <c r="C4535" s="24">
        <v>2</v>
      </c>
      <c r="D4535" s="18"/>
      <c r="E4535" s="17" t="s">
        <v>5134</v>
      </c>
      <c r="F4535" s="17"/>
      <c r="G4535" s="18"/>
      <c r="H4535" s="18"/>
    </row>
    <row r="4536" spans="1:8" ht="13.2">
      <c r="A4536" s="15" t="s">
        <v>5166</v>
      </c>
      <c r="B4536" s="30" t="s">
        <v>5167</v>
      </c>
      <c r="C4536" s="24">
        <v>7.25</v>
      </c>
      <c r="D4536" s="18"/>
      <c r="E4536" s="17" t="s">
        <v>5168</v>
      </c>
      <c r="F4536" s="17"/>
      <c r="G4536" s="18"/>
      <c r="H4536" s="18"/>
    </row>
    <row r="4537" spans="1:8" ht="13.2">
      <c r="A4537" s="15" t="s">
        <v>5169</v>
      </c>
      <c r="B4537" s="30" t="s">
        <v>5170</v>
      </c>
      <c r="C4537" s="24">
        <v>7.25</v>
      </c>
      <c r="D4537" s="18"/>
      <c r="E4537" s="17" t="s">
        <v>5168</v>
      </c>
      <c r="F4537" s="17"/>
      <c r="G4537" s="18"/>
      <c r="H4537" s="18"/>
    </row>
    <row r="4538" spans="1:8" ht="13.2">
      <c r="A4538" s="19" t="str">
        <f>HYPERLINK("https://icpcarchive.ecs.baylor.edu/index.php?option=com_onlinejudge&amp;Itemid=8&amp;category=683&amp;page=show_problem&amp;problem=5245","LIVEARCHIVE 7233")</f>
        <v>LIVEARCHIVE 7233</v>
      </c>
      <c r="B4538" s="20" t="s">
        <v>5171</v>
      </c>
      <c r="C4538" s="17">
        <v>7.1</v>
      </c>
      <c r="D4538" s="26" t="str">
        <f>HYPERLINK("https://github.com/nya-nya-meow/CompetitiveProgramming/blob/master/LiveArchive/2015%20ACM-ICPC%20Daejeon%20Regional/7233%20-%20H%20-%20Polynomial.cpp","Sol")</f>
        <v>Sol</v>
      </c>
      <c r="E4538" s="17" t="s">
        <v>5168</v>
      </c>
      <c r="F4538" s="17"/>
      <c r="G4538" s="18"/>
      <c r="H4538" s="18"/>
    </row>
    <row r="4539" spans="1:8" ht="13.2">
      <c r="A4539" s="15" t="s">
        <v>5172</v>
      </c>
      <c r="B4539" s="29" t="s">
        <v>5173</v>
      </c>
      <c r="C4539" s="17">
        <v>7</v>
      </c>
      <c r="D4539" s="18"/>
      <c r="E4539" s="17" t="s">
        <v>5168</v>
      </c>
      <c r="F4539" s="17"/>
      <c r="G4539" s="18"/>
      <c r="H4539" s="18"/>
    </row>
    <row r="4540" spans="1:8" ht="13.2">
      <c r="A4540" s="15" t="s">
        <v>5174</v>
      </c>
      <c r="B4540" s="28" t="s">
        <v>5175</v>
      </c>
      <c r="C4540" s="17">
        <v>7</v>
      </c>
      <c r="D4540" s="18"/>
      <c r="E4540" s="17" t="s">
        <v>5168</v>
      </c>
      <c r="F4540" s="17"/>
      <c r="G4540" s="18"/>
      <c r="H4540" s="18"/>
    </row>
    <row r="4541" spans="1:8" ht="13.2">
      <c r="A4541" s="15" t="s">
        <v>5176</v>
      </c>
      <c r="B4541" s="30" t="s">
        <v>5177</v>
      </c>
      <c r="C4541" s="24">
        <v>7</v>
      </c>
      <c r="D4541" s="18"/>
      <c r="E4541" s="17" t="s">
        <v>5168</v>
      </c>
      <c r="F4541" s="17"/>
      <c r="G4541" s="18"/>
      <c r="H4541" s="18"/>
    </row>
    <row r="4542" spans="1:8" ht="13.2">
      <c r="A4542" s="15" t="s">
        <v>5178</v>
      </c>
      <c r="B4542" s="28" t="s">
        <v>5179</v>
      </c>
      <c r="C4542" s="24">
        <v>6.75</v>
      </c>
      <c r="D4542" s="18"/>
      <c r="E4542" s="17" t="s">
        <v>5168</v>
      </c>
      <c r="F4542" s="17"/>
      <c r="G4542" s="18"/>
      <c r="H4542" s="18"/>
    </row>
    <row r="4543" spans="1:8" ht="13.2">
      <c r="A4543" s="15" t="s">
        <v>5180</v>
      </c>
      <c r="B4543" s="28" t="s">
        <v>5179</v>
      </c>
      <c r="C4543" s="24">
        <v>6.75</v>
      </c>
      <c r="D4543" s="18"/>
      <c r="E4543" s="17" t="s">
        <v>5168</v>
      </c>
      <c r="F4543" s="17"/>
      <c r="G4543" s="18"/>
      <c r="H4543" s="18"/>
    </row>
    <row r="4544" spans="1:8" ht="13.2">
      <c r="A4544" s="15" t="s">
        <v>5181</v>
      </c>
      <c r="B4544" s="28" t="s">
        <v>5182</v>
      </c>
      <c r="C4544" s="24">
        <v>6.75</v>
      </c>
      <c r="D4544" s="18"/>
      <c r="E4544" s="17" t="s">
        <v>5168</v>
      </c>
      <c r="F4544" s="17"/>
      <c r="G4544" s="18"/>
      <c r="H4544" s="18"/>
    </row>
    <row r="4545" spans="1:8" ht="13.2">
      <c r="A4545" s="15" t="s">
        <v>5183</v>
      </c>
      <c r="B4545" s="29" t="s">
        <v>5184</v>
      </c>
      <c r="C4545" s="24">
        <v>6.75</v>
      </c>
      <c r="D4545" s="18"/>
      <c r="E4545" s="17" t="s">
        <v>5168</v>
      </c>
      <c r="F4545" s="17"/>
      <c r="G4545" s="18"/>
      <c r="H4545" s="18"/>
    </row>
    <row r="4546" spans="1:8" ht="13.2">
      <c r="A4546" s="15" t="s">
        <v>5185</v>
      </c>
      <c r="B4546" s="29" t="s">
        <v>5186</v>
      </c>
      <c r="C4546" s="24">
        <v>6.75</v>
      </c>
      <c r="D4546" s="18"/>
      <c r="E4546" s="17" t="s">
        <v>5168</v>
      </c>
      <c r="F4546" s="17"/>
      <c r="G4546" s="18"/>
      <c r="H4546" s="18"/>
    </row>
    <row r="4547" spans="1:8" ht="13.2">
      <c r="A4547" s="15" t="s">
        <v>5187</v>
      </c>
      <c r="B4547" s="29" t="s">
        <v>5188</v>
      </c>
      <c r="C4547" s="24">
        <v>6.75</v>
      </c>
      <c r="D4547" s="18"/>
      <c r="E4547" s="17" t="s">
        <v>5168</v>
      </c>
      <c r="F4547" s="17"/>
      <c r="G4547" s="18"/>
      <c r="H4547" s="18"/>
    </row>
    <row r="4548" spans="1:8" ht="13.2">
      <c r="A4548" s="15" t="s">
        <v>5189</v>
      </c>
      <c r="B4548" s="28" t="s">
        <v>5179</v>
      </c>
      <c r="C4548" s="24">
        <v>6.5</v>
      </c>
      <c r="D4548" s="18"/>
      <c r="E4548" s="17" t="s">
        <v>5168</v>
      </c>
      <c r="F4548" s="17"/>
      <c r="G4548" s="18"/>
      <c r="H4548" s="18"/>
    </row>
    <row r="4549" spans="1:8" ht="13.2">
      <c r="A4549" s="15" t="s">
        <v>5190</v>
      </c>
      <c r="B4549" s="43" t="s">
        <v>5191</v>
      </c>
      <c r="C4549" s="24">
        <v>6.5</v>
      </c>
      <c r="D4549" s="18"/>
      <c r="E4549" s="17" t="s">
        <v>5168</v>
      </c>
      <c r="F4549" s="17"/>
      <c r="G4549" s="18"/>
      <c r="H4549" s="18"/>
    </row>
    <row r="4550" spans="1:8" ht="13.2">
      <c r="A4550" s="15" t="s">
        <v>5192</v>
      </c>
      <c r="B4550" s="29" t="s">
        <v>5193</v>
      </c>
      <c r="C4550" s="24">
        <v>6.25</v>
      </c>
      <c r="D4550" s="18"/>
      <c r="E4550" s="17" t="s">
        <v>5168</v>
      </c>
      <c r="F4550" s="17" t="s">
        <v>201</v>
      </c>
      <c r="G4550" s="18"/>
      <c r="H4550" s="18"/>
    </row>
    <row r="4551" spans="1:8" ht="13.2">
      <c r="A4551" s="15" t="s">
        <v>5194</v>
      </c>
      <c r="B4551" s="28" t="s">
        <v>5179</v>
      </c>
      <c r="C4551" s="24">
        <v>6.25</v>
      </c>
      <c r="D4551" s="18"/>
      <c r="E4551" s="17" t="s">
        <v>5168</v>
      </c>
      <c r="F4551" s="17"/>
      <c r="G4551" s="18"/>
      <c r="H4551" s="18"/>
    </row>
    <row r="4552" spans="1:8" ht="13.2">
      <c r="A4552" s="15" t="s">
        <v>5195</v>
      </c>
      <c r="B4552" s="28" t="s">
        <v>5179</v>
      </c>
      <c r="C4552" s="24">
        <v>6.25</v>
      </c>
      <c r="D4552" s="18"/>
      <c r="E4552" s="17" t="s">
        <v>5168</v>
      </c>
      <c r="F4552" s="17"/>
      <c r="G4552" s="18"/>
      <c r="H4552" s="18"/>
    </row>
    <row r="4553" spans="1:8" ht="13.2">
      <c r="A4553" s="15" t="s">
        <v>5196</v>
      </c>
      <c r="B4553" s="28" t="s">
        <v>5197</v>
      </c>
      <c r="C4553" s="24">
        <v>6.25</v>
      </c>
      <c r="D4553" s="18"/>
      <c r="E4553" s="17" t="s">
        <v>5168</v>
      </c>
      <c r="F4553" s="17"/>
      <c r="G4553" s="18"/>
      <c r="H4553" s="18"/>
    </row>
    <row r="4554" spans="1:8" ht="13.2">
      <c r="A4554" s="15" t="s">
        <v>5198</v>
      </c>
      <c r="B4554" s="28" t="s">
        <v>5199</v>
      </c>
      <c r="C4554" s="24">
        <v>6.25</v>
      </c>
      <c r="D4554" s="18"/>
      <c r="E4554" s="17" t="s">
        <v>5168</v>
      </c>
      <c r="F4554" s="17"/>
      <c r="G4554" s="18"/>
      <c r="H4554" s="18"/>
    </row>
    <row r="4555" spans="1:8" ht="13.2">
      <c r="A4555" s="19" t="str">
        <f>HYPERLINK("http://acm.timus.ru/problem.aspx?space=1&amp;num=1619","TIMUS 1619")</f>
        <v>TIMUS 1619</v>
      </c>
      <c r="B4555" s="28" t="s">
        <v>5200</v>
      </c>
      <c r="C4555" s="17">
        <v>6</v>
      </c>
      <c r="D4555" s="26" t="str">
        <f>HYPERLINK("https://github.com/pranavjangir/CompetitiveProgramming/blob/master/Timus/TIMUS%201619.cpp","Sol")</f>
        <v>Sol</v>
      </c>
      <c r="E4555" s="17" t="s">
        <v>5168</v>
      </c>
      <c r="F4555" s="17"/>
      <c r="G4555" s="18"/>
      <c r="H4555" s="18"/>
    </row>
    <row r="4556" spans="1:8" ht="13.2">
      <c r="A4556" s="15" t="s">
        <v>5201</v>
      </c>
      <c r="B4556" s="34" t="s">
        <v>5202</v>
      </c>
      <c r="C4556" s="17">
        <v>6</v>
      </c>
      <c r="D4556" s="18"/>
      <c r="E4556" s="17" t="s">
        <v>5168</v>
      </c>
      <c r="F4556" s="17"/>
      <c r="G4556" s="18"/>
      <c r="H4556" s="18"/>
    </row>
    <row r="4557" spans="1:8" ht="13.2">
      <c r="A4557" s="15" t="s">
        <v>5203</v>
      </c>
      <c r="B4557" s="28" t="s">
        <v>5204</v>
      </c>
      <c r="C4557" s="24">
        <v>5</v>
      </c>
      <c r="D4557" s="18"/>
      <c r="E4557" s="17" t="s">
        <v>5168</v>
      </c>
      <c r="F4557" s="17" t="s">
        <v>139</v>
      </c>
      <c r="G4557" s="18"/>
      <c r="H4557" s="18"/>
    </row>
    <row r="4558" spans="1:8" ht="13.2">
      <c r="A4558" s="15" t="s">
        <v>5205</v>
      </c>
      <c r="B4558" s="18" t="s">
        <v>5206</v>
      </c>
      <c r="C4558" s="17">
        <v>5</v>
      </c>
      <c r="D4558" s="18"/>
      <c r="E4558" s="17" t="s">
        <v>5168</v>
      </c>
      <c r="F4558" s="17"/>
      <c r="G4558" s="18"/>
      <c r="H4558" s="18"/>
    </row>
    <row r="4559" spans="1:8" ht="13.2">
      <c r="A4559" s="15" t="s">
        <v>5207</v>
      </c>
      <c r="B4559" s="28" t="s">
        <v>5208</v>
      </c>
      <c r="C4559" s="24">
        <v>5</v>
      </c>
      <c r="D4559" s="18"/>
      <c r="E4559" s="17" t="s">
        <v>5168</v>
      </c>
      <c r="F4559" s="17"/>
      <c r="G4559" s="18"/>
      <c r="H4559" s="18"/>
    </row>
    <row r="4560" spans="1:8" ht="13.2">
      <c r="A4560" s="15" t="s">
        <v>5209</v>
      </c>
      <c r="B4560" s="28" t="s">
        <v>5210</v>
      </c>
      <c r="C4560" s="24">
        <v>5</v>
      </c>
      <c r="D4560" s="26" t="str">
        <f>HYPERLINK("https://github.com/thackerhelik/UVA/blob/master/10859.cpp","Sol")</f>
        <v>Sol</v>
      </c>
      <c r="E4560" s="24" t="s">
        <v>5168</v>
      </c>
      <c r="F4560" s="17"/>
      <c r="G4560" s="18"/>
      <c r="H4560" s="18"/>
    </row>
    <row r="4561" spans="1:8" ht="13.2">
      <c r="A4561" s="15" t="s">
        <v>5211</v>
      </c>
      <c r="B4561" s="28" t="s">
        <v>5179</v>
      </c>
      <c r="C4561" s="24">
        <v>4</v>
      </c>
      <c r="D4561" s="18"/>
      <c r="E4561" s="17" t="s">
        <v>5168</v>
      </c>
      <c r="F4561" s="17"/>
      <c r="G4561" s="18"/>
      <c r="H4561" s="18"/>
    </row>
    <row r="4562" spans="1:8" ht="13.2">
      <c r="A4562" s="15" t="s">
        <v>5212</v>
      </c>
      <c r="B4562" s="18" t="s">
        <v>5213</v>
      </c>
      <c r="C4562" s="17">
        <v>4</v>
      </c>
      <c r="D4562" s="18"/>
      <c r="E4562" s="17" t="s">
        <v>5168</v>
      </c>
      <c r="F4562" s="17"/>
      <c r="G4562" s="18"/>
      <c r="H4562" s="18"/>
    </row>
    <row r="4563" spans="1:8" ht="13.2">
      <c r="A4563" s="19" t="str">
        <f>HYPERLINK("https://uva.onlinejudge.org/index.php?option=onlinejudge&amp;page=show_problem&amp;problem=1450","UVA 10509")</f>
        <v>UVA 10509</v>
      </c>
      <c r="B4563" s="29" t="s">
        <v>5214</v>
      </c>
      <c r="C4563" s="17">
        <v>3.5</v>
      </c>
      <c r="D4563" s="18"/>
      <c r="E4563" s="17" t="s">
        <v>5168</v>
      </c>
      <c r="F4563" s="17"/>
      <c r="G4563" s="18"/>
      <c r="H4563" s="18"/>
    </row>
    <row r="4564" spans="1:8" ht="13.2">
      <c r="A4564" s="15" t="s">
        <v>5215</v>
      </c>
      <c r="B4564" s="28" t="s">
        <v>5216</v>
      </c>
      <c r="C4564" s="17">
        <v>3.5</v>
      </c>
      <c r="D4564" s="18"/>
      <c r="E4564" s="17" t="s">
        <v>5168</v>
      </c>
      <c r="F4564" s="17"/>
      <c r="G4564" s="18"/>
      <c r="H4564" s="18"/>
    </row>
    <row r="4565" spans="1:8" ht="13.2">
      <c r="A4565" s="19" t="str">
        <f>HYPERLINK("https://uva.onlinejudge.org/index.php?option=com_onlinejudge&amp;Itemid=8&amp;page=show_problem&amp;problem=439","UVA 498")</f>
        <v>UVA 498</v>
      </c>
      <c r="B4565" s="29" t="s">
        <v>5216</v>
      </c>
      <c r="C4565" s="17">
        <v>3.5</v>
      </c>
      <c r="D4565" s="18"/>
      <c r="E4565" s="17" t="s">
        <v>5168</v>
      </c>
      <c r="F4565" s="17"/>
      <c r="G4565" s="18"/>
      <c r="H4565" s="18"/>
    </row>
    <row r="4566" spans="1:8" ht="13.2">
      <c r="A4566" s="19" t="str">
        <f>HYPERLINK("https://uva.onlinejudge.org/index.php?option=onlinejudge&amp;page=show_problem&amp;problem=1243","UVA 10302")</f>
        <v>UVA 10302</v>
      </c>
      <c r="B4566" s="29" t="s">
        <v>5216</v>
      </c>
      <c r="C4566" s="17">
        <v>3</v>
      </c>
      <c r="D4566" s="18"/>
      <c r="E4566" s="17" t="s">
        <v>5168</v>
      </c>
      <c r="F4566" s="17" t="s">
        <v>201</v>
      </c>
      <c r="G4566" s="18"/>
      <c r="H4566" s="18"/>
    </row>
    <row r="4567" spans="1:8" ht="13.2">
      <c r="A4567" s="19" t="str">
        <f>HYPERLINK("https://www.hackerrank.com/contests/infinitum18/challenges/tower-3-coloring","HACKR tower-3-coloring")</f>
        <v>HACKR tower-3-coloring</v>
      </c>
      <c r="B4567" s="29" t="s">
        <v>5217</v>
      </c>
      <c r="C4567" s="17">
        <v>3</v>
      </c>
      <c r="D4567" s="18"/>
      <c r="E4567" s="17" t="s">
        <v>5168</v>
      </c>
      <c r="F4567" s="17" t="s">
        <v>242</v>
      </c>
      <c r="G4567" s="18"/>
      <c r="H4567" s="18"/>
    </row>
    <row r="4568" spans="1:8" ht="13.2">
      <c r="A4568" s="15" t="s">
        <v>5218</v>
      </c>
      <c r="B4568" s="28" t="s">
        <v>5179</v>
      </c>
      <c r="C4568" s="24">
        <v>3</v>
      </c>
      <c r="D4568" s="18"/>
      <c r="E4568" s="17" t="s">
        <v>5168</v>
      </c>
      <c r="F4568" s="17"/>
      <c r="G4568" s="18"/>
      <c r="H4568" s="18"/>
    </row>
    <row r="4569" spans="1:8" ht="13.2">
      <c r="A4569" s="15" t="s">
        <v>5219</v>
      </c>
      <c r="B4569" s="30" t="s">
        <v>5179</v>
      </c>
      <c r="C4569" s="24">
        <v>3</v>
      </c>
      <c r="D4569" s="18"/>
      <c r="E4569" s="17" t="s">
        <v>5168</v>
      </c>
      <c r="F4569" s="17"/>
      <c r="G4569" s="18"/>
      <c r="H4569" s="18"/>
    </row>
    <row r="4570" spans="1:8" ht="13.2">
      <c r="A4570" s="15" t="s">
        <v>5220</v>
      </c>
      <c r="B4570" s="28" t="s">
        <v>5213</v>
      </c>
      <c r="C4570" s="17">
        <v>3</v>
      </c>
      <c r="D4570" s="18"/>
      <c r="E4570" s="17" t="s">
        <v>5168</v>
      </c>
      <c r="F4570" s="17"/>
      <c r="G4570" s="18"/>
      <c r="H4570" s="18"/>
    </row>
    <row r="4571" spans="1:8" ht="13.2">
      <c r="A4571" s="15" t="s">
        <v>5221</v>
      </c>
      <c r="B4571" s="28" t="s">
        <v>5213</v>
      </c>
      <c r="C4571" s="17">
        <v>3</v>
      </c>
      <c r="D4571" s="18"/>
      <c r="E4571" s="17" t="s">
        <v>5168</v>
      </c>
      <c r="F4571" s="17"/>
      <c r="G4571" s="18"/>
      <c r="H4571" s="18"/>
    </row>
    <row r="4572" spans="1:8" ht="13.2">
      <c r="A4572" s="15" t="s">
        <v>5222</v>
      </c>
      <c r="B4572" s="43" t="s">
        <v>5223</v>
      </c>
      <c r="C4572" s="24">
        <v>3</v>
      </c>
      <c r="D4572" s="18"/>
      <c r="E4572" s="17" t="s">
        <v>5168</v>
      </c>
      <c r="F4572" s="17"/>
      <c r="G4572" s="18"/>
      <c r="H4572" s="18"/>
    </row>
    <row r="4573" spans="1:8" ht="13.2">
      <c r="A4573" s="15" t="s">
        <v>5224</v>
      </c>
      <c r="B4573" s="28" t="s">
        <v>5225</v>
      </c>
      <c r="C4573" s="17">
        <v>3</v>
      </c>
      <c r="D4573" s="18"/>
      <c r="E4573" s="17" t="s">
        <v>5168</v>
      </c>
      <c r="F4573" s="17"/>
      <c r="G4573" s="18"/>
      <c r="H4573" s="18"/>
    </row>
    <row r="4574" spans="1:8" ht="13.2">
      <c r="A4574" s="15" t="s">
        <v>5226</v>
      </c>
      <c r="B4574" s="28" t="s">
        <v>5227</v>
      </c>
      <c r="C4574" s="17">
        <v>3</v>
      </c>
      <c r="D4574" s="18"/>
      <c r="E4574" s="17" t="s">
        <v>5168</v>
      </c>
      <c r="F4574" s="17"/>
      <c r="G4574" s="18"/>
      <c r="H4574" s="18"/>
    </row>
    <row r="4575" spans="1:8" ht="13.2">
      <c r="A4575" s="19" t="str">
        <f>HYPERLINK("https://uva.onlinejudge.org/index.php?option=com_onlinejudge&amp;Itemid=8&amp;page=show_problem&amp;problem=1209","UVA 10268")</f>
        <v>UVA 10268</v>
      </c>
      <c r="B4575" s="28" t="s">
        <v>5216</v>
      </c>
      <c r="C4575" s="17">
        <v>3</v>
      </c>
      <c r="D4575" s="18"/>
      <c r="E4575" s="17" t="s">
        <v>5168</v>
      </c>
      <c r="F4575" s="17"/>
      <c r="G4575" s="18"/>
      <c r="H4575" s="18"/>
    </row>
    <row r="4576" spans="1:8" ht="13.2">
      <c r="A4576" s="15" t="s">
        <v>5228</v>
      </c>
      <c r="B4576" s="28" t="s">
        <v>5229</v>
      </c>
      <c r="C4576" s="24">
        <v>3</v>
      </c>
      <c r="D4576" s="18"/>
      <c r="E4576" s="17" t="s">
        <v>5168</v>
      </c>
      <c r="F4576" s="17"/>
      <c r="G4576" s="18"/>
      <c r="H4576" s="18"/>
    </row>
    <row r="4577" spans="1:8" ht="13.2">
      <c r="A4577" s="15" t="s">
        <v>5230</v>
      </c>
      <c r="B4577" s="29" t="s">
        <v>5231</v>
      </c>
      <c r="C4577" s="17">
        <v>2</v>
      </c>
      <c r="D4577" s="26" t="str">
        <f>HYPERLINK("http://xoptutorials.com/index.php/2017/01/01/timus1349/","Learn Fermat’s Last Theorem")</f>
        <v>Learn Fermat’s Last Theorem</v>
      </c>
      <c r="E4577" s="17" t="s">
        <v>5168</v>
      </c>
      <c r="F4577" s="17" t="s">
        <v>201</v>
      </c>
      <c r="G4577" s="18"/>
      <c r="H4577" s="18"/>
    </row>
    <row r="4578" spans="1:8" ht="13.2">
      <c r="A4578" s="19" t="str">
        <f>HYPERLINK("https://uva.onlinejudge.org/index.php?option=com_onlinejudge&amp;Itemid=8&amp;page=show_problem&amp;problem=1724","UVA 10783")</f>
        <v>UVA 10783</v>
      </c>
      <c r="B4578" s="29" t="s">
        <v>5214</v>
      </c>
      <c r="C4578" s="17">
        <v>2</v>
      </c>
      <c r="D4578" s="18"/>
      <c r="E4578" s="17" t="s">
        <v>5168</v>
      </c>
      <c r="F4578" s="17"/>
      <c r="G4578" s="18"/>
      <c r="H4578" s="18"/>
    </row>
    <row r="4579" spans="1:8" ht="13.2">
      <c r="A4579" s="15" t="s">
        <v>5232</v>
      </c>
      <c r="B4579" s="28" t="s">
        <v>5233</v>
      </c>
      <c r="C4579" s="24">
        <v>2</v>
      </c>
      <c r="D4579" s="18"/>
      <c r="E4579" s="17" t="s">
        <v>5168</v>
      </c>
      <c r="F4579" s="17"/>
      <c r="G4579" s="18"/>
      <c r="H4579" s="18"/>
    </row>
    <row r="4580" spans="1:8" ht="13.2">
      <c r="A4580" s="19" t="str">
        <f>HYPERLINK("https://uva.onlinejudge.org/index.php?option=onlinejudge&amp;page=show_problem&amp;problem=1753","UVA 10812")</f>
        <v>UVA 10812</v>
      </c>
      <c r="B4580" s="29" t="s">
        <v>5216</v>
      </c>
      <c r="C4580" s="17">
        <v>1</v>
      </c>
      <c r="D4580" s="18"/>
      <c r="E4580" s="17" t="s">
        <v>5168</v>
      </c>
      <c r="F4580" s="17"/>
      <c r="G4580" s="18"/>
      <c r="H4580" s="18"/>
    </row>
    <row r="4581" spans="1:8" ht="13.2">
      <c r="A4581" s="19" t="str">
        <f>HYPERLINK("http://codeforces.com/contest/200/problem/A","CF200-D2-A")</f>
        <v>CF200-D2-A</v>
      </c>
      <c r="B4581" s="15" t="s">
        <v>5234</v>
      </c>
      <c r="C4581" s="24">
        <v>6.5</v>
      </c>
      <c r="D4581" s="18"/>
      <c r="E4581" s="17" t="s">
        <v>5235</v>
      </c>
      <c r="F4581" s="17"/>
      <c r="G4581" s="18"/>
      <c r="H4581" s="18"/>
    </row>
    <row r="4582" spans="1:8" ht="13.2">
      <c r="A4582" s="19" t="str">
        <f>HYPERLINK("https://www.codechef.com/problems/INMAT", "CODECHEF INMAT")</f>
        <v>CODECHEF INMAT</v>
      </c>
      <c r="B4582" s="29" t="s">
        <v>5236</v>
      </c>
      <c r="C4582" s="21">
        <v>6.5</v>
      </c>
      <c r="D4582" s="18"/>
      <c r="E4582" s="17" t="s">
        <v>5235</v>
      </c>
      <c r="F4582" s="17"/>
      <c r="G4582" s="18"/>
      <c r="H4582" s="18"/>
    </row>
    <row r="4583" spans="1:8" ht="13.2">
      <c r="A4583" s="19" t="str">
        <f>HYPERLINK("http://codeforces.com/contest/385/problem/E","CF385-D2-E")</f>
        <v>CF385-D2-E</v>
      </c>
      <c r="B4583" s="15" t="s">
        <v>5237</v>
      </c>
      <c r="C4583" s="24">
        <v>6</v>
      </c>
      <c r="D4583" s="18"/>
      <c r="E4583" s="17" t="s">
        <v>5235</v>
      </c>
      <c r="F4583" s="17" t="s">
        <v>139</v>
      </c>
      <c r="G4583" s="18"/>
      <c r="H4583" s="18"/>
    </row>
    <row r="4584" spans="1:8" ht="13.2">
      <c r="A4584" s="15" t="s">
        <v>5238</v>
      </c>
      <c r="B4584" s="15" t="s">
        <v>5239</v>
      </c>
      <c r="C4584" s="17">
        <v>6</v>
      </c>
      <c r="D4584" s="18"/>
      <c r="E4584" s="17" t="s">
        <v>5235</v>
      </c>
      <c r="F4584" s="17" t="s">
        <v>139</v>
      </c>
      <c r="G4584" s="18"/>
      <c r="H4584" s="18"/>
    </row>
    <row r="4585" spans="1:8" ht="13.2">
      <c r="A4585" s="19" t="str">
        <f>HYPERLINK("https://www.codechef.com/FEB19B/problems/GUESSRT","CODECHEF GUESSRT")</f>
        <v>CODECHEF GUESSRT</v>
      </c>
      <c r="B4585" s="15" t="s">
        <v>5240</v>
      </c>
      <c r="C4585" s="17">
        <v>6</v>
      </c>
      <c r="D4585" s="18"/>
      <c r="E4585" s="17" t="s">
        <v>5235</v>
      </c>
      <c r="F4585" s="17" t="s">
        <v>139</v>
      </c>
      <c r="G4585" s="18"/>
      <c r="H4585" s="18"/>
    </row>
    <row r="4586" spans="1:8" ht="13.2">
      <c r="A4586" s="19" t="str">
        <f>HYPERLINK("http://www.spoj.com/problems/DCEPC12E","SPOJ DCEPC12E")</f>
        <v>SPOJ DCEPC12E</v>
      </c>
      <c r="B4586" s="29" t="s">
        <v>5234</v>
      </c>
      <c r="C4586" s="17">
        <v>4.5</v>
      </c>
      <c r="D4586" s="18"/>
      <c r="E4586" s="17" t="s">
        <v>5235</v>
      </c>
      <c r="F4586" s="17"/>
      <c r="G4586" s="18"/>
      <c r="H4586" s="18"/>
    </row>
    <row r="4587" spans="1:8" ht="13.2">
      <c r="A4587" s="19" t="str">
        <f>HYPERLINK("http://codeforces.com/contest/202/problem/C","CF202-D2-C")</f>
        <v>CF202-D2-C</v>
      </c>
      <c r="B4587" s="29" t="s">
        <v>5241</v>
      </c>
      <c r="C4587" s="17">
        <v>4</v>
      </c>
      <c r="D4587" s="18"/>
      <c r="E4587" s="17" t="s">
        <v>5235</v>
      </c>
      <c r="F4587" s="17"/>
      <c r="G4587" s="18"/>
      <c r="H4587" s="18"/>
    </row>
    <row r="4588" spans="1:8" ht="13.2">
      <c r="A4588" s="15" t="s">
        <v>5242</v>
      </c>
      <c r="B4588" s="29" t="s">
        <v>5243</v>
      </c>
      <c r="C4588" s="17">
        <v>3.5</v>
      </c>
      <c r="D4588" s="18"/>
      <c r="E4588" s="17" t="s">
        <v>5235</v>
      </c>
      <c r="F4588" s="17"/>
      <c r="G4588" s="18"/>
      <c r="H4588" s="18"/>
    </row>
    <row r="4589" spans="1:8" ht="13.2">
      <c r="A4589" s="19" t="str">
        <f>HYPERLINK("https://uva.onlinejudge.org/index.php?option=com_onlinejudge&amp;Itemid=8&amp;page=show_problem&amp;problem=407","UVA 466")</f>
        <v>UVA 466</v>
      </c>
      <c r="B4589" s="29" t="s">
        <v>5244</v>
      </c>
      <c r="C4589" s="17">
        <v>3</v>
      </c>
      <c r="D4589" s="18"/>
      <c r="E4589" s="17" t="s">
        <v>5235</v>
      </c>
      <c r="F4589" s="17" t="s">
        <v>242</v>
      </c>
      <c r="G4589" s="18"/>
      <c r="H4589" s="18"/>
    </row>
    <row r="4590" spans="1:8" ht="13.2">
      <c r="A4590" s="19" t="str">
        <f>HYPERLINK("http://codeforces.com/contest/227/problem/E","CF227-D2-E")</f>
        <v>CF227-D2-E</v>
      </c>
      <c r="B4590" s="29" t="s">
        <v>5245</v>
      </c>
      <c r="C4590" s="24">
        <v>8.5</v>
      </c>
      <c r="D4590" s="18"/>
      <c r="E4590" s="17" t="s">
        <v>5246</v>
      </c>
      <c r="F4590" s="17"/>
      <c r="G4590" s="18"/>
      <c r="H4590" s="18"/>
    </row>
    <row r="4591" spans="1:8" ht="13.2">
      <c r="A4591" s="15" t="s">
        <v>5247</v>
      </c>
      <c r="B4591" s="28" t="s">
        <v>5248</v>
      </c>
      <c r="C4591" s="17">
        <v>8</v>
      </c>
      <c r="D4591" s="18"/>
      <c r="E4591" s="17" t="s">
        <v>5246</v>
      </c>
      <c r="F4591" s="17"/>
      <c r="G4591" s="18"/>
      <c r="H4591" s="18"/>
    </row>
    <row r="4592" spans="1:8" ht="13.2">
      <c r="A4592" s="19" t="str">
        <f>HYPERLINK("https://www.hackerrank.com/challenges/towers","HACKR towers")</f>
        <v>HACKR towers</v>
      </c>
      <c r="B4592" s="29" t="s">
        <v>5249</v>
      </c>
      <c r="C4592" s="17">
        <v>7.5</v>
      </c>
      <c r="D4592" s="18"/>
      <c r="E4592" s="17" t="s">
        <v>5246</v>
      </c>
      <c r="F4592" s="17"/>
      <c r="G4592" s="18"/>
      <c r="H4592" s="18"/>
    </row>
    <row r="4593" spans="1:8" ht="13.2">
      <c r="A4593" s="15" t="s">
        <v>5250</v>
      </c>
      <c r="B4593" s="30" t="s">
        <v>5248</v>
      </c>
      <c r="C4593" s="24">
        <v>7.25</v>
      </c>
      <c r="D4593" s="18"/>
      <c r="E4593" s="17" t="s">
        <v>5246</v>
      </c>
      <c r="F4593" s="17"/>
      <c r="G4593" s="18"/>
      <c r="H4593" s="18"/>
    </row>
    <row r="4594" spans="1:8" ht="13.2">
      <c r="A4594" s="15" t="s">
        <v>5251</v>
      </c>
      <c r="B4594" s="28" t="s">
        <v>5248</v>
      </c>
      <c r="C4594" s="24">
        <v>7.25</v>
      </c>
      <c r="D4594" s="18"/>
      <c r="E4594" s="17" t="s">
        <v>5246</v>
      </c>
      <c r="F4594" s="17"/>
      <c r="G4594" s="18"/>
      <c r="H4594" s="18"/>
    </row>
    <row r="4595" spans="1:8" ht="13.2">
      <c r="A4595" s="15" t="s">
        <v>5252</v>
      </c>
      <c r="B4595" s="30" t="s">
        <v>5248</v>
      </c>
      <c r="C4595" s="24">
        <v>7.25</v>
      </c>
      <c r="D4595" s="18"/>
      <c r="E4595" s="17" t="s">
        <v>5246</v>
      </c>
      <c r="F4595" s="17"/>
      <c r="G4595" s="18"/>
      <c r="H4595" s="18"/>
    </row>
    <row r="4596" spans="1:8" ht="13.2">
      <c r="A4596" s="15" t="s">
        <v>5253</v>
      </c>
      <c r="B4596" s="30" t="s">
        <v>5254</v>
      </c>
      <c r="C4596" s="24">
        <v>7.25</v>
      </c>
      <c r="D4596" s="18"/>
      <c r="E4596" s="17" t="s">
        <v>5246</v>
      </c>
      <c r="F4596" s="17"/>
      <c r="G4596" s="18"/>
      <c r="H4596" s="18"/>
    </row>
    <row r="4597" spans="1:8" ht="13.2">
      <c r="A4597" s="19" t="str">
        <f>HYPERLINK("https://codeforces.com/problemset/problem/1106/F","CF1106-D2-F")</f>
        <v>CF1106-D2-F</v>
      </c>
      <c r="B4597" s="15" t="s">
        <v>5255</v>
      </c>
      <c r="C4597" s="17">
        <v>7</v>
      </c>
      <c r="D4597" s="18"/>
      <c r="E4597" s="17" t="s">
        <v>5246</v>
      </c>
      <c r="F4597" s="17" t="s">
        <v>139</v>
      </c>
      <c r="G4597" s="18"/>
      <c r="H4597" s="18"/>
    </row>
    <row r="4598" spans="1:8" ht="13.2">
      <c r="A4598" s="19" t="str">
        <f>HYPERLINK("http://codeforces.com/contest/593/problem/E","CF593-D2-E")</f>
        <v>CF593-D2-E</v>
      </c>
      <c r="B4598" s="15" t="s">
        <v>5248</v>
      </c>
      <c r="C4598" s="24">
        <v>7</v>
      </c>
      <c r="D4598" s="18"/>
      <c r="E4598" s="17" t="s">
        <v>5246</v>
      </c>
      <c r="F4598" s="17"/>
      <c r="G4598" s="18"/>
      <c r="H4598" s="18"/>
    </row>
    <row r="4599" spans="1:8" ht="13.2">
      <c r="A4599" s="19" t="str">
        <f>HYPERLINK("http://codeforces.com/contest/60/problem/E","CF60-D12-E")</f>
        <v>CF60-D12-E</v>
      </c>
      <c r="B4599" s="29" t="s">
        <v>5248</v>
      </c>
      <c r="C4599" s="24">
        <v>7</v>
      </c>
      <c r="D4599" s="18"/>
      <c r="E4599" s="17" t="s">
        <v>5246</v>
      </c>
      <c r="F4599" s="17"/>
      <c r="G4599" s="18"/>
      <c r="H4599" s="18"/>
    </row>
    <row r="4600" spans="1:8" ht="13.2">
      <c r="A4600" s="15" t="s">
        <v>5256</v>
      </c>
      <c r="B4600" s="28" t="s">
        <v>5248</v>
      </c>
      <c r="C4600" s="24">
        <v>7</v>
      </c>
      <c r="D4600" s="18"/>
      <c r="E4600" s="17" t="s">
        <v>5246</v>
      </c>
      <c r="F4600" s="17"/>
      <c r="G4600" s="18"/>
      <c r="H4600" s="18"/>
    </row>
    <row r="4601" spans="1:8" ht="13.2">
      <c r="A4601" s="15" t="s">
        <v>5257</v>
      </c>
      <c r="B4601" s="28" t="s">
        <v>5248</v>
      </c>
      <c r="C4601" s="17">
        <v>7</v>
      </c>
      <c r="D4601" s="18"/>
      <c r="E4601" s="17" t="s">
        <v>5246</v>
      </c>
      <c r="F4601" s="17"/>
      <c r="G4601" s="18"/>
      <c r="H4601" s="18"/>
    </row>
    <row r="4602" spans="1:8" ht="13.2">
      <c r="A4602" s="15" t="s">
        <v>5258</v>
      </c>
      <c r="B4602" s="28" t="s">
        <v>5248</v>
      </c>
      <c r="C4602" s="17">
        <v>7</v>
      </c>
      <c r="D4602" s="18"/>
      <c r="E4602" s="17" t="s">
        <v>5246</v>
      </c>
      <c r="F4602" s="17"/>
      <c r="G4602" s="18"/>
      <c r="H4602" s="18"/>
    </row>
    <row r="4603" spans="1:8" ht="13.2">
      <c r="A4603" s="15" t="s">
        <v>5259</v>
      </c>
      <c r="B4603" s="30" t="s">
        <v>5248</v>
      </c>
      <c r="C4603" s="17">
        <v>7</v>
      </c>
      <c r="D4603" s="18"/>
      <c r="E4603" s="17" t="s">
        <v>5246</v>
      </c>
      <c r="F4603" s="17"/>
      <c r="G4603" s="18"/>
      <c r="H4603" s="18"/>
    </row>
    <row r="4604" spans="1:8" ht="13.2">
      <c r="A4604" s="15" t="s">
        <v>5260</v>
      </c>
      <c r="B4604" s="30" t="s">
        <v>5248</v>
      </c>
      <c r="C4604" s="17">
        <v>7</v>
      </c>
      <c r="D4604" s="18"/>
      <c r="E4604" s="17" t="s">
        <v>5246</v>
      </c>
      <c r="F4604" s="17"/>
      <c r="G4604" s="18"/>
      <c r="H4604" s="18"/>
    </row>
    <row r="4605" spans="1:8" ht="13.2">
      <c r="A4605" s="19" t="str">
        <f>HYPERLINK("http://codeforces.com/contest/576/problem/D","CF576-D1-D")</f>
        <v>CF576-D1-D</v>
      </c>
      <c r="B4605" s="15" t="s">
        <v>5261</v>
      </c>
      <c r="C4605" s="24">
        <v>7</v>
      </c>
      <c r="D4605" s="18"/>
      <c r="E4605" s="17" t="s">
        <v>5246</v>
      </c>
      <c r="F4605" s="17"/>
      <c r="G4605" s="18"/>
      <c r="H4605" s="18"/>
    </row>
    <row r="4606" spans="1:8" ht="13.2">
      <c r="A4606" s="15" t="s">
        <v>5262</v>
      </c>
      <c r="B4606" s="28" t="s">
        <v>5263</v>
      </c>
      <c r="C4606" s="24">
        <v>7</v>
      </c>
      <c r="D4606" s="18"/>
      <c r="E4606" s="17" t="s">
        <v>5246</v>
      </c>
      <c r="F4606" s="17"/>
      <c r="G4606" s="18"/>
      <c r="H4606" s="18"/>
    </row>
    <row r="4607" spans="1:8" ht="13.2">
      <c r="A4607" s="15" t="s">
        <v>5264</v>
      </c>
      <c r="B4607" s="30" t="s">
        <v>5265</v>
      </c>
      <c r="C4607" s="17">
        <v>7</v>
      </c>
      <c r="D4607" s="18"/>
      <c r="E4607" s="17" t="s">
        <v>5246</v>
      </c>
      <c r="F4607" s="17"/>
      <c r="G4607" s="18"/>
      <c r="H4607" s="18"/>
    </row>
    <row r="4608" spans="1:8" ht="13.2">
      <c r="A4608" s="15" t="s">
        <v>5266</v>
      </c>
      <c r="B4608" s="30" t="s">
        <v>5254</v>
      </c>
      <c r="C4608" s="17">
        <v>7</v>
      </c>
      <c r="D4608" s="18"/>
      <c r="E4608" s="17" t="s">
        <v>5246</v>
      </c>
      <c r="F4608" s="17"/>
      <c r="G4608" s="18"/>
      <c r="H4608" s="18"/>
    </row>
    <row r="4609" spans="1:8" ht="13.2">
      <c r="A4609" s="19" t="str">
        <f>HYPERLINK("http://codeforces.com/contest/107/problem/D","CF107-D1-D")</f>
        <v>CF107-D1-D</v>
      </c>
      <c r="B4609" s="29" t="s">
        <v>5267</v>
      </c>
      <c r="C4609" s="17">
        <v>6.75</v>
      </c>
      <c r="D4609" s="18"/>
      <c r="E4609" s="17" t="s">
        <v>5246</v>
      </c>
      <c r="F4609" s="17"/>
      <c r="G4609" s="18"/>
      <c r="H4609" s="18"/>
    </row>
    <row r="4610" spans="1:8" ht="13.2">
      <c r="A4610" s="19" t="str">
        <f>HYPERLINK("http://codeforces.com/contest/147/problem/B","CF147-D12-B")</f>
        <v>CF147-D12-B</v>
      </c>
      <c r="B4610" s="15" t="s">
        <v>5268</v>
      </c>
      <c r="C4610" s="17">
        <v>6.5</v>
      </c>
      <c r="D4610" s="26" t="str">
        <f>HYPERLINK("https://github.com/WaleedAbdelhakim/Competitive-Programming/blob/master/CodeForces/CF147-D12-B.cpp","Sol")</f>
        <v>Sol</v>
      </c>
      <c r="E4610" s="17" t="s">
        <v>5246</v>
      </c>
      <c r="F4610" s="17" t="s">
        <v>154</v>
      </c>
      <c r="G4610" s="18"/>
      <c r="H4610" s="18"/>
    </row>
    <row r="4611" spans="1:8" ht="13.2">
      <c r="A4611" s="15" t="s">
        <v>5269</v>
      </c>
      <c r="B4611" s="28" t="s">
        <v>5270</v>
      </c>
      <c r="C4611" s="24">
        <v>6.5</v>
      </c>
      <c r="D4611" s="26" t="str">
        <f>HYPERLINK("https://github.com/mostafa-saad/MyCompetitiveProgramming/blob/master/TopCoder/SRM306-D1-1000.txt","Sol")</f>
        <v>Sol</v>
      </c>
      <c r="E4611" s="17" t="s">
        <v>5246</v>
      </c>
      <c r="F4611" s="17" t="s">
        <v>154</v>
      </c>
      <c r="G4611" s="18"/>
      <c r="H4611" s="18"/>
    </row>
    <row r="4612" spans="1:8" ht="13.2">
      <c r="A4612" s="19" t="str">
        <f>HYPERLINK("https://codeforces.com/problemset/problem/1182/E","CF1182-D2-E")</f>
        <v>CF1182-D2-E</v>
      </c>
      <c r="B4612" s="20" t="s">
        <v>5271</v>
      </c>
      <c r="C4612" s="21">
        <v>6.5</v>
      </c>
      <c r="D4612" s="18"/>
      <c r="E4612" s="17" t="s">
        <v>5246</v>
      </c>
      <c r="F4612" s="17" t="s">
        <v>139</v>
      </c>
      <c r="G4612" s="18"/>
      <c r="H4612" s="18"/>
    </row>
    <row r="4613" spans="1:8" ht="13.2">
      <c r="A4613" s="19" t="str">
        <f>HYPERLINK("https://atcoder.jp/contests/agc006/tasks/agc006_c","Atcoder006-AGC-C")</f>
        <v>Atcoder006-AGC-C</v>
      </c>
      <c r="B4613" s="20" t="s">
        <v>5272</v>
      </c>
      <c r="C4613" s="21">
        <v>6.3</v>
      </c>
      <c r="D4613" s="18"/>
      <c r="E4613" s="17" t="s">
        <v>5246</v>
      </c>
      <c r="F4613" s="17" t="s">
        <v>139</v>
      </c>
      <c r="G4613" s="18"/>
      <c r="H4613" s="18"/>
    </row>
    <row r="4614" spans="1:8" ht="13.2">
      <c r="A4614" s="19" t="str">
        <f>HYPERLINK("http://codeforces.com/contest/514/problem/E","CF514-D2-E")</f>
        <v>CF514-D2-E</v>
      </c>
      <c r="B4614" s="29" t="s">
        <v>5273</v>
      </c>
      <c r="C4614" s="17">
        <v>6</v>
      </c>
      <c r="D4614" s="18"/>
      <c r="E4614" s="17" t="s">
        <v>5246</v>
      </c>
      <c r="F4614" s="17" t="s">
        <v>154</v>
      </c>
      <c r="G4614" s="18"/>
      <c r="H4614" s="18"/>
    </row>
    <row r="4615" spans="1:8" ht="13.2">
      <c r="A4615" s="15" t="s">
        <v>5274</v>
      </c>
      <c r="B4615" s="30" t="s">
        <v>5275</v>
      </c>
      <c r="C4615" s="24">
        <v>6</v>
      </c>
      <c r="D4615" s="26" t="str">
        <f>HYPERLINK("https://github.com/mostafa-saad/MyCompetitiveProgramming/blob/master/SPOJ/SPOJ_PLHOP.txt","Sol")</f>
        <v>Sol</v>
      </c>
      <c r="E4615" s="17" t="s">
        <v>5246</v>
      </c>
      <c r="F4615" s="17" t="s">
        <v>154</v>
      </c>
      <c r="G4615" s="18"/>
      <c r="H4615" s="18"/>
    </row>
    <row r="4616" spans="1:8" ht="13.2">
      <c r="A4616" s="15" t="s">
        <v>5276</v>
      </c>
      <c r="B4616" s="28" t="s">
        <v>5277</v>
      </c>
      <c r="C4616" s="24">
        <v>6</v>
      </c>
      <c r="D4616" s="26" t="str">
        <f>HYPERLINK("http://ideone.com/OcvCo2","Sol")</f>
        <v>Sol</v>
      </c>
      <c r="E4616" s="17" t="s">
        <v>5246</v>
      </c>
      <c r="F4616" s="17" t="s">
        <v>1164</v>
      </c>
      <c r="G4616" s="18"/>
      <c r="H4616" s="18"/>
    </row>
    <row r="4617" spans="1:8" ht="13.2">
      <c r="A4617" s="15" t="s">
        <v>5278</v>
      </c>
      <c r="B4617" s="28" t="s">
        <v>5279</v>
      </c>
      <c r="C4617" s="24">
        <v>6</v>
      </c>
      <c r="D4617" s="26" t="str">
        <f>HYPERLINK("https://github.com/mostafa-saad/MyCompetitiveProgramming/blob/master/LiveArchive/LIVEARCHIVE_4332.txt","Sol")</f>
        <v>Sol</v>
      </c>
      <c r="E4617" s="24" t="s">
        <v>5246</v>
      </c>
      <c r="F4617" s="17" t="s">
        <v>196</v>
      </c>
      <c r="G4617" s="18"/>
      <c r="H4617" s="18"/>
    </row>
    <row r="4618" spans="1:8" ht="13.2">
      <c r="A4618" s="19" t="str">
        <f>HYPERLINK("http://codeforces.com/contest/621/problem/E","CF621-D2-E")</f>
        <v>CF621-D2-E</v>
      </c>
      <c r="B4618" s="18" t="s">
        <v>5280</v>
      </c>
      <c r="C4618" s="17">
        <v>6</v>
      </c>
      <c r="D4618" s="26" t="str">
        <f>HYPERLINK("https://github.com/stefdasca/CompetitiveProgramming/blob/master/Codeforces/CF621-D2-E.cpp","Sol")</f>
        <v>Sol</v>
      </c>
      <c r="E4618" s="17" t="s">
        <v>5246</v>
      </c>
      <c r="F4618" s="17" t="s">
        <v>1112</v>
      </c>
      <c r="G4618" s="18"/>
      <c r="H4618" s="18"/>
    </row>
    <row r="4619" spans="1:8" ht="13.2">
      <c r="A4619" s="19" t="str">
        <f>HYPERLINK("https://codeforces.com/problemset/problem/954/F","CF954-D12-F")</f>
        <v>CF954-D12-F</v>
      </c>
      <c r="B4619" s="20" t="s">
        <v>5281</v>
      </c>
      <c r="C4619" s="21">
        <v>6</v>
      </c>
      <c r="D4619" s="18"/>
      <c r="E4619" s="17" t="s">
        <v>5246</v>
      </c>
      <c r="F4619" s="17" t="s">
        <v>139</v>
      </c>
      <c r="G4619" s="18"/>
      <c r="H4619" s="18"/>
    </row>
    <row r="4620" spans="1:8" ht="13.2">
      <c r="A4620" s="15" t="s">
        <v>5282</v>
      </c>
      <c r="B4620" s="28" t="s">
        <v>5283</v>
      </c>
      <c r="C4620" s="17">
        <v>6</v>
      </c>
      <c r="D4620" s="18"/>
      <c r="E4620" s="17" t="s">
        <v>5246</v>
      </c>
      <c r="F4620" s="17" t="s">
        <v>201</v>
      </c>
      <c r="G4620" s="18"/>
      <c r="H4620" s="18"/>
    </row>
    <row r="4621" spans="1:8" ht="13.2">
      <c r="A4621" s="19" t="str">
        <f>HYPERLINK("https://codeforces.com/contest/821/problem/E","CF821-D2-E")</f>
        <v>CF821-D2-E</v>
      </c>
      <c r="B4621" s="20" t="s">
        <v>5284</v>
      </c>
      <c r="C4621" s="21">
        <v>6</v>
      </c>
      <c r="D4621" s="18"/>
      <c r="E4621" s="17" t="s">
        <v>5246</v>
      </c>
      <c r="F4621" s="17" t="s">
        <v>201</v>
      </c>
      <c r="G4621" s="18"/>
      <c r="H4621" s="18"/>
    </row>
    <row r="4622" spans="1:8" ht="13.2">
      <c r="A4622" s="19" t="str">
        <f>HYPERLINK("https://codeforces.com/contest/1117/problem/E","CF1117-D2-D")</f>
        <v>CF1117-D2-D</v>
      </c>
      <c r="B4622" s="15" t="s">
        <v>5248</v>
      </c>
      <c r="C4622" s="17">
        <v>5.5</v>
      </c>
      <c r="D4622" s="18"/>
      <c r="E4622" s="17" t="s">
        <v>5246</v>
      </c>
      <c r="F4622" s="17" t="s">
        <v>139</v>
      </c>
      <c r="G4622" s="18"/>
      <c r="H4622" s="18"/>
    </row>
    <row r="4623" spans="1:8" ht="13.2">
      <c r="A4623" s="15" t="s">
        <v>5285</v>
      </c>
      <c r="B4623" s="28" t="s">
        <v>5248</v>
      </c>
      <c r="C4623" s="31">
        <v>5.5</v>
      </c>
      <c r="D4623" s="18"/>
      <c r="E4623" s="17" t="s">
        <v>5246</v>
      </c>
      <c r="F4623" s="17"/>
      <c r="G4623" s="18"/>
      <c r="H4623" s="18"/>
    </row>
    <row r="4624" spans="1:8" ht="13.2">
      <c r="A4624" s="19" t="str">
        <f>HYPERLINK("http://codeforces.com/contest/582/problem/B","CF582-D1-B")</f>
        <v>CF582-D1-B</v>
      </c>
      <c r="B4624" s="18" t="s">
        <v>5286</v>
      </c>
      <c r="C4624" s="17">
        <v>5</v>
      </c>
      <c r="D4624" s="18"/>
      <c r="E4624" s="17" t="s">
        <v>5246</v>
      </c>
      <c r="F4624" s="17" t="s">
        <v>173</v>
      </c>
      <c r="G4624" s="18"/>
      <c r="H4624" s="18"/>
    </row>
    <row r="4625" spans="1:8" ht="13.2">
      <c r="A4625" s="15" t="s">
        <v>5287</v>
      </c>
      <c r="B4625" s="15" t="s">
        <v>5288</v>
      </c>
      <c r="C4625" s="17">
        <v>5</v>
      </c>
      <c r="D4625" s="26" t="str">
        <f>HYPERLINK("https://github.com/adarshkr532/CompetitiveProgramming/blob/master/SPOJ/JZPCIR.cpp","Sol")</f>
        <v>Sol</v>
      </c>
      <c r="E4625" s="17" t="s">
        <v>5246</v>
      </c>
      <c r="F4625" s="17" t="s">
        <v>139</v>
      </c>
      <c r="G4625" s="18"/>
      <c r="H4625" s="18"/>
    </row>
    <row r="4626" spans="1:8" ht="13.2">
      <c r="A4626" s="15" t="s">
        <v>5289</v>
      </c>
      <c r="B4626" s="30" t="s">
        <v>5290</v>
      </c>
      <c r="C4626" s="24">
        <v>5</v>
      </c>
      <c r="D4626" s="26" t="str">
        <f>HYPERLINK("https://github.com/yazanKabbany/CompetitiveProgramming/blob/master/UVA/UVA%2011486.cpp","Sol")</f>
        <v>Sol</v>
      </c>
      <c r="E4626" s="17" t="s">
        <v>5246</v>
      </c>
      <c r="F4626" s="17" t="s">
        <v>201</v>
      </c>
      <c r="G4626" s="18"/>
      <c r="H4626" s="18"/>
    </row>
    <row r="4627" spans="1:8" ht="13.2">
      <c r="A4627" s="19" t="str">
        <f>HYPERLINK("https://codeforces.com/contest/691/problem/E","CF691-D12-E")</f>
        <v>CF691-D12-E</v>
      </c>
      <c r="B4627" s="20" t="s">
        <v>5248</v>
      </c>
      <c r="C4627" s="17">
        <v>5</v>
      </c>
      <c r="D4627" s="18"/>
      <c r="E4627" s="17" t="s">
        <v>5246</v>
      </c>
      <c r="F4627" s="17" t="s">
        <v>242</v>
      </c>
      <c r="G4627" s="18"/>
      <c r="H4627" s="18"/>
    </row>
    <row r="4628" spans="1:8" ht="13.2">
      <c r="A4628" s="15" t="s">
        <v>5291</v>
      </c>
      <c r="B4628" s="15" t="s">
        <v>5248</v>
      </c>
      <c r="C4628" s="17">
        <v>4.5</v>
      </c>
      <c r="D4628" s="18"/>
      <c r="E4628" s="17" t="s">
        <v>5246</v>
      </c>
      <c r="F4628" s="17" t="s">
        <v>139</v>
      </c>
      <c r="G4628" s="18"/>
      <c r="H4628" s="18"/>
    </row>
    <row r="4629" spans="1:8" ht="13.2">
      <c r="A4629" s="19" t="str">
        <f>HYPERLINK("http://codeforces.com/contest/222/problem/E","CF222-D2-E")</f>
        <v>CF222-D2-E</v>
      </c>
      <c r="B4629" s="18" t="s">
        <v>5292</v>
      </c>
      <c r="C4629" s="17">
        <v>4.5</v>
      </c>
      <c r="D4629" s="18"/>
      <c r="E4629" s="17" t="s">
        <v>5246</v>
      </c>
      <c r="F4629" s="17" t="s">
        <v>201</v>
      </c>
      <c r="G4629" s="18"/>
      <c r="H4629" s="18"/>
    </row>
    <row r="4630" spans="1:8" ht="13.2">
      <c r="A4630" s="15" t="s">
        <v>5293</v>
      </c>
      <c r="B4630" s="18" t="s">
        <v>5294</v>
      </c>
      <c r="C4630" s="33">
        <v>4.5</v>
      </c>
      <c r="D4630" s="26" t="str">
        <f>HYPERLINK("https://github.com/mostafa-saad/MyCompetitiveProgramming/blob/master/SPOJ/SPOJ_SUMSUMS.txt","Sol.")</f>
        <v>Sol.</v>
      </c>
      <c r="E4630" s="17" t="s">
        <v>5246</v>
      </c>
      <c r="F4630" s="17" t="s">
        <v>242</v>
      </c>
      <c r="G4630" s="18"/>
      <c r="H4630" s="18"/>
    </row>
    <row r="4631" spans="1:8" ht="13.2">
      <c r="A4631" s="15" t="s">
        <v>5295</v>
      </c>
      <c r="B4631" s="28" t="s">
        <v>5248</v>
      </c>
      <c r="C4631" s="24">
        <v>4.5</v>
      </c>
      <c r="D4631" s="18"/>
      <c r="E4631" s="17" t="s">
        <v>5246</v>
      </c>
      <c r="F4631" s="17"/>
      <c r="G4631" s="18"/>
      <c r="H4631" s="18"/>
    </row>
    <row r="4632" spans="1:8" ht="13.2">
      <c r="A4632" s="15" t="s">
        <v>5296</v>
      </c>
      <c r="B4632" s="28" t="s">
        <v>5297</v>
      </c>
      <c r="C4632" s="17">
        <v>4.5</v>
      </c>
      <c r="D4632" s="18"/>
      <c r="E4632" s="17" t="s">
        <v>5246</v>
      </c>
      <c r="F4632" s="17"/>
      <c r="G4632" s="18"/>
      <c r="H4632" s="18"/>
    </row>
    <row r="4633" spans="1:8" ht="13.2">
      <c r="A4633" s="19" t="str">
        <f>HYPERLINK("http://www.spoj.com/problems/FLIB/","SPOJ FLIB")</f>
        <v>SPOJ FLIB</v>
      </c>
      <c r="B4633" s="28" t="s">
        <v>5298</v>
      </c>
      <c r="C4633" s="17">
        <v>4</v>
      </c>
      <c r="D4633" s="18"/>
      <c r="E4633" s="17" t="s">
        <v>5246</v>
      </c>
      <c r="F4633" s="17" t="s">
        <v>255</v>
      </c>
      <c r="G4633" s="18"/>
      <c r="H4633" s="18"/>
    </row>
    <row r="4634" spans="1:8" ht="13.2">
      <c r="A4634" s="19" t="str">
        <f>HYPERLINK("https://uva.onlinejudge.org/index.php?option=onlinejudge&amp;page=show_problem&amp;problem=1170","UVA 10229")</f>
        <v>UVA 10229</v>
      </c>
      <c r="B4634" s="16" t="s">
        <v>5299</v>
      </c>
      <c r="C4634" s="17">
        <v>4</v>
      </c>
      <c r="D4634" s="26" t="str">
        <f>HYPERLINK("https://github.com/MohamedNabil97/CompetitiveProgramming/blob/master/UVA/10229.cpp","Sol")</f>
        <v>Sol</v>
      </c>
      <c r="E4634" s="17" t="s">
        <v>5246</v>
      </c>
      <c r="F4634" s="17" t="s">
        <v>201</v>
      </c>
      <c r="G4634" s="18"/>
      <c r="H4634" s="18"/>
    </row>
    <row r="4635" spans="1:8" ht="13.2">
      <c r="A4635" s="15" t="s">
        <v>5300</v>
      </c>
      <c r="B4635" s="28" t="s">
        <v>5298</v>
      </c>
      <c r="C4635" s="24">
        <v>4</v>
      </c>
      <c r="D4635" s="26" t="str">
        <f>HYPERLINK("https://github.com/t3nsor/SPOJ/blob/master/rabbit1.cpp","Sol")</f>
        <v>Sol</v>
      </c>
      <c r="E4635" s="17" t="s">
        <v>5246</v>
      </c>
      <c r="F4635" s="17"/>
      <c r="G4635" s="18"/>
      <c r="H4635" s="18"/>
    </row>
    <row r="4636" spans="1:8" ht="13.2">
      <c r="A4636" s="15" t="s">
        <v>5301</v>
      </c>
      <c r="B4636" s="18" t="s">
        <v>5248</v>
      </c>
      <c r="C4636" s="17">
        <v>3.5</v>
      </c>
      <c r="D4636" s="18"/>
      <c r="E4636" s="17" t="s">
        <v>5246</v>
      </c>
      <c r="F4636" s="17" t="s">
        <v>139</v>
      </c>
      <c r="G4636" s="18"/>
      <c r="H4636" s="18"/>
    </row>
    <row r="4637" spans="1:8" ht="13.2">
      <c r="A4637" s="15" t="s">
        <v>5302</v>
      </c>
      <c r="B4637" s="28" t="s">
        <v>5248</v>
      </c>
      <c r="C4637" s="17">
        <v>3.5</v>
      </c>
      <c r="D4637" s="18"/>
      <c r="E4637" s="17" t="s">
        <v>5246</v>
      </c>
      <c r="F4637" s="17"/>
      <c r="G4637" s="18"/>
      <c r="H4637" s="18"/>
    </row>
    <row r="4638" spans="1:8" ht="13.2">
      <c r="A4638" s="15" t="s">
        <v>5303</v>
      </c>
      <c r="B4638" s="18" t="s">
        <v>5248</v>
      </c>
      <c r="C4638" s="17">
        <v>3</v>
      </c>
      <c r="D4638" s="26" t="str">
        <f>HYPERLINK("https://github.com/ahmedsamir221/CompetitiveProgramming/blob/master/SPOJ/SPOJ%20SEQ.cpp","Sol")</f>
        <v>Sol</v>
      </c>
      <c r="E4638" s="17" t="s">
        <v>5246</v>
      </c>
      <c r="F4638" s="17" t="s">
        <v>201</v>
      </c>
      <c r="G4638" s="18"/>
      <c r="H4638" s="18"/>
    </row>
    <row r="4639" spans="1:8" ht="13.2">
      <c r="A4639" s="15" t="s">
        <v>5304</v>
      </c>
      <c r="B4639" s="18" t="s">
        <v>5298</v>
      </c>
      <c r="C4639" s="17">
        <v>3</v>
      </c>
      <c r="D4639" s="26" t="str">
        <f>HYPERLINK("https://github.com/ahmedsamir221/CompetitiveProgramming/blob/master/SPOJ/SPOJ%20FIBTWIST.cpp","Sol")</f>
        <v>Sol</v>
      </c>
      <c r="E4639" s="17" t="s">
        <v>5246</v>
      </c>
      <c r="F4639" s="17" t="s">
        <v>201</v>
      </c>
      <c r="G4639" s="18"/>
      <c r="H4639" s="18"/>
    </row>
    <row r="4640" spans="1:8" ht="13.2">
      <c r="A4640" s="19" t="str">
        <f>HYPERLINK("http://codeforces.com/problemset/problem/166/E","CF166-D2-E")</f>
        <v>CF166-D2-E</v>
      </c>
      <c r="B4640" s="15" t="s">
        <v>5292</v>
      </c>
      <c r="C4640" s="17">
        <v>3</v>
      </c>
      <c r="D4640" s="18"/>
      <c r="E4640" s="17" t="s">
        <v>5246</v>
      </c>
      <c r="F4640" s="17"/>
      <c r="G4640" s="18"/>
      <c r="H4640" s="18"/>
    </row>
    <row r="4641" spans="1:8" ht="13.2">
      <c r="A4641" s="15" t="s">
        <v>5305</v>
      </c>
      <c r="B4641" s="28" t="s">
        <v>5298</v>
      </c>
      <c r="C4641" s="17">
        <v>3</v>
      </c>
      <c r="D4641" s="18"/>
      <c r="E4641" s="17" t="s">
        <v>5246</v>
      </c>
      <c r="F4641" s="17"/>
      <c r="G4641" s="18"/>
      <c r="H4641" s="18"/>
    </row>
    <row r="4642" spans="1:8" ht="13.2">
      <c r="A4642" s="15" t="s">
        <v>5306</v>
      </c>
      <c r="B4642" s="28" t="s">
        <v>5307</v>
      </c>
      <c r="C4642" s="17">
        <v>3</v>
      </c>
      <c r="D4642" s="18"/>
      <c r="E4642" s="17" t="s">
        <v>5246</v>
      </c>
      <c r="F4642" s="17"/>
      <c r="G4642" s="18"/>
      <c r="H4642" s="18"/>
    </row>
    <row r="4643" spans="1:8" ht="13.2">
      <c r="A4643" s="15" t="s">
        <v>5308</v>
      </c>
      <c r="B4643" s="16" t="s">
        <v>5309</v>
      </c>
      <c r="C4643" s="17">
        <v>8.5</v>
      </c>
      <c r="D4643" s="18"/>
      <c r="E4643" s="17" t="s">
        <v>5310</v>
      </c>
      <c r="F4643" s="17"/>
      <c r="G4643" s="18"/>
      <c r="H4643" s="18"/>
    </row>
    <row r="4644" spans="1:8" ht="13.2">
      <c r="A4644" s="15" t="s">
        <v>5311</v>
      </c>
      <c r="B4644" s="16" t="s">
        <v>5309</v>
      </c>
      <c r="C4644" s="17">
        <v>8.5</v>
      </c>
      <c r="D4644" s="18"/>
      <c r="E4644" s="17" t="s">
        <v>5310</v>
      </c>
      <c r="F4644" s="17"/>
      <c r="G4644" s="18"/>
      <c r="H4644" s="18"/>
    </row>
    <row r="4645" spans="1:8" ht="13.2">
      <c r="A4645" s="15" t="s">
        <v>5312</v>
      </c>
      <c r="B4645" s="30" t="s">
        <v>5309</v>
      </c>
      <c r="C4645" s="24">
        <v>8.5</v>
      </c>
      <c r="D4645" s="18"/>
      <c r="E4645" s="17" t="s">
        <v>5310</v>
      </c>
      <c r="F4645" s="17"/>
      <c r="G4645" s="18"/>
      <c r="H4645" s="18"/>
    </row>
    <row r="4646" spans="1:8" ht="13.2">
      <c r="A4646" s="15" t="s">
        <v>5313</v>
      </c>
      <c r="B4646" s="29" t="s">
        <v>5314</v>
      </c>
      <c r="C4646" s="17">
        <v>8</v>
      </c>
      <c r="D4646" s="18"/>
      <c r="E4646" s="17" t="s">
        <v>5310</v>
      </c>
      <c r="F4646" s="17"/>
      <c r="G4646" s="18"/>
      <c r="H4646" s="18"/>
    </row>
    <row r="4647" spans="1:8" ht="13.2">
      <c r="A4647" s="19" t="str">
        <f>HYPERLINK("http://codeforces.com/contest/113/problem/D","CF113-D1-D")</f>
        <v>CF113-D1-D</v>
      </c>
      <c r="B4647" s="29" t="s">
        <v>5315</v>
      </c>
      <c r="C4647" s="17">
        <v>8</v>
      </c>
      <c r="D4647" s="18"/>
      <c r="E4647" s="17" t="s">
        <v>5310</v>
      </c>
      <c r="F4647" s="17"/>
      <c r="G4647" s="18"/>
      <c r="H4647" s="18"/>
    </row>
    <row r="4648" spans="1:8" ht="13.2">
      <c r="A4648" s="19" t="str">
        <f>HYPERLINK("http://codeforces.com/contest/251/problem/D","CF251-D1-D")</f>
        <v>CF251-D1-D</v>
      </c>
      <c r="B4648" s="15" t="s">
        <v>5309</v>
      </c>
      <c r="C4648" s="24">
        <v>7.5</v>
      </c>
      <c r="D4648" s="18"/>
      <c r="E4648" s="17" t="s">
        <v>5310</v>
      </c>
      <c r="F4648" s="17"/>
      <c r="G4648" s="18"/>
      <c r="H4648" s="18"/>
    </row>
    <row r="4649" spans="1:8" ht="13.2">
      <c r="A4649" s="19" t="str">
        <f>HYPERLINK("https://codeforces.com/contest/938/problem/G","CF938-D12-G")</f>
        <v>CF938-D12-G</v>
      </c>
      <c r="B4649" s="15" t="s">
        <v>5316</v>
      </c>
      <c r="C4649" s="17">
        <v>7.3</v>
      </c>
      <c r="D4649" s="18"/>
      <c r="E4649" s="17" t="s">
        <v>5310</v>
      </c>
      <c r="F4649" s="17" t="s">
        <v>154</v>
      </c>
      <c r="G4649" s="18"/>
      <c r="H4649" s="18"/>
    </row>
    <row r="4650" spans="1:8" ht="13.2">
      <c r="A4650" s="15" t="s">
        <v>5317</v>
      </c>
      <c r="B4650" s="29" t="s">
        <v>5309</v>
      </c>
      <c r="C4650" s="24">
        <v>7.25</v>
      </c>
      <c r="D4650" s="18"/>
      <c r="E4650" s="17" t="s">
        <v>5310</v>
      </c>
      <c r="F4650" s="17"/>
      <c r="G4650" s="18"/>
      <c r="H4650" s="18"/>
    </row>
    <row r="4651" spans="1:8" ht="13.2">
      <c r="A4651" s="19" t="str">
        <f>HYPERLINK("http://codeforces.com/contest/845/problem/G","CF845-D12-G")</f>
        <v>CF845-D12-G</v>
      </c>
      <c r="B4651" s="15" t="s">
        <v>5318</v>
      </c>
      <c r="C4651" s="17">
        <v>7</v>
      </c>
      <c r="D4651" s="26" t="str">
        <f>HYPERLINK("https://github.com/goswami-rahul/competitive-coding/blob/master/CompetitiveProgramming/codeforces/CF845-D12-G.cpp","Sol")</f>
        <v>Sol</v>
      </c>
      <c r="E4651" s="17" t="s">
        <v>5310</v>
      </c>
      <c r="F4651" s="17" t="s">
        <v>173</v>
      </c>
      <c r="G4651" s="18"/>
      <c r="H4651" s="18"/>
    </row>
    <row r="4652" spans="1:8" ht="13.2">
      <c r="A4652" s="19" t="str">
        <f>HYPERLINK("https://codeforces.com/contest/959/problem/F","CF959-D2-F")</f>
        <v>CF959-D2-F</v>
      </c>
      <c r="B4652" s="23" t="s">
        <v>5319</v>
      </c>
      <c r="C4652" s="17">
        <v>7</v>
      </c>
      <c r="D4652" s="18"/>
      <c r="E4652" s="17" t="s">
        <v>5310</v>
      </c>
      <c r="F4652" s="17" t="s">
        <v>154</v>
      </c>
      <c r="G4652" s="18"/>
      <c r="H4652" s="18"/>
    </row>
    <row r="4653" spans="1:8" ht="13.2">
      <c r="A4653" s="19" t="str">
        <f>HYPERLINK("https://csacademy.com/contest/archive/task/xor_cycle/statement/","CSA xor_cycle")</f>
        <v>CSA xor_cycle</v>
      </c>
      <c r="B4653" s="23" t="s">
        <v>5319</v>
      </c>
      <c r="C4653" s="17">
        <v>7</v>
      </c>
      <c r="D4653" s="18"/>
      <c r="E4653" s="17" t="s">
        <v>5310</v>
      </c>
      <c r="F4653" s="17" t="s">
        <v>139</v>
      </c>
      <c r="G4653" s="18"/>
      <c r="H4653" s="18"/>
    </row>
    <row r="4654" spans="1:8" ht="13.2">
      <c r="A4654" s="15" t="s">
        <v>5320</v>
      </c>
      <c r="B4654" s="28" t="s">
        <v>5309</v>
      </c>
      <c r="C4654" s="24">
        <v>7</v>
      </c>
      <c r="D4654" s="18"/>
      <c r="E4654" s="17" t="s">
        <v>5310</v>
      </c>
      <c r="F4654" s="17"/>
      <c r="G4654" s="18"/>
      <c r="H4654" s="18"/>
    </row>
    <row r="4655" spans="1:8" ht="13.2">
      <c r="A4655" s="15" t="s">
        <v>5321</v>
      </c>
      <c r="B4655" s="48" t="s">
        <v>5309</v>
      </c>
      <c r="C4655" s="17">
        <v>7</v>
      </c>
      <c r="D4655" s="18"/>
      <c r="E4655" s="17" t="s">
        <v>5310</v>
      </c>
      <c r="F4655" s="17"/>
      <c r="G4655" s="18"/>
      <c r="H4655" s="18"/>
    </row>
    <row r="4656" spans="1:8" ht="13.2">
      <c r="A4656" s="15" t="s">
        <v>5322</v>
      </c>
      <c r="B4656" s="28" t="s">
        <v>5309</v>
      </c>
      <c r="C4656" s="17">
        <v>7</v>
      </c>
      <c r="D4656" s="18"/>
      <c r="E4656" s="17" t="s">
        <v>5310</v>
      </c>
      <c r="F4656" s="17"/>
      <c r="G4656" s="18"/>
      <c r="H4656" s="18"/>
    </row>
    <row r="4657" spans="1:8" ht="13.2">
      <c r="A4657" s="15" t="s">
        <v>5323</v>
      </c>
      <c r="B4657" s="29" t="s">
        <v>5309</v>
      </c>
      <c r="C4657" s="17">
        <v>7</v>
      </c>
      <c r="D4657" s="18"/>
      <c r="E4657" s="17" t="s">
        <v>5310</v>
      </c>
      <c r="F4657" s="17"/>
      <c r="G4657" s="18"/>
      <c r="H4657" s="18"/>
    </row>
    <row r="4658" spans="1:8" ht="13.2">
      <c r="A4658" s="15" t="s">
        <v>5324</v>
      </c>
      <c r="B4658" s="28" t="s">
        <v>5325</v>
      </c>
      <c r="C4658" s="17">
        <v>7</v>
      </c>
      <c r="D4658" s="18"/>
      <c r="E4658" s="17" t="s">
        <v>5310</v>
      </c>
      <c r="F4658" s="17"/>
      <c r="G4658" s="18"/>
      <c r="H4658" s="18"/>
    </row>
    <row r="4659" spans="1:8" ht="13.2">
      <c r="A4659" s="19" t="str">
        <f>HYPERLINK("http://codeforces.com/contest/504/problem/D","CF504-D1-D")</f>
        <v>CF504-D1-D</v>
      </c>
      <c r="B4659" s="15" t="s">
        <v>5326</v>
      </c>
      <c r="C4659" s="24">
        <v>7</v>
      </c>
      <c r="D4659" s="18"/>
      <c r="E4659" s="17" t="s">
        <v>5310</v>
      </c>
      <c r="F4659" s="17"/>
      <c r="G4659" s="18"/>
      <c r="H4659" s="18"/>
    </row>
    <row r="4660" spans="1:8" ht="13.2">
      <c r="A4660" s="15" t="s">
        <v>5327</v>
      </c>
      <c r="B4660" s="29" t="s">
        <v>5309</v>
      </c>
      <c r="C4660" s="24">
        <v>6.75</v>
      </c>
      <c r="D4660" s="18"/>
      <c r="E4660" s="17" t="s">
        <v>5310</v>
      </c>
      <c r="F4660" s="17"/>
      <c r="G4660" s="18"/>
      <c r="H4660" s="18"/>
    </row>
    <row r="4661" spans="1:8" ht="13.2">
      <c r="A4661" s="19" t="str">
        <f>HYPERLINK("http://codeforces.com/problemset/problem/832/E", "CF0832-D2-E")</f>
        <v>CF0832-D2-E</v>
      </c>
      <c r="B4661" s="15" t="s">
        <v>5328</v>
      </c>
      <c r="C4661" s="17">
        <v>6.5</v>
      </c>
      <c r="D4661" s="18"/>
      <c r="E4661" s="17" t="s">
        <v>5310</v>
      </c>
      <c r="F4661" s="17" t="s">
        <v>139</v>
      </c>
      <c r="G4661" s="18"/>
      <c r="H4661" s="18"/>
    </row>
    <row r="4662" spans="1:8" ht="13.2">
      <c r="A4662" s="15" t="s">
        <v>5329</v>
      </c>
      <c r="B4662" s="29" t="s">
        <v>5309</v>
      </c>
      <c r="C4662" s="24">
        <v>6.5</v>
      </c>
      <c r="D4662" s="18"/>
      <c r="E4662" s="17" t="s">
        <v>5310</v>
      </c>
      <c r="F4662" s="17"/>
      <c r="G4662" s="18"/>
      <c r="H4662" s="18"/>
    </row>
    <row r="4663" spans="1:8" ht="13.2">
      <c r="A4663" s="15" t="s">
        <v>5330</v>
      </c>
      <c r="B4663" s="29" t="s">
        <v>5331</v>
      </c>
      <c r="C4663" s="24">
        <v>6.5</v>
      </c>
      <c r="D4663" s="18"/>
      <c r="E4663" s="17" t="s">
        <v>5310</v>
      </c>
      <c r="F4663" s="17"/>
      <c r="G4663" s="18"/>
      <c r="H4663" s="18"/>
    </row>
    <row r="4664" spans="1:8" ht="13.2">
      <c r="A4664" s="19" t="str">
        <f>HYPERLINK("https://www.codechef.com/MARCH19A/problems/TREASURE","CODECHEF TREASURE")</f>
        <v>CODECHEF TREASURE</v>
      </c>
      <c r="B4664" s="20" t="s">
        <v>5332</v>
      </c>
      <c r="C4664" s="17">
        <v>6</v>
      </c>
      <c r="D4664" s="18"/>
      <c r="E4664" s="17" t="s">
        <v>5310</v>
      </c>
      <c r="F4664" s="17" t="s">
        <v>139</v>
      </c>
      <c r="G4664" s="18"/>
      <c r="H4664" s="18"/>
    </row>
    <row r="4665" spans="1:8" ht="13.2">
      <c r="A4665" s="15" t="s">
        <v>5333</v>
      </c>
      <c r="B4665" s="29" t="s">
        <v>5309</v>
      </c>
      <c r="C4665" s="24">
        <v>6</v>
      </c>
      <c r="D4665" s="26" t="str">
        <f>HYPERLINK("http://acm.timus.ru/forum/thread.aspx?id=27887&amp;upd=634661729512364046","Editorial (Google Sol)")</f>
        <v>Editorial (Google Sol)</v>
      </c>
      <c r="E4665" s="17" t="s">
        <v>5310</v>
      </c>
      <c r="F4665" s="17"/>
      <c r="G4665" s="18"/>
      <c r="H4665" s="18"/>
    </row>
    <row r="4666" spans="1:8" ht="13.2">
      <c r="A4666" s="15" t="s">
        <v>5334</v>
      </c>
      <c r="B4666" s="28" t="s">
        <v>5309</v>
      </c>
      <c r="C4666" s="24">
        <v>6</v>
      </c>
      <c r="D4666" s="26" t="str">
        <f>HYPERLINK("https://blog.sengxian.com/solutions/uva-684","Sol")</f>
        <v>Sol</v>
      </c>
      <c r="E4666" s="17" t="s">
        <v>5310</v>
      </c>
      <c r="F4666" s="17"/>
      <c r="G4666" s="18"/>
      <c r="H4666" s="18"/>
    </row>
    <row r="4667" spans="1:8" ht="13.2">
      <c r="A4667" s="15" t="s">
        <v>5335</v>
      </c>
      <c r="B4667" s="29" t="s">
        <v>5336</v>
      </c>
      <c r="C4667" s="54">
        <v>6</v>
      </c>
      <c r="D4667" s="26" t="str">
        <f>HYPERLINK("https://github.com/marioyc/Online-Judge-Solutions/blob/master/Live%20Archive/4305%20-%20Wizards.cpp","Sol(no editorial)")</f>
        <v>Sol(no editorial)</v>
      </c>
      <c r="E4667" s="17" t="s">
        <v>5310</v>
      </c>
      <c r="F4667" s="17"/>
      <c r="G4667" s="18"/>
      <c r="H4667" s="18"/>
    </row>
    <row r="4668" spans="1:8" ht="13.2">
      <c r="A4668" s="19" t="str">
        <f>HYPERLINK("https://www.spoj.com/problems/XMAX/","SPOJ XMAX")</f>
        <v>SPOJ XMAX</v>
      </c>
      <c r="B4668" s="20" t="s">
        <v>5337</v>
      </c>
      <c r="C4668" s="17">
        <v>5.5</v>
      </c>
      <c r="D4668" s="26" t="str">
        <f>HYPERLINK("https://github.com/Mohammad-Yasser/CompetitiveProgramming/blob/master/SPOJ/XMAX.cpp","Sol")</f>
        <v>Sol</v>
      </c>
      <c r="E4668" s="17" t="s">
        <v>5310</v>
      </c>
      <c r="F4668" s="17" t="s">
        <v>173</v>
      </c>
      <c r="G4668" s="18"/>
      <c r="H4668" s="18"/>
    </row>
    <row r="4669" spans="1:8" ht="13.2">
      <c r="A4669" s="19" t="str">
        <f>HYPERLINK("https://codeforces.com/contest/1155/problem/E","CF1155-D12-E")</f>
        <v>CF1155-D12-E</v>
      </c>
      <c r="B4669" s="15" t="s">
        <v>5309</v>
      </c>
      <c r="C4669" s="17">
        <v>5.5</v>
      </c>
      <c r="D4669" s="18"/>
      <c r="E4669" s="17" t="s">
        <v>5310</v>
      </c>
      <c r="F4669" s="17" t="s">
        <v>201</v>
      </c>
      <c r="G4669" s="18"/>
      <c r="H4669" s="18"/>
    </row>
    <row r="4670" spans="1:8" ht="13.2">
      <c r="A4670" s="15" t="s">
        <v>5338</v>
      </c>
      <c r="B4670" s="28" t="s">
        <v>5309</v>
      </c>
      <c r="C4670" s="24">
        <v>5.5</v>
      </c>
      <c r="D4670" s="18"/>
      <c r="E4670" s="17" t="s">
        <v>5310</v>
      </c>
      <c r="F4670" s="17"/>
      <c r="G4670" s="18"/>
      <c r="H4670" s="18"/>
    </row>
    <row r="4671" spans="1:8" ht="13.2">
      <c r="A4671" s="15" t="s">
        <v>5339</v>
      </c>
      <c r="B4671" s="29" t="s">
        <v>5309</v>
      </c>
      <c r="C4671" s="33">
        <v>5</v>
      </c>
      <c r="D4671" s="18"/>
      <c r="E4671" s="17" t="s">
        <v>5310</v>
      </c>
      <c r="F4671" s="17"/>
      <c r="G4671" s="18"/>
      <c r="H4671" s="18"/>
    </row>
    <row r="4672" spans="1:8" ht="13.2">
      <c r="A4672" s="15" t="s">
        <v>5340</v>
      </c>
      <c r="B4672" s="30" t="s">
        <v>5341</v>
      </c>
      <c r="C4672" s="17">
        <v>5</v>
      </c>
      <c r="D4672" s="18"/>
      <c r="E4672" s="17" t="s">
        <v>5310</v>
      </c>
      <c r="F4672" s="17"/>
      <c r="G4672" s="18"/>
      <c r="H4672" s="18"/>
    </row>
    <row r="4673" spans="1:8" ht="13.2">
      <c r="A4673" s="15" t="s">
        <v>5342</v>
      </c>
      <c r="B4673" s="30" t="s">
        <v>5343</v>
      </c>
      <c r="C4673" s="24">
        <v>5</v>
      </c>
      <c r="D4673" s="18"/>
      <c r="E4673" s="17" t="s">
        <v>5310</v>
      </c>
      <c r="F4673" s="17"/>
      <c r="G4673" s="18"/>
      <c r="H4673" s="18"/>
    </row>
    <row r="4674" spans="1:8" ht="13.2">
      <c r="A4674" s="15" t="s">
        <v>5344</v>
      </c>
      <c r="B4674" s="28" t="s">
        <v>5345</v>
      </c>
      <c r="C4674" s="24">
        <v>8.5</v>
      </c>
      <c r="D4674" s="18"/>
      <c r="E4674" s="17" t="s">
        <v>5346</v>
      </c>
      <c r="F4674" s="17" t="s">
        <v>139</v>
      </c>
      <c r="G4674" s="18"/>
      <c r="H4674" s="18"/>
    </row>
    <row r="4675" spans="1:8" ht="13.2">
      <c r="A4675" s="19" t="str">
        <f>HYPERLINK("https://www.hackerrank.com/challenges/james-tree","HACKR james-tree")</f>
        <v>HACKR james-tree</v>
      </c>
      <c r="B4675" s="29" t="s">
        <v>5347</v>
      </c>
      <c r="C4675" s="17">
        <v>8.5</v>
      </c>
      <c r="D4675" s="18"/>
      <c r="E4675" s="17" t="s">
        <v>5346</v>
      </c>
      <c r="F4675" s="17"/>
      <c r="G4675" s="18"/>
      <c r="H4675" s="18"/>
    </row>
    <row r="4676" spans="1:8" ht="13.2">
      <c r="A4676" s="15" t="s">
        <v>5348</v>
      </c>
      <c r="B4676" s="16" t="s">
        <v>5349</v>
      </c>
      <c r="C4676" s="17">
        <v>8</v>
      </c>
      <c r="D4676" s="18"/>
      <c r="E4676" s="17" t="s">
        <v>5346</v>
      </c>
      <c r="F4676" s="17"/>
      <c r="G4676" s="18"/>
      <c r="H4676" s="18"/>
    </row>
    <row r="4677" spans="1:8" ht="13.2">
      <c r="A4677" s="15" t="s">
        <v>5350</v>
      </c>
      <c r="B4677" s="34" t="s">
        <v>5349</v>
      </c>
      <c r="C4677" s="33">
        <v>8</v>
      </c>
      <c r="D4677" s="18"/>
      <c r="E4677" s="17" t="s">
        <v>5346</v>
      </c>
      <c r="F4677" s="17"/>
      <c r="G4677" s="18"/>
      <c r="H4677" s="18"/>
    </row>
    <row r="4678" spans="1:8" ht="13.2">
      <c r="A4678" s="15" t="s">
        <v>5351</v>
      </c>
      <c r="B4678" s="18" t="s">
        <v>5352</v>
      </c>
      <c r="C4678" s="17">
        <v>8</v>
      </c>
      <c r="D4678" s="18"/>
      <c r="E4678" s="17" t="s">
        <v>5346</v>
      </c>
      <c r="F4678" s="17"/>
      <c r="G4678" s="18"/>
      <c r="H4678" s="18"/>
    </row>
    <row r="4679" spans="1:8" ht="13.2">
      <c r="A4679" s="19" t="str">
        <f>HYPERLINK("http://codeforces.com/contest/101/problem/D","CF101-D1-D")</f>
        <v>CF101-D1-D</v>
      </c>
      <c r="B4679" s="29" t="s">
        <v>5353</v>
      </c>
      <c r="C4679" s="17">
        <v>7.75</v>
      </c>
      <c r="D4679" s="18"/>
      <c r="E4679" s="17" t="s">
        <v>5346</v>
      </c>
      <c r="F4679" s="17"/>
      <c r="G4679" s="18"/>
      <c r="H4679" s="18"/>
    </row>
    <row r="4680" spans="1:8" ht="13.2">
      <c r="A4680" s="19" t="str">
        <f>HYPERLINK("https://codeforces.com/contest/952/problem/D","CF952-D12-D")</f>
        <v>CF952-D12-D</v>
      </c>
      <c r="B4680" s="20" t="s">
        <v>5349</v>
      </c>
      <c r="C4680" s="21">
        <v>7.5</v>
      </c>
      <c r="D4680" s="18"/>
      <c r="E4680" s="17" t="s">
        <v>5346</v>
      </c>
      <c r="F4680" s="17" t="s">
        <v>139</v>
      </c>
      <c r="G4680" s="18"/>
      <c r="H4680" s="18"/>
    </row>
    <row r="4681" spans="1:8" ht="13.2">
      <c r="A4681" s="15" t="s">
        <v>5354</v>
      </c>
      <c r="B4681" s="29" t="s">
        <v>5355</v>
      </c>
      <c r="C4681" s="24">
        <v>7.5</v>
      </c>
      <c r="D4681" s="18"/>
      <c r="E4681" s="17" t="s">
        <v>5346</v>
      </c>
      <c r="F4681" s="17"/>
      <c r="G4681" s="18"/>
      <c r="H4681" s="18"/>
    </row>
    <row r="4682" spans="1:8" ht="13.2">
      <c r="A4682" s="19" t="str">
        <f>HYPERLINK("http://codeforces.com/contest/668/problem/C","CF668-D1-C")</f>
        <v>CF668-D1-C</v>
      </c>
      <c r="B4682" s="29" t="s">
        <v>5356</v>
      </c>
      <c r="C4682" s="17">
        <v>7</v>
      </c>
      <c r="D4682" s="18"/>
      <c r="E4682" s="17" t="s">
        <v>5346</v>
      </c>
      <c r="F4682" s="17" t="s">
        <v>139</v>
      </c>
      <c r="G4682" s="18"/>
      <c r="H4682" s="18"/>
    </row>
    <row r="4683" spans="1:8" ht="13.2">
      <c r="A4683" s="19" t="str">
        <f>HYPERLINK("http://codeforces.com/contest/445/problem/D","CF445-D2-D")</f>
        <v>CF445-D2-D</v>
      </c>
      <c r="B4683" s="29" t="s">
        <v>5349</v>
      </c>
      <c r="C4683" s="24">
        <v>7</v>
      </c>
      <c r="D4683" s="18"/>
      <c r="E4683" s="17" t="s">
        <v>5346</v>
      </c>
      <c r="F4683" s="17"/>
      <c r="G4683" s="18"/>
      <c r="H4683" s="18"/>
    </row>
    <row r="4684" spans="1:8" ht="13.2">
      <c r="A4684" s="15" t="s">
        <v>5357</v>
      </c>
      <c r="B4684" s="28" t="s">
        <v>5349</v>
      </c>
      <c r="C4684" s="17">
        <v>7</v>
      </c>
      <c r="D4684" s="18"/>
      <c r="E4684" s="17" t="s">
        <v>5346</v>
      </c>
      <c r="F4684" s="17"/>
      <c r="G4684" s="18"/>
      <c r="H4684" s="18"/>
    </row>
    <row r="4685" spans="1:8" ht="13.2">
      <c r="A4685" s="19" t="str">
        <f>HYPERLINK("https://icpc.kattis.com/problems/weather","LIVEARCHIVE 7161")</f>
        <v>LIVEARCHIVE 7161</v>
      </c>
      <c r="B4685" s="16" t="s">
        <v>5358</v>
      </c>
      <c r="C4685" s="17">
        <v>7</v>
      </c>
      <c r="D4685" s="18"/>
      <c r="E4685" s="17" t="s">
        <v>5346</v>
      </c>
      <c r="F4685" s="17"/>
      <c r="G4685" s="18"/>
      <c r="H4685" s="18"/>
    </row>
    <row r="4686" spans="1:8" ht="13.2">
      <c r="A4686" s="15" t="s">
        <v>5359</v>
      </c>
      <c r="B4686" s="28" t="s">
        <v>5360</v>
      </c>
      <c r="C4686" s="24">
        <v>7</v>
      </c>
      <c r="D4686" s="18"/>
      <c r="E4686" s="17" t="s">
        <v>5346</v>
      </c>
      <c r="F4686" s="17"/>
      <c r="G4686" s="18"/>
      <c r="H4686" s="18"/>
    </row>
    <row r="4687" spans="1:8" ht="13.2">
      <c r="A4687" s="19" t="str">
        <f>HYPERLINK("http://codeforces.com/contest/364/problem/D","CF364-D1-D")</f>
        <v>CF364-D1-D</v>
      </c>
      <c r="B4687" s="15" t="s">
        <v>5361</v>
      </c>
      <c r="C4687" s="24">
        <v>7</v>
      </c>
      <c r="D4687" s="18"/>
      <c r="E4687" s="17" t="s">
        <v>5346</v>
      </c>
      <c r="F4687" s="17"/>
      <c r="G4687" s="18"/>
      <c r="H4687" s="18"/>
    </row>
    <row r="4688" spans="1:8" ht="13.2">
      <c r="A4688" s="15" t="s">
        <v>5362</v>
      </c>
      <c r="B4688" s="29" t="s">
        <v>5349</v>
      </c>
      <c r="C4688" s="24">
        <v>6.75</v>
      </c>
      <c r="D4688" s="18"/>
      <c r="E4688" s="17" t="s">
        <v>5346</v>
      </c>
      <c r="F4688" s="17"/>
      <c r="G4688" s="18"/>
      <c r="H4688" s="18"/>
    </row>
    <row r="4689" spans="1:8" ht="13.2">
      <c r="A4689" s="15" t="s">
        <v>5363</v>
      </c>
      <c r="B4689" s="38" t="s">
        <v>5364</v>
      </c>
      <c r="C4689" s="24">
        <v>6.75</v>
      </c>
      <c r="D4689" s="18"/>
      <c r="E4689" s="17" t="s">
        <v>5346</v>
      </c>
      <c r="F4689" s="17"/>
      <c r="G4689" s="18"/>
      <c r="H4689" s="18"/>
    </row>
    <row r="4690" spans="1:8" ht="13.2">
      <c r="A4690" s="15" t="s">
        <v>5365</v>
      </c>
      <c r="B4690" s="29" t="s">
        <v>5366</v>
      </c>
      <c r="C4690" s="24">
        <v>6.75</v>
      </c>
      <c r="D4690" s="18"/>
      <c r="E4690" s="17" t="s">
        <v>5346</v>
      </c>
      <c r="F4690" s="17"/>
      <c r="G4690" s="18"/>
      <c r="H4690" s="18"/>
    </row>
    <row r="4691" spans="1:8" ht="13.2">
      <c r="A4691" s="19" t="str">
        <f>HYPERLINK("https://codeforces.com/contest/1061/problem/F","CF1061-D2-F")</f>
        <v>CF1061-D2-F</v>
      </c>
      <c r="B4691" s="15" t="s">
        <v>5367</v>
      </c>
      <c r="C4691" s="17">
        <v>6.7</v>
      </c>
      <c r="D4691" s="18"/>
      <c r="E4691" s="17" t="s">
        <v>5346</v>
      </c>
      <c r="F4691" s="17" t="s">
        <v>139</v>
      </c>
      <c r="G4691" s="18"/>
      <c r="H4691" s="18"/>
    </row>
    <row r="4692" spans="1:8" ht="13.2">
      <c r="A4692" s="15" t="s">
        <v>5368</v>
      </c>
      <c r="B4692" s="29" t="s">
        <v>5369</v>
      </c>
      <c r="C4692" s="24">
        <v>6.5</v>
      </c>
      <c r="D4692" s="26" t="str">
        <f>HYPERLINK("https://github.com/nya-nya-meow/CompetitiveProgramming/blob/54848346fa99124b64800ac7f8474f6b9b9d4970/TopCoder/SRM417-D2-1000%20-%20TripleJump.cpp","Sol")</f>
        <v>Sol</v>
      </c>
      <c r="E4692" s="17" t="s">
        <v>5346</v>
      </c>
      <c r="F4692" s="17" t="s">
        <v>201</v>
      </c>
      <c r="G4692" s="18"/>
      <c r="H4692" s="18"/>
    </row>
    <row r="4693" spans="1:8" ht="13.2">
      <c r="A4693" s="19" t="str">
        <f>HYPERLINK("https://codeforces.com/contest/1096/problem/F","CF1096-D12-F")</f>
        <v>CF1096-D12-F</v>
      </c>
      <c r="B4693" s="15" t="s">
        <v>5349</v>
      </c>
      <c r="C4693" s="17">
        <v>6.5</v>
      </c>
      <c r="D4693" s="18"/>
      <c r="E4693" s="17" t="s">
        <v>5346</v>
      </c>
      <c r="F4693" s="17"/>
      <c r="G4693" s="18"/>
      <c r="H4693" s="18"/>
    </row>
    <row r="4694" spans="1:8" ht="13.2">
      <c r="A4694" s="15" t="s">
        <v>5370</v>
      </c>
      <c r="B4694" s="29" t="s">
        <v>5371</v>
      </c>
      <c r="C4694" s="24">
        <v>6.5</v>
      </c>
      <c r="D4694" s="18"/>
      <c r="E4694" s="17" t="s">
        <v>5346</v>
      </c>
      <c r="F4694" s="17"/>
      <c r="G4694" s="18"/>
      <c r="H4694" s="18"/>
    </row>
    <row r="4695" spans="1:8" ht="13.2">
      <c r="A4695" s="15" t="s">
        <v>5372</v>
      </c>
      <c r="B4695" s="29" t="s">
        <v>5373</v>
      </c>
      <c r="C4695" s="17">
        <v>6.4</v>
      </c>
      <c r="D4695" s="18"/>
      <c r="E4695" s="17" t="s">
        <v>5346</v>
      </c>
      <c r="F4695" s="17" t="s">
        <v>139</v>
      </c>
      <c r="G4695" s="18"/>
      <c r="H4695" s="18"/>
    </row>
    <row r="4696" spans="1:8" ht="13.2">
      <c r="A4696" s="19" t="str">
        <f>HYPERLINK("http://codeforces.com/contest/163/problem/C","CF163-D12-C")</f>
        <v>CF163-D12-C</v>
      </c>
      <c r="B4696" s="29" t="s">
        <v>5349</v>
      </c>
      <c r="C4696" s="17">
        <v>6.25</v>
      </c>
      <c r="D4696" s="18"/>
      <c r="E4696" s="17" t="s">
        <v>5346</v>
      </c>
      <c r="F4696" s="17"/>
      <c r="G4696" s="18"/>
      <c r="H4696" s="18"/>
    </row>
    <row r="4697" spans="1:8" ht="13.2">
      <c r="A4697" s="15" t="s">
        <v>5374</v>
      </c>
      <c r="B4697" s="28" t="s">
        <v>5349</v>
      </c>
      <c r="C4697" s="24">
        <v>6.25</v>
      </c>
      <c r="D4697" s="18"/>
      <c r="E4697" s="17" t="s">
        <v>5346</v>
      </c>
      <c r="F4697" s="17"/>
      <c r="G4697" s="18"/>
      <c r="H4697" s="18"/>
    </row>
    <row r="4698" spans="1:8" ht="13.2">
      <c r="A4698" s="19" t="str">
        <f>HYPERLINK("http://codeforces.com/contest/110/problem/D","CF110-D2-D")</f>
        <v>CF110-D2-D</v>
      </c>
      <c r="B4698" s="29" t="s">
        <v>5375</v>
      </c>
      <c r="C4698" s="17">
        <v>6.25</v>
      </c>
      <c r="D4698" s="18"/>
      <c r="E4698" s="17" t="s">
        <v>5346</v>
      </c>
      <c r="F4698" s="17"/>
      <c r="G4698" s="18"/>
      <c r="H4698" s="18"/>
    </row>
    <row r="4699" spans="1:8" ht="13.2">
      <c r="A4699" s="15" t="s">
        <v>5376</v>
      </c>
      <c r="B4699" s="29" t="s">
        <v>5377</v>
      </c>
      <c r="C4699" s="17">
        <v>6</v>
      </c>
      <c r="D4699" s="26" t="str">
        <f>HYPERLINK("https://github.com/aboodJAD/CompetitiveProgramming/blob/master/UVA/UVA%20557.cpp","Sol")</f>
        <v>Sol</v>
      </c>
      <c r="E4699" s="17" t="s">
        <v>5346</v>
      </c>
      <c r="F4699" s="17" t="s">
        <v>154</v>
      </c>
      <c r="G4699" s="18"/>
      <c r="H4699" s="18"/>
    </row>
    <row r="4700" spans="1:8" ht="13.2">
      <c r="A4700" s="19" t="str">
        <f>HYPERLINK("http://codeforces.com/contest/26/problem/D","CF26-D12-D")</f>
        <v>CF26-D12-D</v>
      </c>
      <c r="B4700" s="29" t="s">
        <v>5378</v>
      </c>
      <c r="C4700" s="17">
        <v>6</v>
      </c>
      <c r="D4700" s="26" t="str">
        <f>HYPERLINK("https://github.com/mostafa-saad/MyCompetitiveProgramming/blob/master/Codeforces/CF26-D12-D.txt","Sol - must read. If hard, try SPOJ FUNPROB first")</f>
        <v>Sol - must read. If hard, try SPOJ FUNPROB first</v>
      </c>
      <c r="E4700" s="17" t="s">
        <v>5346</v>
      </c>
      <c r="F4700" s="17" t="s">
        <v>154</v>
      </c>
      <c r="G4700" s="18"/>
      <c r="H4700" s="18"/>
    </row>
    <row r="4701" spans="1:8" ht="13.2">
      <c r="A4701" s="15" t="s">
        <v>5379</v>
      </c>
      <c r="B4701" s="29" t="s">
        <v>5380</v>
      </c>
      <c r="C4701" s="24">
        <v>6</v>
      </c>
      <c r="D4701" s="18"/>
      <c r="E4701" s="17" t="s">
        <v>5346</v>
      </c>
      <c r="F4701" s="17"/>
      <c r="G4701" s="18"/>
      <c r="H4701" s="18"/>
    </row>
    <row r="4702" spans="1:8" ht="13.2">
      <c r="A4702" s="15" t="s">
        <v>5381</v>
      </c>
      <c r="B4702" s="29" t="s">
        <v>5382</v>
      </c>
      <c r="C4702" s="17">
        <v>5.75</v>
      </c>
      <c r="D4702" s="26" t="str">
        <f>HYPERLINK("https://stackoverflow.com/questions/25281005/calculating-probability-for-funprob","Sol")</f>
        <v>Sol</v>
      </c>
      <c r="E4702" s="17" t="s">
        <v>5346</v>
      </c>
      <c r="F4702" s="17" t="s">
        <v>154</v>
      </c>
      <c r="G4702" s="18"/>
      <c r="H4702" s="18"/>
    </row>
    <row r="4703" spans="1:8" ht="13.2">
      <c r="A4703" s="15" t="s">
        <v>5383</v>
      </c>
      <c r="B4703" s="29" t="s">
        <v>5384</v>
      </c>
      <c r="C4703" s="17">
        <v>5.5</v>
      </c>
      <c r="D4703" s="18"/>
      <c r="E4703" s="17" t="s">
        <v>5346</v>
      </c>
      <c r="F4703" s="17" t="s">
        <v>229</v>
      </c>
      <c r="G4703" s="18"/>
      <c r="H4703" s="18"/>
    </row>
    <row r="4704" spans="1:8" ht="13.2">
      <c r="A4704" s="19" t="str">
        <f>HYPERLINK("http://codeforces.com/contest/513/problem/C","CF513-D12-C")</f>
        <v>CF513-D12-C</v>
      </c>
      <c r="B4704" s="29" t="s">
        <v>5385</v>
      </c>
      <c r="C4704" s="17">
        <v>5.5</v>
      </c>
      <c r="D4704" s="26" t="str">
        <f>HYPERLINK("https://github.com/aabdelzaher/Competitive-Programming/blob/master/Codeforces/CF513-D12-C.java","Sol")</f>
        <v>Sol</v>
      </c>
      <c r="E4704" s="17" t="s">
        <v>5346</v>
      </c>
      <c r="F4704" s="17" t="s">
        <v>139</v>
      </c>
      <c r="G4704" s="18"/>
      <c r="H4704" s="18"/>
    </row>
    <row r="4705" spans="1:8" ht="13.2">
      <c r="A4705" s="19" t="str">
        <f>HYPERLINK("http://codeforces.com/contest/80/problem/D","CF80-D2-D")</f>
        <v>CF80-D2-D</v>
      </c>
      <c r="B4705" s="29" t="s">
        <v>5386</v>
      </c>
      <c r="C4705" s="17">
        <v>5.5</v>
      </c>
      <c r="D4705" s="18"/>
      <c r="E4705" s="17" t="s">
        <v>5346</v>
      </c>
      <c r="F4705" s="17" t="s">
        <v>201</v>
      </c>
      <c r="G4705" s="18"/>
      <c r="H4705" s="18"/>
    </row>
    <row r="4706" spans="1:8" ht="13.2">
      <c r="A4706" s="19" t="str">
        <f>HYPERLINK("https://community.topcoder.com/stat?c=problem_statement&amp;pm=1771&amp;rd=4570","SRM153-D1-450")</f>
        <v>SRM153-D1-450</v>
      </c>
      <c r="B4706" s="15" t="s">
        <v>5349</v>
      </c>
      <c r="C4706" s="17">
        <v>5.5</v>
      </c>
      <c r="D4706" s="26" t="str">
        <f>HYPERLINK("https://github.com/AliOsm/CompetitiveProgramming/blob/master/TopCoder/SRM153-D1-450.cpp","Sol")</f>
        <v>Sol</v>
      </c>
      <c r="E4706" s="17" t="s">
        <v>5346</v>
      </c>
      <c r="F4706" s="17"/>
      <c r="G4706" s="18"/>
      <c r="H4706" s="18"/>
    </row>
    <row r="4707" spans="1:8" ht="13.2">
      <c r="A4707" s="15" t="s">
        <v>5387</v>
      </c>
      <c r="B4707" s="29" t="s">
        <v>5388</v>
      </c>
      <c r="C4707" s="17">
        <v>5.5</v>
      </c>
      <c r="D4707" s="18"/>
      <c r="E4707" s="17" t="s">
        <v>5346</v>
      </c>
      <c r="F4707" s="17"/>
      <c r="G4707" s="18"/>
      <c r="H4707" s="18"/>
    </row>
    <row r="4708" spans="1:8" ht="13.2">
      <c r="A4708" s="19" t="str">
        <f>HYPERLINK("http://codeforces.com/contest/186/problem/D","CF186-D2-D")</f>
        <v>CF186-D2-D</v>
      </c>
      <c r="B4708" s="29" t="s">
        <v>5389</v>
      </c>
      <c r="C4708" s="17">
        <v>5.25</v>
      </c>
      <c r="D4708" s="18"/>
      <c r="E4708" s="17" t="s">
        <v>5346</v>
      </c>
      <c r="F4708" s="17" t="s">
        <v>154</v>
      </c>
      <c r="G4708" s="18"/>
      <c r="H4708" s="18"/>
    </row>
    <row r="4709" spans="1:8" ht="13.2">
      <c r="A4709" s="19" t="str">
        <f>HYPERLINK("https://uva.onlinejudge.org/index.php?option=onlinejudge&amp;page=show_problem&amp;problem=2321","UVa 11346")</f>
        <v>UVa 11346</v>
      </c>
      <c r="B4709" s="29" t="s">
        <v>5345</v>
      </c>
      <c r="C4709" s="31">
        <v>5.25</v>
      </c>
      <c r="D4709" s="26" t="str">
        <f>HYPERLINK("https://github.com/mostafa-saad/MyCompetitiveProgramming/blob/master/UVA/UVA_11346.txt","Sol")</f>
        <v>Sol</v>
      </c>
      <c r="E4709" s="17" t="s">
        <v>5346</v>
      </c>
      <c r="F4709" s="17" t="s">
        <v>139</v>
      </c>
      <c r="G4709" s="18"/>
      <c r="H4709" s="18"/>
    </row>
    <row r="4710" spans="1:8" ht="13.2">
      <c r="A4710" s="19" t="str">
        <f>HYPERLINK("http://codeforces.com/problemset/problem/442/B","CF442-D1-B")</f>
        <v>CF442-D1-B</v>
      </c>
      <c r="B4710" s="15" t="s">
        <v>5390</v>
      </c>
      <c r="C4710" s="17">
        <v>5.0999999999999996</v>
      </c>
      <c r="D4710" s="18"/>
      <c r="E4710" s="17" t="s">
        <v>5346</v>
      </c>
      <c r="F4710" s="17" t="s">
        <v>139</v>
      </c>
      <c r="G4710" s="18"/>
      <c r="H4710" s="18"/>
    </row>
    <row r="4711" spans="1:8" ht="13.2">
      <c r="A4711" s="15" t="s">
        <v>5391</v>
      </c>
      <c r="B4711" s="29" t="s">
        <v>5392</v>
      </c>
      <c r="C4711" s="31">
        <v>5</v>
      </c>
      <c r="D4711" s="18"/>
      <c r="E4711" s="17" t="s">
        <v>5346</v>
      </c>
      <c r="F4711" s="17" t="s">
        <v>201</v>
      </c>
      <c r="G4711" s="18"/>
      <c r="H4711" s="18"/>
    </row>
    <row r="4712" spans="1:8" ht="13.2">
      <c r="A4712" s="15" t="s">
        <v>5393</v>
      </c>
      <c r="B4712" s="29" t="s">
        <v>5394</v>
      </c>
      <c r="C4712" s="17">
        <v>5</v>
      </c>
      <c r="D4712" s="26" t="str">
        <f>HYPERLINK("https://github.com/BRAINOOO/CompetitiveProgramming/blob/master/UVA/V-124/UVA%2012461.Cpp","Sol")</f>
        <v>Sol</v>
      </c>
      <c r="E4712" s="17" t="s">
        <v>5346</v>
      </c>
      <c r="F4712" s="17" t="s">
        <v>201</v>
      </c>
      <c r="G4712" s="18"/>
      <c r="H4712" s="18"/>
    </row>
    <row r="4713" spans="1:8" ht="13.2">
      <c r="A4713" s="19" t="str">
        <f>HYPERLINK("http://codeforces.com/gym/100187/problem/B","CF100187-gym-B")</f>
        <v>CF100187-gym-B</v>
      </c>
      <c r="B4713" s="29" t="s">
        <v>5349</v>
      </c>
      <c r="C4713" s="17">
        <v>5</v>
      </c>
      <c r="D4713" s="18"/>
      <c r="E4713" s="17" t="s">
        <v>5346</v>
      </c>
      <c r="F4713" s="17"/>
      <c r="G4713" s="18"/>
      <c r="H4713" s="18"/>
    </row>
    <row r="4714" spans="1:8" ht="13.2">
      <c r="A4714" s="19" t="str">
        <f>HYPERLINK("http://codeforces.com/contest/453/problem/A","CF453-D1-A")</f>
        <v>CF453-D1-A</v>
      </c>
      <c r="B4714" s="15" t="s">
        <v>5349</v>
      </c>
      <c r="C4714" s="17">
        <v>5</v>
      </c>
      <c r="D4714" s="18"/>
      <c r="E4714" s="17" t="s">
        <v>5346</v>
      </c>
      <c r="F4714" s="17"/>
      <c r="G4714" s="18"/>
      <c r="H4714" s="18"/>
    </row>
    <row r="4715" spans="1:8" ht="13.2">
      <c r="A4715" s="19" t="str">
        <f>HYPERLINK("http://codeforces.com/contest/105/problem/B","CF105-D12-B")</f>
        <v>CF105-D12-B</v>
      </c>
      <c r="B4715" s="18" t="s">
        <v>5395</v>
      </c>
      <c r="C4715" s="17">
        <v>5</v>
      </c>
      <c r="D4715" s="18"/>
      <c r="E4715" s="17" t="s">
        <v>5346</v>
      </c>
      <c r="F4715" s="17"/>
      <c r="G4715" s="18"/>
      <c r="H4715" s="18"/>
    </row>
    <row r="4716" spans="1:8" ht="13.2">
      <c r="A4716" s="19" t="str">
        <f>HYPERLINK("http://codeforces.com/contest/626/problem/D","CF626-D12-D")</f>
        <v>CF626-D12-D</v>
      </c>
      <c r="B4716" s="29" t="s">
        <v>5375</v>
      </c>
      <c r="C4716" s="17">
        <v>5</v>
      </c>
      <c r="D4716" s="18"/>
      <c r="E4716" s="17" t="s">
        <v>5346</v>
      </c>
      <c r="F4716" s="17"/>
      <c r="G4716" s="18"/>
      <c r="H4716" s="18"/>
    </row>
    <row r="4717" spans="1:8" ht="13.2">
      <c r="A4717" s="19" t="str">
        <f>HYPERLINK("http://codeforces.com/contest/108/problem/D","CF108-D2-D")</f>
        <v>CF108-D2-D</v>
      </c>
      <c r="B4717" s="15" t="s">
        <v>5375</v>
      </c>
      <c r="C4717" s="17">
        <v>4.5</v>
      </c>
      <c r="D4717" s="18"/>
      <c r="E4717" s="17" t="s">
        <v>5346</v>
      </c>
      <c r="F4717" s="17" t="s">
        <v>139</v>
      </c>
      <c r="G4717" s="18"/>
      <c r="H4717" s="18"/>
    </row>
    <row r="4718" spans="1:8" ht="13.2">
      <c r="A4718" s="15" t="s">
        <v>5396</v>
      </c>
      <c r="B4718" s="15" t="s">
        <v>5397</v>
      </c>
      <c r="C4718" s="17">
        <v>4.5</v>
      </c>
      <c r="D4718" s="18"/>
      <c r="E4718" s="17" t="s">
        <v>5346</v>
      </c>
      <c r="F4718" s="17" t="s">
        <v>139</v>
      </c>
      <c r="G4718" s="18"/>
      <c r="H4718" s="18"/>
    </row>
    <row r="4719" spans="1:8" ht="13.2">
      <c r="A4719" s="15" t="s">
        <v>5398</v>
      </c>
      <c r="B4719" s="29" t="s">
        <v>5349</v>
      </c>
      <c r="C4719" s="24">
        <v>4.5</v>
      </c>
      <c r="D4719" s="26" t="str">
        <f>HYPERLINK("https://github.com/AhmedElsisy/CompetitiveProgramming/blob/master/UVA/UVA%201239.cpp","Sol")</f>
        <v>Sol</v>
      </c>
      <c r="E4719" s="17" t="s">
        <v>5346</v>
      </c>
      <c r="F4719" s="17" t="s">
        <v>201</v>
      </c>
      <c r="G4719" s="18"/>
      <c r="H4719" s="18"/>
    </row>
    <row r="4720" spans="1:8" ht="13.2">
      <c r="A4720" s="19" t="str">
        <f>HYPERLINK("http://codeforces.com/gym/101864/problem/A","CF101864-GYM-A")</f>
        <v>CF101864-GYM-A</v>
      </c>
      <c r="B4720" s="29" t="s">
        <v>5399</v>
      </c>
      <c r="C4720" s="17">
        <v>4.5</v>
      </c>
      <c r="D4720" s="26" t="str">
        <f>HYPERLINK("https://github.com/SpeedOfMagic/CompetitiveProgramming/blob/master/CodeforcesGym/CF101864-GYM-A.cpp","Sol")</f>
        <v>Sol</v>
      </c>
      <c r="E4720" s="17" t="s">
        <v>5346</v>
      </c>
      <c r="F4720" s="17" t="s">
        <v>201</v>
      </c>
      <c r="G4720" s="18"/>
      <c r="H4720" s="18"/>
    </row>
    <row r="4721" spans="1:8" ht="13.2">
      <c r="A4721" s="19" t="str">
        <f>HYPERLINK("https://uva.onlinejudge.org/index.php?option=com_onlinejudge&amp;Itemid=8&amp;page=show_problem&amp;problem=2122","UVa 11181")</f>
        <v>UVa 11181</v>
      </c>
      <c r="B4721" s="29" t="s">
        <v>5400</v>
      </c>
      <c r="C4721" s="17">
        <v>4</v>
      </c>
      <c r="D4721" s="26" t="str">
        <f>HYPERLINK("https://github.com/MohamedNabil97/CompetitiveProgramming/blob/master/UVA/1181.cpp","Sol")</f>
        <v>Sol</v>
      </c>
      <c r="E4721" s="17" t="s">
        <v>5346</v>
      </c>
      <c r="F4721" s="17" t="s">
        <v>201</v>
      </c>
      <c r="G4721" s="18"/>
      <c r="H4721" s="18"/>
    </row>
    <row r="4722" spans="1:8" ht="13.2">
      <c r="A4722" s="15" t="s">
        <v>5401</v>
      </c>
      <c r="B4722" s="29" t="s">
        <v>5402</v>
      </c>
      <c r="C4722" s="17">
        <v>4</v>
      </c>
      <c r="D4722" s="26" t="str">
        <f>HYPERLINK("https://github.com/mostafa-saad/MyCompetitiveProgramming/blob/master/UVA/UVA_11628.txt","Sol")</f>
        <v>Sol</v>
      </c>
      <c r="E4722" s="17" t="s">
        <v>5346</v>
      </c>
      <c r="F4722" s="17"/>
      <c r="G4722" s="18"/>
      <c r="H4722" s="18"/>
    </row>
    <row r="4723" spans="1:8" ht="13.2">
      <c r="A4723" s="15" t="s">
        <v>5403</v>
      </c>
      <c r="B4723" s="29" t="s">
        <v>5349</v>
      </c>
      <c r="C4723" s="17">
        <v>3</v>
      </c>
      <c r="D4723" s="18"/>
      <c r="E4723" s="17" t="s">
        <v>5346</v>
      </c>
      <c r="F4723" s="17"/>
      <c r="G4723" s="18"/>
      <c r="H4723" s="18"/>
    </row>
    <row r="4724" spans="1:8" ht="13.2">
      <c r="A4724" s="15" t="s">
        <v>5404</v>
      </c>
      <c r="B4724" s="29" t="s">
        <v>5349</v>
      </c>
      <c r="C4724" s="17">
        <v>3</v>
      </c>
      <c r="D4724" s="18"/>
      <c r="E4724" s="17" t="s">
        <v>5346</v>
      </c>
      <c r="F4724" s="17"/>
      <c r="G4724" s="18"/>
      <c r="H4724" s="18"/>
    </row>
    <row r="4725" spans="1:8" ht="13.2">
      <c r="A4725" s="15" t="s">
        <v>5405</v>
      </c>
      <c r="B4725" s="29" t="s">
        <v>5349</v>
      </c>
      <c r="C4725" s="17">
        <v>3</v>
      </c>
      <c r="D4725" s="18"/>
      <c r="E4725" s="17" t="s">
        <v>5346</v>
      </c>
      <c r="F4725" s="17"/>
      <c r="G4725" s="18"/>
      <c r="H4725" s="18"/>
    </row>
    <row r="4726" spans="1:8" ht="13.2">
      <c r="A4726" s="19" t="str">
        <f>HYPERLINK("https://github.com/3agwa/CompetitiveProgramming/blob/master/UVA/UVA%2010056.cpp","UVA 10056")</f>
        <v>UVA 10056</v>
      </c>
      <c r="B4726" s="29" t="s">
        <v>5349</v>
      </c>
      <c r="C4726" s="17">
        <v>3</v>
      </c>
      <c r="D4726" s="26" t="str">
        <f>HYPERLINK("https://github.com/mostafa-saad/MyCompetitiveProgramming/blob/master/UVA/UVA_10056.txt","Sol")</f>
        <v>Sol</v>
      </c>
      <c r="E4726" s="17" t="s">
        <v>5346</v>
      </c>
      <c r="F4726" s="17"/>
      <c r="G4726" s="18"/>
      <c r="H4726" s="18"/>
    </row>
    <row r="4727" spans="1:8" ht="13.2">
      <c r="A4727" s="19" t="str">
        <f>HYPERLINK("https://www.hackerrank.com/challenges/sherlock-and-probability","HACKR sherlock-and-probability")</f>
        <v>HACKR sherlock-and-probability</v>
      </c>
      <c r="B4727" s="29" t="s">
        <v>5406</v>
      </c>
      <c r="C4727" s="17">
        <v>3</v>
      </c>
      <c r="D4727" s="26" t="str">
        <f>HYPERLINK("https://github.com/MohamedNabil97/CompetitiveProgramming/blob/master/Hackerrank/sherlock-and-probability.cpp","Sol")</f>
        <v>Sol</v>
      </c>
      <c r="E4727" s="17" t="s">
        <v>5346</v>
      </c>
      <c r="F4727" s="17"/>
      <c r="G4727" s="18"/>
      <c r="H4727" s="18"/>
    </row>
    <row r="4728" spans="1:8" ht="13.2">
      <c r="A4728" s="15" t="s">
        <v>5407</v>
      </c>
      <c r="B4728" s="28" t="s">
        <v>5408</v>
      </c>
      <c r="C4728" s="17">
        <v>3</v>
      </c>
      <c r="D4728" s="26" t="str">
        <f>HYPERLINK("https://github.com/AliOsm/CompetitiveProgramming/blob/8f0ba8d2fea1322e1563b4b4e6f35807e9a9e73c/SPOJ/BALLSUM%20-%20Ball%20sum.cpp","Sol")</f>
        <v>Sol</v>
      </c>
      <c r="E4728" s="17" t="s">
        <v>5346</v>
      </c>
      <c r="F4728" s="17"/>
      <c r="G4728" s="18"/>
      <c r="H4728" s="18"/>
    </row>
    <row r="4729" spans="1:8" ht="13.2">
      <c r="A4729" s="15" t="s">
        <v>5409</v>
      </c>
      <c r="B4729" s="29" t="s">
        <v>5371</v>
      </c>
      <c r="C4729" s="17">
        <v>2</v>
      </c>
      <c r="D4729" s="18"/>
      <c r="E4729" s="17" t="s">
        <v>5346</v>
      </c>
      <c r="F4729" s="17"/>
      <c r="G4729" s="18"/>
      <c r="H4729" s="18"/>
    </row>
    <row r="4730" spans="1:8" ht="13.2">
      <c r="A4730" s="15" t="s">
        <v>5410</v>
      </c>
      <c r="B4730" s="29" t="s">
        <v>5411</v>
      </c>
      <c r="C4730" s="17">
        <v>2</v>
      </c>
      <c r="D4730" s="26" t="str">
        <f>HYPERLINK("https://www.probabilitycourse.com/","Revise Probability")</f>
        <v>Revise Probability</v>
      </c>
      <c r="E4730" s="17" t="s">
        <v>5346</v>
      </c>
      <c r="F4730" s="17"/>
      <c r="G4730" s="18"/>
      <c r="H4730" s="18"/>
    </row>
    <row r="4731" spans="1:8" ht="13.2">
      <c r="A4731" s="15" t="s">
        <v>5412</v>
      </c>
      <c r="B4731" s="28" t="s">
        <v>5413</v>
      </c>
      <c r="C4731" s="24">
        <v>8.5</v>
      </c>
      <c r="D4731" s="26" t="str">
        <f>HYPERLINK("https://ncpc.idi.ntnu.no/ncpc2008/","Sol analysis")</f>
        <v>Sol analysis</v>
      </c>
      <c r="E4731" s="17" t="s">
        <v>5414</v>
      </c>
      <c r="F4731" s="17"/>
      <c r="G4731" s="18"/>
      <c r="H4731" s="18"/>
    </row>
    <row r="4732" spans="1:8" ht="13.2">
      <c r="A4732" s="15" t="s">
        <v>5415</v>
      </c>
      <c r="B4732" s="28" t="s">
        <v>5416</v>
      </c>
      <c r="C4732" s="24">
        <v>7.75</v>
      </c>
      <c r="D4732" s="18"/>
      <c r="E4732" s="24" t="s">
        <v>5414</v>
      </c>
      <c r="F4732" s="17"/>
      <c r="G4732" s="18"/>
      <c r="H4732" s="18"/>
    </row>
    <row r="4733" spans="1:8" ht="13.2">
      <c r="A4733" s="15" t="s">
        <v>5417</v>
      </c>
      <c r="B4733" s="29" t="s">
        <v>5418</v>
      </c>
      <c r="C4733" s="17">
        <v>7.5</v>
      </c>
      <c r="D4733" s="18"/>
      <c r="E4733" s="17" t="s">
        <v>5414</v>
      </c>
      <c r="F4733" s="17"/>
      <c r="G4733" s="18"/>
      <c r="H4733" s="18"/>
    </row>
    <row r="4734" spans="1:8" ht="13.2">
      <c r="A4734" s="15" t="s">
        <v>5419</v>
      </c>
      <c r="B4734" s="30" t="s">
        <v>5420</v>
      </c>
      <c r="C4734" s="24">
        <v>7.25</v>
      </c>
      <c r="D4734" s="18"/>
      <c r="E4734" s="17" t="s">
        <v>5414</v>
      </c>
      <c r="F4734" s="17"/>
      <c r="G4734" s="18"/>
      <c r="H4734" s="18"/>
    </row>
    <row r="4735" spans="1:8" ht="13.2">
      <c r="A4735" s="15" t="s">
        <v>5421</v>
      </c>
      <c r="B4735" s="30" t="s">
        <v>5422</v>
      </c>
      <c r="C4735" s="24">
        <v>7.25</v>
      </c>
      <c r="D4735" s="18"/>
      <c r="E4735" s="17" t="s">
        <v>5414</v>
      </c>
      <c r="F4735" s="17"/>
      <c r="G4735" s="18"/>
      <c r="H4735" s="18"/>
    </row>
    <row r="4736" spans="1:8" ht="13.2">
      <c r="A4736" s="15" t="s">
        <v>5423</v>
      </c>
      <c r="B4736" s="30" t="s">
        <v>5424</v>
      </c>
      <c r="C4736" s="24">
        <v>7.25</v>
      </c>
      <c r="D4736" s="18"/>
      <c r="E4736" s="17" t="s">
        <v>5414</v>
      </c>
      <c r="F4736" s="17"/>
      <c r="G4736" s="18"/>
      <c r="H4736" s="18"/>
    </row>
    <row r="4737" spans="1:8" ht="13.2">
      <c r="A4737" s="15" t="s">
        <v>5425</v>
      </c>
      <c r="B4737" s="30" t="s">
        <v>5426</v>
      </c>
      <c r="C4737" s="24">
        <v>7.25</v>
      </c>
      <c r="D4737" s="18"/>
      <c r="E4737" s="17" t="s">
        <v>5414</v>
      </c>
      <c r="F4737" s="17"/>
      <c r="G4737" s="18"/>
      <c r="H4737" s="18"/>
    </row>
    <row r="4738" spans="1:8" ht="13.2">
      <c r="A4738" s="15" t="s">
        <v>5427</v>
      </c>
      <c r="B4738" s="30" t="s">
        <v>5416</v>
      </c>
      <c r="C4738" s="17">
        <v>7</v>
      </c>
      <c r="D4738" s="18"/>
      <c r="E4738" s="17" t="s">
        <v>5414</v>
      </c>
      <c r="F4738" s="17"/>
      <c r="G4738" s="18"/>
      <c r="H4738" s="18"/>
    </row>
    <row r="4739" spans="1:8" ht="13.2">
      <c r="A4739" s="15" t="s">
        <v>5428</v>
      </c>
      <c r="B4739" s="30" t="s">
        <v>5416</v>
      </c>
      <c r="C4739" s="17">
        <v>7</v>
      </c>
      <c r="D4739" s="18"/>
      <c r="E4739" s="17" t="s">
        <v>5414</v>
      </c>
      <c r="F4739" s="17"/>
      <c r="G4739" s="18"/>
      <c r="H4739" s="18"/>
    </row>
    <row r="4740" spans="1:8" ht="13.2">
      <c r="A4740" s="15" t="s">
        <v>5429</v>
      </c>
      <c r="B4740" s="30" t="s">
        <v>5430</v>
      </c>
      <c r="C4740" s="17">
        <v>7</v>
      </c>
      <c r="D4740" s="18"/>
      <c r="E4740" s="17" t="s">
        <v>5414</v>
      </c>
      <c r="F4740" s="17"/>
      <c r="G4740" s="18"/>
      <c r="H4740" s="18"/>
    </row>
    <row r="4741" spans="1:8" ht="13.2">
      <c r="A4741" s="15" t="s">
        <v>5431</v>
      </c>
      <c r="B4741" s="30" t="s">
        <v>5424</v>
      </c>
      <c r="C4741" s="17">
        <v>7</v>
      </c>
      <c r="D4741" s="18"/>
      <c r="E4741" s="17" t="s">
        <v>5414</v>
      </c>
      <c r="F4741" s="17"/>
      <c r="G4741" s="18"/>
      <c r="H4741" s="18"/>
    </row>
    <row r="4742" spans="1:8" ht="13.2">
      <c r="A4742" s="15" t="s">
        <v>5432</v>
      </c>
      <c r="B4742" s="30" t="s">
        <v>5424</v>
      </c>
      <c r="C4742" s="17">
        <v>7</v>
      </c>
      <c r="D4742" s="18"/>
      <c r="E4742" s="17" t="s">
        <v>5414</v>
      </c>
      <c r="F4742" s="17"/>
      <c r="G4742" s="18"/>
      <c r="H4742" s="18"/>
    </row>
    <row r="4743" spans="1:8" ht="13.2">
      <c r="A4743" s="15" t="s">
        <v>5433</v>
      </c>
      <c r="B4743" s="30" t="s">
        <v>5424</v>
      </c>
      <c r="C4743" s="17">
        <v>7</v>
      </c>
      <c r="D4743" s="18"/>
      <c r="E4743" s="17" t="s">
        <v>5414</v>
      </c>
      <c r="F4743" s="17"/>
      <c r="G4743" s="18"/>
      <c r="H4743" s="18"/>
    </row>
    <row r="4744" spans="1:8" ht="13.2">
      <c r="A4744" s="15" t="s">
        <v>5434</v>
      </c>
      <c r="B4744" s="30" t="s">
        <v>5435</v>
      </c>
      <c r="C4744" s="17">
        <v>7</v>
      </c>
      <c r="D4744" s="18"/>
      <c r="E4744" s="17" t="s">
        <v>5414</v>
      </c>
      <c r="F4744" s="17"/>
      <c r="G4744" s="18"/>
      <c r="H4744" s="18"/>
    </row>
    <row r="4745" spans="1:8" ht="13.2">
      <c r="A4745" s="15" t="s">
        <v>5436</v>
      </c>
      <c r="B4745" s="30" t="s">
        <v>5437</v>
      </c>
      <c r="C4745" s="17">
        <v>7</v>
      </c>
      <c r="D4745" s="18"/>
      <c r="E4745" s="17" t="s">
        <v>5414</v>
      </c>
      <c r="F4745" s="17"/>
      <c r="G4745" s="18"/>
      <c r="H4745" s="18"/>
    </row>
    <row r="4746" spans="1:8" ht="13.2">
      <c r="A4746" s="15" t="s">
        <v>5438</v>
      </c>
      <c r="B4746" s="28" t="s">
        <v>5439</v>
      </c>
      <c r="C4746" s="24">
        <v>6.75</v>
      </c>
      <c r="D4746" s="26" t="str">
        <f>HYPERLINK("https://github.com/mostafa-saad/MyCompetitiveProgramming/blob/master/SPOJ/SPOJ_EASYFACT.txt","Sol")</f>
        <v>Sol</v>
      </c>
      <c r="E4746" s="17" t="s">
        <v>5414</v>
      </c>
      <c r="F4746" s="17" t="s">
        <v>1053</v>
      </c>
      <c r="G4746" s="18"/>
      <c r="H4746" s="18"/>
    </row>
    <row r="4747" spans="1:8" ht="13.2">
      <c r="A4747" s="15" t="s">
        <v>5440</v>
      </c>
      <c r="B4747" s="28" t="s">
        <v>5441</v>
      </c>
      <c r="C4747" s="24">
        <v>6.75</v>
      </c>
      <c r="D4747" s="26" t="str">
        <f>HYPERLINK("https://github.com/sggutier/CompetitiveProgramming/blob/master/UVa/10236.cpp","Sol")</f>
        <v>Sol</v>
      </c>
      <c r="E4747" s="17" t="s">
        <v>5414</v>
      </c>
      <c r="F4747" s="17" t="s">
        <v>154</v>
      </c>
      <c r="G4747" s="18"/>
      <c r="H4747" s="18"/>
    </row>
    <row r="4748" spans="1:8" ht="13.2">
      <c r="A4748" s="15" t="s">
        <v>5442</v>
      </c>
      <c r="B4748" s="30" t="s">
        <v>5420</v>
      </c>
      <c r="C4748" s="24">
        <v>6.75</v>
      </c>
      <c r="D4748" s="18"/>
      <c r="E4748" s="17" t="s">
        <v>5414</v>
      </c>
      <c r="F4748" s="17"/>
      <c r="G4748" s="18"/>
      <c r="H4748" s="18"/>
    </row>
    <row r="4749" spans="1:8" ht="13.2">
      <c r="A4749" s="15" t="s">
        <v>5443</v>
      </c>
      <c r="B4749" s="38" t="s">
        <v>5444</v>
      </c>
      <c r="C4749" s="24">
        <v>6.75</v>
      </c>
      <c r="D4749" s="18"/>
      <c r="E4749" s="17" t="s">
        <v>5414</v>
      </c>
      <c r="F4749" s="17"/>
      <c r="G4749" s="18"/>
      <c r="H4749" s="18"/>
    </row>
    <row r="4750" spans="1:8" ht="13.2">
      <c r="A4750" s="19" t="str">
        <f>HYPERLINK("http://codeforces.com/contest/449/problem/C","CF449-D1-C")</f>
        <v>CF449-D1-C</v>
      </c>
      <c r="B4750" s="30" t="s">
        <v>5445</v>
      </c>
      <c r="C4750" s="17">
        <v>6.5</v>
      </c>
      <c r="D4750" s="18"/>
      <c r="E4750" s="17" t="s">
        <v>5414</v>
      </c>
      <c r="F4750" s="17" t="s">
        <v>154</v>
      </c>
      <c r="G4750" s="18"/>
      <c r="H4750" s="18"/>
    </row>
    <row r="4751" spans="1:8" ht="13.2">
      <c r="A4751" s="15" t="s">
        <v>5446</v>
      </c>
      <c r="B4751" s="28" t="s">
        <v>5447</v>
      </c>
      <c r="C4751" s="24">
        <v>6.5</v>
      </c>
      <c r="D4751" s="18"/>
      <c r="E4751" s="17" t="s">
        <v>5414</v>
      </c>
      <c r="F4751" s="17"/>
      <c r="G4751" s="18"/>
      <c r="H4751" s="18"/>
    </row>
    <row r="4752" spans="1:8" ht="13.2">
      <c r="A4752" s="19" t="str">
        <f>HYPERLINK("https://agc003.contest.atcoder.jp/tasks/agc003_d","AtCoder003-AGC-D")</f>
        <v>AtCoder003-AGC-D</v>
      </c>
      <c r="B4752" s="15" t="s">
        <v>5416</v>
      </c>
      <c r="C4752" s="17">
        <v>6</v>
      </c>
      <c r="D4752" s="18"/>
      <c r="E4752" s="17" t="s">
        <v>5414</v>
      </c>
      <c r="F4752" s="17"/>
      <c r="G4752" s="18"/>
      <c r="H4752" s="18"/>
    </row>
    <row r="4753" spans="1:8" ht="13.2">
      <c r="A4753" s="15" t="s">
        <v>5448</v>
      </c>
      <c r="B4753" s="30" t="s">
        <v>5449</v>
      </c>
      <c r="C4753" s="17">
        <v>6</v>
      </c>
      <c r="D4753" s="26" t="str">
        <f>HYPERLINK("https://github.com/Huvok/CompetitiveProgramming/blob/master/UVA/12216.cpp", "Sol")</f>
        <v>Sol</v>
      </c>
      <c r="E4753" s="17" t="s">
        <v>5414</v>
      </c>
      <c r="F4753" s="17"/>
      <c r="G4753" s="18"/>
      <c r="H4753" s="18"/>
    </row>
    <row r="4754" spans="1:8" ht="13.2">
      <c r="A4754" s="15" t="s">
        <v>5450</v>
      </c>
      <c r="B4754" s="28" t="s">
        <v>5451</v>
      </c>
      <c r="C4754" s="24">
        <v>6</v>
      </c>
      <c r="D4754" s="18"/>
      <c r="E4754" s="17" t="s">
        <v>5414</v>
      </c>
      <c r="F4754" s="17"/>
      <c r="G4754" s="18"/>
      <c r="H4754" s="18"/>
    </row>
    <row r="4755" spans="1:8" ht="13.2">
      <c r="A4755" s="15" t="s">
        <v>5452</v>
      </c>
      <c r="B4755" s="15" t="s">
        <v>5453</v>
      </c>
      <c r="C4755" s="17">
        <v>5.5</v>
      </c>
      <c r="D4755" s="18"/>
      <c r="E4755" s="17" t="s">
        <v>5414</v>
      </c>
      <c r="F4755" s="17" t="s">
        <v>154</v>
      </c>
      <c r="G4755" s="18"/>
      <c r="H4755" s="18"/>
    </row>
    <row r="4756" spans="1:8" ht="13.2">
      <c r="A4756" s="15" t="s">
        <v>5454</v>
      </c>
      <c r="B4756" s="29" t="s">
        <v>5455</v>
      </c>
      <c r="C4756" s="24">
        <v>5.5</v>
      </c>
      <c r="D4756" s="26" t="str">
        <f>HYPERLINK("https://github.com/mostafa-saad/MyCompetitiveProgramming/blob/master/LiveArchive/LIVEARCHIVE_4008.txt","Sol")</f>
        <v>Sol</v>
      </c>
      <c r="E4756" s="24" t="s">
        <v>5414</v>
      </c>
      <c r="F4756" s="17" t="s">
        <v>139</v>
      </c>
      <c r="G4756" s="18"/>
      <c r="H4756" s="18"/>
    </row>
    <row r="4757" spans="1:8" ht="13.2">
      <c r="A4757" s="19" t="str">
        <f>HYPERLINK("https://uva.onlinejudge.org/index.php?option=com_onlinejudge&amp;Itemid=8&amp;page=show_problem&amp;problem=1360","UVA 10419")</f>
        <v>UVA 10419</v>
      </c>
      <c r="B4757" s="29" t="s">
        <v>5456</v>
      </c>
      <c r="C4757" s="17">
        <v>5</v>
      </c>
      <c r="D4757" s="26" t="str">
        <f>HYPERLINK("https://github.com/BRAINOOOO/CompetitiveProgramming/blob/master/UVA/V-104/UVA%2010419.Cpp","Sol")</f>
        <v>Sol</v>
      </c>
      <c r="E4757" s="17" t="s">
        <v>5414</v>
      </c>
      <c r="F4757" s="17" t="s">
        <v>201</v>
      </c>
      <c r="G4757" s="18"/>
      <c r="H4757" s="18"/>
    </row>
    <row r="4758" spans="1:8" ht="13.2">
      <c r="A4758" s="15" t="s">
        <v>5457</v>
      </c>
      <c r="B4758" s="30" t="s">
        <v>5424</v>
      </c>
      <c r="C4758" s="24">
        <v>5</v>
      </c>
      <c r="D4758" s="18"/>
      <c r="E4758" s="17" t="s">
        <v>5414</v>
      </c>
      <c r="F4758" s="17"/>
      <c r="G4758" s="18"/>
      <c r="H4758" s="18"/>
    </row>
    <row r="4759" spans="1:8" ht="13.2">
      <c r="A4759" s="15" t="s">
        <v>5458</v>
      </c>
      <c r="B4759" s="18" t="s">
        <v>5459</v>
      </c>
      <c r="C4759" s="17">
        <v>5</v>
      </c>
      <c r="D4759" s="18"/>
      <c r="E4759" s="17" t="s">
        <v>5414</v>
      </c>
      <c r="F4759" s="17"/>
      <c r="G4759" s="18"/>
      <c r="H4759" s="18"/>
    </row>
    <row r="4760" spans="1:8" ht="13.2">
      <c r="A4760" s="15" t="s">
        <v>5460</v>
      </c>
      <c r="B4760" s="37" t="s">
        <v>5416</v>
      </c>
      <c r="C4760" s="17">
        <v>4.5</v>
      </c>
      <c r="D4760" s="18"/>
      <c r="E4760" s="17" t="s">
        <v>5414</v>
      </c>
      <c r="F4760" s="17" t="s">
        <v>139</v>
      </c>
      <c r="G4760" s="18"/>
      <c r="H4760" s="18"/>
    </row>
    <row r="4761" spans="1:8" ht="13.2">
      <c r="A4761" s="19" t="str">
        <f>HYPERLINK("http://codeforces.com/contest/569/problem/C","CF569-D2-C")</f>
        <v>CF569-D2-C</v>
      </c>
      <c r="B4761" s="29" t="s">
        <v>5461</v>
      </c>
      <c r="C4761" s="17">
        <v>4.5</v>
      </c>
      <c r="D4761" s="18"/>
      <c r="E4761" s="17" t="s">
        <v>5414</v>
      </c>
      <c r="F4761" s="17" t="s">
        <v>139</v>
      </c>
      <c r="G4761" s="18"/>
      <c r="H4761" s="18"/>
    </row>
    <row r="4762" spans="1:8" ht="13.2">
      <c r="A4762" s="15" t="s">
        <v>5462</v>
      </c>
      <c r="B4762" s="15" t="s">
        <v>5463</v>
      </c>
      <c r="C4762" s="17">
        <v>4.5</v>
      </c>
      <c r="D4762" s="18"/>
      <c r="E4762" s="17" t="s">
        <v>5414</v>
      </c>
      <c r="F4762" s="17" t="s">
        <v>139</v>
      </c>
      <c r="G4762" s="18"/>
      <c r="H4762" s="18"/>
    </row>
    <row r="4763" spans="1:8" ht="13.2">
      <c r="A4763" s="19" t="str">
        <f>HYPERLINK("https://uva.onlinejudge.org/index.php?option=onlinejudge&amp;page=show_problem&amp;problem=1425","UVA 10484")</f>
        <v>UVA 10484</v>
      </c>
      <c r="B4763" s="29" t="s">
        <v>5416</v>
      </c>
      <c r="C4763" s="17">
        <v>4.5</v>
      </c>
      <c r="D4763" s="18"/>
      <c r="E4763" s="17" t="s">
        <v>5414</v>
      </c>
      <c r="F4763" s="17" t="s">
        <v>201</v>
      </c>
      <c r="G4763" s="18"/>
      <c r="H4763" s="18"/>
    </row>
    <row r="4764" spans="1:8" ht="13.2">
      <c r="A4764" s="15" t="s">
        <v>5464</v>
      </c>
      <c r="B4764" s="30" t="s">
        <v>5422</v>
      </c>
      <c r="C4764" s="24">
        <v>4.5</v>
      </c>
      <c r="D4764" s="18"/>
      <c r="E4764" s="17" t="s">
        <v>5414</v>
      </c>
      <c r="F4764" s="17" t="s">
        <v>242</v>
      </c>
      <c r="G4764" s="18"/>
      <c r="H4764" s="18"/>
    </row>
    <row r="4765" spans="1:8" ht="13.2">
      <c r="A4765" s="15" t="s">
        <v>5465</v>
      </c>
      <c r="B4765" s="43" t="s">
        <v>5416</v>
      </c>
      <c r="C4765" s="24">
        <v>4.5</v>
      </c>
      <c r="D4765" s="18"/>
      <c r="E4765" s="17" t="s">
        <v>5414</v>
      </c>
      <c r="F4765" s="17"/>
      <c r="G4765" s="18"/>
      <c r="H4765" s="18"/>
    </row>
    <row r="4766" spans="1:8" ht="13.2">
      <c r="A4766" s="19" t="str">
        <f>HYPERLINK("http://codeforces.com/contest/155/problem/D","CF155-D2-D")</f>
        <v>CF155-D2-D</v>
      </c>
      <c r="B4766" s="29" t="s">
        <v>5466</v>
      </c>
      <c r="C4766" s="17">
        <v>4.5</v>
      </c>
      <c r="D4766" s="18"/>
      <c r="E4766" s="17" t="s">
        <v>5414</v>
      </c>
      <c r="F4766" s="17"/>
      <c r="G4766" s="18"/>
      <c r="H4766" s="18"/>
    </row>
    <row r="4767" spans="1:8" ht="13.2">
      <c r="A4767" s="19" t="str">
        <f>HYPERLINK("https://uva.onlinejudge.org/index.php?option=com_onlinejudge&amp;Itemid=8&amp;page=show_problem&amp;problem=1683","UVA 10742")</f>
        <v>UVA 10742</v>
      </c>
      <c r="B4767" s="29" t="s">
        <v>5420</v>
      </c>
      <c r="C4767" s="17">
        <v>4.5</v>
      </c>
      <c r="D4767" s="26" t="str">
        <f>HYPERLINK("https://github.com/abdullaAshraf/Problem-Solving/blob/master/UVA/10742.cpp","Sol")</f>
        <v>Sol</v>
      </c>
      <c r="E4767" s="17" t="s">
        <v>5414</v>
      </c>
      <c r="F4767" s="17"/>
      <c r="G4767" s="18"/>
      <c r="H4767" s="18"/>
    </row>
    <row r="4768" spans="1:8" ht="13.2">
      <c r="A4768" s="15" t="s">
        <v>5467</v>
      </c>
      <c r="B4768" s="28" t="s">
        <v>5468</v>
      </c>
      <c r="C4768" s="24">
        <v>4.5</v>
      </c>
      <c r="D4768" s="18"/>
      <c r="E4768" s="17" t="s">
        <v>5414</v>
      </c>
      <c r="F4768" s="17"/>
      <c r="G4768" s="18"/>
      <c r="H4768" s="18"/>
    </row>
    <row r="4769" spans="1:8" ht="13.2">
      <c r="A4769" s="15" t="s">
        <v>5469</v>
      </c>
      <c r="B4769" s="28" t="s">
        <v>5470</v>
      </c>
      <c r="C4769" s="24">
        <v>4.5</v>
      </c>
      <c r="D4769" s="26" t="str">
        <f>HYPERLINK("https://github.com/MohamedNabil97/CompetitiveProgramming/blob/master/UVA/11099.cpp","Sol")</f>
        <v>Sol</v>
      </c>
      <c r="E4769" s="17" t="s">
        <v>5414</v>
      </c>
      <c r="F4769" s="17"/>
      <c r="G4769" s="18"/>
      <c r="H4769" s="18"/>
    </row>
    <row r="4770" spans="1:8" ht="13.2">
      <c r="A4770" s="19" t="str">
        <f>HYPERLINK("https://uva.onlinejudge.org/index.php?option=onlinejudge&amp;page=show_problem&amp;problem=1109","UVA 10168")</f>
        <v>UVA 10168</v>
      </c>
      <c r="B4770" s="29" t="s">
        <v>5416</v>
      </c>
      <c r="C4770" s="17">
        <v>4</v>
      </c>
      <c r="D4770" s="18"/>
      <c r="E4770" s="17" t="s">
        <v>5414</v>
      </c>
      <c r="F4770" s="17" t="s">
        <v>139</v>
      </c>
      <c r="G4770" s="18"/>
      <c r="H4770" s="18"/>
    </row>
    <row r="4771" spans="1:8" ht="13.2">
      <c r="A4771" s="19" t="str">
        <f>HYPERLINK("http://www.spoj.com/problems/PSYCHON/","SPOJ PSYCHON")</f>
        <v>SPOJ PSYCHON</v>
      </c>
      <c r="B4771" s="29" t="s">
        <v>5471</v>
      </c>
      <c r="C4771" s="17">
        <v>4</v>
      </c>
      <c r="D4771" s="18"/>
      <c r="E4771" s="17" t="s">
        <v>5414</v>
      </c>
      <c r="F4771" s="17" t="s">
        <v>201</v>
      </c>
      <c r="G4771" s="18"/>
      <c r="H4771" s="18"/>
    </row>
    <row r="4772" spans="1:8" ht="13.2">
      <c r="A4772" s="19" t="str">
        <f>HYPERLINK("http://codeforces.com/contest/584/problem/D","CF584-D2-D")</f>
        <v>CF584-D2-D</v>
      </c>
      <c r="B4772" s="29" t="s">
        <v>5416</v>
      </c>
      <c r="C4772" s="17">
        <v>4</v>
      </c>
      <c r="D4772" s="18"/>
      <c r="E4772" s="17" t="s">
        <v>5414</v>
      </c>
      <c r="F4772" s="17"/>
      <c r="G4772" s="18"/>
      <c r="H4772" s="18"/>
    </row>
    <row r="4773" spans="1:8" ht="13.2">
      <c r="A4773" s="15" t="s">
        <v>5472</v>
      </c>
      <c r="B4773" s="30" t="s">
        <v>5416</v>
      </c>
      <c r="C4773" s="24">
        <v>4</v>
      </c>
      <c r="D4773" s="18"/>
      <c r="E4773" s="17" t="s">
        <v>5414</v>
      </c>
      <c r="F4773" s="17"/>
      <c r="G4773" s="18"/>
      <c r="H4773" s="18"/>
    </row>
    <row r="4774" spans="1:8" ht="13.2">
      <c r="A4774" s="15" t="s">
        <v>5473</v>
      </c>
      <c r="B4774" s="28" t="s">
        <v>5416</v>
      </c>
      <c r="C4774" s="24">
        <v>4</v>
      </c>
      <c r="D4774" s="18"/>
      <c r="E4774" s="17" t="s">
        <v>5414</v>
      </c>
      <c r="F4774" s="17"/>
      <c r="G4774" s="18"/>
      <c r="H4774" s="18"/>
    </row>
    <row r="4775" spans="1:8" ht="13.2">
      <c r="A4775" s="15" t="s">
        <v>5474</v>
      </c>
      <c r="B4775" s="29" t="s">
        <v>5416</v>
      </c>
      <c r="C4775" s="17">
        <v>4</v>
      </c>
      <c r="D4775" s="18"/>
      <c r="E4775" s="17" t="s">
        <v>5414</v>
      </c>
      <c r="F4775" s="17"/>
      <c r="G4775" s="18"/>
      <c r="H4775" s="18"/>
    </row>
    <row r="4776" spans="1:8" ht="13.2">
      <c r="A4776" s="15" t="s">
        <v>5475</v>
      </c>
      <c r="B4776" s="30" t="s">
        <v>5476</v>
      </c>
      <c r="C4776" s="24">
        <v>4</v>
      </c>
      <c r="D4776" s="18"/>
      <c r="E4776" s="17" t="s">
        <v>5414</v>
      </c>
      <c r="F4776" s="17"/>
      <c r="G4776" s="18"/>
      <c r="H4776" s="18"/>
    </row>
    <row r="4777" spans="1:8" ht="13.2">
      <c r="A4777" s="15" t="s">
        <v>5477</v>
      </c>
      <c r="B4777" s="30" t="s">
        <v>5420</v>
      </c>
      <c r="C4777" s="17">
        <v>4</v>
      </c>
      <c r="D4777" s="18"/>
      <c r="E4777" s="17" t="s">
        <v>5414</v>
      </c>
      <c r="F4777" s="17"/>
      <c r="G4777" s="18"/>
      <c r="H4777" s="18"/>
    </row>
    <row r="4778" spans="1:8" ht="13.2">
      <c r="A4778" s="15" t="s">
        <v>5478</v>
      </c>
      <c r="B4778" s="30" t="s">
        <v>5479</v>
      </c>
      <c r="C4778" s="24">
        <v>4</v>
      </c>
      <c r="D4778" s="18"/>
      <c r="E4778" s="17" t="s">
        <v>5414</v>
      </c>
      <c r="F4778" s="17"/>
      <c r="G4778" s="18"/>
      <c r="H4778" s="18"/>
    </row>
    <row r="4779" spans="1:8" ht="13.2">
      <c r="A4779" s="15" t="s">
        <v>5480</v>
      </c>
      <c r="B4779" s="30" t="s">
        <v>5435</v>
      </c>
      <c r="C4779" s="24">
        <v>4</v>
      </c>
      <c r="D4779" s="18"/>
      <c r="E4779" s="17" t="s">
        <v>5414</v>
      </c>
      <c r="F4779" s="17"/>
      <c r="G4779" s="18"/>
      <c r="H4779" s="18"/>
    </row>
    <row r="4780" spans="1:8" ht="13.2">
      <c r="A4780" s="15" t="s">
        <v>5481</v>
      </c>
      <c r="B4780" s="30" t="s">
        <v>5482</v>
      </c>
      <c r="C4780" s="33">
        <v>4</v>
      </c>
      <c r="D4780" s="18"/>
      <c r="E4780" s="17" t="s">
        <v>5414</v>
      </c>
      <c r="F4780" s="17"/>
      <c r="G4780" s="18"/>
      <c r="H4780" s="18"/>
    </row>
    <row r="4781" spans="1:8" ht="13.2">
      <c r="A4781" s="19" t="str">
        <f>HYPERLINK("https://uva.onlinejudge.org/index.php?option=com_onlinejudge&amp;Itemid=8&amp;page=show_problem&amp;problem=825","UVA 884")</f>
        <v>UVA 884</v>
      </c>
      <c r="B4781" s="29" t="s">
        <v>5424</v>
      </c>
      <c r="C4781" s="17">
        <v>3.5</v>
      </c>
      <c r="D4781" s="18"/>
      <c r="E4781" s="17" t="s">
        <v>5414</v>
      </c>
      <c r="F4781" s="17"/>
      <c r="G4781" s="18"/>
      <c r="H4781" s="18"/>
    </row>
    <row r="4782" spans="1:8" ht="13.2">
      <c r="A4782" s="15" t="s">
        <v>5483</v>
      </c>
      <c r="B4782" s="30" t="s">
        <v>5484</v>
      </c>
      <c r="C4782" s="17">
        <v>3.5</v>
      </c>
      <c r="D4782" s="18"/>
      <c r="E4782" s="17" t="s">
        <v>5414</v>
      </c>
      <c r="F4782" s="17"/>
      <c r="G4782" s="18"/>
      <c r="H4782" s="18"/>
    </row>
    <row r="4783" spans="1:8" ht="13.2">
      <c r="A4783" s="15" t="s">
        <v>5485</v>
      </c>
      <c r="B4783" s="16" t="s">
        <v>5416</v>
      </c>
      <c r="C4783" s="31">
        <v>3</v>
      </c>
      <c r="D4783" s="18"/>
      <c r="E4783" s="17" t="s">
        <v>5414</v>
      </c>
      <c r="F4783" s="17" t="s">
        <v>229</v>
      </c>
      <c r="G4783" s="18"/>
      <c r="H4783" s="18"/>
    </row>
    <row r="4784" spans="1:8" ht="13.2">
      <c r="A4784" s="15" t="s">
        <v>5486</v>
      </c>
      <c r="B4784" s="28" t="s">
        <v>5416</v>
      </c>
      <c r="C4784" s="24">
        <v>3</v>
      </c>
      <c r="D4784" s="18"/>
      <c r="E4784" s="24" t="s">
        <v>5414</v>
      </c>
      <c r="F4784" s="17"/>
      <c r="G4784" s="18"/>
      <c r="H4784" s="18"/>
    </row>
    <row r="4785" spans="1:8" ht="13.2">
      <c r="A4785" s="19" t="str">
        <f>HYPERLINK("https://uva.onlinejudge.org/index.php?option=onlinejudge&amp;page=show_problem&amp;problem=1335","UVA 10394")</f>
        <v>UVA 10394</v>
      </c>
      <c r="B4785" s="29" t="s">
        <v>5416</v>
      </c>
      <c r="C4785" s="17">
        <v>3</v>
      </c>
      <c r="D4785" s="18"/>
      <c r="E4785" s="17" t="s">
        <v>5414</v>
      </c>
      <c r="F4785" s="17"/>
      <c r="G4785" s="18"/>
      <c r="H4785" s="18"/>
    </row>
    <row r="4786" spans="1:8" ht="13.2">
      <c r="A4786" s="15" t="s">
        <v>5487</v>
      </c>
      <c r="B4786" s="30" t="s">
        <v>5416</v>
      </c>
      <c r="C4786" s="24">
        <v>3</v>
      </c>
      <c r="D4786" s="18"/>
      <c r="E4786" s="17" t="s">
        <v>5414</v>
      </c>
      <c r="F4786" s="17"/>
      <c r="G4786" s="18"/>
      <c r="H4786" s="18"/>
    </row>
    <row r="4787" spans="1:8" ht="13.2">
      <c r="A4787" s="15" t="s">
        <v>5488</v>
      </c>
      <c r="B4787" s="30" t="s">
        <v>5416</v>
      </c>
      <c r="C4787" s="17">
        <v>3</v>
      </c>
      <c r="D4787" s="18"/>
      <c r="E4787" s="17" t="s">
        <v>5414</v>
      </c>
      <c r="F4787" s="17"/>
      <c r="G4787" s="18"/>
      <c r="H4787" s="18"/>
    </row>
    <row r="4788" spans="1:8" ht="13.2">
      <c r="A4788" s="19" t="str">
        <f>HYPERLINK("https://uva.onlinejudge.org/index.php?option=com_onlinejudge&amp;Itemid=8&amp;page=show_problem&amp;problem=3253","UVA 12101")</f>
        <v>UVA 12101</v>
      </c>
      <c r="B4788" s="18" t="s">
        <v>5489</v>
      </c>
      <c r="C4788" s="17">
        <v>3</v>
      </c>
      <c r="D4788" s="26" t="str">
        <f>HYPERLINK("https://github.com/VAMPIER000001/CompetitiveProgramming/blob/master/UVA/V-121/UVA%2012101.Cpp","Sol")</f>
        <v>Sol</v>
      </c>
      <c r="E4788" s="17" t="s">
        <v>5414</v>
      </c>
      <c r="F4788" s="17"/>
      <c r="G4788" s="18"/>
      <c r="H4788" s="18"/>
    </row>
    <row r="4789" spans="1:8" ht="13.2">
      <c r="A4789" s="15" t="s">
        <v>5490</v>
      </c>
      <c r="B4789" s="30" t="s">
        <v>5491</v>
      </c>
      <c r="C4789" s="17">
        <v>3</v>
      </c>
      <c r="D4789" s="18"/>
      <c r="E4789" s="17" t="s">
        <v>5414</v>
      </c>
      <c r="F4789" s="17"/>
      <c r="G4789" s="18"/>
      <c r="H4789" s="18"/>
    </row>
    <row r="4790" spans="1:8" ht="13.2">
      <c r="A4790" s="15" t="s">
        <v>5492</v>
      </c>
      <c r="B4790" s="30" t="s">
        <v>5493</v>
      </c>
      <c r="C4790" s="17">
        <v>3</v>
      </c>
      <c r="D4790" s="18"/>
      <c r="E4790" s="17" t="s">
        <v>5414</v>
      </c>
      <c r="F4790" s="17"/>
      <c r="G4790" s="18"/>
      <c r="H4790" s="18"/>
    </row>
    <row r="4791" spans="1:8" ht="13.2">
      <c r="A4791" s="15" t="s">
        <v>5494</v>
      </c>
      <c r="B4791" s="29" t="s">
        <v>5495</v>
      </c>
      <c r="C4791" s="17">
        <v>3</v>
      </c>
      <c r="D4791" s="18"/>
      <c r="E4791" s="17" t="s">
        <v>5414</v>
      </c>
      <c r="F4791" s="17"/>
      <c r="G4791" s="18"/>
      <c r="H4791" s="18"/>
    </row>
    <row r="4792" spans="1:8" ht="13.2">
      <c r="A4792" s="15" t="s">
        <v>5496</v>
      </c>
      <c r="B4792" s="30" t="s">
        <v>5416</v>
      </c>
      <c r="C4792" s="24">
        <v>2</v>
      </c>
      <c r="D4792" s="18"/>
      <c r="E4792" s="17" t="s">
        <v>5414</v>
      </c>
      <c r="F4792" s="17"/>
      <c r="G4792" s="18"/>
      <c r="H4792" s="18"/>
    </row>
    <row r="4793" spans="1:8" ht="13.2">
      <c r="A4793" s="15" t="s">
        <v>5497</v>
      </c>
      <c r="B4793" s="30" t="s">
        <v>5416</v>
      </c>
      <c r="C4793" s="24">
        <v>2</v>
      </c>
      <c r="D4793" s="18"/>
      <c r="E4793" s="17" t="s">
        <v>5414</v>
      </c>
      <c r="F4793" s="17"/>
      <c r="G4793" s="18"/>
      <c r="H4793" s="18"/>
    </row>
    <row r="4794" spans="1:8" ht="13.2">
      <c r="A4794" s="15" t="s">
        <v>5498</v>
      </c>
      <c r="B4794" s="28" t="s">
        <v>5424</v>
      </c>
      <c r="C4794" s="24">
        <v>2</v>
      </c>
      <c r="D4794" s="18"/>
      <c r="E4794" s="24" t="s">
        <v>5414</v>
      </c>
      <c r="F4794" s="17"/>
      <c r="G4794" s="18"/>
      <c r="H4794" s="18"/>
    </row>
    <row r="4795" spans="1:8" ht="13.2">
      <c r="A4795" s="15" t="s">
        <v>5499</v>
      </c>
      <c r="B4795" s="30" t="s">
        <v>5500</v>
      </c>
      <c r="C4795" s="24">
        <v>6.75</v>
      </c>
      <c r="D4795" s="18"/>
      <c r="E4795" s="17" t="s">
        <v>5501</v>
      </c>
      <c r="F4795" s="17"/>
      <c r="G4795" s="18"/>
      <c r="H4795" s="18"/>
    </row>
    <row r="4796" spans="1:8" ht="13.2">
      <c r="A4796" s="19" t="str">
        <f>HYPERLINK("https://www.hackerrank.com/challenges/solve-equations","HACKR solve-equations")</f>
        <v>HACKR solve-equations</v>
      </c>
      <c r="B4796" s="28" t="s">
        <v>5502</v>
      </c>
      <c r="C4796" s="31">
        <v>5.5</v>
      </c>
      <c r="D4796" s="26" t="str">
        <f>HYPERLINK("https://github.com/ryuzmukhametov/CompetitiveProgramming/blob/master/hackr/solve-equations.cpp","Test cases are wrong. Case 1 4 1 82: judge output :19 6 - correct output: 1 78. Sol Link")</f>
        <v>Test cases are wrong. Case 1 4 1 82: judge output :19 6 - correct output: 1 78. Sol Link</v>
      </c>
      <c r="E4796" s="17" t="s">
        <v>5501</v>
      </c>
      <c r="F4796" s="17" t="s">
        <v>229</v>
      </c>
      <c r="G4796" s="18"/>
      <c r="H4796" s="18"/>
    </row>
    <row r="4797" spans="1:8" ht="13.2">
      <c r="A4797" s="19" t="str">
        <f>HYPERLINK("http://codeforces.com/problemset/gymProblem/100812/L","CF100812-GYM-L")</f>
        <v>CF100812-GYM-L</v>
      </c>
      <c r="B4797" s="28" t="s">
        <v>5503</v>
      </c>
      <c r="C4797" s="17">
        <v>5</v>
      </c>
      <c r="D4797" s="26" t="str">
        <f>HYPERLINK("https://github.com/AMR-KELEG/Competitive-Programming/blob/master/Codeforces/100812L.cpp","Sol")</f>
        <v>Sol</v>
      </c>
      <c r="E4797" s="17" t="s">
        <v>5501</v>
      </c>
      <c r="F4797" s="17" t="s">
        <v>242</v>
      </c>
      <c r="G4797" s="18"/>
      <c r="H4797" s="18"/>
    </row>
    <row r="4798" spans="1:8" ht="13.2">
      <c r="A4798" s="15" t="s">
        <v>5504</v>
      </c>
      <c r="B4798" s="18" t="s">
        <v>5500</v>
      </c>
      <c r="C4798" s="24">
        <v>5</v>
      </c>
      <c r="D4798" s="26" t="str">
        <f>HYPERLINK("https://github.com/mostafa-saad/MyCompetitiveProgramming/blob/master/UVA/UVA_10090.txt/","Sol")</f>
        <v>Sol</v>
      </c>
      <c r="E4798" s="17" t="s">
        <v>5501</v>
      </c>
      <c r="F4798" s="17"/>
      <c r="G4798" s="18"/>
      <c r="H4798" s="18"/>
    </row>
    <row r="4799" spans="1:8" ht="13.2">
      <c r="A4799" s="15" t="s">
        <v>5505</v>
      </c>
      <c r="B4799" s="56" t="s">
        <v>5506</v>
      </c>
      <c r="C4799" s="57">
        <v>5</v>
      </c>
      <c r="D4799" s="18"/>
      <c r="E4799" s="59" t="s">
        <v>5501</v>
      </c>
      <c r="F4799" s="17"/>
      <c r="G4799" s="18"/>
      <c r="H4799" s="18"/>
    </row>
    <row r="4800" spans="1:8" ht="13.2">
      <c r="A4800" s="15" t="s">
        <v>5507</v>
      </c>
      <c r="B4800" s="28" t="s">
        <v>5500</v>
      </c>
      <c r="C4800" s="24">
        <v>3</v>
      </c>
      <c r="D4800" s="18"/>
      <c r="E4800" s="17" t="s">
        <v>5501</v>
      </c>
      <c r="F4800" s="17"/>
      <c r="G4800" s="18"/>
      <c r="H4800" s="18"/>
    </row>
    <row r="4801" spans="1:8" ht="13.2">
      <c r="A4801" s="15" t="s">
        <v>5508</v>
      </c>
      <c r="B4801" s="30" t="s">
        <v>5509</v>
      </c>
      <c r="C4801" s="40">
        <v>3</v>
      </c>
      <c r="D4801" s="18"/>
      <c r="E4801" s="17" t="s">
        <v>5501</v>
      </c>
      <c r="F4801" s="17"/>
      <c r="G4801" s="18"/>
      <c r="H4801" s="18"/>
    </row>
    <row r="4802" spans="1:8" ht="13.2">
      <c r="A4802" s="15" t="s">
        <v>5510</v>
      </c>
      <c r="B4802" s="28" t="s">
        <v>5511</v>
      </c>
      <c r="C4802" s="24">
        <v>7.25</v>
      </c>
      <c r="D4802" s="18"/>
      <c r="E4802" s="17" t="s">
        <v>5512</v>
      </c>
      <c r="F4802" s="17"/>
      <c r="G4802" s="18"/>
      <c r="H4802" s="18"/>
    </row>
    <row r="4803" spans="1:8" ht="13.2">
      <c r="A4803" s="15" t="s">
        <v>5513</v>
      </c>
      <c r="B4803" s="28" t="s">
        <v>5514</v>
      </c>
      <c r="C4803" s="24">
        <v>7</v>
      </c>
      <c r="D4803" s="26" t="str">
        <f>HYPERLINK("https://github.com/aviroop123/CompetitiveProgramming/blob/master/SPOJ/SPOJ%20DPEQN.cpp","Sol")</f>
        <v>Sol</v>
      </c>
      <c r="E4803" s="17" t="s">
        <v>5512</v>
      </c>
      <c r="F4803" s="17" t="s">
        <v>139</v>
      </c>
      <c r="G4803" s="18"/>
      <c r="H4803" s="18"/>
    </row>
    <row r="4804" spans="1:8" ht="13.2">
      <c r="A4804" s="19" t="str">
        <f>HYPERLINK("http://codeforces.com/gym/100963/attachments","CF1000963-GYM-J")</f>
        <v>CF1000963-GYM-J</v>
      </c>
      <c r="B4804" s="29" t="s">
        <v>5515</v>
      </c>
      <c r="C4804" s="17">
        <v>6.5</v>
      </c>
      <c r="D4804" s="18"/>
      <c r="E4804" s="17" t="s">
        <v>5512</v>
      </c>
      <c r="F4804" s="17"/>
      <c r="G4804" s="18"/>
      <c r="H4804" s="18"/>
    </row>
    <row r="4805" spans="1:8" ht="13.2">
      <c r="A4805" s="15" t="s">
        <v>5516</v>
      </c>
      <c r="B4805" s="28" t="s">
        <v>5517</v>
      </c>
      <c r="C4805" s="17">
        <v>6.25</v>
      </c>
      <c r="D4805" s="26" t="str">
        <f>HYPERLINK("https://github.com/Huvok/CompetitiveProgramming/blob/master/UVA/11768.cpp","Sol")</f>
        <v>Sol</v>
      </c>
      <c r="E4805" s="17" t="s">
        <v>5512</v>
      </c>
      <c r="F4805" s="17"/>
      <c r="G4805" s="18"/>
      <c r="H4805" s="18"/>
    </row>
    <row r="4806" spans="1:8" ht="13.2">
      <c r="A4806" s="19" t="str">
        <f>HYPERLINK("https://onlinejudge.org/index.php?option=com_onlinejudge&amp;Itemid=8&amp;page=show_problem&amp;problem=659","UVA 718")</f>
        <v>UVA 718</v>
      </c>
      <c r="B4806" s="28" t="s">
        <v>5518</v>
      </c>
      <c r="C4806" s="24">
        <v>6</v>
      </c>
      <c r="D4806" s="26" t="str">
        <f>HYPERLINK("https://github.com/tanmoy13/CompetitveProgramming/blob/master/Online-Judge-Solutions/UVA/718%20-%20Skyscraper%20Floors.cpp","Sol")</f>
        <v>Sol</v>
      </c>
      <c r="E4806" s="17" t="s">
        <v>5512</v>
      </c>
      <c r="F4806" s="17" t="s">
        <v>139</v>
      </c>
      <c r="G4806" s="18"/>
      <c r="H4806" s="18"/>
    </row>
    <row r="4807" spans="1:8" ht="13.2">
      <c r="A4807" s="19" t="str">
        <f>HYPERLINK("http://codeforces.com/gym/100506/problem/C","CF100506-GYM-C")</f>
        <v>CF100506-GYM-C</v>
      </c>
      <c r="B4807" s="28" t="s">
        <v>5519</v>
      </c>
      <c r="C4807" s="24">
        <v>6</v>
      </c>
      <c r="D4807" s="26" t="str">
        <f>HYPERLINK("https://github.com/sggutier/CompetitiveProgramming/blob/master/Codeforces/CF100506-GYM-C.cpp","Sol")</f>
        <v>Sol</v>
      </c>
      <c r="E4807" s="17" t="s">
        <v>5512</v>
      </c>
      <c r="F4807" s="17"/>
      <c r="G4807" s="18"/>
      <c r="H4807" s="18"/>
    </row>
    <row r="4808" spans="1:8" ht="13.2">
      <c r="A4808" s="15" t="s">
        <v>5520</v>
      </c>
      <c r="B4808" s="37" t="s">
        <v>5521</v>
      </c>
      <c r="C4808" s="17">
        <v>5.5</v>
      </c>
      <c r="D4808" s="26" t="str">
        <f>HYPERLINK("https://github.com/mostafa-saad/MyCompetitiveProgramming/blob/master/LightOJ/LightOJ_1306.txt","Sol")</f>
        <v>Sol</v>
      </c>
      <c r="E4808" s="17" t="s">
        <v>5512</v>
      </c>
      <c r="F4808" s="17" t="s">
        <v>201</v>
      </c>
      <c r="G4808" s="18"/>
      <c r="H4808" s="18"/>
    </row>
    <row r="4809" spans="1:8" ht="13.2">
      <c r="A4809" s="15" t="s">
        <v>5522</v>
      </c>
      <c r="B4809" s="29" t="s">
        <v>5515</v>
      </c>
      <c r="C4809" s="24">
        <v>4.5</v>
      </c>
      <c r="D4809" s="18"/>
      <c r="E4809" s="17" t="s">
        <v>5512</v>
      </c>
      <c r="F4809" s="17" t="s">
        <v>255</v>
      </c>
      <c r="G4809" s="18"/>
      <c r="H4809" s="18"/>
    </row>
    <row r="4810" spans="1:8" ht="13.2">
      <c r="A4810" s="19" t="str">
        <f>HYPERLINK("https://www.hackerrank.com/challenges/irresponsible-numbers","HACKR irresponsible-numbers")</f>
        <v>HACKR irresponsible-numbers</v>
      </c>
      <c r="B4810" s="29" t="s">
        <v>5523</v>
      </c>
      <c r="C4810" s="17">
        <v>9.5</v>
      </c>
      <c r="D4810" s="18"/>
      <c r="E4810" s="17" t="s">
        <v>5524</v>
      </c>
      <c r="F4810" s="17"/>
      <c r="G4810" s="18"/>
      <c r="H4810" s="18"/>
    </row>
    <row r="4811" spans="1:8" ht="13.2">
      <c r="A4811" s="19" t="str">
        <f>HYPERLINK("https://www.hackerrank.com/challenges/alien-flowers","HACKR alien-flowers")</f>
        <v>HACKR alien-flowers</v>
      </c>
      <c r="B4811" s="29" t="s">
        <v>5525</v>
      </c>
      <c r="C4811" s="17">
        <v>9</v>
      </c>
      <c r="D4811" s="18"/>
      <c r="E4811" s="17" t="s">
        <v>5524</v>
      </c>
      <c r="F4811" s="17"/>
      <c r="G4811" s="18"/>
      <c r="H4811" s="18"/>
    </row>
    <row r="4812" spans="1:8" ht="13.2">
      <c r="A4812" s="19" t="str">
        <f>HYPERLINK("https://www.hackerrank.com/challenges/div-and-span","HACKR div-and-span")</f>
        <v>HACKR div-and-span</v>
      </c>
      <c r="B4812" s="29" t="s">
        <v>5526</v>
      </c>
      <c r="C4812" s="17">
        <v>9</v>
      </c>
      <c r="D4812" s="18"/>
      <c r="E4812" s="17" t="s">
        <v>5524</v>
      </c>
      <c r="F4812" s="17"/>
      <c r="G4812" s="18"/>
      <c r="H4812" s="18"/>
    </row>
    <row r="4813" spans="1:8" ht="13.2">
      <c r="A4813" s="19" t="str">
        <f>HYPERLINK("https://www.hackerrank.com/challenges/ichigo-and-revenge","HACKR ichigo-and-revenge")</f>
        <v>HACKR ichigo-and-revenge</v>
      </c>
      <c r="B4813" s="29" t="s">
        <v>5527</v>
      </c>
      <c r="C4813" s="17">
        <v>9</v>
      </c>
      <c r="D4813" s="18"/>
      <c r="E4813" s="17" t="s">
        <v>5524</v>
      </c>
      <c r="F4813" s="17"/>
      <c r="G4813" s="18"/>
      <c r="H4813" s="18"/>
    </row>
    <row r="4814" spans="1:8" ht="13.2">
      <c r="A4814" s="19" t="str">
        <f>HYPERLINK("https://www.hackerrank.com/challenges/count-fox-sequences","HACKR count-fox-sequences")</f>
        <v>HACKR count-fox-sequences</v>
      </c>
      <c r="B4814" s="29" t="s">
        <v>5527</v>
      </c>
      <c r="C4814" s="17">
        <v>8.5</v>
      </c>
      <c r="D4814" s="18"/>
      <c r="E4814" s="17" t="s">
        <v>5524</v>
      </c>
      <c r="F4814" s="17"/>
      <c r="G4814" s="18"/>
      <c r="H4814" s="18"/>
    </row>
    <row r="4815" spans="1:8" ht="13.2">
      <c r="A4815" s="19" t="str">
        <f>HYPERLINK("https://www.hackerrank.com/challenges/longest-increasing-subsequence-arrays","HACKR longest-increasing-subsequence-arrays")</f>
        <v>HACKR longest-increasing-subsequence-arrays</v>
      </c>
      <c r="B4815" s="29" t="s">
        <v>5527</v>
      </c>
      <c r="C4815" s="17">
        <v>8.5</v>
      </c>
      <c r="D4815" s="18"/>
      <c r="E4815" s="17" t="s">
        <v>5524</v>
      </c>
      <c r="F4815" s="17"/>
      <c r="G4815" s="18"/>
      <c r="H4815" s="18"/>
    </row>
    <row r="4816" spans="1:8" ht="13.2">
      <c r="A4816" s="19" t="str">
        <f>HYPERLINK("https://www.hackerrank.com/challenges/manasa-and-combinatorics","HACKR manasa-and-combinatorics")</f>
        <v>HACKR manasa-and-combinatorics</v>
      </c>
      <c r="B4816" s="29" t="s">
        <v>5527</v>
      </c>
      <c r="C4816" s="17">
        <v>8.5</v>
      </c>
      <c r="D4816" s="18"/>
      <c r="E4816" s="17" t="s">
        <v>5524</v>
      </c>
      <c r="F4816" s="17"/>
      <c r="G4816" s="18"/>
      <c r="H4816" s="18"/>
    </row>
    <row r="4817" spans="1:8" ht="13.2">
      <c r="A4817" s="15" t="s">
        <v>5528</v>
      </c>
      <c r="B4817" s="15" t="s">
        <v>5529</v>
      </c>
      <c r="C4817" s="17">
        <v>8</v>
      </c>
      <c r="D4817" s="18"/>
      <c r="E4817" s="17" t="s">
        <v>5524</v>
      </c>
      <c r="F4817" s="17"/>
      <c r="G4817" s="18"/>
      <c r="H4817" s="18"/>
    </row>
    <row r="4818" spans="1:8" ht="13.2">
      <c r="A4818" s="15" t="s">
        <v>5530</v>
      </c>
      <c r="B4818" s="29" t="s">
        <v>5531</v>
      </c>
      <c r="C4818" s="24">
        <v>7.5</v>
      </c>
      <c r="D4818" s="18"/>
      <c r="E4818" s="17" t="s">
        <v>5524</v>
      </c>
      <c r="F4818" s="17" t="s">
        <v>201</v>
      </c>
      <c r="G4818" s="18"/>
      <c r="H4818" s="18"/>
    </row>
    <row r="4819" spans="1:8" ht="13.2">
      <c r="A4819" s="19" t="str">
        <f>HYPERLINK("https://www.hackerrank.com/challenges/permutation-problem","HACKR permutation-problem")</f>
        <v>HACKR permutation-problem</v>
      </c>
      <c r="B4819" s="29" t="s">
        <v>5525</v>
      </c>
      <c r="C4819" s="17">
        <v>7.5</v>
      </c>
      <c r="D4819" s="18"/>
      <c r="E4819" s="17" t="s">
        <v>5524</v>
      </c>
      <c r="F4819" s="17"/>
      <c r="G4819" s="18"/>
      <c r="H4819" s="18"/>
    </row>
    <row r="4820" spans="1:8" ht="13.2">
      <c r="A4820" s="19" t="str">
        <f>HYPERLINK("http://codeforces.com/contest/111/problem/D","CF111-D1-D")</f>
        <v>CF111-D1-D</v>
      </c>
      <c r="B4820" s="29" t="s">
        <v>5532</v>
      </c>
      <c r="C4820" s="17">
        <v>7.25</v>
      </c>
      <c r="D4820" s="18"/>
      <c r="E4820" s="17" t="s">
        <v>5524</v>
      </c>
      <c r="F4820" s="17" t="s">
        <v>139</v>
      </c>
      <c r="G4820" s="18"/>
      <c r="H4820" s="18"/>
    </row>
    <row r="4821" spans="1:8" ht="13.2">
      <c r="A4821" s="15" t="s">
        <v>5533</v>
      </c>
      <c r="B4821" s="29" t="s">
        <v>5534</v>
      </c>
      <c r="C4821" s="24">
        <v>7.25</v>
      </c>
      <c r="D4821" s="18"/>
      <c r="E4821" s="17" t="s">
        <v>5524</v>
      </c>
      <c r="F4821" s="17"/>
      <c r="G4821" s="18"/>
      <c r="H4821" s="18"/>
    </row>
    <row r="4822" spans="1:8" ht="13.2">
      <c r="A4822" s="19" t="str">
        <f>HYPERLINK("https://www.codechef.com/problems/C3","CODECHEF C3")</f>
        <v>CODECHEF C3</v>
      </c>
      <c r="B4822" s="18" t="s">
        <v>5535</v>
      </c>
      <c r="C4822" s="17">
        <v>7.25</v>
      </c>
      <c r="D4822" s="18"/>
      <c r="E4822" s="17" t="s">
        <v>5524</v>
      </c>
      <c r="F4822" s="17"/>
      <c r="G4822" s="18"/>
      <c r="H4822" s="18"/>
    </row>
    <row r="4823" spans="1:8" ht="13.2">
      <c r="A4823" s="19" t="str">
        <f>HYPERLINK("http://agc031.contest.atcoder.jp/tasks/agc031_d","AtCoder031-AGC-D")</f>
        <v>AtCoder031-AGC-D</v>
      </c>
      <c r="B4823" s="15" t="s">
        <v>5536</v>
      </c>
      <c r="C4823" s="17">
        <v>7</v>
      </c>
      <c r="D4823" s="18"/>
      <c r="E4823" s="17" t="s">
        <v>5524</v>
      </c>
      <c r="F4823" s="17" t="s">
        <v>173</v>
      </c>
      <c r="G4823" s="18"/>
      <c r="H4823" s="18"/>
    </row>
    <row r="4824" spans="1:8" ht="13.2">
      <c r="A4824" s="15" t="s">
        <v>5537</v>
      </c>
      <c r="B4824" s="43" t="s">
        <v>5538</v>
      </c>
      <c r="C4824" s="24">
        <v>7</v>
      </c>
      <c r="D4824" s="26" t="str">
        <f>HYPERLINK("https://github.com/mostafa-saad/MyCompetitiveProgramming/blob/master/SPOJ/SPOJ_POWPOW.txt","Sol")</f>
        <v>Sol</v>
      </c>
      <c r="E4824" s="17" t="s">
        <v>5524</v>
      </c>
      <c r="F4824" s="17" t="s">
        <v>201</v>
      </c>
      <c r="G4824" s="18"/>
      <c r="H4824" s="18"/>
    </row>
    <row r="4825" spans="1:8" ht="13.2">
      <c r="A4825" s="15" t="s">
        <v>5539</v>
      </c>
      <c r="B4825" s="30" t="s">
        <v>5540</v>
      </c>
      <c r="C4825" s="24">
        <v>7</v>
      </c>
      <c r="D4825" s="18"/>
      <c r="E4825" s="17" t="s">
        <v>5524</v>
      </c>
      <c r="F4825" s="17"/>
      <c r="G4825" s="18"/>
      <c r="H4825" s="18"/>
    </row>
    <row r="4826" spans="1:8" ht="13.2">
      <c r="A4826" s="15" t="s">
        <v>5541</v>
      </c>
      <c r="B4826" s="28" t="s">
        <v>5540</v>
      </c>
      <c r="C4826" s="17">
        <v>7</v>
      </c>
      <c r="D4826" s="18"/>
      <c r="E4826" s="17" t="s">
        <v>5524</v>
      </c>
      <c r="F4826" s="17"/>
      <c r="G4826" s="18"/>
      <c r="H4826" s="18"/>
    </row>
    <row r="4827" spans="1:8" ht="13.2">
      <c r="A4827" s="15" t="s">
        <v>5542</v>
      </c>
      <c r="B4827" s="29" t="s">
        <v>5540</v>
      </c>
      <c r="C4827" s="17">
        <v>7</v>
      </c>
      <c r="D4827" s="18"/>
      <c r="E4827" s="17" t="s">
        <v>5524</v>
      </c>
      <c r="F4827" s="17"/>
      <c r="G4827" s="18"/>
      <c r="H4827" s="18"/>
    </row>
    <row r="4828" spans="1:8" ht="13.2">
      <c r="A4828" s="19" t="str">
        <f>HYPERLINK("http://codeforces.com/contest/338/problem/D","CF338-D1-D")</f>
        <v>CF338-D1-D</v>
      </c>
      <c r="B4828" s="15" t="s">
        <v>5543</v>
      </c>
      <c r="C4828" s="24">
        <v>7</v>
      </c>
      <c r="D4828" s="18"/>
      <c r="E4828" s="17" t="s">
        <v>5524</v>
      </c>
      <c r="F4828" s="17"/>
      <c r="G4828" s="18"/>
      <c r="H4828" s="18"/>
    </row>
    <row r="4829" spans="1:8" ht="13.2">
      <c r="A4829" s="15" t="s">
        <v>5544</v>
      </c>
      <c r="B4829" s="29" t="s">
        <v>5545</v>
      </c>
      <c r="C4829" s="17">
        <v>7</v>
      </c>
      <c r="D4829" s="18"/>
      <c r="E4829" s="17" t="s">
        <v>5524</v>
      </c>
      <c r="F4829" s="17"/>
      <c r="G4829" s="18"/>
      <c r="H4829" s="18"/>
    </row>
    <row r="4830" spans="1:8" ht="13.2">
      <c r="A4830" s="19" t="str">
        <f>HYPERLINK("http://codeforces.com/contest/711/problem/E","CF711-D2-E")</f>
        <v>CF711-D2-E</v>
      </c>
      <c r="B4830" s="15" t="s">
        <v>5546</v>
      </c>
      <c r="C4830" s="24">
        <v>6.75</v>
      </c>
      <c r="D4830" s="18"/>
      <c r="E4830" s="17" t="s">
        <v>5524</v>
      </c>
      <c r="F4830" s="17"/>
      <c r="G4830" s="18"/>
      <c r="H4830" s="18"/>
    </row>
    <row r="4831" spans="1:8" ht="13.2">
      <c r="A4831" s="19" t="str">
        <f>HYPERLINK("http://codeforces.com/contest/17/problem/D","CF17-D12-D")</f>
        <v>CF17-D12-D</v>
      </c>
      <c r="B4831" s="29" t="s">
        <v>5547</v>
      </c>
      <c r="C4831" s="17">
        <v>6.5</v>
      </c>
      <c r="D4831" s="26" t="str">
        <f>HYPERLINK("https://github.com/Huvok/CompetitiveProgramming/blob/master/Codeforces/CF17-D12-D.cpp","Sol")</f>
        <v>Sol</v>
      </c>
      <c r="E4831" s="17" t="s">
        <v>5524</v>
      </c>
      <c r="F4831" s="17" t="s">
        <v>154</v>
      </c>
      <c r="G4831" s="18"/>
      <c r="H4831" s="18"/>
    </row>
    <row r="4832" spans="1:8" ht="13.2">
      <c r="A4832" s="19" t="str">
        <f>HYPERLINK("http://codeforces.com/contest/696/problem/C","CF696-D1-C")</f>
        <v>CF696-D1-C</v>
      </c>
      <c r="B4832" s="28" t="s">
        <v>5548</v>
      </c>
      <c r="C4832" s="24">
        <v>6.5</v>
      </c>
      <c r="D4832" s="18"/>
      <c r="E4832" s="17" t="s">
        <v>5524</v>
      </c>
      <c r="F4832" s="17" t="s">
        <v>139</v>
      </c>
      <c r="G4832" s="18"/>
      <c r="H4832" s="18"/>
    </row>
    <row r="4833" spans="1:8" ht="13.2">
      <c r="A4833" s="15" t="s">
        <v>5549</v>
      </c>
      <c r="B4833" s="30" t="s">
        <v>5550</v>
      </c>
      <c r="C4833" s="54">
        <v>6.5</v>
      </c>
      <c r="D4833" s="18"/>
      <c r="E4833" s="17" t="s">
        <v>5524</v>
      </c>
      <c r="F4833" s="17"/>
      <c r="G4833" s="18"/>
      <c r="H4833" s="18"/>
    </row>
    <row r="4834" spans="1:8" ht="13.2">
      <c r="A4834" s="19" t="str">
        <f>HYPERLINK("http://codeforces.com/gym/100155/problem/J","CF100155-GYM-J")</f>
        <v>CF100155-GYM-J</v>
      </c>
      <c r="B4834" s="15" t="s">
        <v>5551</v>
      </c>
      <c r="C4834" s="17">
        <v>6.5</v>
      </c>
      <c r="D4834" s="18"/>
      <c r="E4834" s="17" t="s">
        <v>5524</v>
      </c>
      <c r="F4834" s="17"/>
      <c r="G4834" s="18"/>
      <c r="H4834" s="18"/>
    </row>
    <row r="4835" spans="1:8" ht="13.2">
      <c r="A4835" s="19" t="str">
        <f>HYPERLINK("http://codeforces.com/contest/785/problem/D","CF785-D2-D")</f>
        <v>CF785-D2-D</v>
      </c>
      <c r="B4835" s="38" t="s">
        <v>5552</v>
      </c>
      <c r="C4835" s="17">
        <v>6.25</v>
      </c>
      <c r="D4835" s="26" t="str">
        <f>HYPERLINK("http://codeforces.com/contest/785/submission/25532936","Read this solution after trying")</f>
        <v>Read this solution after trying</v>
      </c>
      <c r="E4835" s="17" t="s">
        <v>5524</v>
      </c>
      <c r="F4835" s="17" t="s">
        <v>1046</v>
      </c>
      <c r="G4835" s="18"/>
      <c r="H4835" s="18"/>
    </row>
    <row r="4836" spans="1:8" ht="13.2">
      <c r="A4836" s="19" t="str">
        <f>HYPERLINK("http://codeforces.com/contest/521/problem/C","CF521-D1-C")</f>
        <v>CF521-D1-C</v>
      </c>
      <c r="B4836" s="29" t="s">
        <v>5553</v>
      </c>
      <c r="C4836" s="17">
        <v>6.25</v>
      </c>
      <c r="D4836" s="18"/>
      <c r="E4836" s="17" t="s">
        <v>5524</v>
      </c>
      <c r="F4836" s="17" t="s">
        <v>154</v>
      </c>
      <c r="G4836" s="18"/>
      <c r="H4836" s="18"/>
    </row>
    <row r="4837" spans="1:8" ht="13.2">
      <c r="A4837" s="15" t="s">
        <v>5554</v>
      </c>
      <c r="B4837" s="18" t="s">
        <v>5555</v>
      </c>
      <c r="C4837" s="17">
        <v>6</v>
      </c>
      <c r="D4837" s="26" t="str">
        <f>HYPERLINK("https://github.com/Huvok/CompetitiveProgramming/blob/master/Topcoder/SRM735-D1-500.cpp","Sol")</f>
        <v>Sol</v>
      </c>
      <c r="E4837" s="17" t="s">
        <v>5524</v>
      </c>
      <c r="F4837" s="17" t="s">
        <v>139</v>
      </c>
      <c r="G4837" s="18"/>
      <c r="H4837" s="18"/>
    </row>
    <row r="4838" spans="1:8" ht="13.2">
      <c r="A4838" s="19" t="str">
        <f>HYPERLINK("http://codeforces.com/contest/146/problem/E","CF146-D2-E")</f>
        <v>CF146-D2-E</v>
      </c>
      <c r="B4838" s="29" t="s">
        <v>5532</v>
      </c>
      <c r="C4838" s="17">
        <v>6</v>
      </c>
      <c r="D4838" s="18"/>
      <c r="E4838" s="17" t="s">
        <v>5524</v>
      </c>
      <c r="F4838" s="17" t="s">
        <v>139</v>
      </c>
      <c r="G4838" s="18"/>
      <c r="H4838" s="18"/>
    </row>
    <row r="4839" spans="1:8" ht="13.2">
      <c r="A4839" s="15" t="s">
        <v>5556</v>
      </c>
      <c r="B4839" s="30" t="s">
        <v>5557</v>
      </c>
      <c r="C4839" s="24">
        <v>6</v>
      </c>
      <c r="D4839" s="26" t="str">
        <f>HYPERLINK("https://github.com/mostafa-saad/MyCompetitiveProgramming/blob/master/SPOJ/SPOJ_DIVEQL.txt","Sol")</f>
        <v>Sol</v>
      </c>
      <c r="E4839" s="17" t="s">
        <v>5524</v>
      </c>
      <c r="F4839" s="17" t="s">
        <v>139</v>
      </c>
      <c r="G4839" s="18"/>
      <c r="H4839" s="18"/>
    </row>
    <row r="4840" spans="1:8" ht="13.2">
      <c r="A4840" s="15" t="s">
        <v>5558</v>
      </c>
      <c r="B4840" s="30" t="s">
        <v>5559</v>
      </c>
      <c r="C4840" s="24">
        <v>6</v>
      </c>
      <c r="D4840" s="26" t="str">
        <f>HYPERLINK("https://github.com/MedoN11/CompetitiveProgramming/blob/master/SPOJ/KOPC12B.java","Sol - See CF post")</f>
        <v>Sol - See CF post</v>
      </c>
      <c r="E4840" s="17" t="s">
        <v>5524</v>
      </c>
      <c r="F4840" s="17" t="s">
        <v>201</v>
      </c>
      <c r="G4840" s="18"/>
      <c r="H4840" s="18"/>
    </row>
    <row r="4841" spans="1:8" ht="13.2">
      <c r="A4841" s="19" t="str">
        <f>HYPERLINK("http://codeforces.com/contest/816/problem/D","CF816-D2-D")</f>
        <v>CF816-D2-D</v>
      </c>
      <c r="B4841" s="15" t="s">
        <v>5560</v>
      </c>
      <c r="C4841" s="17">
        <v>6</v>
      </c>
      <c r="D4841" s="18"/>
      <c r="E4841" s="17" t="s">
        <v>5524</v>
      </c>
      <c r="F4841" s="17" t="s">
        <v>242</v>
      </c>
      <c r="G4841" s="18"/>
      <c r="H4841" s="18"/>
    </row>
    <row r="4842" spans="1:8" ht="13.2">
      <c r="A4842" s="19" t="str">
        <f>HYPERLINK("http://codeforces.com/contest/689/problem/E","CF689-D2-E")</f>
        <v>CF689-D2-E</v>
      </c>
      <c r="B4842" s="15" t="s">
        <v>5561</v>
      </c>
      <c r="C4842" s="24">
        <v>6</v>
      </c>
      <c r="D4842" s="18"/>
      <c r="E4842" s="17" t="s">
        <v>5524</v>
      </c>
      <c r="F4842" s="17"/>
      <c r="G4842" s="18"/>
      <c r="H4842" s="18"/>
    </row>
    <row r="4843" spans="1:8" ht="13.2">
      <c r="A4843" s="19" t="str">
        <f>HYPERLINK("http://codeforces.com/contest/688/problem/D","CF688-D2-D")</f>
        <v>CF688-D2-D</v>
      </c>
      <c r="B4843" s="29" t="s">
        <v>5562</v>
      </c>
      <c r="C4843" s="17">
        <v>5.75</v>
      </c>
      <c r="D4843" s="18"/>
      <c r="E4843" s="17" t="s">
        <v>5524</v>
      </c>
      <c r="F4843" s="17" t="s">
        <v>154</v>
      </c>
      <c r="G4843" s="18"/>
      <c r="H4843" s="18"/>
    </row>
    <row r="4844" spans="1:8" ht="13.2">
      <c r="A4844" s="15" t="s">
        <v>5563</v>
      </c>
      <c r="B4844" s="30" t="s">
        <v>5564</v>
      </c>
      <c r="C4844" s="24">
        <v>5.5</v>
      </c>
      <c r="D4844" s="18"/>
      <c r="E4844" s="17" t="s">
        <v>5524</v>
      </c>
      <c r="F4844" s="17"/>
      <c r="G4844" s="18"/>
      <c r="H4844" s="18"/>
    </row>
    <row r="4845" spans="1:8" ht="13.2">
      <c r="A4845" s="19" t="str">
        <f>HYPERLINK("http://codeforces.com/contest/327/problem/C","CF327-D2-C")</f>
        <v>CF327-D2-C</v>
      </c>
      <c r="B4845" s="29" t="s">
        <v>5540</v>
      </c>
      <c r="C4845" s="31">
        <v>5</v>
      </c>
      <c r="D4845" s="18"/>
      <c r="E4845" s="17" t="s">
        <v>5524</v>
      </c>
      <c r="F4845" s="17"/>
      <c r="G4845" s="18"/>
      <c r="H4845" s="18"/>
    </row>
    <row r="4846" spans="1:8" ht="13.2">
      <c r="A4846" s="19" t="str">
        <f>HYPERLINK("http://codeforces.com/contest/300/problem/C","CF300-D2-C")</f>
        <v>CF300-D2-C</v>
      </c>
      <c r="B4846" s="29" t="s">
        <v>5565</v>
      </c>
      <c r="C4846" s="17">
        <v>5</v>
      </c>
      <c r="D4846" s="18"/>
      <c r="E4846" s="17" t="s">
        <v>5524</v>
      </c>
      <c r="F4846" s="17"/>
      <c r="G4846" s="18"/>
      <c r="H4846" s="18"/>
    </row>
    <row r="4847" spans="1:8" ht="13.2">
      <c r="A4847" s="19" t="str">
        <f>HYPERLINK("https://www.hackerrank.com/challenges/choose-and-calculate","HACKR choose-and-calculate")</f>
        <v>HACKR choose-and-calculate</v>
      </c>
      <c r="B4847" s="29" t="s">
        <v>5566</v>
      </c>
      <c r="C4847" s="17">
        <v>5</v>
      </c>
      <c r="D4847" s="18"/>
      <c r="E4847" s="17" t="s">
        <v>5524</v>
      </c>
      <c r="F4847" s="17"/>
      <c r="G4847" s="18"/>
      <c r="H4847" s="18"/>
    </row>
    <row r="4848" spans="1:8" ht="13.2">
      <c r="A4848" s="15" t="s">
        <v>5567</v>
      </c>
      <c r="B4848" s="30" t="s">
        <v>5568</v>
      </c>
      <c r="C4848" s="24">
        <v>5</v>
      </c>
      <c r="D4848" s="26" t="str">
        <f>HYPERLINK("https://github.com/Andres-Unt/problem_solving/blob/master/TopCoder/SRM467-D1-500.cpp","Sol")</f>
        <v>Sol</v>
      </c>
      <c r="E4848" s="17" t="s">
        <v>5524</v>
      </c>
      <c r="F4848" s="17"/>
      <c r="G4848" s="18"/>
      <c r="H4848" s="18"/>
    </row>
    <row r="4849" spans="1:8" ht="13.2">
      <c r="A4849" s="15" t="s">
        <v>5569</v>
      </c>
      <c r="B4849" s="28" t="s">
        <v>5570</v>
      </c>
      <c r="C4849" s="17">
        <v>5</v>
      </c>
      <c r="D4849" s="18"/>
      <c r="E4849" s="17" t="s">
        <v>5524</v>
      </c>
      <c r="F4849" s="17"/>
      <c r="G4849" s="18"/>
      <c r="H4849" s="18"/>
    </row>
    <row r="4850" spans="1:8" ht="13.2">
      <c r="A4850" s="15" t="s">
        <v>5571</v>
      </c>
      <c r="B4850" s="30" t="s">
        <v>5540</v>
      </c>
      <c r="C4850" s="33">
        <v>4</v>
      </c>
      <c r="D4850" s="26" t="str">
        <f>HYPERLINK("https://github.com/yazanKabbany/CompetitiveProgramming/blob/master/LIVEARCHIVE/LIVEARCHIVE%205990.cpp","Sol")</f>
        <v>Sol</v>
      </c>
      <c r="E4850" s="17" t="s">
        <v>5524</v>
      </c>
      <c r="F4850" s="17"/>
      <c r="G4850" s="18"/>
      <c r="H4850" s="18"/>
    </row>
    <row r="4851" spans="1:8" ht="13.2">
      <c r="A4851" s="19" t="str">
        <f>HYPERLINK("https://www.hackerrank.com/challenges/game-of-throne-ii","HACKR game-of-throne-ii")</f>
        <v>HACKR game-of-throne-ii</v>
      </c>
      <c r="B4851" s="29" t="s">
        <v>5572</v>
      </c>
      <c r="C4851" s="33">
        <v>4</v>
      </c>
      <c r="D4851" s="18"/>
      <c r="E4851" s="17" t="s">
        <v>5524</v>
      </c>
      <c r="F4851" s="17"/>
      <c r="G4851" s="18"/>
      <c r="H4851" s="18"/>
    </row>
    <row r="4852" spans="1:8" ht="13.2">
      <c r="A4852" s="15" t="s">
        <v>5573</v>
      </c>
      <c r="B4852" s="43" t="s">
        <v>5574</v>
      </c>
      <c r="C4852" s="24">
        <v>8</v>
      </c>
      <c r="D4852" s="18"/>
      <c r="E4852" s="17" t="s">
        <v>5575</v>
      </c>
      <c r="F4852" s="17"/>
      <c r="G4852" s="18"/>
      <c r="H4852" s="18"/>
    </row>
    <row r="4853" spans="1:8" ht="13.2">
      <c r="A4853" s="19" t="str">
        <f>HYPERLINK("https://codeforces.com/contest/1208/problem/G", "CF1208-D12-G")</f>
        <v>CF1208-D12-G</v>
      </c>
      <c r="B4853" s="15" t="s">
        <v>5576</v>
      </c>
      <c r="C4853" s="17">
        <v>7.75</v>
      </c>
      <c r="D4853" s="18"/>
      <c r="E4853" s="17" t="s">
        <v>5575</v>
      </c>
      <c r="F4853" s="17" t="s">
        <v>139</v>
      </c>
      <c r="G4853" s="18"/>
      <c r="H4853" s="18"/>
    </row>
    <row r="4854" spans="1:8" ht="13.2">
      <c r="A4854" s="19" t="str">
        <f>HYPERLINK("https://www.codechef.com/problems/CNTDSETS","CODECHEF CNTDSETS")</f>
        <v>CODECHEF CNTDSETS</v>
      </c>
      <c r="B4854" s="18" t="s">
        <v>5577</v>
      </c>
      <c r="C4854" s="17">
        <v>7.5</v>
      </c>
      <c r="D4854" s="18"/>
      <c r="E4854" s="17" t="s">
        <v>5575</v>
      </c>
      <c r="F4854" s="17"/>
      <c r="G4854" s="18"/>
      <c r="H4854" s="18"/>
    </row>
    <row r="4855" spans="1:8" ht="13.2">
      <c r="A4855" s="15" t="s">
        <v>5578</v>
      </c>
      <c r="B4855" s="30" t="s">
        <v>5579</v>
      </c>
      <c r="C4855" s="17">
        <v>7.25</v>
      </c>
      <c r="D4855" s="26" t="str">
        <f>HYPERLINK("https://github.com/mostafa-saad/MyCompetitiveProgramming/blob/master/UVA/UVA_10837.txt","Sol")</f>
        <v>Sol</v>
      </c>
      <c r="E4855" s="17" t="s">
        <v>5575</v>
      </c>
      <c r="F4855" s="17" t="s">
        <v>139</v>
      </c>
      <c r="G4855" s="18"/>
      <c r="H4855" s="18"/>
    </row>
    <row r="4856" spans="1:8" ht="13.2">
      <c r="A4856" s="15" t="s">
        <v>5580</v>
      </c>
      <c r="B4856" s="30" t="s">
        <v>5581</v>
      </c>
      <c r="C4856" s="54">
        <v>7.1</v>
      </c>
      <c r="D4856" s="26" t="str">
        <f>HYPERLINK("https://github.com/mostafa-saad/MyCompetitiveProgramming/blob/master/LiveArchive/LIVEARCHIVE_3343.txt","Sol")</f>
        <v>Sol</v>
      </c>
      <c r="E4856" s="17" t="s">
        <v>5575</v>
      </c>
      <c r="F4856" s="17" t="s">
        <v>173</v>
      </c>
      <c r="G4856" s="18"/>
      <c r="H4856" s="18"/>
    </row>
    <row r="4857" spans="1:8" ht="13.2">
      <c r="A4857" s="15" t="s">
        <v>5582</v>
      </c>
      <c r="B4857" s="28" t="s">
        <v>5583</v>
      </c>
      <c r="C4857" s="24">
        <v>7</v>
      </c>
      <c r="D4857" s="26" t="str">
        <f>HYPERLINK("https://github.com/mostafa-saad/MyCompetitiveProgramming/blob/master/LiveArchive/LIVEARCHIVE_3343.txt","Sol. Solve LIVEARCHIVE 3343 first")</f>
        <v>Sol. Solve LIVEARCHIVE 3343 first</v>
      </c>
      <c r="E4857" s="17" t="s">
        <v>5575</v>
      </c>
      <c r="F4857" s="17" t="s">
        <v>154</v>
      </c>
      <c r="G4857" s="18"/>
      <c r="H4857" s="18"/>
    </row>
    <row r="4858" spans="1:8" ht="13.2">
      <c r="A4858" s="15" t="s">
        <v>5584</v>
      </c>
      <c r="B4858" s="28" t="s">
        <v>5585</v>
      </c>
      <c r="C4858" s="24">
        <v>7</v>
      </c>
      <c r="D4858" s="18"/>
      <c r="E4858" s="17" t="s">
        <v>5575</v>
      </c>
      <c r="F4858" s="17" t="s">
        <v>139</v>
      </c>
      <c r="G4858" s="18"/>
      <c r="H4858" s="18"/>
    </row>
    <row r="4859" spans="1:8" ht="13.2">
      <c r="A4859" s="15" t="s">
        <v>5586</v>
      </c>
      <c r="B4859" s="28" t="s">
        <v>5587</v>
      </c>
      <c r="C4859" s="24">
        <v>7</v>
      </c>
      <c r="D4859" s="26" t="str">
        <f>HYPERLINK("https://github.com/sggutier/CompetitiveProgramming/blob/master/SPOJ/MSE08H.cpp","Sol")</f>
        <v>Sol</v>
      </c>
      <c r="E4859" s="17" t="s">
        <v>5575</v>
      </c>
      <c r="F4859" s="17"/>
      <c r="G4859" s="18"/>
      <c r="H4859" s="18"/>
    </row>
    <row r="4860" spans="1:8" ht="13.2">
      <c r="A4860" s="15" t="s">
        <v>5588</v>
      </c>
      <c r="B4860" s="29" t="s">
        <v>5589</v>
      </c>
      <c r="C4860" s="17">
        <v>7</v>
      </c>
      <c r="D4860" s="18"/>
      <c r="E4860" s="17" t="s">
        <v>5575</v>
      </c>
      <c r="F4860" s="17"/>
      <c r="G4860" s="18"/>
      <c r="H4860" s="18"/>
    </row>
    <row r="4861" spans="1:8" ht="13.2">
      <c r="A4861" s="15" t="s">
        <v>5590</v>
      </c>
      <c r="B4861" s="28" t="s">
        <v>5591</v>
      </c>
      <c r="C4861" s="17">
        <v>7</v>
      </c>
      <c r="D4861" s="18"/>
      <c r="E4861" s="17" t="s">
        <v>5575</v>
      </c>
      <c r="F4861" s="17"/>
      <c r="G4861" s="18"/>
      <c r="H4861" s="18"/>
    </row>
    <row r="4862" spans="1:8" ht="13.2">
      <c r="A4862" s="19" t="str">
        <f>HYPERLINK("https://codeforces.com/contest/906/problem/D","CF906-D1-D")</f>
        <v>CF906-D1-D</v>
      </c>
      <c r="B4862" s="61" t="s">
        <v>5592</v>
      </c>
      <c r="C4862" s="17">
        <v>7</v>
      </c>
      <c r="D4862" s="18"/>
      <c r="E4862" s="17" t="s">
        <v>5575</v>
      </c>
      <c r="F4862" s="17"/>
      <c r="G4862" s="18"/>
      <c r="H4862" s="18"/>
    </row>
    <row r="4863" spans="1:8" ht="13.2">
      <c r="A4863" s="15" t="s">
        <v>5593</v>
      </c>
      <c r="B4863" s="28" t="s">
        <v>5594</v>
      </c>
      <c r="C4863" s="17">
        <v>6.5</v>
      </c>
      <c r="D4863" s="26" t="str">
        <f>HYPERLINK("https://github.com/omaryasser/Competitive-Programming/blob/master/UVA%20Solutions/11440%20-%20Help%20Tomisu.cpp","Sol")</f>
        <v>Sol</v>
      </c>
      <c r="E4863" s="17" t="s">
        <v>5575</v>
      </c>
      <c r="F4863" s="17" t="s">
        <v>229</v>
      </c>
      <c r="G4863" s="18"/>
      <c r="H4863" s="18"/>
    </row>
    <row r="4864" spans="1:8" ht="13.2">
      <c r="A4864" s="15" t="s">
        <v>5595</v>
      </c>
      <c r="B4864" s="29" t="s">
        <v>5596</v>
      </c>
      <c r="C4864" s="24">
        <v>6.5</v>
      </c>
      <c r="D4864" s="18"/>
      <c r="E4864" s="17" t="s">
        <v>5575</v>
      </c>
      <c r="F4864" s="17"/>
      <c r="G4864" s="18"/>
      <c r="H4864" s="18"/>
    </row>
    <row r="4865" spans="1:8" ht="13.2">
      <c r="A4865" s="19" t="str">
        <f>HYPERLINK("https://codeforces.com/contest/1114/problem/F","CF114-D2-F")</f>
        <v>CF114-D2-F</v>
      </c>
      <c r="B4865" s="15" t="s">
        <v>5596</v>
      </c>
      <c r="C4865" s="17">
        <v>6.25</v>
      </c>
      <c r="D4865" s="18"/>
      <c r="E4865" s="17" t="s">
        <v>5575</v>
      </c>
      <c r="F4865" s="17" t="s">
        <v>201</v>
      </c>
      <c r="G4865" s="18"/>
      <c r="H4865" s="18"/>
    </row>
    <row r="4866" spans="1:8" ht="13.2">
      <c r="A4866" s="19" t="str">
        <f>HYPERLINK("http://codeforces.com/gym/100975/standings/friends/true","CF100957-GYM-F")</f>
        <v>CF100957-GYM-F</v>
      </c>
      <c r="B4866" s="36" t="s">
        <v>5596</v>
      </c>
      <c r="C4866" s="17">
        <v>6.25</v>
      </c>
      <c r="D4866" s="18"/>
      <c r="E4866" s="17" t="s">
        <v>5575</v>
      </c>
      <c r="F4866" s="17"/>
      <c r="G4866" s="18"/>
      <c r="H4866" s="18"/>
    </row>
    <row r="4867" spans="1:8" ht="13.2">
      <c r="A4867" s="15" t="s">
        <v>5597</v>
      </c>
      <c r="B4867" s="30" t="s">
        <v>5598</v>
      </c>
      <c r="C4867" s="31">
        <v>6.25</v>
      </c>
      <c r="D4867" s="18"/>
      <c r="E4867" s="17" t="s">
        <v>5575</v>
      </c>
      <c r="F4867" s="17"/>
      <c r="G4867" s="18"/>
      <c r="H4867" s="18"/>
    </row>
    <row r="4868" spans="1:8" ht="13.2">
      <c r="A4868" s="15" t="s">
        <v>5599</v>
      </c>
      <c r="B4868" s="43" t="s">
        <v>5596</v>
      </c>
      <c r="C4868" s="24">
        <v>6</v>
      </c>
      <c r="D4868" s="18"/>
      <c r="E4868" s="17" t="s">
        <v>5575</v>
      </c>
      <c r="F4868" s="17" t="s">
        <v>255</v>
      </c>
      <c r="G4868" s="18"/>
      <c r="H4868" s="18"/>
    </row>
    <row r="4869" spans="1:8" ht="13.2">
      <c r="A4869" s="15" t="s">
        <v>5600</v>
      </c>
      <c r="B4869" s="43" t="s">
        <v>5601</v>
      </c>
      <c r="C4869" s="24">
        <v>6</v>
      </c>
      <c r="D4869" s="26" t="str">
        <f>HYPERLINK("https://www.quora.com/How-can-I-solve-the-problem-GCD-Extreme-GCDEX-on-SPOJ","Sol")</f>
        <v>Sol</v>
      </c>
      <c r="E4869" s="17" t="s">
        <v>5575</v>
      </c>
      <c r="F4869" s="17" t="s">
        <v>139</v>
      </c>
      <c r="G4869" s="18"/>
      <c r="H4869" s="18"/>
    </row>
    <row r="4870" spans="1:8" ht="13.2">
      <c r="A4870" s="19" t="str">
        <f>HYPERLINK("https://www.hackerrank.com/challenges/hyperrectangle-gcd/problem","HACKR hyperrectangle-gcd")</f>
        <v>HACKR hyperrectangle-gcd</v>
      </c>
      <c r="B4870" s="15" t="s">
        <v>5596</v>
      </c>
      <c r="C4870" s="17">
        <v>6</v>
      </c>
      <c r="D4870" s="18"/>
      <c r="E4870" s="17" t="s">
        <v>5575</v>
      </c>
      <c r="F4870" s="17"/>
      <c r="G4870" s="18"/>
      <c r="H4870" s="18"/>
    </row>
    <row r="4871" spans="1:8" ht="13.2">
      <c r="A4871" s="15" t="s">
        <v>5602</v>
      </c>
      <c r="B4871" s="28" t="s">
        <v>5603</v>
      </c>
      <c r="C4871" s="24">
        <v>6</v>
      </c>
      <c r="D4871" s="18"/>
      <c r="E4871" s="17" t="s">
        <v>5575</v>
      </c>
      <c r="F4871" s="17"/>
      <c r="G4871" s="18"/>
      <c r="H4871" s="18"/>
    </row>
    <row r="4872" spans="1:8" ht="13.2">
      <c r="A4872" s="15" t="s">
        <v>5604</v>
      </c>
      <c r="B4872" s="43" t="s">
        <v>5596</v>
      </c>
      <c r="C4872" s="24">
        <v>5.5</v>
      </c>
      <c r="D4872" s="18"/>
      <c r="E4872" s="17" t="s">
        <v>5575</v>
      </c>
      <c r="F4872" s="17"/>
      <c r="G4872" s="18"/>
      <c r="H4872" s="18"/>
    </row>
    <row r="4873" spans="1:8" ht="13.2">
      <c r="A4873" s="19" t="str">
        <f>HYPERLINK("http://codeforces.com/gym/101778","CF101778-GYM-C")</f>
        <v>CF101778-GYM-C</v>
      </c>
      <c r="B4873" s="15" t="s">
        <v>5596</v>
      </c>
      <c r="C4873" s="17">
        <v>5</v>
      </c>
      <c r="D4873" s="26" t="str">
        <f>HYPERLINK("https://github.com/SpeedOfMagic/CompetitiveProgramming/blob/master/CodeforcesGym/CF101778-GYM-C.cpp","Sol")</f>
        <v>Sol</v>
      </c>
      <c r="E4873" s="17" t="s">
        <v>5575</v>
      </c>
      <c r="F4873" s="17" t="s">
        <v>201</v>
      </c>
      <c r="G4873" s="18"/>
      <c r="H4873" s="18"/>
    </row>
    <row r="4874" spans="1:8" ht="13.2">
      <c r="A4874" s="15" t="s">
        <v>5605</v>
      </c>
      <c r="B4874" s="15" t="s">
        <v>5596</v>
      </c>
      <c r="C4874" s="17">
        <v>5</v>
      </c>
      <c r="D4874" s="26" t="str">
        <f>HYPERLINK("https://www.quora.com/What-is-the-algorithm-behind-the-LCM-Sum-problem-on-SPOJ","Sol")</f>
        <v>Sol</v>
      </c>
      <c r="E4874" s="17" t="s">
        <v>5575</v>
      </c>
      <c r="F4874" s="17"/>
      <c r="G4874" s="18"/>
      <c r="H4874" s="18"/>
    </row>
    <row r="4875" spans="1:8" ht="13.2">
      <c r="A4875" s="15" t="s">
        <v>5606</v>
      </c>
      <c r="B4875" s="43" t="s">
        <v>5596</v>
      </c>
      <c r="C4875" s="24">
        <v>5</v>
      </c>
      <c r="D4875" s="18"/>
      <c r="E4875" s="17" t="s">
        <v>5575</v>
      </c>
      <c r="F4875" s="17"/>
      <c r="G4875" s="18"/>
      <c r="H4875" s="18"/>
    </row>
    <row r="4876" spans="1:8" ht="13.2">
      <c r="A4876" s="19" t="str">
        <f>HYPERLINK("http://codeforces.com/contest/1009/problem/D","CF1009-D2-D")</f>
        <v>CF1009-D2-D</v>
      </c>
      <c r="B4876" s="20" t="s">
        <v>5607</v>
      </c>
      <c r="C4876" s="21">
        <v>5</v>
      </c>
      <c r="D4876" s="18"/>
      <c r="E4876" s="17" t="s">
        <v>5575</v>
      </c>
      <c r="F4876" s="17"/>
      <c r="G4876" s="18"/>
      <c r="H4876" s="18"/>
    </row>
    <row r="4877" spans="1:8" ht="13.2">
      <c r="A4877" s="15" t="s">
        <v>5608</v>
      </c>
      <c r="B4877" s="28" t="s">
        <v>5609</v>
      </c>
      <c r="C4877" s="24">
        <v>5</v>
      </c>
      <c r="D4877" s="26" t="str">
        <f>HYPERLINK("https://github.com/sggutier/CompetitiveProgramming/blob/master/UVa/11424.cpp","Sol")</f>
        <v>Sol</v>
      </c>
      <c r="E4877" s="17" t="s">
        <v>5575</v>
      </c>
      <c r="F4877" s="17"/>
      <c r="G4877" s="18"/>
      <c r="H4877" s="18"/>
    </row>
    <row r="4878" spans="1:8" ht="13.2">
      <c r="A4878" s="15" t="s">
        <v>5610</v>
      </c>
      <c r="B4878" s="43" t="s">
        <v>5596</v>
      </c>
      <c r="C4878" s="24">
        <v>4.5</v>
      </c>
      <c r="D4878" s="18"/>
      <c r="E4878" s="17" t="s">
        <v>5575</v>
      </c>
      <c r="F4878" s="17"/>
      <c r="G4878" s="18"/>
      <c r="H4878" s="18"/>
    </row>
    <row r="4879" spans="1:8" ht="13.2">
      <c r="A4879" s="15" t="s">
        <v>5611</v>
      </c>
      <c r="B4879" s="43" t="s">
        <v>5596</v>
      </c>
      <c r="C4879" s="24">
        <v>3</v>
      </c>
      <c r="D4879" s="18"/>
      <c r="E4879" s="17" t="s">
        <v>5575</v>
      </c>
      <c r="F4879" s="17" t="s">
        <v>229</v>
      </c>
      <c r="G4879" s="18"/>
      <c r="H4879" s="18"/>
    </row>
    <row r="4880" spans="1:8" ht="13.2">
      <c r="A4880" s="15" t="s">
        <v>5612</v>
      </c>
      <c r="B4880" s="28" t="s">
        <v>5596</v>
      </c>
      <c r="C4880" s="54">
        <v>3</v>
      </c>
      <c r="D4880" s="18"/>
      <c r="E4880" s="17" t="s">
        <v>5575</v>
      </c>
      <c r="F4880" s="17"/>
      <c r="G4880" s="18"/>
      <c r="H4880" s="18"/>
    </row>
    <row r="4881" spans="1:8" ht="13.2">
      <c r="A4881" s="15" t="s">
        <v>5613</v>
      </c>
      <c r="B4881" s="43" t="s">
        <v>5596</v>
      </c>
      <c r="C4881" s="40">
        <v>3</v>
      </c>
      <c r="D4881" s="18"/>
      <c r="E4881" s="17" t="s">
        <v>5575</v>
      </c>
      <c r="F4881" s="17"/>
      <c r="G4881" s="18"/>
      <c r="H4881" s="18"/>
    </row>
    <row r="4882" spans="1:8" ht="13.2">
      <c r="A4882" s="15" t="s">
        <v>5614</v>
      </c>
      <c r="B4882" s="15" t="s">
        <v>5615</v>
      </c>
      <c r="C4882" s="17">
        <v>8</v>
      </c>
      <c r="D4882" s="26" t="str">
        <f>HYPERLINK("https://www.quora.com/How-do-I-solve-the-SPOJ-question-GCDEX2-GCD-extremely-hard","Sol")</f>
        <v>Sol</v>
      </c>
      <c r="E4882" s="17" t="s">
        <v>5616</v>
      </c>
      <c r="F4882" s="17"/>
      <c r="G4882" s="18"/>
      <c r="H4882" s="18"/>
    </row>
    <row r="4883" spans="1:8" ht="13.2">
      <c r="A4883" s="19" t="str">
        <f>HYPERLINK("https://codeforces.com/gym/101908/problem/A","CF101908-GYM-A")</f>
        <v>CF101908-GYM-A</v>
      </c>
      <c r="B4883" s="20" t="s">
        <v>5617</v>
      </c>
      <c r="C4883" s="21">
        <v>7.5</v>
      </c>
      <c r="D4883" s="26" t="str">
        <f>HYPERLINK("https://github.com/swapnil119/CompetitiveProgramming/blob/master/CompetitiveProgramming/Codeforces/CF101908-GYM-A.cpp","Sol")</f>
        <v>Sol</v>
      </c>
      <c r="E4883" s="17" t="s">
        <v>5616</v>
      </c>
      <c r="F4883" s="17" t="s">
        <v>139</v>
      </c>
      <c r="G4883" s="18"/>
      <c r="H4883" s="18"/>
    </row>
    <row r="4884" spans="1:8" ht="13.2">
      <c r="A4884" s="19" t="str">
        <f>HYPERLINK("https://www.codechef.com/problems/LCM","CODECHEF LCM")</f>
        <v>CODECHEF LCM</v>
      </c>
      <c r="B4884" s="15" t="s">
        <v>5618</v>
      </c>
      <c r="C4884" s="17">
        <v>7</v>
      </c>
      <c r="D4884" s="18"/>
      <c r="E4884" s="17" t="s">
        <v>5616</v>
      </c>
      <c r="F4884" s="17"/>
      <c r="G4884" s="18"/>
      <c r="H4884" s="18"/>
    </row>
    <row r="4885" spans="1:8" ht="13.2">
      <c r="A4885" s="15" t="s">
        <v>5619</v>
      </c>
      <c r="B4885" s="28" t="s">
        <v>5620</v>
      </c>
      <c r="C4885" s="54">
        <v>6.5</v>
      </c>
      <c r="D4885" s="18"/>
      <c r="E4885" s="17" t="s">
        <v>5616</v>
      </c>
      <c r="F4885" s="17"/>
      <c r="G4885" s="18"/>
      <c r="H4885" s="18"/>
    </row>
    <row r="4886" spans="1:8" ht="13.2">
      <c r="A4886" s="19" t="str">
        <f>HYPERLINK("http://www.spoj.com/problems/SQFREE/","SPOJ SQFREE")</f>
        <v>SPOJ SQFREE</v>
      </c>
      <c r="B4886" s="28" t="s">
        <v>5621</v>
      </c>
      <c r="C4886" s="24">
        <v>6.25</v>
      </c>
      <c r="D4886" s="26" t="str">
        <f>HYPERLINK("https://github.com/Huvok/CompetitiveProgramming/blob/master/SPOJ/SQFREE.cpp", "Sol")</f>
        <v>Sol</v>
      </c>
      <c r="E4886" s="17" t="s">
        <v>5616</v>
      </c>
      <c r="F4886" s="17" t="s">
        <v>154</v>
      </c>
      <c r="G4886" s="18"/>
      <c r="H4886" s="18"/>
    </row>
    <row r="4887" spans="1:8" ht="13.2">
      <c r="A4887" s="19" t="str">
        <f>HYPERLINK("https://codeforces.com/contest/803/problem/F","CF803-D12-F")</f>
        <v>CF803-D12-F</v>
      </c>
      <c r="B4887" s="15" t="s">
        <v>5621</v>
      </c>
      <c r="C4887" s="17">
        <v>6.25</v>
      </c>
      <c r="D4887" s="18"/>
      <c r="E4887" s="17" t="s">
        <v>5616</v>
      </c>
      <c r="F4887" s="17" t="s">
        <v>139</v>
      </c>
      <c r="G4887" s="18"/>
      <c r="H4887" s="18"/>
    </row>
    <row r="4888" spans="1:8" ht="13.2">
      <c r="A4888" s="19" t="str">
        <f>HYPERLINK("http://codeforces.com/contest/900/problem/D","CF900-D2-D")</f>
        <v>CF900-D2-D</v>
      </c>
      <c r="B4888" s="36" t="s">
        <v>5622</v>
      </c>
      <c r="C4888" s="17">
        <v>6</v>
      </c>
      <c r="D4888" s="26" t="str">
        <f>HYPERLINK("https://github.com/MedoN11/CompetitiveProgramming/blob/master/CodeForces/CF450-D2-D.cpp","Sol")</f>
        <v>Sol</v>
      </c>
      <c r="E4888" s="17" t="s">
        <v>5616</v>
      </c>
      <c r="F4888" s="17" t="s">
        <v>139</v>
      </c>
      <c r="G4888" s="18"/>
      <c r="H4888" s="18"/>
    </row>
    <row r="4889" spans="1:8" ht="13.2">
      <c r="A4889" s="19" t="str">
        <f>HYPERLINK("https://www.codechef.com/problems/EXGCD","CODECHEF EXGCD")</f>
        <v>CODECHEF EXGCD</v>
      </c>
      <c r="B4889" s="15" t="s">
        <v>5620</v>
      </c>
      <c r="C4889" s="17">
        <v>5</v>
      </c>
      <c r="D4889" s="18"/>
      <c r="E4889" s="17" t="s">
        <v>5616</v>
      </c>
      <c r="F4889" s="17"/>
      <c r="G4889" s="18"/>
      <c r="H4889" s="18"/>
    </row>
    <row r="4890" spans="1:8" ht="13.2">
      <c r="A4890" s="19" t="str">
        <f>HYPERLINK("https://www.codechef.com/problems/COPRIME3","CODECHEF COPRIME3")</f>
        <v>CODECHEF COPRIME3</v>
      </c>
      <c r="B4890" s="15" t="s">
        <v>5620</v>
      </c>
      <c r="C4890" s="17">
        <v>4.5</v>
      </c>
      <c r="D4890" s="18"/>
      <c r="E4890" s="17" t="s">
        <v>5616</v>
      </c>
      <c r="F4890" s="17"/>
      <c r="G4890" s="18"/>
      <c r="H4890" s="18"/>
    </row>
    <row r="4891" spans="1:8" ht="13.2">
      <c r="A4891" s="15" t="s">
        <v>5623</v>
      </c>
      <c r="B4891" s="30" t="s">
        <v>5620</v>
      </c>
      <c r="C4891" s="54">
        <v>4</v>
      </c>
      <c r="D4891" s="18"/>
      <c r="E4891" s="17" t="s">
        <v>5616</v>
      </c>
      <c r="F4891" s="17"/>
      <c r="G4891" s="18"/>
      <c r="H4891" s="18"/>
    </row>
    <row r="4892" spans="1:8" ht="13.2">
      <c r="A4892" s="15" t="s">
        <v>5624</v>
      </c>
      <c r="B4892" s="18" t="s">
        <v>5625</v>
      </c>
      <c r="C4892" s="17">
        <v>8.5</v>
      </c>
      <c r="D4892" s="18"/>
      <c r="E4892" s="17" t="s">
        <v>5626</v>
      </c>
      <c r="F4892" s="17"/>
      <c r="G4892" s="18"/>
      <c r="H4892" s="18"/>
    </row>
    <row r="4893" spans="1:8" ht="13.2">
      <c r="A4893" s="15" t="s">
        <v>5627</v>
      </c>
      <c r="B4893" s="16" t="s">
        <v>5628</v>
      </c>
      <c r="C4893" s="17">
        <v>8</v>
      </c>
      <c r="D4893" s="18"/>
      <c r="E4893" s="17" t="s">
        <v>5626</v>
      </c>
      <c r="F4893" s="17"/>
      <c r="G4893" s="18"/>
      <c r="H4893" s="18"/>
    </row>
    <row r="4894" spans="1:8" ht="13.2">
      <c r="A4894" s="15" t="s">
        <v>5629</v>
      </c>
      <c r="B4894" s="29" t="s">
        <v>5630</v>
      </c>
      <c r="C4894" s="24">
        <v>7.25</v>
      </c>
      <c r="D4894" s="18"/>
      <c r="E4894" s="17" t="s">
        <v>5626</v>
      </c>
      <c r="F4894" s="17"/>
      <c r="G4894" s="18"/>
      <c r="H4894" s="18"/>
    </row>
    <row r="4895" spans="1:8" ht="13.2">
      <c r="A4895" s="15" t="s">
        <v>5631</v>
      </c>
      <c r="B4895" s="43" t="s">
        <v>5632</v>
      </c>
      <c r="C4895" s="24">
        <v>6.75</v>
      </c>
      <c r="D4895" s="18" t="s">
        <v>5633</v>
      </c>
      <c r="E4895" s="17" t="s">
        <v>5626</v>
      </c>
      <c r="F4895" s="17"/>
      <c r="G4895" s="18"/>
      <c r="H4895" s="18"/>
    </row>
    <row r="4896" spans="1:8" ht="13.2">
      <c r="A4896" s="15" t="s">
        <v>5634</v>
      </c>
      <c r="B4896" s="30" t="s">
        <v>5635</v>
      </c>
      <c r="C4896" s="24">
        <v>6.5</v>
      </c>
      <c r="D4896" s="18" t="s">
        <v>118</v>
      </c>
      <c r="E4896" s="17" t="s">
        <v>5626</v>
      </c>
      <c r="F4896" s="17"/>
      <c r="G4896" s="18"/>
      <c r="H4896" s="18"/>
    </row>
    <row r="4897" spans="1:8" ht="13.2">
      <c r="A4897" s="15" t="s">
        <v>5636</v>
      </c>
      <c r="B4897" s="28" t="s">
        <v>5637</v>
      </c>
      <c r="C4897" s="24">
        <v>6.5</v>
      </c>
      <c r="D4897" s="18"/>
      <c r="E4897" s="17" t="s">
        <v>5626</v>
      </c>
      <c r="F4897" s="17"/>
      <c r="G4897" s="18"/>
      <c r="H4897" s="18"/>
    </row>
    <row r="4898" spans="1:8" ht="13.2">
      <c r="A4898" s="15" t="s">
        <v>5638</v>
      </c>
      <c r="B4898" s="28" t="s">
        <v>5639</v>
      </c>
      <c r="C4898" s="17">
        <v>4</v>
      </c>
      <c r="D4898" s="18"/>
      <c r="E4898" s="17" t="s">
        <v>5626</v>
      </c>
      <c r="F4898" s="17" t="s">
        <v>201</v>
      </c>
      <c r="G4898" s="18"/>
      <c r="H4898" s="18"/>
    </row>
    <row r="4899" spans="1:8" ht="13.2">
      <c r="A4899" s="15" t="s">
        <v>5640</v>
      </c>
      <c r="B4899" s="28" t="s">
        <v>5641</v>
      </c>
      <c r="C4899" s="24">
        <v>4</v>
      </c>
      <c r="D4899" s="18"/>
      <c r="E4899" s="17" t="s">
        <v>5626</v>
      </c>
      <c r="F4899" s="17"/>
      <c r="G4899" s="18"/>
      <c r="H4899" s="18"/>
    </row>
    <row r="4900" spans="1:8" ht="13.2">
      <c r="A4900" s="19" t="str">
        <f>HYPERLINK("https://www.codechef.com/problems/EST","CODECHEF EST")</f>
        <v>CODECHEF EST</v>
      </c>
      <c r="B4900" s="28" t="s">
        <v>5642</v>
      </c>
      <c r="C4900" s="24">
        <v>7.5</v>
      </c>
      <c r="D4900" s="18"/>
      <c r="E4900" s="17" t="s">
        <v>5643</v>
      </c>
      <c r="F4900" s="17"/>
      <c r="G4900" s="18"/>
      <c r="H4900" s="18"/>
    </row>
    <row r="4901" spans="1:8" ht="13.2">
      <c r="A4901" s="15" t="s">
        <v>5644</v>
      </c>
      <c r="B4901" s="30" t="s">
        <v>5645</v>
      </c>
      <c r="C4901" s="24">
        <v>7</v>
      </c>
      <c r="D4901" s="18"/>
      <c r="E4901" s="17" t="s">
        <v>5643</v>
      </c>
      <c r="F4901" s="17"/>
      <c r="G4901" s="18"/>
      <c r="H4901" s="18"/>
    </row>
    <row r="4902" spans="1:8" ht="13.2">
      <c r="A4902" s="15" t="s">
        <v>5646</v>
      </c>
      <c r="B4902" s="15" t="s">
        <v>5647</v>
      </c>
      <c r="C4902" s="17">
        <v>6.75</v>
      </c>
      <c r="D4902" s="18"/>
      <c r="E4902" s="17" t="s">
        <v>5643</v>
      </c>
      <c r="F4902" s="17" t="s">
        <v>139</v>
      </c>
      <c r="G4902" s="18"/>
      <c r="H4902" s="18"/>
    </row>
    <row r="4903" spans="1:8" ht="13.2">
      <c r="A4903" s="15" t="s">
        <v>5648</v>
      </c>
      <c r="B4903" s="28" t="s">
        <v>5649</v>
      </c>
      <c r="C4903" s="24">
        <v>6.75</v>
      </c>
      <c r="D4903" s="18"/>
      <c r="E4903" s="17" t="s">
        <v>5643</v>
      </c>
      <c r="F4903" s="17"/>
      <c r="G4903" s="18"/>
      <c r="H4903" s="18"/>
    </row>
    <row r="4904" spans="1:8" ht="13.2">
      <c r="A4904" s="19" t="str">
        <f>HYPERLINK("https://www.codechef.com/problems/PPTREE","CODECHEF PPTREE")</f>
        <v>CODECHEF PPTREE</v>
      </c>
      <c r="B4904" s="18" t="s">
        <v>5650</v>
      </c>
      <c r="C4904" s="17">
        <v>6.5</v>
      </c>
      <c r="D4904" s="18"/>
      <c r="E4904" s="17" t="s">
        <v>5643</v>
      </c>
      <c r="F4904" s="17"/>
      <c r="G4904" s="18"/>
      <c r="H4904" s="18"/>
    </row>
    <row r="4905" spans="1:8" ht="13.2">
      <c r="A4905" s="15" t="s">
        <v>5651</v>
      </c>
      <c r="B4905" s="28" t="s">
        <v>5652</v>
      </c>
      <c r="C4905" s="17">
        <v>6.25</v>
      </c>
      <c r="D4905" s="26" t="str">
        <f>HYPERLINK("https://github.com/mostafa-saad/MyCompetitiveProgramming/blob/master/LiveArchive/LiveArchive_5792.txt","Sol")</f>
        <v>Sol</v>
      </c>
      <c r="E4905" s="17" t="s">
        <v>5643</v>
      </c>
      <c r="F4905" s="17" t="s">
        <v>1053</v>
      </c>
      <c r="G4905" s="18"/>
      <c r="H4905" s="18"/>
    </row>
    <row r="4906" spans="1:8" ht="13.2">
      <c r="A4906" s="19" t="str">
        <f>HYPERLINK("https://www.codechef.com/problems/GPD","CODECHEF GPD")</f>
        <v>CODECHEF GPD</v>
      </c>
      <c r="B4906" s="23" t="s">
        <v>5653</v>
      </c>
      <c r="C4906" s="17">
        <v>6.25</v>
      </c>
      <c r="D4906" s="18"/>
      <c r="E4906" s="17" t="s">
        <v>5643</v>
      </c>
      <c r="F4906" s="17" t="s">
        <v>139</v>
      </c>
      <c r="G4906" s="18"/>
      <c r="H4906" s="18"/>
    </row>
    <row r="4907" spans="1:8" ht="13.2">
      <c r="A4907" s="19" t="str">
        <f>HYPERLINK("http://codeforces.com/contest/557/problem/E","CF557-D2-E")</f>
        <v>CF557-D2-E</v>
      </c>
      <c r="B4907" s="15" t="s">
        <v>5654</v>
      </c>
      <c r="C4907" s="17">
        <v>6.25</v>
      </c>
      <c r="D4907" s="18"/>
      <c r="E4907" s="17" t="s">
        <v>5643</v>
      </c>
      <c r="F4907" s="17"/>
      <c r="G4907" s="18"/>
      <c r="H4907" s="18"/>
    </row>
    <row r="4908" spans="1:8" ht="13.2">
      <c r="A4908" s="19" t="str">
        <f>HYPERLINK("http://codeforces.com/contest/979/problem/D","CF979-D2-D")</f>
        <v>CF979-D2-D</v>
      </c>
      <c r="B4908" s="28" t="s">
        <v>5655</v>
      </c>
      <c r="C4908" s="21">
        <v>6</v>
      </c>
      <c r="D4908" s="18"/>
      <c r="E4908" s="17" t="s">
        <v>5643</v>
      </c>
      <c r="F4908" s="17" t="s">
        <v>196</v>
      </c>
      <c r="G4908" s="18"/>
      <c r="H4908" s="18"/>
    </row>
    <row r="4909" spans="1:8" ht="13.2">
      <c r="A4909" s="15" t="s">
        <v>5656</v>
      </c>
      <c r="B4909" s="28" t="s">
        <v>5657</v>
      </c>
      <c r="C4909" s="24">
        <v>6</v>
      </c>
      <c r="D4909" s="26" t="str">
        <f>HYPERLINK("https://github.com/mostafa-saad/MyCompetitiveProgramming/blob/master/SPOJ/SPOJ_PRHYME.txt","Sol")</f>
        <v>Sol</v>
      </c>
      <c r="E4909" s="17" t="s">
        <v>5643</v>
      </c>
      <c r="F4909" s="17" t="s">
        <v>139</v>
      </c>
      <c r="G4909" s="18"/>
      <c r="H4909" s="18"/>
    </row>
    <row r="4910" spans="1:8" ht="13.2">
      <c r="A4910" s="19" t="str">
        <f>HYPERLINK("https://csacademy.com/contest/round-42/task/xor-submatrix/","CSA42-E")</f>
        <v>CSA42-E</v>
      </c>
      <c r="B4910" s="28" t="s">
        <v>5658</v>
      </c>
      <c r="C4910" s="17">
        <v>6</v>
      </c>
      <c r="D4910" s="18"/>
      <c r="E4910" s="17" t="s">
        <v>5643</v>
      </c>
      <c r="F4910" s="17" t="s">
        <v>242</v>
      </c>
      <c r="G4910" s="18"/>
      <c r="H4910" s="18"/>
    </row>
    <row r="4911" spans="1:8" ht="13.2">
      <c r="A4911" s="15" t="s">
        <v>5659</v>
      </c>
      <c r="B4911" s="28" t="s">
        <v>5642</v>
      </c>
      <c r="C4911" s="24">
        <v>6</v>
      </c>
      <c r="D4911" s="18"/>
      <c r="E4911" s="24" t="s">
        <v>5643</v>
      </c>
      <c r="F4911" s="17"/>
      <c r="G4911" s="18"/>
      <c r="H4911" s="18"/>
    </row>
    <row r="4912" spans="1:8" ht="13.2">
      <c r="A4912" s="19" t="str">
        <f>HYPERLINK("https://www.codechef.com/problems/SUBBXOR","CODECHEF SUBBXOR")</f>
        <v>CODECHEF SUBBXOR</v>
      </c>
      <c r="B4912" s="29" t="s">
        <v>5660</v>
      </c>
      <c r="C4912" s="17">
        <v>6</v>
      </c>
      <c r="D4912" s="18" t="s">
        <v>5661</v>
      </c>
      <c r="E4912" s="17" t="s">
        <v>5643</v>
      </c>
      <c r="F4912" s="17"/>
      <c r="G4912" s="18"/>
      <c r="H4912" s="18"/>
    </row>
    <row r="4913" spans="1:8" ht="13.2">
      <c r="A4913" s="15" t="s">
        <v>5662</v>
      </c>
      <c r="B4913" s="28" t="s">
        <v>5660</v>
      </c>
      <c r="C4913" s="24">
        <v>6</v>
      </c>
      <c r="D4913" s="18"/>
      <c r="E4913" s="17" t="s">
        <v>5643</v>
      </c>
      <c r="F4913" s="17"/>
      <c r="G4913" s="18"/>
      <c r="H4913" s="18"/>
    </row>
    <row r="4914" spans="1:8" ht="13.2">
      <c r="A4914" s="15" t="s">
        <v>5663</v>
      </c>
      <c r="B4914" s="28" t="s">
        <v>5664</v>
      </c>
      <c r="C4914" s="24">
        <v>6</v>
      </c>
      <c r="D4914" s="18"/>
      <c r="E4914" s="17" t="s">
        <v>5643</v>
      </c>
      <c r="F4914" s="17"/>
      <c r="G4914" s="18"/>
      <c r="H4914" s="18"/>
    </row>
    <row r="4915" spans="1:8" ht="13.2">
      <c r="A4915" s="15" t="s">
        <v>5665</v>
      </c>
      <c r="B4915" s="28" t="s">
        <v>5666</v>
      </c>
      <c r="C4915" s="17">
        <v>6</v>
      </c>
      <c r="D4915" s="26" t="str">
        <f>HYPERLINK("https://github.com/ilyesG/Competitive-Programming/blob/master/UVA/UVA%2010745.cpp","AC")</f>
        <v>AC</v>
      </c>
      <c r="E4915" s="17" t="s">
        <v>5643</v>
      </c>
      <c r="F4915" s="17"/>
      <c r="G4915" s="18"/>
      <c r="H4915" s="18"/>
    </row>
    <row r="4916" spans="1:8" ht="13.2">
      <c r="A4916" s="19" t="str">
        <f>HYPERLINK("http://codeforces.com/gym/100781/attachments","CF100781-GYM-J")</f>
        <v>CF100781-GYM-J</v>
      </c>
      <c r="B4916" s="18" t="s">
        <v>5667</v>
      </c>
      <c r="C4916" s="17">
        <v>6</v>
      </c>
      <c r="D4916" s="26" t="str">
        <f>HYPERLINK("https://github.com/hosamk92/CompetitiveProgramming/blob/master/Codeforces/CF100781-GYM-J.cpp","Sol")</f>
        <v>Sol</v>
      </c>
      <c r="E4916" s="17" t="s">
        <v>5643</v>
      </c>
      <c r="F4916" s="17"/>
      <c r="G4916" s="18"/>
      <c r="H4916" s="18"/>
    </row>
    <row r="4917" spans="1:8" ht="13.2">
      <c r="A4917" s="15" t="s">
        <v>5668</v>
      </c>
      <c r="B4917" s="29" t="s">
        <v>5669</v>
      </c>
      <c r="C4917" s="24">
        <v>6</v>
      </c>
      <c r="D4917" s="26" t="str">
        <f>HYPERLINK("https://github.com/racsosabe/CompetitiveProgramming/blob/master/PKU/3764.cpp","Sol")</f>
        <v>Sol</v>
      </c>
      <c r="E4917" s="17" t="s">
        <v>5643</v>
      </c>
      <c r="F4917" s="17"/>
      <c r="G4917" s="18"/>
      <c r="H4917" s="18"/>
    </row>
    <row r="4918" spans="1:8" ht="13.2">
      <c r="A4918" s="19" t="str">
        <f>HYPERLINK("https://www.hackerrank.com/challenges/xor-key/problem","HACKR XOR-key")</f>
        <v>HACKR XOR-key</v>
      </c>
      <c r="B4918" s="20" t="s">
        <v>5670</v>
      </c>
      <c r="C4918" s="21">
        <v>5.75</v>
      </c>
      <c r="D4918" s="26" t="str">
        <f>HYPERLINK("https://github.com/mostafa-saad/MyCompetitiveProgramming/blob/master/HACKERRANK/HACKR-XOR-key.txt","Sol")</f>
        <v>Sol</v>
      </c>
      <c r="E4918" s="17" t="s">
        <v>5643</v>
      </c>
      <c r="F4918" s="17" t="s">
        <v>154</v>
      </c>
      <c r="G4918" s="18"/>
      <c r="H4918" s="18"/>
    </row>
    <row r="4919" spans="1:8" ht="13.2">
      <c r="A4919" s="19" t="str">
        <f>HYPERLINK("https://codingcompetitions.withgoogle.com/codejam/round/00000000000516b9/0000000000134c90","CODEJAM 19-R1C-A")</f>
        <v>CODEJAM 19-R1C-A</v>
      </c>
      <c r="B4919" s="20" t="s">
        <v>5671</v>
      </c>
      <c r="C4919" s="17">
        <v>5.75</v>
      </c>
      <c r="D4919" s="18"/>
      <c r="E4919" s="17" t="s">
        <v>5643</v>
      </c>
      <c r="F4919" s="17" t="s">
        <v>139</v>
      </c>
      <c r="G4919" s="18"/>
      <c r="H4919" s="18"/>
    </row>
    <row r="4920" spans="1:8" ht="13.2">
      <c r="A4920" s="19" t="str">
        <f>HYPERLINK("https://codeforces.com/contest/665/problem/E","CF665-D12-E")</f>
        <v>CF665-D12-E</v>
      </c>
      <c r="B4920" s="15" t="s">
        <v>5642</v>
      </c>
      <c r="C4920" s="17">
        <v>5.5</v>
      </c>
      <c r="D4920" s="18"/>
      <c r="E4920" s="17" t="s">
        <v>5643</v>
      </c>
      <c r="F4920" s="17" t="s">
        <v>139</v>
      </c>
      <c r="G4920" s="18"/>
      <c r="H4920" s="18"/>
    </row>
    <row r="4921" spans="1:8" ht="13.2">
      <c r="A4921" s="19" t="str">
        <f>HYPERLINK("http://codeforces.com/contest/817/problem/E","CF817-D12-E")</f>
        <v>CF817-D12-E</v>
      </c>
      <c r="B4921" s="15" t="s">
        <v>5672</v>
      </c>
      <c r="C4921" s="17">
        <v>5.5</v>
      </c>
      <c r="D4921" s="18"/>
      <c r="E4921" s="17" t="s">
        <v>5643</v>
      </c>
      <c r="F4921" s="17" t="s">
        <v>201</v>
      </c>
      <c r="G4921" s="18"/>
      <c r="H4921" s="18"/>
    </row>
    <row r="4922" spans="1:8" ht="13.2">
      <c r="A4922" s="15" t="s">
        <v>5673</v>
      </c>
      <c r="B4922" s="18" t="s">
        <v>5642</v>
      </c>
      <c r="C4922" s="17">
        <v>5.5</v>
      </c>
      <c r="D4922" s="26" t="str">
        <f>HYPERLINK("https://github.com/HosamEissa/Competitive-programming-/blob/master/ACM-ICPC%20Live%20Archive/4682.cpp","Sol")</f>
        <v>Sol</v>
      </c>
      <c r="E4922" s="17" t="s">
        <v>5643</v>
      </c>
      <c r="F4922" s="17"/>
      <c r="G4922" s="18"/>
      <c r="H4922" s="18"/>
    </row>
    <row r="4923" spans="1:8" ht="13.2">
      <c r="A4923" s="19" t="str">
        <f>HYPERLINK("http://codeforces.com/contest/455/problem/B","CF455-D1-B")</f>
        <v>CF455-D1-B</v>
      </c>
      <c r="B4923" s="15" t="s">
        <v>5674</v>
      </c>
      <c r="C4923" s="17">
        <v>5.5</v>
      </c>
      <c r="D4923" s="18"/>
      <c r="E4923" s="17" t="s">
        <v>5643</v>
      </c>
      <c r="F4923" s="17"/>
      <c r="G4923" s="18"/>
      <c r="H4923" s="18"/>
    </row>
    <row r="4924" spans="1:8" ht="13.2">
      <c r="A4924" s="15" t="s">
        <v>5675</v>
      </c>
      <c r="B4924" s="15" t="s">
        <v>5642</v>
      </c>
      <c r="C4924" s="17">
        <v>5.25</v>
      </c>
      <c r="D4924" s="26" t="str">
        <f>HYPERLINK("https://github.com/ahmed-osama-iv/CompetitiveProgramming/blob/master/LiveArchive/8015.cpp","Sol")</f>
        <v>Sol</v>
      </c>
      <c r="E4924" s="17" t="s">
        <v>5643</v>
      </c>
      <c r="F4924" s="17" t="s">
        <v>154</v>
      </c>
      <c r="G4924" s="18"/>
      <c r="H4924" s="18"/>
    </row>
    <row r="4925" spans="1:8" ht="13.2">
      <c r="A4925" s="19" t="str">
        <f>HYPERLINK("http://codeforces.com/contest/282/problem/E","CF282-D2-E")</f>
        <v>CF282-D2-E</v>
      </c>
      <c r="B4925" s="18" t="s">
        <v>5660</v>
      </c>
      <c r="C4925" s="17">
        <v>5.25</v>
      </c>
      <c r="D4925" s="18" t="s">
        <v>5661</v>
      </c>
      <c r="E4925" s="17" t="s">
        <v>5643</v>
      </c>
      <c r="F4925" s="17" t="s">
        <v>201</v>
      </c>
      <c r="G4925" s="18"/>
      <c r="H4925" s="18"/>
    </row>
    <row r="4926" spans="1:8" ht="13.2">
      <c r="A4926" s="19" t="str">
        <f>HYPERLINK("https://codingcompetitions.withgoogle.com/kickstart/round/000000000019ffc7/00000000001d3ff3","KICKSTART 20-RA-D")</f>
        <v>KICKSTART 20-RA-D</v>
      </c>
      <c r="B4926" s="28" t="s">
        <v>5676</v>
      </c>
      <c r="C4926" s="17">
        <v>5.25</v>
      </c>
      <c r="D4926" s="18"/>
      <c r="E4926" s="17" t="s">
        <v>5643</v>
      </c>
      <c r="F4926" s="17" t="s">
        <v>201</v>
      </c>
      <c r="G4926" s="18"/>
      <c r="H4926" s="18"/>
    </row>
    <row r="4927" spans="1:8" ht="13.2">
      <c r="A4927" s="15" t="s">
        <v>5677</v>
      </c>
      <c r="B4927" s="28" t="s">
        <v>5678</v>
      </c>
      <c r="C4927" s="33">
        <v>5</v>
      </c>
      <c r="D4927" s="18"/>
      <c r="E4927" s="17" t="s">
        <v>5643</v>
      </c>
      <c r="F4927" s="17" t="s">
        <v>229</v>
      </c>
      <c r="G4927" s="18"/>
      <c r="H4927" s="18"/>
    </row>
    <row r="4928" spans="1:8" ht="13.2">
      <c r="A4928" s="19" t="str">
        <f>HYPERLINK("http://codeforces.com/contest/842/problem/D","CF842-D2-D")</f>
        <v>CF842-D2-D</v>
      </c>
      <c r="B4928" s="28" t="s">
        <v>5679</v>
      </c>
      <c r="C4928" s="17">
        <v>5</v>
      </c>
      <c r="D4928" s="18"/>
      <c r="E4928" s="17" t="s">
        <v>5643</v>
      </c>
      <c r="F4928" s="17" t="s">
        <v>154</v>
      </c>
      <c r="G4928" s="18"/>
      <c r="H4928" s="18"/>
    </row>
    <row r="4929" spans="1:8" ht="13.2">
      <c r="A4929" s="19" t="str">
        <f>HYPERLINK("http://codeforces.com/contest/271/problem/D","CF271-D2-D")</f>
        <v>CF271-D2-D</v>
      </c>
      <c r="B4929" s="18" t="s">
        <v>5680</v>
      </c>
      <c r="C4929" s="17">
        <v>5</v>
      </c>
      <c r="D4929" s="18"/>
      <c r="E4929" s="17" t="s">
        <v>5643</v>
      </c>
      <c r="F4929" s="17" t="s">
        <v>613</v>
      </c>
      <c r="G4929" s="18"/>
      <c r="H4929" s="18"/>
    </row>
    <row r="4930" spans="1:8" ht="13.2">
      <c r="A4930" s="19" t="str">
        <f>HYPERLINK("http://codeforces.com/contest/706/problem/D","CF706-D2-D")</f>
        <v>CF706-D2-D</v>
      </c>
      <c r="B4930" s="29" t="s">
        <v>5681</v>
      </c>
      <c r="C4930" s="17">
        <v>5</v>
      </c>
      <c r="D4930" s="18"/>
      <c r="E4930" s="17" t="s">
        <v>5643</v>
      </c>
      <c r="F4930" s="17" t="s">
        <v>201</v>
      </c>
      <c r="G4930" s="18"/>
      <c r="H4930" s="18"/>
    </row>
    <row r="4931" spans="1:8" ht="13.2">
      <c r="A4931" s="15" t="s">
        <v>5682</v>
      </c>
      <c r="B4931" s="18" t="s">
        <v>5683</v>
      </c>
      <c r="C4931" s="17">
        <v>5</v>
      </c>
      <c r="D4931" s="18"/>
      <c r="E4931" s="17" t="s">
        <v>5643</v>
      </c>
      <c r="F4931" s="17" t="s">
        <v>242</v>
      </c>
      <c r="G4931" s="18"/>
      <c r="H4931" s="18"/>
    </row>
    <row r="4932" spans="1:8" ht="13.2">
      <c r="A4932" s="15" t="s">
        <v>5684</v>
      </c>
      <c r="B4932" s="28" t="s">
        <v>5685</v>
      </c>
      <c r="C4932" s="24">
        <v>5</v>
      </c>
      <c r="D4932" s="26" t="str">
        <f>HYPERLINK("https://github.com/ilyesG/Competitive-Programming/blob/master/UVA/UVA%201401.cpp","Sol")</f>
        <v>Sol</v>
      </c>
      <c r="E4932" s="17" t="s">
        <v>5643</v>
      </c>
      <c r="F4932" s="17" t="s">
        <v>242</v>
      </c>
      <c r="G4932" s="18"/>
      <c r="H4932" s="18"/>
    </row>
    <row r="4933" spans="1:8" ht="13.2">
      <c r="A4933" s="15" t="s">
        <v>5686</v>
      </c>
      <c r="B4933" s="28" t="s">
        <v>5642</v>
      </c>
      <c r="C4933" s="24">
        <v>5</v>
      </c>
      <c r="D4933" s="18"/>
      <c r="E4933" s="17" t="s">
        <v>5643</v>
      </c>
      <c r="F4933" s="17"/>
      <c r="G4933" s="18"/>
      <c r="H4933" s="18"/>
    </row>
    <row r="4934" spans="1:8" ht="13.2">
      <c r="A4934" s="15" t="s">
        <v>5687</v>
      </c>
      <c r="B4934" s="28" t="s">
        <v>5642</v>
      </c>
      <c r="C4934" s="24">
        <v>5</v>
      </c>
      <c r="D4934" s="26" t="str">
        <f>HYPERLINK("https://github.com/HosamEissa/Competitive-programming-/blob/master/UVA/12333.cpp","Sol")</f>
        <v>Sol</v>
      </c>
      <c r="E4934" s="17" t="s">
        <v>5643</v>
      </c>
      <c r="F4934" s="17"/>
      <c r="G4934" s="18"/>
      <c r="H4934" s="18"/>
    </row>
    <row r="4935" spans="1:8" ht="13.2">
      <c r="A4935" s="15" t="s">
        <v>5688</v>
      </c>
      <c r="B4935" s="28" t="s">
        <v>5660</v>
      </c>
      <c r="C4935" s="24">
        <v>5</v>
      </c>
      <c r="D4935" s="18"/>
      <c r="E4935" s="17" t="s">
        <v>5643</v>
      </c>
      <c r="F4935" s="17"/>
      <c r="G4935" s="18"/>
      <c r="H4935" s="18"/>
    </row>
    <row r="4936" spans="1:8" ht="13.2">
      <c r="A4936" s="15" t="s">
        <v>5689</v>
      </c>
      <c r="B4936" s="28" t="s">
        <v>5690</v>
      </c>
      <c r="C4936" s="17">
        <v>5</v>
      </c>
      <c r="D4936" s="26" t="str">
        <f>HYPERLINK("https://github.com/3agwa/CompetitiveProgramming/blob/master/TopCoder/SRM330-D1-500","Sol")</f>
        <v>Sol</v>
      </c>
      <c r="E4936" s="17" t="s">
        <v>5643</v>
      </c>
      <c r="F4936" s="17"/>
      <c r="G4936" s="18"/>
      <c r="H4936" s="18"/>
    </row>
    <row r="4937" spans="1:8" ht="13.2">
      <c r="A4937" s="15" t="s">
        <v>5691</v>
      </c>
      <c r="B4937" s="28" t="s">
        <v>5681</v>
      </c>
      <c r="C4937" s="24">
        <v>5</v>
      </c>
      <c r="D4937" s="26" t="str">
        <f>HYPERLINK("https://github.com/HosamEissa/Competitive-programming-/blob/master/Spoj/SUBXOR.cpp","Sol")</f>
        <v>Sol</v>
      </c>
      <c r="E4937" s="17" t="s">
        <v>5643</v>
      </c>
      <c r="F4937" s="17"/>
      <c r="G4937" s="18"/>
      <c r="H4937" s="18"/>
    </row>
    <row r="4938" spans="1:8" ht="13.2">
      <c r="A4938" s="19" t="str">
        <f>HYPERLINK("https://codingcompetitions.withgoogle.com/codejam/round/0000000000051635/0000000000104e05","CODEJAM 19-R1A-C")</f>
        <v>CODEJAM 19-R1A-C</v>
      </c>
      <c r="B4938" s="20" t="s">
        <v>5692</v>
      </c>
      <c r="C4938" s="17">
        <v>5</v>
      </c>
      <c r="D4938" s="18"/>
      <c r="E4938" s="17" t="s">
        <v>5643</v>
      </c>
      <c r="F4938" s="17"/>
      <c r="G4938" s="18"/>
      <c r="H4938" s="18"/>
    </row>
    <row r="4939" spans="1:8" ht="13.2">
      <c r="A4939" s="19" t="str">
        <f>HYPERLINK("http://codeforces.com/contest/37/problem/C","CF37-D12-C")</f>
        <v>CF37-D12-C</v>
      </c>
      <c r="B4939" s="15" t="s">
        <v>5642</v>
      </c>
      <c r="C4939" s="17">
        <v>4.5</v>
      </c>
      <c r="D4939" s="18"/>
      <c r="E4939" s="17" t="s">
        <v>5643</v>
      </c>
      <c r="F4939" s="17" t="s">
        <v>139</v>
      </c>
      <c r="G4939" s="18"/>
      <c r="H4939" s="18"/>
    </row>
    <row r="4940" spans="1:8" ht="13.2">
      <c r="A4940" s="19" t="str">
        <f>HYPERLINK("https://uva.onlinejudge.org/index.php?option=com_onlinejudge&amp;Itemid=8&amp;page=show_problem&amp;problem=3971","UVA 12526")</f>
        <v>UVA 12526</v>
      </c>
      <c r="B4940" s="29" t="s">
        <v>5642</v>
      </c>
      <c r="C4940" s="17">
        <v>4.5</v>
      </c>
      <c r="D4940" s="18"/>
      <c r="E4940" s="17" t="s">
        <v>5643</v>
      </c>
      <c r="F4940" s="17" t="s">
        <v>139</v>
      </c>
      <c r="G4940" s="18"/>
      <c r="H4940" s="18"/>
    </row>
    <row r="4941" spans="1:8" ht="13.2">
      <c r="A4941" s="19" t="str">
        <f>HYPERLINK("https://uva.onlinejudge.org/index.php?option=com_onlinejudge&amp;Itemid=8&amp;page=show_problem&amp;problem=4331","UVA 1556")</f>
        <v>UVA 1556</v>
      </c>
      <c r="B4941" s="29" t="s">
        <v>5693</v>
      </c>
      <c r="C4941" s="17">
        <v>4.5</v>
      </c>
      <c r="D4941" s="18"/>
      <c r="E4941" s="17" t="s">
        <v>5643</v>
      </c>
      <c r="F4941" s="17" t="s">
        <v>139</v>
      </c>
      <c r="G4941" s="18"/>
      <c r="H4941" s="18"/>
    </row>
    <row r="4942" spans="1:8" ht="13.2">
      <c r="A4942" s="19" t="str">
        <f>HYPERLINK("http://www.spoj.com/problems/DICT/","SPOJ DICT")</f>
        <v>SPOJ DICT</v>
      </c>
      <c r="B4942" s="29" t="s">
        <v>5642</v>
      </c>
      <c r="C4942" s="17">
        <v>4.5</v>
      </c>
      <c r="D4942" s="18"/>
      <c r="E4942" s="17" t="s">
        <v>5643</v>
      </c>
      <c r="F4942" s="17" t="s">
        <v>201</v>
      </c>
      <c r="G4942" s="18"/>
      <c r="H4942" s="18"/>
    </row>
    <row r="4943" spans="1:8" ht="13.2">
      <c r="A4943" s="15" t="s">
        <v>5694</v>
      </c>
      <c r="B4943" s="15" t="s">
        <v>5695</v>
      </c>
      <c r="C4943" s="17">
        <v>4</v>
      </c>
      <c r="D4943" s="18"/>
      <c r="E4943" s="17" t="s">
        <v>5643</v>
      </c>
      <c r="F4943" s="17" t="s">
        <v>229</v>
      </c>
      <c r="G4943" s="18"/>
      <c r="H4943" s="18"/>
    </row>
    <row r="4944" spans="1:8" ht="13.2">
      <c r="A4944" s="15" t="s">
        <v>5696</v>
      </c>
      <c r="B4944" s="29" t="s">
        <v>5660</v>
      </c>
      <c r="C4944" s="33">
        <v>4</v>
      </c>
      <c r="D4944" s="26" t="str">
        <f>HYPERLINK("https://github.com/HosamEissa/Competitive-programming-/blob/master/UVA/11488.cpp","Don't implement as ad-hoc/greedy/Pure STL. Use a data structure. Sol")</f>
        <v>Don't implement as ad-hoc/greedy/Pure STL. Use a data structure. Sol</v>
      </c>
      <c r="E4944" s="17" t="s">
        <v>5643</v>
      </c>
      <c r="F4944" s="17"/>
      <c r="G4944" s="18"/>
      <c r="H4944" s="18"/>
    </row>
    <row r="4945" spans="1:8" ht="13.2">
      <c r="A4945" s="15" t="s">
        <v>5697</v>
      </c>
      <c r="B4945" s="18" t="s">
        <v>5698</v>
      </c>
      <c r="C4945" s="17">
        <v>4</v>
      </c>
      <c r="D4945" s="26" t="str">
        <f>HYPERLINK("https://github.com/mostafa-saad/MyCompetitiveProgramming/blob/master/UVA/UVA_1590.txt","Sol")</f>
        <v>Sol</v>
      </c>
      <c r="E4945" s="17" t="s">
        <v>5643</v>
      </c>
      <c r="F4945" s="17"/>
      <c r="G4945" s="18"/>
      <c r="H4945" s="18"/>
    </row>
    <row r="4946" spans="1:8" ht="13.2">
      <c r="A4946" s="19" t="str">
        <f>HYPERLINK("http://www.spoj.com/problems/PHONELST/","SPOJ PHONELST")</f>
        <v>SPOJ PHONELST</v>
      </c>
      <c r="B4946" s="29" t="s">
        <v>5642</v>
      </c>
      <c r="C4946" s="17">
        <v>3.5</v>
      </c>
      <c r="D4946" s="18"/>
      <c r="E4946" s="17" t="s">
        <v>5643</v>
      </c>
      <c r="F4946" s="17"/>
      <c r="G4946" s="18"/>
      <c r="H4946" s="18"/>
    </row>
    <row r="4947" spans="1:8" ht="13.2">
      <c r="A4947" s="15" t="s">
        <v>5699</v>
      </c>
      <c r="B4947" s="28" t="s">
        <v>5642</v>
      </c>
      <c r="C4947" s="24">
        <v>3</v>
      </c>
      <c r="D4947" s="26" t="str">
        <f>HYPERLINK("https://github.com/HosamEissa/Competitive-programming-/blob/master/TJU/3753.cpp","Sol")</f>
        <v>Sol</v>
      </c>
      <c r="E4947" s="24" t="s">
        <v>5643</v>
      </c>
      <c r="F4947" s="17"/>
      <c r="G4947" s="18"/>
      <c r="H4947" s="18"/>
    </row>
    <row r="4948" spans="1:8" ht="13.2">
      <c r="A4948" s="15" t="s">
        <v>5700</v>
      </c>
      <c r="B4948" s="28" t="s">
        <v>5701</v>
      </c>
      <c r="C4948" s="24">
        <v>7.5</v>
      </c>
      <c r="D4948" s="18"/>
      <c r="E4948" s="17" t="s">
        <v>5702</v>
      </c>
      <c r="F4948" s="17"/>
      <c r="G4948" s="18"/>
      <c r="H4948" s="18"/>
    </row>
    <row r="4949" spans="1:8" ht="13.2">
      <c r="A4949" s="15" t="s">
        <v>5703</v>
      </c>
      <c r="B4949" s="28" t="s">
        <v>5704</v>
      </c>
      <c r="C4949" s="17">
        <v>7.25</v>
      </c>
      <c r="D4949" s="18"/>
      <c r="E4949" s="17" t="s">
        <v>5702</v>
      </c>
      <c r="F4949" s="17"/>
      <c r="G4949" s="18"/>
      <c r="H4949" s="18"/>
    </row>
    <row r="4950" spans="1:8" ht="13.2">
      <c r="A4950" s="19" t="str">
        <f>HYPERLINK("http://codeforces.com/contest/526/problem/D","CF526-D12-D")</f>
        <v>CF526-D12-D</v>
      </c>
      <c r="B4950" s="15" t="s">
        <v>5705</v>
      </c>
      <c r="C4950" s="24">
        <v>7</v>
      </c>
      <c r="D4950" s="18"/>
      <c r="E4950" s="17" t="s">
        <v>5702</v>
      </c>
      <c r="F4950" s="17"/>
      <c r="G4950" s="18"/>
      <c r="H4950" s="18"/>
    </row>
    <row r="4951" spans="1:8" ht="13.2">
      <c r="A4951" s="15" t="s">
        <v>5706</v>
      </c>
      <c r="B4951" s="28" t="s">
        <v>5707</v>
      </c>
      <c r="C4951" s="24">
        <v>7</v>
      </c>
      <c r="D4951" s="18"/>
      <c r="E4951" s="17" t="s">
        <v>5702</v>
      </c>
      <c r="F4951" s="17"/>
      <c r="G4951" s="18"/>
      <c r="H4951" s="18"/>
    </row>
    <row r="4952" spans="1:8" ht="13.2">
      <c r="A4952" s="15" t="s">
        <v>5708</v>
      </c>
      <c r="B4952" s="28" t="s">
        <v>5709</v>
      </c>
      <c r="C4952" s="24">
        <v>6.75</v>
      </c>
      <c r="D4952" s="26" t="str">
        <f>HYPERLINK("https://github.com/mostafa-saad/MyCompetitiveProgramming/blob/master/SPOJ/SPOJ_ANARC08C.cpp","Sol (no editorial)")</f>
        <v>Sol (no editorial)</v>
      </c>
      <c r="E4952" s="17" t="s">
        <v>5702</v>
      </c>
      <c r="F4952" s="17"/>
      <c r="G4952" s="18"/>
      <c r="H4952" s="18"/>
    </row>
    <row r="4953" spans="1:8" ht="13.2">
      <c r="A4953" s="19" t="str">
        <f>HYPERLINK("https://codeforces.com/contest/1045/problem/B","CF1045-D12-B")</f>
        <v>CF1045-D12-B</v>
      </c>
      <c r="B4953" s="20" t="s">
        <v>5710</v>
      </c>
      <c r="C4953" s="17">
        <v>6.5</v>
      </c>
      <c r="D4953" s="18"/>
      <c r="E4953" s="17" t="s">
        <v>5702</v>
      </c>
      <c r="F4953" s="17" t="s">
        <v>139</v>
      </c>
      <c r="G4953" s="18"/>
      <c r="H4953" s="18"/>
    </row>
    <row r="4954" spans="1:8" ht="13.2">
      <c r="A4954" s="19" t="str">
        <f>HYPERLINK("https://codeforces.com/contest/808/problem/G","CF808-D12-G")</f>
        <v>CF808-D12-G</v>
      </c>
      <c r="B4954" s="15" t="s">
        <v>5711</v>
      </c>
      <c r="C4954" s="17">
        <v>6.25</v>
      </c>
      <c r="D4954" s="18"/>
      <c r="E4954" s="17" t="s">
        <v>5702</v>
      </c>
      <c r="F4954" s="17" t="s">
        <v>139</v>
      </c>
      <c r="G4954" s="18"/>
      <c r="H4954" s="18"/>
    </row>
    <row r="4955" spans="1:8" ht="13.2">
      <c r="A4955" s="19" t="str">
        <f>HYPERLINK("http://codeforces.com/contest/495/problem/D","CF495-D2-D")</f>
        <v>CF495-D2-D</v>
      </c>
      <c r="B4955" s="18" t="s">
        <v>5712</v>
      </c>
      <c r="C4955" s="17">
        <v>6.1</v>
      </c>
      <c r="D4955" s="18"/>
      <c r="E4955" s="17" t="s">
        <v>5702</v>
      </c>
      <c r="F4955" s="17" t="s">
        <v>139</v>
      </c>
      <c r="G4955" s="18"/>
      <c r="H4955" s="18"/>
    </row>
    <row r="4956" spans="1:8" ht="13.2">
      <c r="A4956" s="15" t="s">
        <v>5713</v>
      </c>
      <c r="B4956" s="28" t="s">
        <v>5714</v>
      </c>
      <c r="C4956" s="24">
        <v>6</v>
      </c>
      <c r="D4956" s="18"/>
      <c r="E4956" s="17" t="s">
        <v>5702</v>
      </c>
      <c r="F4956" s="17"/>
      <c r="G4956" s="18"/>
      <c r="H4956" s="18"/>
    </row>
    <row r="4957" spans="1:8" ht="13.2">
      <c r="A4957" s="15" t="s">
        <v>5715</v>
      </c>
      <c r="B4957" s="28" t="s">
        <v>5716</v>
      </c>
      <c r="C4957" s="24">
        <v>6</v>
      </c>
      <c r="D4957" s="18"/>
      <c r="E4957" s="17" t="s">
        <v>5702</v>
      </c>
      <c r="F4957" s="17"/>
      <c r="G4957" s="18"/>
      <c r="H4957" s="18"/>
    </row>
    <row r="4958" spans="1:8" ht="13.2">
      <c r="A4958" s="15" t="s">
        <v>5717</v>
      </c>
      <c r="B4958" s="18" t="s">
        <v>5718</v>
      </c>
      <c r="C4958" s="17">
        <v>5.75</v>
      </c>
      <c r="D4958" s="26" t="str">
        <f>HYPERLINK("https://github.com/sggutier/CompetitiveProgramming/blob/master/UVa/1282.cpp","Sol")</f>
        <v>Sol</v>
      </c>
      <c r="E4958" s="17" t="s">
        <v>5702</v>
      </c>
      <c r="F4958" s="17" t="s">
        <v>139</v>
      </c>
      <c r="G4958" s="18"/>
      <c r="H4958" s="18"/>
    </row>
    <row r="4959" spans="1:8" ht="13.2">
      <c r="A4959" s="15" t="s">
        <v>5719</v>
      </c>
      <c r="B4959" s="20" t="s">
        <v>5720</v>
      </c>
      <c r="C4959" s="24">
        <v>5.75</v>
      </c>
      <c r="D4959" s="18"/>
      <c r="E4959" s="17" t="s">
        <v>5702</v>
      </c>
      <c r="F4959" s="17"/>
      <c r="G4959" s="18"/>
      <c r="H4959" s="18"/>
    </row>
    <row r="4960" spans="1:8" ht="13.2">
      <c r="A4960" s="19" t="str">
        <f>HYPERLINK("http://codeforces.com/contest/536/problem/B","CF536-D1-B")</f>
        <v>CF536-D1-B</v>
      </c>
      <c r="B4960" s="18" t="s">
        <v>5721</v>
      </c>
      <c r="C4960" s="17">
        <v>5.75</v>
      </c>
      <c r="D4960" s="18"/>
      <c r="E4960" s="17" t="s">
        <v>5702</v>
      </c>
      <c r="F4960" s="17"/>
      <c r="G4960" s="18"/>
      <c r="H4960" s="18"/>
    </row>
    <row r="4961" spans="1:8" ht="13.2">
      <c r="A4961" s="19" t="str">
        <f>HYPERLINK("https://atcoder.jp/contests/abc150/tasks/abc150_f","AtCoder150-ABC-F")</f>
        <v>AtCoder150-ABC-F</v>
      </c>
      <c r="B4961" s="20" t="s">
        <v>5722</v>
      </c>
      <c r="C4961" s="21">
        <v>5.5</v>
      </c>
      <c r="D4961" s="18"/>
      <c r="E4961" s="17" t="s">
        <v>5702</v>
      </c>
      <c r="F4961" s="17" t="s">
        <v>201</v>
      </c>
      <c r="G4961" s="18"/>
      <c r="H4961" s="18"/>
    </row>
    <row r="4962" spans="1:8" ht="13.2">
      <c r="A4962" s="19" t="str">
        <f>HYPERLINK("https://www.facebook.com/hackercup/problem/1153996538071503/", "FbHkrCup 18-RQ-C")</f>
        <v>FbHkrCup 18-RQ-C</v>
      </c>
      <c r="B4962" s="20" t="s">
        <v>5721</v>
      </c>
      <c r="C4962" s="21">
        <v>5.5</v>
      </c>
      <c r="D4962" s="26" t="str">
        <f>HYPERLINK("https://github.com/SpeedOfMagic/CompetitiveProgramming/blob/master/FbHkrCup/FbHkrCup%2018-Ethan-Searches-for-a-String.cpp","ACC")</f>
        <v>ACC</v>
      </c>
      <c r="E4962" s="17" t="s">
        <v>5702</v>
      </c>
      <c r="F4962" s="17" t="s">
        <v>242</v>
      </c>
      <c r="G4962" s="18"/>
      <c r="H4962" s="18"/>
    </row>
    <row r="4963" spans="1:8" ht="13.2">
      <c r="A4963" s="15" t="s">
        <v>5723</v>
      </c>
      <c r="B4963" s="28" t="s">
        <v>5714</v>
      </c>
      <c r="C4963" s="17">
        <v>5.5</v>
      </c>
      <c r="D4963" s="18"/>
      <c r="E4963" s="17" t="s">
        <v>5702</v>
      </c>
      <c r="F4963" s="17"/>
      <c r="G4963" s="18"/>
      <c r="H4963" s="18"/>
    </row>
    <row r="4964" spans="1:8" ht="13.2">
      <c r="A4964" s="15" t="s">
        <v>5724</v>
      </c>
      <c r="B4964" s="28" t="s">
        <v>5725</v>
      </c>
      <c r="C4964" s="24">
        <v>5.5</v>
      </c>
      <c r="D4964" s="26" t="str">
        <f>HYPERLINK("https://github.com/Huvok/CompetitiveProgramming/blob/master/UVA/11475.cpp", "Sol")</f>
        <v>Sol</v>
      </c>
      <c r="E4964" s="17" t="s">
        <v>5702</v>
      </c>
      <c r="F4964" s="17"/>
      <c r="G4964" s="18"/>
      <c r="H4964" s="18"/>
    </row>
    <row r="4965" spans="1:8" ht="13.2">
      <c r="A4965" s="15" t="s">
        <v>5726</v>
      </c>
      <c r="B4965" s="18" t="s">
        <v>5727</v>
      </c>
      <c r="C4965" s="31">
        <v>5.25</v>
      </c>
      <c r="D4965" s="18"/>
      <c r="E4965" s="17" t="s">
        <v>5702</v>
      </c>
      <c r="F4965" s="17" t="s">
        <v>139</v>
      </c>
      <c r="G4965" s="18"/>
      <c r="H4965" s="18"/>
    </row>
    <row r="4966" spans="1:8" ht="13.2">
      <c r="A4966" s="19" t="str">
        <f>HYPERLINK("https://codeforces.com/contest/1147/problem/B", "CF1147-D1-B")</f>
        <v>CF1147-D1-B</v>
      </c>
      <c r="B4966" s="15" t="s">
        <v>5728</v>
      </c>
      <c r="C4966" s="17">
        <v>5.25</v>
      </c>
      <c r="D4966" s="18"/>
      <c r="E4966" s="17" t="s">
        <v>5702</v>
      </c>
      <c r="F4966" s="17" t="s">
        <v>201</v>
      </c>
      <c r="G4966" s="18"/>
      <c r="H4966" s="18"/>
    </row>
    <row r="4967" spans="1:8" ht="13.2">
      <c r="A4967" s="19" t="str">
        <f>HYPERLINK("http://codeforces.com/contest/432/problem/D","CF432-D2-D")</f>
        <v>CF432-D2-D</v>
      </c>
      <c r="B4967" s="29" t="s">
        <v>5721</v>
      </c>
      <c r="C4967" s="17">
        <v>5</v>
      </c>
      <c r="D4967" s="18"/>
      <c r="E4967" s="17" t="s">
        <v>5702</v>
      </c>
      <c r="F4967" s="17" t="s">
        <v>196</v>
      </c>
      <c r="G4967" s="18"/>
      <c r="H4967" s="18"/>
    </row>
    <row r="4968" spans="1:8" ht="13.2">
      <c r="A4968" s="19" t="str">
        <f>HYPERLINK("http://codeforces.com/contest/631/problem/D","CF631-D2-D")</f>
        <v>CF631-D2-D</v>
      </c>
      <c r="B4968" s="29" t="s">
        <v>5714</v>
      </c>
      <c r="C4968" s="17">
        <v>5</v>
      </c>
      <c r="D4968" s="18"/>
      <c r="E4968" s="17" t="s">
        <v>5702</v>
      </c>
      <c r="F4968" s="17" t="s">
        <v>139</v>
      </c>
      <c r="G4968" s="18"/>
      <c r="H4968" s="18"/>
    </row>
    <row r="4969" spans="1:8" ht="13.2">
      <c r="A4969" s="19" t="str">
        <f>HYPERLINK("https://codeforces.com/contest/1138/problem/D","CF1138-D2-D")</f>
        <v>CF1138-D2-D</v>
      </c>
      <c r="B4969" s="20" t="s">
        <v>5729</v>
      </c>
      <c r="C4969" s="17">
        <v>5</v>
      </c>
      <c r="D4969" s="18"/>
      <c r="E4969" s="17" t="s">
        <v>5702</v>
      </c>
      <c r="F4969" s="17" t="s">
        <v>201</v>
      </c>
      <c r="G4969" s="18"/>
      <c r="H4969" s="18"/>
    </row>
    <row r="4970" spans="1:8" ht="13.2">
      <c r="A4970" s="19" t="str">
        <f>HYPERLINK("http://codeforces.com/contest/535/problem/D","CF535-D2-D")</f>
        <v>CF535-D2-D</v>
      </c>
      <c r="B4970" s="29" t="s">
        <v>5730</v>
      </c>
      <c r="C4970" s="17">
        <v>5</v>
      </c>
      <c r="D4970" s="18"/>
      <c r="E4970" s="17" t="s">
        <v>5702</v>
      </c>
      <c r="F4970" s="17" t="s">
        <v>242</v>
      </c>
      <c r="G4970" s="18"/>
      <c r="H4970" s="18"/>
    </row>
    <row r="4971" spans="1:8" ht="13.2">
      <c r="A4971" s="15" t="s">
        <v>5731</v>
      </c>
      <c r="B4971" s="28" t="s">
        <v>5714</v>
      </c>
      <c r="C4971" s="24">
        <v>5</v>
      </c>
      <c r="D4971" s="18"/>
      <c r="E4971" s="17" t="s">
        <v>5702</v>
      </c>
      <c r="F4971" s="17"/>
      <c r="G4971" s="18"/>
      <c r="H4971" s="18"/>
    </row>
    <row r="4972" spans="1:8" ht="13.2">
      <c r="A4972" s="15" t="s">
        <v>5732</v>
      </c>
      <c r="B4972" s="28" t="s">
        <v>5714</v>
      </c>
      <c r="C4972" s="17">
        <v>5</v>
      </c>
      <c r="D4972" s="18"/>
      <c r="E4972" s="17" t="s">
        <v>5702</v>
      </c>
      <c r="F4972" s="17"/>
      <c r="G4972" s="18"/>
      <c r="H4972" s="18"/>
    </row>
    <row r="4973" spans="1:8" ht="13.2">
      <c r="A4973" s="15" t="s">
        <v>5733</v>
      </c>
      <c r="B4973" s="28" t="s">
        <v>5704</v>
      </c>
      <c r="C4973" s="24">
        <v>5</v>
      </c>
      <c r="D4973" s="26" t="str">
        <f>HYPERLINK("https://github.com/TheRealImaginary/CompetitiveProgramming/blob/master/UVA/UVA_11888_Abnormal89s.java","Don't implement as ad-hoc/greedy/Pure STL. Use algorithm. Sol")</f>
        <v>Don't implement as ad-hoc/greedy/Pure STL. Use algorithm. Sol</v>
      </c>
      <c r="E4973" s="17" t="s">
        <v>5702</v>
      </c>
      <c r="F4973" s="17"/>
      <c r="G4973" s="18"/>
      <c r="H4973" s="18"/>
    </row>
    <row r="4974" spans="1:8" ht="13.2">
      <c r="A4974" s="19" t="str">
        <f>HYPERLINK("http://codeforces.com/contest/471/problem/D","CF471-D2-D")</f>
        <v>CF471-D2-D</v>
      </c>
      <c r="B4974" s="29" t="s">
        <v>5734</v>
      </c>
      <c r="C4974" s="17">
        <v>5</v>
      </c>
      <c r="D4974" s="18"/>
      <c r="E4974" s="17" t="s">
        <v>5702</v>
      </c>
      <c r="F4974" s="17"/>
      <c r="G4974" s="18"/>
      <c r="H4974" s="18"/>
    </row>
    <row r="4975" spans="1:8" ht="13.2">
      <c r="A4975" s="19" t="str">
        <f>HYPERLINK("http://codeforces.com/contest/346/problem/B","CF346-D1-B")</f>
        <v>CF346-D1-B</v>
      </c>
      <c r="B4975" s="29" t="s">
        <v>5711</v>
      </c>
      <c r="C4975" s="17">
        <v>5</v>
      </c>
      <c r="D4975" s="18"/>
      <c r="E4975" s="17" t="s">
        <v>5702</v>
      </c>
      <c r="F4975" s="17"/>
      <c r="G4975" s="18"/>
      <c r="H4975" s="18"/>
    </row>
    <row r="4976" spans="1:8" ht="13.2">
      <c r="A4976" s="15" t="s">
        <v>5735</v>
      </c>
      <c r="B4976" s="28" t="s">
        <v>5711</v>
      </c>
      <c r="C4976" s="24">
        <v>5</v>
      </c>
      <c r="D4976" s="18"/>
      <c r="E4976" s="17" t="s">
        <v>5702</v>
      </c>
      <c r="F4976" s="17"/>
      <c r="G4976" s="18"/>
      <c r="H4976" s="18"/>
    </row>
    <row r="4977" spans="1:8" ht="13.2">
      <c r="A4977" s="19" t="str">
        <f>HYPERLINK("http://codeforces.com/contest/347/problem/D","CF347-D2-D")</f>
        <v>CF347-D2-D</v>
      </c>
      <c r="B4977" s="18" t="s">
        <v>5736</v>
      </c>
      <c r="C4977" s="31">
        <v>5</v>
      </c>
      <c r="D4977" s="18"/>
      <c r="E4977" s="17" t="s">
        <v>5702</v>
      </c>
      <c r="F4977" s="17"/>
      <c r="G4977" s="18"/>
      <c r="H4977" s="18"/>
    </row>
    <row r="4978" spans="1:8" ht="13.2">
      <c r="A4978" s="19" t="str">
        <f>HYPERLINK("http://www.spoj.com/problems/PERIOD/","SPOJ PERIOD")</f>
        <v>SPOJ PERIOD</v>
      </c>
      <c r="B4978" s="29" t="s">
        <v>5737</v>
      </c>
      <c r="C4978" s="17">
        <v>4.5</v>
      </c>
      <c r="D4978" s="26" t="str">
        <f>HYPERLINK("http://web.stanford.edu/class/cs97si/suffix-array.pdf","Please do using 2 string processing algorithms. See Problem 10 in Stanford guide")</f>
        <v>Please do using 2 string processing algorithms. See Problem 10 in Stanford guide</v>
      </c>
      <c r="E4978" s="17" t="s">
        <v>5702</v>
      </c>
      <c r="F4978" s="17" t="s">
        <v>139</v>
      </c>
      <c r="G4978" s="18"/>
      <c r="H4978" s="18"/>
    </row>
    <row r="4979" spans="1:8" ht="13.2">
      <c r="A4979" s="15" t="s">
        <v>5738</v>
      </c>
      <c r="B4979" s="28" t="s">
        <v>5739</v>
      </c>
      <c r="C4979" s="24">
        <v>4.5</v>
      </c>
      <c r="D4979" s="18" t="s">
        <v>5740</v>
      </c>
      <c r="E4979" s="17" t="s">
        <v>5702</v>
      </c>
      <c r="F4979" s="17"/>
      <c r="G4979" s="18"/>
      <c r="H4979" s="18"/>
    </row>
    <row r="4980" spans="1:8" ht="13.2">
      <c r="A4980" s="15" t="s">
        <v>5741</v>
      </c>
      <c r="B4980" s="28" t="s">
        <v>5742</v>
      </c>
      <c r="C4980" s="24">
        <v>4.5</v>
      </c>
      <c r="D4980" s="18"/>
      <c r="E4980" s="17" t="s">
        <v>5702</v>
      </c>
      <c r="F4980" s="17"/>
      <c r="G4980" s="18"/>
      <c r="H4980" s="18"/>
    </row>
    <row r="4981" spans="1:8" ht="13.2">
      <c r="A4981" s="19" t="str">
        <f>HYPERLINK("http://www.spoj.com/problems/TESSER/","SPOJ TESSER")</f>
        <v>SPOJ TESSER</v>
      </c>
      <c r="B4981" s="29" t="s">
        <v>5714</v>
      </c>
      <c r="C4981" s="17">
        <v>4</v>
      </c>
      <c r="D4981" s="18"/>
      <c r="E4981" s="17" t="s">
        <v>5702</v>
      </c>
      <c r="F4981" s="17" t="s">
        <v>154</v>
      </c>
      <c r="G4981" s="18"/>
      <c r="H4981" s="18"/>
    </row>
    <row r="4982" spans="1:8" ht="13.2">
      <c r="A4982" s="15" t="s">
        <v>5743</v>
      </c>
      <c r="B4982" s="28" t="s">
        <v>5714</v>
      </c>
      <c r="C4982" s="33">
        <v>4</v>
      </c>
      <c r="D4982" s="18"/>
      <c r="E4982" s="17" t="s">
        <v>5702</v>
      </c>
      <c r="F4982" s="17"/>
      <c r="G4982" s="18"/>
      <c r="H4982" s="18"/>
    </row>
    <row r="4983" spans="1:8" ht="13.2">
      <c r="A4983" s="15" t="s">
        <v>5744</v>
      </c>
      <c r="B4983" s="28" t="s">
        <v>5721</v>
      </c>
      <c r="C4983" s="33">
        <v>4</v>
      </c>
      <c r="D4983" s="18"/>
      <c r="E4983" s="17" t="s">
        <v>5702</v>
      </c>
      <c r="F4983" s="17"/>
      <c r="G4983" s="18"/>
      <c r="H4983" s="18"/>
    </row>
    <row r="4984" spans="1:8" ht="13.2">
      <c r="A4984" s="19" t="str">
        <f>HYPERLINK("https://www.codechef.com/problems/TASHIFT","CODECHEF TASHIFT")</f>
        <v>CODECHEF TASHIFT</v>
      </c>
      <c r="B4984" s="28" t="s">
        <v>5714</v>
      </c>
      <c r="C4984" s="40">
        <v>3</v>
      </c>
      <c r="D4984" s="18"/>
      <c r="E4984" s="17" t="s">
        <v>5702</v>
      </c>
      <c r="F4984" s="17" t="s">
        <v>201</v>
      </c>
      <c r="G4984" s="18"/>
      <c r="H4984" s="18"/>
    </row>
    <row r="4985" spans="1:8" ht="13.2">
      <c r="A4985" s="15" t="s">
        <v>5745</v>
      </c>
      <c r="B4985" s="37" t="s">
        <v>5714</v>
      </c>
      <c r="C4985" s="17">
        <v>3</v>
      </c>
      <c r="D4985" s="18"/>
      <c r="E4985" s="17" t="s">
        <v>5702</v>
      </c>
      <c r="F4985" s="17"/>
      <c r="G4985" s="18"/>
      <c r="H4985" s="18"/>
    </row>
    <row r="4986" spans="1:8" ht="13.2">
      <c r="A4986" s="15" t="s">
        <v>5746</v>
      </c>
      <c r="B4986" s="37" t="s">
        <v>5714</v>
      </c>
      <c r="C4986" s="17">
        <v>3</v>
      </c>
      <c r="D4986" s="18"/>
      <c r="E4986" s="17" t="s">
        <v>5702</v>
      </c>
      <c r="F4986" s="17"/>
      <c r="G4986" s="18"/>
      <c r="H4986" s="18"/>
    </row>
    <row r="4987" spans="1:8" ht="13.2">
      <c r="A4987" s="15" t="s">
        <v>5747</v>
      </c>
      <c r="B4987" s="37" t="s">
        <v>5714</v>
      </c>
      <c r="C4987" s="17">
        <v>3</v>
      </c>
      <c r="D4987" s="18"/>
      <c r="E4987" s="17" t="s">
        <v>5702</v>
      </c>
      <c r="F4987" s="17"/>
      <c r="G4987" s="18"/>
      <c r="H4987" s="18"/>
    </row>
    <row r="4988" spans="1:8" ht="13.2">
      <c r="A4988" s="15" t="s">
        <v>5748</v>
      </c>
      <c r="B4988" s="29" t="s">
        <v>5714</v>
      </c>
      <c r="C4988" s="17">
        <v>3</v>
      </c>
      <c r="D4988" s="18"/>
      <c r="E4988" s="17" t="s">
        <v>5702</v>
      </c>
      <c r="F4988" s="17"/>
      <c r="G4988" s="18"/>
      <c r="H4988" s="18"/>
    </row>
    <row r="4989" spans="1:8" ht="13.2">
      <c r="A4989" s="15" t="s">
        <v>5749</v>
      </c>
      <c r="B4989" s="28" t="s">
        <v>5714</v>
      </c>
      <c r="C4989" s="24">
        <v>3</v>
      </c>
      <c r="D4989" s="18"/>
      <c r="E4989" s="24" t="s">
        <v>5702</v>
      </c>
      <c r="F4989" s="17"/>
      <c r="G4989" s="18"/>
      <c r="H4989" s="18"/>
    </row>
    <row r="4990" spans="1:8" ht="13.2">
      <c r="A4990" s="15" t="s">
        <v>5750</v>
      </c>
      <c r="B4990" s="28" t="s">
        <v>5704</v>
      </c>
      <c r="C4990" s="24">
        <v>3</v>
      </c>
      <c r="D4990" s="18" t="s">
        <v>5740</v>
      </c>
      <c r="E4990" s="17" t="s">
        <v>5702</v>
      </c>
      <c r="F4990" s="17"/>
      <c r="G4990" s="18"/>
      <c r="H4990" s="18"/>
    </row>
    <row r="4991" spans="1:8" ht="13.2">
      <c r="A4991" s="15" t="s">
        <v>5751</v>
      </c>
      <c r="B4991" s="28" t="s">
        <v>5704</v>
      </c>
      <c r="C4991" s="24">
        <v>3</v>
      </c>
      <c r="D4991" s="18"/>
      <c r="E4991" s="24" t="s">
        <v>5702</v>
      </c>
      <c r="F4991" s="17"/>
      <c r="G4991" s="18"/>
      <c r="H4991" s="18"/>
    </row>
    <row r="4992" spans="1:8" ht="13.2">
      <c r="A4992" s="15" t="s">
        <v>5752</v>
      </c>
      <c r="B4992" s="28" t="s">
        <v>5753</v>
      </c>
      <c r="C4992" s="40">
        <v>3</v>
      </c>
      <c r="D4992" s="18"/>
      <c r="E4992" s="17" t="s">
        <v>5702</v>
      </c>
      <c r="F4992" s="17"/>
      <c r="G4992" s="18"/>
      <c r="H4992" s="18"/>
    </row>
    <row r="4993" spans="1:8" ht="13.2">
      <c r="A4993" s="19" t="str">
        <f>HYPERLINK("http://www.spoj.com/problems/NHAY","SPOJ NHAY")</f>
        <v>SPOJ NHAY</v>
      </c>
      <c r="B4993" s="29" t="s">
        <v>5754</v>
      </c>
      <c r="C4993" s="17">
        <v>3</v>
      </c>
      <c r="D4993" s="18"/>
      <c r="E4993" s="17" t="s">
        <v>5702</v>
      </c>
      <c r="F4993" s="17"/>
      <c r="G4993" s="18"/>
      <c r="H4993" s="18"/>
    </row>
    <row r="4994" spans="1:8" ht="13.2">
      <c r="A4994" s="15" t="s">
        <v>5755</v>
      </c>
      <c r="B4994" s="37" t="s">
        <v>5756</v>
      </c>
      <c r="C4994" s="17">
        <v>3</v>
      </c>
      <c r="D4994" s="18"/>
      <c r="E4994" s="17" t="s">
        <v>5702</v>
      </c>
      <c r="F4994" s="17"/>
      <c r="G4994" s="18"/>
      <c r="H4994" s="18"/>
    </row>
    <row r="4995" spans="1:8" ht="13.2">
      <c r="A4995" s="15" t="s">
        <v>5757</v>
      </c>
      <c r="B4995" s="18" t="s">
        <v>5758</v>
      </c>
      <c r="C4995" s="17">
        <v>3</v>
      </c>
      <c r="D4995" s="26" t="str">
        <f>HYPERLINK("https://github.com/ilyesG/Competitive-Programming/blob/master/SPOJ/SPOJ%20FILRTEST.cpp","Sol")</f>
        <v>Sol</v>
      </c>
      <c r="E4995" s="17" t="s">
        <v>5702</v>
      </c>
      <c r="F4995" s="17"/>
      <c r="G4995" s="18"/>
      <c r="H4995" s="18"/>
    </row>
    <row r="4996" spans="1:8" ht="13.2">
      <c r="A4996" s="19" t="str">
        <f>HYPERLINK("http://poj.org/problem?id=3461","PKU 3461")</f>
        <v>PKU 3461</v>
      </c>
      <c r="B4996" s="29" t="s">
        <v>5759</v>
      </c>
      <c r="C4996" s="17">
        <v>2</v>
      </c>
      <c r="D4996" s="18"/>
      <c r="E4996" s="17" t="s">
        <v>5702</v>
      </c>
      <c r="F4996" s="17"/>
      <c r="G4996" s="18"/>
      <c r="H4996" s="18"/>
    </row>
    <row r="4997" spans="1:8" ht="13.2">
      <c r="A4997" s="19" t="str">
        <f>HYPERLINK("http://codeforces.com/contest/433/problem/E","CF433-D2-E")</f>
        <v>CF433-D2-E</v>
      </c>
      <c r="B4997" s="15" t="s">
        <v>5760</v>
      </c>
      <c r="C4997" s="24">
        <v>8</v>
      </c>
      <c r="D4997" s="18"/>
      <c r="E4997" s="17" t="s">
        <v>5761</v>
      </c>
      <c r="F4997" s="17" t="s">
        <v>201</v>
      </c>
      <c r="G4997" s="18"/>
      <c r="H4997" s="18"/>
    </row>
    <row r="4998" spans="1:8" ht="13.2">
      <c r="A4998" s="15" t="s">
        <v>5762</v>
      </c>
      <c r="B4998" s="29" t="s">
        <v>5763</v>
      </c>
      <c r="C4998" s="54">
        <v>8</v>
      </c>
      <c r="D4998" s="18"/>
      <c r="E4998" s="17" t="s">
        <v>5761</v>
      </c>
      <c r="F4998" s="17"/>
      <c r="G4998" s="18"/>
      <c r="H4998" s="18"/>
    </row>
    <row r="4999" spans="1:8" ht="13.2">
      <c r="A4999" s="15" t="s">
        <v>5764</v>
      </c>
      <c r="B4999" s="29" t="s">
        <v>5763</v>
      </c>
      <c r="C4999" s="24">
        <v>7.25</v>
      </c>
      <c r="D4999" s="18"/>
      <c r="E4999" s="17" t="s">
        <v>5761</v>
      </c>
      <c r="F4999" s="17"/>
      <c r="G4999" s="18"/>
      <c r="H4999" s="18"/>
    </row>
    <row r="5000" spans="1:8" ht="13.2">
      <c r="A5000" s="15" t="s">
        <v>5765</v>
      </c>
      <c r="B5000" s="28" t="s">
        <v>5763</v>
      </c>
      <c r="C5000" s="24">
        <v>7.25</v>
      </c>
      <c r="D5000" s="18"/>
      <c r="E5000" s="17" t="s">
        <v>5761</v>
      </c>
      <c r="F5000" s="17"/>
      <c r="G5000" s="18"/>
      <c r="H5000" s="18"/>
    </row>
    <row r="5001" spans="1:8" ht="13.2">
      <c r="A5001" s="15" t="s">
        <v>5766</v>
      </c>
      <c r="B5001" s="29" t="s">
        <v>5763</v>
      </c>
      <c r="C5001" s="17">
        <v>7</v>
      </c>
      <c r="D5001" s="18"/>
      <c r="E5001" s="17" t="s">
        <v>5761</v>
      </c>
      <c r="F5001" s="17" t="s">
        <v>139</v>
      </c>
      <c r="G5001" s="18"/>
      <c r="H5001" s="18"/>
    </row>
    <row r="5002" spans="1:8" ht="13.2">
      <c r="A5002" s="19" t="str">
        <f>HYPERLINK("http://codeforces.com/contest/696/problem/D","CF696-D1-D")</f>
        <v>CF696-D1-D</v>
      </c>
      <c r="B5002" s="15" t="s">
        <v>5767</v>
      </c>
      <c r="C5002" s="24">
        <v>7</v>
      </c>
      <c r="D5002" s="18"/>
      <c r="E5002" s="17" t="s">
        <v>5761</v>
      </c>
      <c r="F5002" s="17" t="s">
        <v>139</v>
      </c>
      <c r="G5002" s="18"/>
      <c r="H5002" s="18"/>
    </row>
    <row r="5003" spans="1:8" ht="13.2">
      <c r="A5003" s="19" t="str">
        <f>HYPERLINK("https://open.kattis.com/problems/insidersidentity","kattis insidersidentity")</f>
        <v>kattis insidersidentity</v>
      </c>
      <c r="B5003" s="61" t="s">
        <v>5768</v>
      </c>
      <c r="C5003" s="17">
        <v>7</v>
      </c>
      <c r="D5003" s="26" t="str">
        <f>HYPERLINK("https://github.com/nya-nya-meow/CompetitiveProgramming/blob/master/Kattis/insidersidentity.cpp","Sol")</f>
        <v>Sol</v>
      </c>
      <c r="E5003" s="17" t="s">
        <v>5761</v>
      </c>
      <c r="F5003" s="17" t="s">
        <v>201</v>
      </c>
      <c r="G5003" s="18"/>
      <c r="H5003" s="18"/>
    </row>
    <row r="5004" spans="1:8" ht="13.2">
      <c r="A5004" s="15" t="s">
        <v>5769</v>
      </c>
      <c r="B5004" s="29" t="s">
        <v>5763</v>
      </c>
      <c r="C5004" s="17">
        <v>7</v>
      </c>
      <c r="D5004" s="18"/>
      <c r="E5004" s="17" t="s">
        <v>5761</v>
      </c>
      <c r="F5004" s="17"/>
      <c r="G5004" s="18"/>
      <c r="H5004" s="18"/>
    </row>
    <row r="5005" spans="1:8" ht="13.2">
      <c r="A5005" s="15" t="s">
        <v>5770</v>
      </c>
      <c r="B5005" s="28" t="s">
        <v>5771</v>
      </c>
      <c r="C5005" s="17">
        <v>7</v>
      </c>
      <c r="D5005" s="18"/>
      <c r="E5005" s="17" t="s">
        <v>5761</v>
      </c>
      <c r="F5005" s="17"/>
      <c r="G5005" s="18"/>
      <c r="H5005" s="18"/>
    </row>
    <row r="5006" spans="1:8" ht="13.2">
      <c r="A5006" s="15" t="s">
        <v>5772</v>
      </c>
      <c r="B5006" s="29" t="s">
        <v>5768</v>
      </c>
      <c r="C5006" s="17">
        <v>7</v>
      </c>
      <c r="D5006" s="18"/>
      <c r="E5006" s="17" t="s">
        <v>5761</v>
      </c>
      <c r="F5006" s="17"/>
      <c r="G5006" s="18"/>
      <c r="H5006" s="18"/>
    </row>
    <row r="5007" spans="1:8" ht="13.2">
      <c r="A5007" s="19" t="str">
        <f>HYPERLINK("http://codeforces.com/problemset/gymProblem/101064/E","CF101064-gym-E")</f>
        <v>CF101064-gym-E</v>
      </c>
      <c r="B5007" s="29" t="s">
        <v>5773</v>
      </c>
      <c r="C5007" s="17">
        <v>7</v>
      </c>
      <c r="D5007" s="26" t="str">
        <f>HYPERLINK("https://github.com/HosamEissa/Competitive-programming-/blob/master/Codeforces/CF101064-GYM-E.cpp","Sol")</f>
        <v>Sol</v>
      </c>
      <c r="E5007" s="17" t="s">
        <v>5761</v>
      </c>
      <c r="F5007" s="17"/>
      <c r="G5007" s="18"/>
      <c r="H5007" s="18"/>
    </row>
    <row r="5008" spans="1:8" ht="13.2">
      <c r="A5008" s="15" t="s">
        <v>5774</v>
      </c>
      <c r="B5008" s="15" t="s">
        <v>5775</v>
      </c>
      <c r="C5008" s="17">
        <v>7</v>
      </c>
      <c r="D5008" s="18"/>
      <c r="E5008" s="17" t="s">
        <v>5761</v>
      </c>
      <c r="F5008" s="17"/>
      <c r="G5008" s="18"/>
      <c r="H5008" s="18"/>
    </row>
    <row r="5009" spans="1:8" ht="13.2">
      <c r="A5009" s="15" t="s">
        <v>5776</v>
      </c>
      <c r="B5009" s="15" t="s">
        <v>5777</v>
      </c>
      <c r="C5009" s="17">
        <v>7</v>
      </c>
      <c r="D5009" s="18"/>
      <c r="E5009" s="17" t="s">
        <v>5761</v>
      </c>
      <c r="F5009" s="17"/>
      <c r="G5009" s="18"/>
      <c r="H5009" s="18"/>
    </row>
    <row r="5010" spans="1:8" ht="13.2">
      <c r="A5010" s="15" t="s">
        <v>5778</v>
      </c>
      <c r="B5010" s="29" t="s">
        <v>5779</v>
      </c>
      <c r="C5010" s="54">
        <v>6.75</v>
      </c>
      <c r="D5010" s="18"/>
      <c r="E5010" s="17" t="s">
        <v>5761</v>
      </c>
      <c r="F5010" s="17"/>
      <c r="G5010" s="18"/>
      <c r="H5010" s="18"/>
    </row>
    <row r="5011" spans="1:8" ht="13.2">
      <c r="A5011" s="15" t="s">
        <v>5780</v>
      </c>
      <c r="B5011" s="29" t="s">
        <v>5781</v>
      </c>
      <c r="C5011" s="17">
        <v>6.25</v>
      </c>
      <c r="D5011" s="26" t="str">
        <f>HYPERLINK("https://github.com/HosamEissa/Competitive-programming-/blob/master/UVA/12244.cpp","Sol")</f>
        <v>Sol</v>
      </c>
      <c r="E5011" s="17" t="s">
        <v>5761</v>
      </c>
      <c r="F5011" s="17" t="s">
        <v>201</v>
      </c>
      <c r="G5011" s="18"/>
      <c r="H5011" s="18"/>
    </row>
    <row r="5012" spans="1:8" ht="13.2">
      <c r="A5012" s="15" t="s">
        <v>5782</v>
      </c>
      <c r="B5012" s="29" t="s">
        <v>5763</v>
      </c>
      <c r="C5012" s="54">
        <v>6</v>
      </c>
      <c r="D5012" s="26" t="str">
        <f>HYPERLINK("https://problemsolvingnotes.wordpress.com/2012/02/06/live-archive-5064-serial-numbers/","Sol")</f>
        <v>Sol</v>
      </c>
      <c r="E5012" s="17" t="s">
        <v>5761</v>
      </c>
      <c r="F5012" s="17"/>
      <c r="G5012" s="18"/>
      <c r="H5012" s="18"/>
    </row>
    <row r="5013" spans="1:8" ht="13.2">
      <c r="A5013" s="15" t="s">
        <v>5783</v>
      </c>
      <c r="B5013" s="18" t="s">
        <v>5763</v>
      </c>
      <c r="C5013" s="24">
        <v>6</v>
      </c>
      <c r="D5013" s="18"/>
      <c r="E5013" s="17" t="s">
        <v>5761</v>
      </c>
      <c r="F5013" s="17"/>
      <c r="G5013" s="18"/>
      <c r="H5013" s="18"/>
    </row>
    <row r="5014" spans="1:8" ht="13.2">
      <c r="A5014" s="15" t="s">
        <v>5784</v>
      </c>
      <c r="B5014" s="28" t="s">
        <v>5785</v>
      </c>
      <c r="C5014" s="24">
        <v>6</v>
      </c>
      <c r="D5014" s="18"/>
      <c r="E5014" s="17" t="s">
        <v>5761</v>
      </c>
      <c r="F5014" s="17"/>
      <c r="G5014" s="18"/>
      <c r="H5014" s="18"/>
    </row>
    <row r="5015" spans="1:8" ht="13.2">
      <c r="A5015" s="15" t="s">
        <v>5786</v>
      </c>
      <c r="B5015" s="29" t="s">
        <v>5787</v>
      </c>
      <c r="C5015" s="24">
        <v>6</v>
      </c>
      <c r="D5015" s="18"/>
      <c r="E5015" s="17" t="s">
        <v>5761</v>
      </c>
      <c r="F5015" s="17"/>
      <c r="G5015" s="18"/>
      <c r="H5015" s="18"/>
    </row>
    <row r="5016" spans="1:8" ht="13.2">
      <c r="A5016" s="19" t="str">
        <f>HYPERLINK("https://www.codechef.com/problems/LYRC","CODECHEF LYRC")</f>
        <v>CODECHEF LYRC</v>
      </c>
      <c r="B5016" s="18" t="s">
        <v>5768</v>
      </c>
      <c r="C5016" s="17">
        <v>6</v>
      </c>
      <c r="D5016" s="18"/>
      <c r="E5016" s="17" t="s">
        <v>5761</v>
      </c>
      <c r="F5016" s="17"/>
      <c r="G5016" s="18"/>
      <c r="H5016" s="18"/>
    </row>
    <row r="5017" spans="1:8" ht="13.2">
      <c r="A5017" s="15" t="s">
        <v>5788</v>
      </c>
      <c r="B5017" s="29" t="s">
        <v>5763</v>
      </c>
      <c r="C5017" s="17">
        <v>5</v>
      </c>
      <c r="D5017" s="18"/>
      <c r="E5017" s="17" t="s">
        <v>5761</v>
      </c>
      <c r="F5017" s="17"/>
      <c r="G5017" s="18"/>
      <c r="H5017" s="18"/>
    </row>
    <row r="5018" spans="1:8" ht="13.2">
      <c r="A5018" s="15" t="s">
        <v>5789</v>
      </c>
      <c r="B5018" s="18" t="s">
        <v>5790</v>
      </c>
      <c r="C5018" s="33">
        <v>5</v>
      </c>
      <c r="D5018" s="18"/>
      <c r="E5018" s="17" t="s">
        <v>5761</v>
      </c>
      <c r="F5018" s="17"/>
      <c r="G5018" s="18"/>
      <c r="H5018" s="18"/>
    </row>
    <row r="5019" spans="1:8" ht="13.2">
      <c r="A5019" s="15" t="s">
        <v>5791</v>
      </c>
      <c r="B5019" s="28" t="s">
        <v>5792</v>
      </c>
      <c r="C5019" s="40">
        <v>4</v>
      </c>
      <c r="D5019" s="26" t="str">
        <f>HYPERLINK("https://github.com/HosamEissa/Competitive-programming-/blob/master/Spoj/SUB_PROB.cpp","Sol")</f>
        <v>Sol</v>
      </c>
      <c r="E5019" s="17" t="s">
        <v>5761</v>
      </c>
      <c r="F5019" s="17"/>
      <c r="G5019" s="18"/>
      <c r="H5019" s="18"/>
    </row>
    <row r="5020" spans="1:8" ht="13.2">
      <c r="A5020" s="19" t="str">
        <f>HYPERLINK("http://codeforces.com/problemset/problem/1063/F", "CF1063-D1-F")</f>
        <v>CF1063-D1-F</v>
      </c>
      <c r="B5020" s="23" t="s">
        <v>5793</v>
      </c>
      <c r="C5020" s="17">
        <v>8</v>
      </c>
      <c r="D5020" s="18"/>
      <c r="E5020" s="17" t="s">
        <v>5794</v>
      </c>
      <c r="F5020" s="17" t="s">
        <v>154</v>
      </c>
      <c r="G5020" s="18"/>
      <c r="H5020" s="18"/>
    </row>
    <row r="5021" spans="1:8" ht="13.2">
      <c r="A5021" s="19" t="str">
        <f>HYPERLINK("http://codeforces.com/contest/653/problem/F","CF653-D12-F")</f>
        <v>CF653-D12-F</v>
      </c>
      <c r="B5021" s="15" t="s">
        <v>5795</v>
      </c>
      <c r="C5021" s="24">
        <v>8</v>
      </c>
      <c r="D5021" s="18"/>
      <c r="E5021" s="17" t="s">
        <v>5794</v>
      </c>
      <c r="F5021" s="17" t="s">
        <v>139</v>
      </c>
      <c r="G5021" s="18"/>
      <c r="H5021" s="18"/>
    </row>
    <row r="5022" spans="1:8" ht="13.2">
      <c r="A5022" s="19" t="str">
        <f>HYPERLINK("http://codeforces.com/gym/101889/problem/M","CF101889-GYM-M")</f>
        <v>CF101889-GYM-M</v>
      </c>
      <c r="B5022" s="20" t="s">
        <v>5796</v>
      </c>
      <c r="C5022" s="21">
        <v>8</v>
      </c>
      <c r="D5022" s="26" t="str">
        <f>HYPERLINK("https://github.com/OmarHashim/Competitive-Programming/blob/master/CodeForces/CF101889-GYM-M.cpp","Sol")</f>
        <v>Sol</v>
      </c>
      <c r="E5022" s="17" t="s">
        <v>5794</v>
      </c>
      <c r="F5022" s="17"/>
      <c r="G5022" s="18"/>
      <c r="H5022" s="18"/>
    </row>
    <row r="5023" spans="1:8" ht="13.2">
      <c r="A5023" s="15" t="s">
        <v>5797</v>
      </c>
      <c r="B5023" s="28" t="s">
        <v>5796</v>
      </c>
      <c r="C5023" s="17">
        <v>8</v>
      </c>
      <c r="D5023" s="18"/>
      <c r="E5023" s="17" t="s">
        <v>5794</v>
      </c>
      <c r="F5023" s="17"/>
      <c r="G5023" s="18"/>
      <c r="H5023" s="18"/>
    </row>
    <row r="5024" spans="1:8" ht="13.2">
      <c r="A5024" s="15" t="s">
        <v>5798</v>
      </c>
      <c r="B5024" s="30" t="s">
        <v>5799</v>
      </c>
      <c r="C5024" s="17">
        <v>8</v>
      </c>
      <c r="D5024" s="26" t="str">
        <f>HYPERLINK("https://codeforces.com/blog/entry/15532","Author ?")</f>
        <v>Author ?</v>
      </c>
      <c r="E5024" s="17" t="s">
        <v>5794</v>
      </c>
      <c r="F5024" s="17"/>
      <c r="G5024" s="18"/>
      <c r="H5024" s="18"/>
    </row>
    <row r="5025" spans="1:8" ht="13.2">
      <c r="A5025" s="19" t="str">
        <f>HYPERLINK("http://codeforces.com/contest/235/problem/C","CF235-D1-C")</f>
        <v>CF235-D1-C</v>
      </c>
      <c r="B5025" s="29" t="s">
        <v>5800</v>
      </c>
      <c r="C5025" s="17">
        <v>8</v>
      </c>
      <c r="D5025" s="18"/>
      <c r="E5025" s="17" t="s">
        <v>5794</v>
      </c>
      <c r="F5025" s="17"/>
      <c r="G5025" s="18"/>
      <c r="H5025" s="18"/>
    </row>
    <row r="5026" spans="1:8" ht="13.2">
      <c r="A5026" s="19" t="str">
        <f>HYPERLINK("https://www.codechef.com/problems/DIFTRIP","CODECHEF DIFTRIP")</f>
        <v>CODECHEF DIFTRIP</v>
      </c>
      <c r="B5026" s="18" t="s">
        <v>5801</v>
      </c>
      <c r="C5026" s="17">
        <v>8</v>
      </c>
      <c r="D5026" s="18"/>
      <c r="E5026" s="17" t="s">
        <v>5794</v>
      </c>
      <c r="F5026" s="17"/>
      <c r="G5026" s="18"/>
      <c r="H5026" s="18"/>
    </row>
    <row r="5027" spans="1:8" ht="13.2">
      <c r="A5027" s="15" t="s">
        <v>5802</v>
      </c>
      <c r="B5027" s="28" t="s">
        <v>5796</v>
      </c>
      <c r="C5027" s="24">
        <v>7.5</v>
      </c>
      <c r="D5027" s="18"/>
      <c r="E5027" s="17" t="s">
        <v>5794</v>
      </c>
      <c r="F5027" s="17"/>
      <c r="G5027" s="18"/>
      <c r="H5027" s="18"/>
    </row>
    <row r="5028" spans="1:8" ht="13.2">
      <c r="A5028" s="19" t="str">
        <f>HYPERLINK("http://codeforces.com/contest/316/problem/G2","CF316-D12-G2")</f>
        <v>CF316-D12-G2</v>
      </c>
      <c r="B5028" s="28" t="s">
        <v>5803</v>
      </c>
      <c r="C5028" s="24">
        <v>7.5</v>
      </c>
      <c r="D5028" s="18"/>
      <c r="E5028" s="17" t="s">
        <v>5794</v>
      </c>
      <c r="F5028" s="17"/>
      <c r="G5028" s="18"/>
      <c r="H5028" s="18"/>
    </row>
    <row r="5029" spans="1:8" ht="13.2">
      <c r="A5029" s="15" t="s">
        <v>5804</v>
      </c>
      <c r="B5029" s="15" t="s">
        <v>5796</v>
      </c>
      <c r="C5029" s="17">
        <v>7.25</v>
      </c>
      <c r="D5029" s="18"/>
      <c r="E5029" s="17" t="s">
        <v>5794</v>
      </c>
      <c r="F5029" s="17" t="s">
        <v>154</v>
      </c>
      <c r="G5029" s="18"/>
      <c r="H5029" s="18"/>
    </row>
    <row r="5030" spans="1:8" ht="13.2">
      <c r="A5030" s="15" t="s">
        <v>5805</v>
      </c>
      <c r="B5030" s="15" t="s">
        <v>5806</v>
      </c>
      <c r="C5030" s="17">
        <v>7.25</v>
      </c>
      <c r="D5030" s="18"/>
      <c r="E5030" s="17" t="s">
        <v>5794</v>
      </c>
      <c r="F5030" s="17" t="s">
        <v>154</v>
      </c>
      <c r="G5030" s="18"/>
      <c r="H5030" s="18"/>
    </row>
    <row r="5031" spans="1:8" ht="13.2">
      <c r="A5031" s="15" t="s">
        <v>5807</v>
      </c>
      <c r="B5031" s="15" t="s">
        <v>5808</v>
      </c>
      <c r="C5031" s="17">
        <v>7.25</v>
      </c>
      <c r="D5031" s="18"/>
      <c r="E5031" s="17" t="s">
        <v>5794</v>
      </c>
      <c r="F5031" s="17" t="s">
        <v>154</v>
      </c>
      <c r="G5031" s="18"/>
      <c r="H5031" s="18"/>
    </row>
    <row r="5032" spans="1:8" ht="13.2">
      <c r="A5032" s="19" t="str">
        <f>HYPERLINK("https://www.urionlinejudge.com.br/judge/en/problems/view/1530","URI 1530")</f>
        <v>URI 1530</v>
      </c>
      <c r="B5032" s="15" t="s">
        <v>5809</v>
      </c>
      <c r="C5032" s="17">
        <v>7.25</v>
      </c>
      <c r="D5032" s="18"/>
      <c r="E5032" s="17" t="s">
        <v>5794</v>
      </c>
      <c r="F5032" s="17" t="s">
        <v>154</v>
      </c>
      <c r="G5032" s="18"/>
      <c r="H5032" s="18"/>
    </row>
    <row r="5033" spans="1:8" ht="13.2">
      <c r="A5033" s="19" t="str">
        <f>HYPERLINK("http://codeforces.com/contest/802/problem/I","CF802-D12-I")</f>
        <v>CF802-D12-I</v>
      </c>
      <c r="B5033" s="15" t="s">
        <v>5810</v>
      </c>
      <c r="C5033" s="17">
        <v>7.25</v>
      </c>
      <c r="D5033" s="18"/>
      <c r="E5033" s="17" t="s">
        <v>5794</v>
      </c>
      <c r="F5033" s="17" t="s">
        <v>139</v>
      </c>
      <c r="G5033" s="18"/>
      <c r="H5033" s="18"/>
    </row>
    <row r="5034" spans="1:8" ht="13.2">
      <c r="A5034" s="15" t="s">
        <v>5811</v>
      </c>
      <c r="B5034" s="15" t="s">
        <v>5812</v>
      </c>
      <c r="C5034" s="17">
        <v>7.25</v>
      </c>
      <c r="D5034" s="18"/>
      <c r="E5034" s="17" t="s">
        <v>5794</v>
      </c>
      <c r="F5034" s="17"/>
      <c r="G5034" s="18"/>
      <c r="H5034" s="18"/>
    </row>
    <row r="5035" spans="1:8" ht="13.2">
      <c r="A5035" s="15" t="s">
        <v>5813</v>
      </c>
      <c r="B5035" s="29" t="s">
        <v>5814</v>
      </c>
      <c r="C5035" s="24">
        <v>7.25</v>
      </c>
      <c r="D5035" s="18"/>
      <c r="E5035" s="17" t="s">
        <v>5794</v>
      </c>
      <c r="F5035" s="17"/>
      <c r="G5035" s="18"/>
      <c r="H5035" s="18"/>
    </row>
    <row r="5036" spans="1:8" ht="13.2">
      <c r="A5036" s="15" t="s">
        <v>5815</v>
      </c>
      <c r="B5036" s="29" t="s">
        <v>5816</v>
      </c>
      <c r="C5036" s="24">
        <v>7.25</v>
      </c>
      <c r="D5036" s="18"/>
      <c r="E5036" s="17" t="s">
        <v>5794</v>
      </c>
      <c r="F5036" s="17"/>
      <c r="G5036" s="18"/>
      <c r="H5036" s="18"/>
    </row>
    <row r="5037" spans="1:8" ht="13.2">
      <c r="A5037" s="19" t="str">
        <f>HYPERLINK("http://codeforces.com/contest/452/problem/E","CF452-D12-E")</f>
        <v>CF452-D12-E</v>
      </c>
      <c r="B5037" s="29" t="s">
        <v>5817</v>
      </c>
      <c r="C5037" s="17">
        <v>7</v>
      </c>
      <c r="D5037" s="18"/>
      <c r="E5037" s="17" t="s">
        <v>5794</v>
      </c>
      <c r="F5037" s="17" t="s">
        <v>139</v>
      </c>
      <c r="G5037" s="18"/>
      <c r="H5037" s="18"/>
    </row>
    <row r="5038" spans="1:8" ht="13.2">
      <c r="A5038" s="15" t="s">
        <v>5818</v>
      </c>
      <c r="B5038" s="20" t="s">
        <v>5796</v>
      </c>
      <c r="C5038" s="21">
        <v>7</v>
      </c>
      <c r="D5038" s="18"/>
      <c r="E5038" s="17" t="s">
        <v>5794</v>
      </c>
      <c r="F5038" s="17"/>
      <c r="G5038" s="18"/>
      <c r="H5038" s="18"/>
    </row>
    <row r="5039" spans="1:8" ht="13.2">
      <c r="A5039" s="19" t="str">
        <f>HYPERLINK("https://www.codechef.com/problems/MOU1H","CODECHEF MOU1H")</f>
        <v>CODECHEF MOU1H</v>
      </c>
      <c r="B5039" s="29" t="s">
        <v>5796</v>
      </c>
      <c r="C5039" s="17">
        <v>7</v>
      </c>
      <c r="D5039" s="18"/>
      <c r="E5039" s="17" t="s">
        <v>5794</v>
      </c>
      <c r="F5039" s="17"/>
      <c r="G5039" s="18"/>
      <c r="H5039" s="18"/>
    </row>
    <row r="5040" spans="1:8" ht="13.2">
      <c r="A5040" s="19" t="str">
        <f>HYPERLINK("https://www.codechef.com/problems/TANDEM","CODECHEF TANDEM")</f>
        <v>CODECHEF TANDEM</v>
      </c>
      <c r="B5040" s="15" t="s">
        <v>5796</v>
      </c>
      <c r="C5040" s="17">
        <v>7</v>
      </c>
      <c r="D5040" s="18"/>
      <c r="E5040" s="17" t="s">
        <v>5794</v>
      </c>
      <c r="F5040" s="17"/>
      <c r="G5040" s="18"/>
      <c r="H5040" s="18"/>
    </row>
    <row r="5041" spans="1:8" ht="13.2">
      <c r="A5041" s="15" t="s">
        <v>5819</v>
      </c>
      <c r="B5041" s="29" t="s">
        <v>5820</v>
      </c>
      <c r="C5041" s="17">
        <v>7</v>
      </c>
      <c r="D5041" s="18" t="s">
        <v>5821</v>
      </c>
      <c r="E5041" s="17" t="s">
        <v>5794</v>
      </c>
      <c r="F5041" s="17"/>
      <c r="G5041" s="18"/>
      <c r="H5041" s="18"/>
    </row>
    <row r="5042" spans="1:8" ht="13.2">
      <c r="A5042" s="15" t="s">
        <v>5822</v>
      </c>
      <c r="B5042" s="29" t="s">
        <v>5820</v>
      </c>
      <c r="C5042" s="17">
        <v>7</v>
      </c>
      <c r="D5042" s="18" t="s">
        <v>5821</v>
      </c>
      <c r="E5042" s="17" t="s">
        <v>5794</v>
      </c>
      <c r="F5042" s="17"/>
      <c r="G5042" s="18"/>
      <c r="H5042" s="18"/>
    </row>
    <row r="5043" spans="1:8" ht="13.2">
      <c r="A5043" s="15" t="s">
        <v>5823</v>
      </c>
      <c r="B5043" s="30" t="s">
        <v>5824</v>
      </c>
      <c r="C5043" s="17">
        <v>6.8</v>
      </c>
      <c r="D5043" s="18"/>
      <c r="E5043" s="17" t="s">
        <v>5794</v>
      </c>
      <c r="F5043" s="17"/>
      <c r="G5043" s="18"/>
      <c r="H5043" s="18"/>
    </row>
    <row r="5044" spans="1:8" ht="13.2">
      <c r="A5044" s="19" t="str">
        <f>HYPERLINK("https://codeforces.com/gym/102028/problem/H","CF102028-GYM-H")</f>
        <v>CF102028-GYM-H</v>
      </c>
      <c r="B5044" s="15" t="s">
        <v>5825</v>
      </c>
      <c r="C5044" s="17">
        <v>6.75</v>
      </c>
      <c r="D5044" s="26" t="str">
        <f>HYPERLINK("https://github.com/WaleedAbdelhakim/Competitive-Programming/blob/master/CodeForces/CF102028-GYM-H.cpp","Sol(no editorial)")</f>
        <v>Sol(no editorial)</v>
      </c>
      <c r="E5044" s="17" t="s">
        <v>5794</v>
      </c>
      <c r="F5044" s="17" t="s">
        <v>154</v>
      </c>
      <c r="G5044" s="18"/>
      <c r="H5044" s="18"/>
    </row>
    <row r="5045" spans="1:8" ht="13.2">
      <c r="A5045" s="19" t="str">
        <f>HYPERLINK("https://codeforces.com/contest/1129/problem/C","CF1129-D1-C")</f>
        <v>CF1129-D1-C</v>
      </c>
      <c r="B5045" s="20" t="s">
        <v>5826</v>
      </c>
      <c r="C5045" s="21">
        <v>6.5</v>
      </c>
      <c r="D5045" s="18"/>
      <c r="E5045" s="17" t="s">
        <v>5794</v>
      </c>
      <c r="F5045" s="17" t="s">
        <v>154</v>
      </c>
      <c r="G5045" s="18"/>
      <c r="H5045" s="18"/>
    </row>
    <row r="5046" spans="1:8" ht="13.2">
      <c r="A5046" s="19" t="str">
        <f>HYPERLINK("http://codeforces.com/problemset/problem/1073/G", "CF1073-D12-G")</f>
        <v>CF1073-D12-G</v>
      </c>
      <c r="B5046" s="37" t="s">
        <v>5814</v>
      </c>
      <c r="C5046" s="21">
        <v>6.5</v>
      </c>
      <c r="D5046" s="26" t="str">
        <f>HYPERLINK("https://github.com/goswami-rahul/competitive-coding/blob/master/CompetitiveProgramming/codeforces/CF1073-D12-G.cpp","Sol")</f>
        <v>Sol</v>
      </c>
      <c r="E5046" s="17" t="s">
        <v>5794</v>
      </c>
      <c r="F5046" s="17" t="s">
        <v>154</v>
      </c>
      <c r="G5046" s="18"/>
      <c r="H5046" s="18"/>
    </row>
    <row r="5047" spans="1:8" ht="13.2">
      <c r="A5047" s="19" t="str">
        <f>HYPERLINK("http://codeforces.com/contest/873/problem/F","CF873-D2-F")</f>
        <v>CF873-D2-F</v>
      </c>
      <c r="B5047" s="28" t="s">
        <v>5827</v>
      </c>
      <c r="C5047" s="17">
        <v>6.5</v>
      </c>
      <c r="D5047" s="18"/>
      <c r="E5047" s="17" t="s">
        <v>5794</v>
      </c>
      <c r="F5047" s="17" t="s">
        <v>154</v>
      </c>
      <c r="G5047" s="18"/>
      <c r="H5047" s="18"/>
    </row>
    <row r="5048" spans="1:8" ht="13.2">
      <c r="A5048" s="15" t="s">
        <v>5828</v>
      </c>
      <c r="B5048" s="15" t="s">
        <v>5808</v>
      </c>
      <c r="C5048" s="17">
        <v>6.3</v>
      </c>
      <c r="D5048" s="18"/>
      <c r="E5048" s="17" t="s">
        <v>5794</v>
      </c>
      <c r="F5048" s="17" t="s">
        <v>154</v>
      </c>
      <c r="G5048" s="18"/>
      <c r="H5048" s="18"/>
    </row>
    <row r="5049" spans="1:8" ht="13.2">
      <c r="A5049" s="19" t="str">
        <f>HYPERLINK("http://codeforces.com/contest/149/problem/E","CF149-D2-E")</f>
        <v>CF149-D2-E</v>
      </c>
      <c r="B5049" s="29" t="s">
        <v>5829</v>
      </c>
      <c r="C5049" s="17">
        <v>6</v>
      </c>
      <c r="D5049" s="18"/>
      <c r="E5049" s="17" t="s">
        <v>5794</v>
      </c>
      <c r="F5049" s="17" t="s">
        <v>154</v>
      </c>
      <c r="G5049" s="18"/>
      <c r="H5049" s="18"/>
    </row>
    <row r="5050" spans="1:8" ht="13.2">
      <c r="A5050" s="19" t="str">
        <f>HYPERLINK("http://codeforces.com/problemset/problem/822/E","CF822-D2-E")</f>
        <v>CF822-D2-E</v>
      </c>
      <c r="B5050" s="37" t="s">
        <v>5830</v>
      </c>
      <c r="C5050" s="17">
        <v>6</v>
      </c>
      <c r="D5050" s="18"/>
      <c r="E5050" s="17" t="s">
        <v>5794</v>
      </c>
      <c r="F5050" s="17" t="s">
        <v>139</v>
      </c>
      <c r="G5050" s="18"/>
      <c r="H5050" s="18"/>
    </row>
    <row r="5051" spans="1:8" ht="13.2">
      <c r="A5051" s="15" t="s">
        <v>5831</v>
      </c>
      <c r="B5051" s="28" t="s">
        <v>5832</v>
      </c>
      <c r="C5051" s="24">
        <v>6</v>
      </c>
      <c r="D5051" s="18"/>
      <c r="E5051" s="17" t="s">
        <v>5794</v>
      </c>
      <c r="F5051" s="17" t="s">
        <v>139</v>
      </c>
      <c r="G5051" s="18"/>
      <c r="H5051" s="18"/>
    </row>
    <row r="5052" spans="1:8" ht="13.2">
      <c r="A5052" s="19" t="str">
        <f>HYPERLINK("http://codeforces.com/contest/129/problem/D","CF129-D2-D")</f>
        <v>CF129-D2-D</v>
      </c>
      <c r="B5052" s="29" t="s">
        <v>5833</v>
      </c>
      <c r="C5052" s="17">
        <v>6</v>
      </c>
      <c r="D5052" s="18"/>
      <c r="E5052" s="17" t="s">
        <v>5794</v>
      </c>
      <c r="F5052" s="17" t="s">
        <v>139</v>
      </c>
      <c r="G5052" s="18"/>
      <c r="H5052" s="18"/>
    </row>
    <row r="5053" spans="1:8" ht="13.2">
      <c r="A5053" s="15" t="s">
        <v>5834</v>
      </c>
      <c r="B5053" s="28" t="s">
        <v>5835</v>
      </c>
      <c r="C5053" s="24">
        <v>6</v>
      </c>
      <c r="D5053" s="18"/>
      <c r="E5053" s="17" t="s">
        <v>5794</v>
      </c>
      <c r="F5053" s="17" t="s">
        <v>139</v>
      </c>
      <c r="G5053" s="18"/>
      <c r="H5053" s="18"/>
    </row>
    <row r="5054" spans="1:8" ht="13.2">
      <c r="A5054" s="15" t="s">
        <v>5836</v>
      </c>
      <c r="B5054" s="28" t="s">
        <v>5796</v>
      </c>
      <c r="C5054" s="24">
        <v>6</v>
      </c>
      <c r="D5054" s="26" t="str">
        <f>HYPERLINK("https://blog.csdn.net/ccsu_cat/article/details/80573161","Sol")</f>
        <v>Sol</v>
      </c>
      <c r="E5054" s="17" t="s">
        <v>5794</v>
      </c>
      <c r="F5054" s="17"/>
      <c r="G5054" s="18"/>
      <c r="H5054" s="18"/>
    </row>
    <row r="5055" spans="1:8" ht="13.2">
      <c r="A5055" s="19" t="str">
        <f>HYPERLINK("http://codeforces.com/problemset/problem/113/B","CF113-D1-B")</f>
        <v>CF113-D1-B</v>
      </c>
      <c r="B5055" s="37" t="s">
        <v>5796</v>
      </c>
      <c r="C5055" s="17">
        <v>5.5</v>
      </c>
      <c r="D5055" s="18"/>
      <c r="E5055" s="17" t="s">
        <v>5794</v>
      </c>
      <c r="F5055" s="17"/>
      <c r="G5055" s="18"/>
      <c r="H5055" s="18"/>
    </row>
    <row r="5056" spans="1:8" ht="13.2">
      <c r="A5056" s="19" t="str">
        <f>HYPERLINK("http://codeforces.com/contest/123/problem/D","CF123-D1-D")</f>
        <v>CF123-D1-D</v>
      </c>
      <c r="B5056" s="28" t="s">
        <v>5795</v>
      </c>
      <c r="C5056" s="17">
        <v>5.5</v>
      </c>
      <c r="D5056" s="18"/>
      <c r="E5056" s="17" t="s">
        <v>5794</v>
      </c>
      <c r="F5056" s="17"/>
      <c r="G5056" s="18"/>
      <c r="H5056" s="18"/>
    </row>
    <row r="5057" spans="1:8" ht="13.2">
      <c r="A5057" s="15" t="s">
        <v>5837</v>
      </c>
      <c r="B5057" s="28" t="s">
        <v>5838</v>
      </c>
      <c r="C5057" s="24">
        <v>5</v>
      </c>
      <c r="D5057" s="26" t="str">
        <f>HYPERLINK("http://pc.fdi.ucm.es/swerc/swerc09/SWERC-expl.pdf","Coach doc or Stammering Alins in pdf.")</f>
        <v>Coach doc or Stammering Alins in pdf.</v>
      </c>
      <c r="E5057" s="17" t="s">
        <v>5794</v>
      </c>
      <c r="F5057" s="17" t="s">
        <v>173</v>
      </c>
      <c r="G5057" s="18"/>
      <c r="H5057" s="18"/>
    </row>
    <row r="5058" spans="1:8" ht="13.2">
      <c r="A5058" s="15" t="s">
        <v>5839</v>
      </c>
      <c r="B5058" s="29" t="s">
        <v>5840</v>
      </c>
      <c r="C5058" s="17">
        <v>5</v>
      </c>
      <c r="D5058" s="26" t="str">
        <f>HYPERLINK("https://github.com/mostafa-saad/MyCompetitiveProgramming/blob/master/SPOJ/SPOJ_LPS.txt","Sol")</f>
        <v>Sol</v>
      </c>
      <c r="E5058" s="17" t="s">
        <v>5794</v>
      </c>
      <c r="F5058" s="17" t="s">
        <v>139</v>
      </c>
      <c r="G5058" s="18"/>
      <c r="H5058" s="18"/>
    </row>
    <row r="5059" spans="1:8" ht="13.2">
      <c r="A5059" s="15" t="s">
        <v>5841</v>
      </c>
      <c r="B5059" s="28" t="s">
        <v>5842</v>
      </c>
      <c r="C5059" s="17">
        <v>5</v>
      </c>
      <c r="D5059" s="26" t="str">
        <f>HYPERLINK("https://github.com/HosamEissa/Competitive-programming-/blob/master/Spoj/LONGCS.cpp","Sol")</f>
        <v>Sol</v>
      </c>
      <c r="E5059" s="17" t="s">
        <v>5794</v>
      </c>
      <c r="F5059" s="17" t="s">
        <v>201</v>
      </c>
      <c r="G5059" s="18"/>
      <c r="H5059" s="18"/>
    </row>
    <row r="5060" spans="1:8" ht="13.2">
      <c r="A5060" s="15" t="s">
        <v>5843</v>
      </c>
      <c r="B5060" s="37" t="s">
        <v>5796</v>
      </c>
      <c r="C5060" s="24">
        <v>5</v>
      </c>
      <c r="D5060" s="18"/>
      <c r="E5060" s="17" t="s">
        <v>5794</v>
      </c>
      <c r="F5060" s="17"/>
      <c r="G5060" s="18"/>
      <c r="H5060" s="18"/>
    </row>
    <row r="5061" spans="1:8" ht="13.2">
      <c r="A5061" s="15" t="s">
        <v>5844</v>
      </c>
      <c r="B5061" s="29" t="s">
        <v>5845</v>
      </c>
      <c r="C5061" s="17">
        <v>5</v>
      </c>
      <c r="D5061" s="18" t="s">
        <v>5740</v>
      </c>
      <c r="E5061" s="17" t="s">
        <v>5794</v>
      </c>
      <c r="F5061" s="17"/>
      <c r="G5061" s="18"/>
      <c r="H5061" s="18"/>
    </row>
    <row r="5062" spans="1:8" ht="13.2">
      <c r="A5062" s="15" t="s">
        <v>5846</v>
      </c>
      <c r="B5062" s="29" t="s">
        <v>5847</v>
      </c>
      <c r="C5062" s="24">
        <v>5</v>
      </c>
      <c r="D5062" s="26" t="str">
        <f>HYPERLINK("http://web.stanford.edu/class/cs97si/suffix-array.pdf","Problem 9 Sol in stanfrod suffix array - read problem from this doc")</f>
        <v>Problem 9 Sol in stanfrod suffix array - read problem from this doc</v>
      </c>
      <c r="E5062" s="17" t="s">
        <v>5794</v>
      </c>
      <c r="F5062" s="17"/>
      <c r="G5062" s="18"/>
      <c r="H5062" s="18"/>
    </row>
    <row r="5063" spans="1:8" ht="13.2">
      <c r="A5063" s="15" t="s">
        <v>5848</v>
      </c>
      <c r="B5063" s="29" t="s">
        <v>5849</v>
      </c>
      <c r="C5063" s="17">
        <v>4</v>
      </c>
      <c r="D5063" s="26" t="str">
        <f>HYPERLINK("https://github.com/HosamEissa/Competitive-programming-/blob/master/Spoj/MINMOVE.cpp","Sol")</f>
        <v>Sol</v>
      </c>
      <c r="E5063" s="17" t="s">
        <v>5794</v>
      </c>
      <c r="F5063" s="17" t="s">
        <v>242</v>
      </c>
      <c r="G5063" s="18"/>
      <c r="H5063" s="18"/>
    </row>
    <row r="5064" spans="1:8" ht="13.2">
      <c r="A5064" s="15" t="s">
        <v>5850</v>
      </c>
      <c r="B5064" s="28" t="s">
        <v>5796</v>
      </c>
      <c r="C5064" s="17">
        <v>4</v>
      </c>
      <c r="D5064" s="26" t="str">
        <f>HYPERLINK("https://github.com/HosamEissa/Competitive-programming-/blob/master/Spoj/SUBLEX.cpp","Sol")</f>
        <v>Sol</v>
      </c>
      <c r="E5064" s="17" t="s">
        <v>5794</v>
      </c>
      <c r="F5064" s="17"/>
      <c r="G5064" s="18"/>
      <c r="H5064" s="18"/>
    </row>
    <row r="5065" spans="1:8" ht="13.2">
      <c r="A5065" s="19" t="str">
        <f>HYPERLINK("http://codeforces.com/contest/427/problem/D","CF427-D2-D")</f>
        <v>CF427-D2-D</v>
      </c>
      <c r="B5065" s="29" t="s">
        <v>5851</v>
      </c>
      <c r="C5065" s="40">
        <v>4</v>
      </c>
      <c r="D5065" s="18"/>
      <c r="E5065" s="17" t="s">
        <v>5794</v>
      </c>
      <c r="F5065" s="17"/>
      <c r="G5065" s="18"/>
      <c r="H5065" s="18"/>
    </row>
    <row r="5066" spans="1:8" ht="13.2">
      <c r="A5066" s="15" t="s">
        <v>5852</v>
      </c>
      <c r="B5066" s="29" t="s">
        <v>5853</v>
      </c>
      <c r="C5066" s="24">
        <v>3</v>
      </c>
      <c r="D5066" s="26" t="str">
        <f>HYPERLINK("http://web.stanford.edu/class/cs97si/suffix-array.pdf","Coach doc or stamford suffix array document - problem 4. Similar:  SPOJ DISUBSTR, TIMUS 1590")</f>
        <v>Coach doc or stamford suffix array document - problem 4. Similar:  SPOJ DISUBSTR, TIMUS 1590</v>
      </c>
      <c r="E5066" s="17" t="s">
        <v>5794</v>
      </c>
      <c r="F5066" s="17" t="s">
        <v>139</v>
      </c>
      <c r="G5066" s="18"/>
      <c r="H5066" s="18"/>
    </row>
    <row r="5067" spans="1:8" ht="13.2">
      <c r="A5067" s="15" t="s">
        <v>5854</v>
      </c>
      <c r="B5067" s="28" t="s">
        <v>5855</v>
      </c>
      <c r="C5067" s="40">
        <v>3</v>
      </c>
      <c r="D5067" s="26" t="str">
        <f>HYPERLINK("https://github.com/HosamEissa/Competitive-programming-/blob/master/UVA/11576.cpp","Sol")</f>
        <v>Sol</v>
      </c>
      <c r="E5067" s="17" t="s">
        <v>5794</v>
      </c>
      <c r="F5067" s="17"/>
      <c r="G5067" s="18"/>
      <c r="H5067" s="18"/>
    </row>
    <row r="5068" spans="1:8" ht="13.2">
      <c r="A5068" s="15" t="s">
        <v>5818</v>
      </c>
      <c r="B5068" s="15" t="s">
        <v>5856</v>
      </c>
      <c r="C5068" s="17">
        <v>6.5</v>
      </c>
      <c r="D5068" s="26" t="str">
        <f>HYPERLINK("https://github.com/WaleedAbdelhakim/Competitive-Programming/blob/master/CodeForces/CF102028-GYM-K.cpp","Sol(no editorial)")</f>
        <v>Sol(no editorial)</v>
      </c>
      <c r="E5068" s="17" t="s">
        <v>5857</v>
      </c>
      <c r="F5068" s="17" t="s">
        <v>154</v>
      </c>
      <c r="G5068" s="18"/>
      <c r="H5068" s="18"/>
    </row>
    <row r="5069" spans="1:8" ht="13.2">
      <c r="A5069" s="19" t="str">
        <f>HYPERLINK("https://codeforces.com/contest/1080/problem/E","CF1080-D2-E")</f>
        <v>CF1080-D2-E</v>
      </c>
      <c r="B5069" s="15" t="s">
        <v>5858</v>
      </c>
      <c r="C5069" s="17">
        <v>6.5</v>
      </c>
      <c r="D5069" s="18"/>
      <c r="E5069" s="17" t="s">
        <v>5857</v>
      </c>
      <c r="F5069" s="17" t="s">
        <v>139</v>
      </c>
      <c r="G5069" s="18"/>
      <c r="H5069" s="18"/>
    </row>
    <row r="5070" spans="1:8" ht="13.2">
      <c r="A5070" s="19" t="str">
        <f>HYPERLINK("https://codeforces.com/contest/1055/problem/D","CF1055-D12-D")</f>
        <v>CF1055-D12-D</v>
      </c>
      <c r="B5070" s="15" t="s">
        <v>5859</v>
      </c>
      <c r="C5070" s="17">
        <v>6.3</v>
      </c>
      <c r="D5070" s="18"/>
      <c r="E5070" s="17" t="s">
        <v>5857</v>
      </c>
      <c r="F5070" s="17" t="s">
        <v>201</v>
      </c>
      <c r="G5070" s="18"/>
      <c r="H5070" s="18"/>
    </row>
    <row r="5071" spans="1:8" ht="13.2">
      <c r="A5071" s="19" t="str">
        <f>HYPERLINK("http://codeforces.com/contest/7/problem/D","CF7-D12-D")</f>
        <v>CF7-D12-D</v>
      </c>
      <c r="B5071" s="15" t="s">
        <v>5860</v>
      </c>
      <c r="C5071" s="17">
        <v>6.25</v>
      </c>
      <c r="D5071" s="18"/>
      <c r="E5071" s="17" t="s">
        <v>5857</v>
      </c>
      <c r="F5071" s="17" t="s">
        <v>139</v>
      </c>
      <c r="G5071" s="18"/>
      <c r="H5071" s="18"/>
    </row>
    <row r="5072" spans="1:8" ht="13.2">
      <c r="A5072" s="19" t="str">
        <f>HYPERLINK("https://codeforces.com/gym/101627/problem/D","CF101627-GYM-D")</f>
        <v>CF101627-GYM-D</v>
      </c>
      <c r="B5072" s="15" t="s">
        <v>5861</v>
      </c>
      <c r="C5072" s="17">
        <v>6.25</v>
      </c>
      <c r="D5072" s="26" t="str">
        <f>HYPERLINK("https://github.com/zoooma13/Competitive-Programming/blob/master/D.%20Math%20Candies.cpp","Sol")</f>
        <v>Sol</v>
      </c>
      <c r="E5072" s="17" t="s">
        <v>5857</v>
      </c>
      <c r="F5072" s="17" t="s">
        <v>139</v>
      </c>
      <c r="G5072" s="18"/>
      <c r="H5072" s="18"/>
    </row>
    <row r="5073" spans="1:8" ht="13.2">
      <c r="A5073" s="19" t="str">
        <f>HYPERLINK("http://codeforces.com/gym/101864/attachments/download/7365/2018-bacs-contest-replay-en.pdf","CF101864-GYM-J")</f>
        <v>CF101864-GYM-J</v>
      </c>
      <c r="B5073" s="20" t="s">
        <v>5862</v>
      </c>
      <c r="C5073" s="17">
        <v>6.25</v>
      </c>
      <c r="D5073" s="26" t="str">
        <f>HYPERLINK("https://github.com/mostafa-saad/MyCompetitiveProgramming/blob/master/Codeforces/CF101864-GYM-J.txt","Sol")</f>
        <v>Sol</v>
      </c>
      <c r="E5073" s="17" t="s">
        <v>5857</v>
      </c>
      <c r="F5073" s="17" t="s">
        <v>201</v>
      </c>
      <c r="G5073" s="18"/>
      <c r="H5073" s="18"/>
    </row>
    <row r="5074" spans="1:8" ht="13.2">
      <c r="A5074" s="19" t="str">
        <f>HYPERLINK("http://codeforces.com/problemset/problem/985/F", "CF985-D12-F")</f>
        <v>CF985-D12-F</v>
      </c>
      <c r="B5074" s="29" t="s">
        <v>5863</v>
      </c>
      <c r="C5074" s="21">
        <v>6</v>
      </c>
      <c r="D5074" s="26" t="str">
        <f>HYPERLINK("https://github.com/tmwilliamlin168/CompetitiveProgramming/blob/master/CodeForces/CF0985-D12-F.cpp", "Sol")</f>
        <v>Sol</v>
      </c>
      <c r="E5074" s="17" t="s">
        <v>5857</v>
      </c>
      <c r="F5074" s="17" t="s">
        <v>154</v>
      </c>
      <c r="G5074" s="18"/>
      <c r="H5074" s="18"/>
    </row>
    <row r="5075" spans="1:8" ht="13.2">
      <c r="A5075" s="19" t="str">
        <f>HYPERLINK("https://codeforces.com/contest/1056/problem/E","CF1056-D12-E")</f>
        <v>CF1056-D12-E</v>
      </c>
      <c r="B5075" s="15" t="s">
        <v>5864</v>
      </c>
      <c r="C5075" s="17">
        <v>5.75</v>
      </c>
      <c r="D5075" s="18"/>
      <c r="E5075" s="17" t="s">
        <v>5857</v>
      </c>
      <c r="F5075" s="17" t="s">
        <v>139</v>
      </c>
      <c r="G5075" s="18"/>
      <c r="H5075" s="18"/>
    </row>
    <row r="5076" spans="1:8" ht="13.2">
      <c r="A5076" s="19" t="str">
        <f>HYPERLINK("http://codeforces.com/gym/101741/problem/K","CF101741-gym-K")</f>
        <v>CF101741-gym-K</v>
      </c>
      <c r="B5076" s="15" t="s">
        <v>5863</v>
      </c>
      <c r="C5076" s="17">
        <v>5.5</v>
      </c>
      <c r="D5076" s="18"/>
      <c r="E5076" s="17" t="s">
        <v>5857</v>
      </c>
      <c r="F5076" s="17" t="s">
        <v>139</v>
      </c>
      <c r="G5076" s="18"/>
      <c r="H5076" s="18"/>
    </row>
    <row r="5077" spans="1:8" ht="13.2">
      <c r="A5077" s="19" t="str">
        <f>HYPERLINK("http://codeforces.com/gym/101808/problem/B","CF101808-gym-B")</f>
        <v>CF101808-gym-B</v>
      </c>
      <c r="B5077" s="15" t="s">
        <v>5863</v>
      </c>
      <c r="C5077" s="17">
        <v>5.5</v>
      </c>
      <c r="D5077" s="18"/>
      <c r="E5077" s="17" t="s">
        <v>5857</v>
      </c>
      <c r="F5077" s="17" t="s">
        <v>139</v>
      </c>
      <c r="G5077" s="18"/>
      <c r="H5077" s="18"/>
    </row>
    <row r="5078" spans="1:8" ht="13.2">
      <c r="A5078" s="19" t="str">
        <f>HYPERLINK("http://codeforces.com/contest/533/problem/E","CF533-D1-E")</f>
        <v>CF533-D1-E</v>
      </c>
      <c r="B5078" s="30" t="s">
        <v>5863</v>
      </c>
      <c r="C5078" s="17">
        <v>5.5</v>
      </c>
      <c r="D5078" s="18"/>
      <c r="E5078" s="17" t="s">
        <v>5857</v>
      </c>
      <c r="F5078" s="17" t="s">
        <v>139</v>
      </c>
      <c r="G5078" s="18"/>
      <c r="H5078" s="18"/>
    </row>
    <row r="5079" spans="1:8" ht="13.2">
      <c r="A5079" s="19" t="str">
        <f>HYPERLINK("http://codeforces.com/contest/727/problem/E","CF727-D2-E")</f>
        <v>CF727-D2-E</v>
      </c>
      <c r="B5079" s="15" t="s">
        <v>5863</v>
      </c>
      <c r="C5079" s="24">
        <v>5.5</v>
      </c>
      <c r="D5079" s="18"/>
      <c r="E5079" s="17" t="s">
        <v>5857</v>
      </c>
      <c r="F5079" s="17" t="s">
        <v>139</v>
      </c>
      <c r="G5079" s="18"/>
      <c r="H5079" s="18"/>
    </row>
    <row r="5080" spans="1:8" ht="13.2">
      <c r="A5080" s="15" t="s">
        <v>5865</v>
      </c>
      <c r="B5080" s="28" t="s">
        <v>5866</v>
      </c>
      <c r="C5080" s="24">
        <v>5.5</v>
      </c>
      <c r="D5080" s="18"/>
      <c r="E5080" s="17" t="s">
        <v>5857</v>
      </c>
      <c r="F5080" s="17" t="s">
        <v>139</v>
      </c>
      <c r="G5080" s="18"/>
      <c r="H5080" s="18"/>
    </row>
    <row r="5081" spans="1:8" ht="13.2">
      <c r="A5081" s="19" t="str">
        <f>HYPERLINK("http://codeforces.com/contest/19/problem/C","CF19-D12-C")</f>
        <v>CF19-D12-C</v>
      </c>
      <c r="B5081" s="15" t="s">
        <v>5867</v>
      </c>
      <c r="C5081" s="17">
        <v>5.5</v>
      </c>
      <c r="D5081" s="18"/>
      <c r="E5081" s="17" t="s">
        <v>5857</v>
      </c>
      <c r="F5081" s="17" t="s">
        <v>139</v>
      </c>
      <c r="G5081" s="18"/>
      <c r="H5081" s="18"/>
    </row>
    <row r="5082" spans="1:8" ht="13.2">
      <c r="A5082" s="19" t="str">
        <f>HYPERLINK("https://codeforces.com/contest/1200/problem/E","CF1200-D2-E")</f>
        <v>CF1200-D2-E</v>
      </c>
      <c r="B5082" s="15" t="s">
        <v>5863</v>
      </c>
      <c r="C5082" s="17">
        <v>5.5</v>
      </c>
      <c r="D5082" s="18"/>
      <c r="E5082" s="17" t="s">
        <v>5857</v>
      </c>
      <c r="F5082" s="17"/>
      <c r="G5082" s="18"/>
      <c r="H5082" s="18"/>
    </row>
    <row r="5083" spans="1:8" ht="13.2">
      <c r="A5083" s="19" t="str">
        <f>HYPERLINK("http://codeforces.com/contest/1003/problem/F","CF1003-D3-F")</f>
        <v>CF1003-D3-F</v>
      </c>
      <c r="B5083" s="20" t="s">
        <v>5863</v>
      </c>
      <c r="C5083" s="17">
        <v>5</v>
      </c>
      <c r="D5083" s="18"/>
      <c r="E5083" s="17" t="s">
        <v>5857</v>
      </c>
      <c r="F5083" s="17" t="s">
        <v>201</v>
      </c>
      <c r="G5083" s="18"/>
      <c r="H5083" s="18"/>
    </row>
    <row r="5084" spans="1:8" ht="13.2">
      <c r="A5084" s="19" t="str">
        <f>HYPERLINK("https://www.hackerearth.com/practice/algorithms/searching/binary-search/practice-problems/algorithm/kriti-and-her-birthday-gift/","HACKER kriti-and-her-birthday-gift")</f>
        <v>HACKER kriti-and-her-birthday-gift</v>
      </c>
      <c r="B5084" s="38" t="s">
        <v>5868</v>
      </c>
      <c r="C5084" s="17">
        <v>5</v>
      </c>
      <c r="D5084" s="18"/>
      <c r="E5084" s="17" t="s">
        <v>5857</v>
      </c>
      <c r="F5084" s="17" t="s">
        <v>242</v>
      </c>
      <c r="G5084" s="18"/>
      <c r="H5084" s="18"/>
    </row>
    <row r="5085" spans="1:8" ht="13.2">
      <c r="A5085" s="15" t="s">
        <v>5869</v>
      </c>
      <c r="B5085" s="28" t="s">
        <v>5870</v>
      </c>
      <c r="C5085" s="33">
        <v>4</v>
      </c>
      <c r="D5085" s="18"/>
      <c r="E5085" s="17" t="s">
        <v>5857</v>
      </c>
      <c r="F5085" s="17" t="s">
        <v>242</v>
      </c>
      <c r="G5085" s="18"/>
      <c r="H5085" s="18"/>
    </row>
    <row r="5086" spans="1:8" ht="13.2">
      <c r="A5086" s="15" t="s">
        <v>5871</v>
      </c>
      <c r="B5086" s="29" t="s">
        <v>5863</v>
      </c>
      <c r="C5086" s="40">
        <v>4</v>
      </c>
      <c r="D5086" s="18"/>
      <c r="E5086" s="17" t="s">
        <v>5857</v>
      </c>
      <c r="F5086" s="17"/>
      <c r="G5086" s="18"/>
      <c r="H5086" s="18"/>
    </row>
    <row r="5087" spans="1:8" ht="13.2">
      <c r="A5087" s="15" t="s">
        <v>5872</v>
      </c>
      <c r="B5087" s="30" t="s">
        <v>5866</v>
      </c>
      <c r="C5087" s="40">
        <v>3</v>
      </c>
      <c r="D5087" s="18"/>
      <c r="E5087" s="17" t="s">
        <v>5857</v>
      </c>
      <c r="F5087" s="17"/>
      <c r="G5087" s="18"/>
      <c r="H5087" s="18"/>
    </row>
    <row r="5088" spans="1:8" ht="13.2">
      <c r="A5088" s="19" t="str">
        <f>HYPERLINK("https://codeforces.com/problemset/problem/1172/E", "CF1172-D1-E")</f>
        <v>CF1172-D1-E</v>
      </c>
      <c r="B5088" s="15" t="s">
        <v>5873</v>
      </c>
      <c r="C5088" s="17">
        <v>7.5</v>
      </c>
      <c r="D5088" s="18"/>
      <c r="E5088" s="17" t="s">
        <v>5874</v>
      </c>
      <c r="F5088" s="17" t="s">
        <v>139</v>
      </c>
      <c r="G5088" s="18"/>
      <c r="H5088" s="18"/>
    </row>
    <row r="5089" spans="1:8" ht="13.2">
      <c r="A5089" s="19" t="str">
        <f>HYPERLINK("https://codeforces.com/contest/1056/problem/G","CF1056-D12-G")</f>
        <v>CF1056-D12-G</v>
      </c>
      <c r="B5089" s="23" t="s">
        <v>5875</v>
      </c>
      <c r="C5089" s="17">
        <v>7.25</v>
      </c>
      <c r="D5089" s="26" t="str">
        <f>HYPERLINK("https://github.com/quangloc99/CompetitiveProgramming/blob/master/Codeforces/CF1056-D12-G.cpp","Sol")</f>
        <v>Sol</v>
      </c>
      <c r="E5089" s="17" t="s">
        <v>5874</v>
      </c>
      <c r="F5089" s="17" t="s">
        <v>139</v>
      </c>
      <c r="G5089" s="18"/>
      <c r="H5089" s="18"/>
    </row>
    <row r="5090" spans="1:8" ht="13.2">
      <c r="A5090" s="15" t="s">
        <v>5876</v>
      </c>
      <c r="B5090" s="29" t="s">
        <v>5877</v>
      </c>
      <c r="C5090" s="24">
        <v>7.25</v>
      </c>
      <c r="D5090" s="18"/>
      <c r="E5090" s="17" t="s">
        <v>5874</v>
      </c>
      <c r="F5090" s="17"/>
      <c r="G5090" s="18"/>
      <c r="H5090" s="18"/>
    </row>
    <row r="5091" spans="1:8" ht="13.2">
      <c r="A5091" s="19" t="str">
        <f>HYPERLINK("https://codeforces.com/contest/1109/problem/C","CF1109-D1-C")</f>
        <v>CF1109-D1-C</v>
      </c>
      <c r="B5091" s="15" t="s">
        <v>5878</v>
      </c>
      <c r="C5091" s="17">
        <v>7</v>
      </c>
      <c r="D5091" s="18"/>
      <c r="E5091" s="17" t="s">
        <v>5874</v>
      </c>
      <c r="F5091" s="17" t="s">
        <v>139</v>
      </c>
      <c r="G5091" s="18"/>
      <c r="H5091" s="18"/>
    </row>
    <row r="5092" spans="1:8" ht="13.2">
      <c r="A5092" s="15" t="s">
        <v>5879</v>
      </c>
      <c r="B5092" s="30" t="s">
        <v>5880</v>
      </c>
      <c r="C5092" s="24">
        <v>6.75</v>
      </c>
      <c r="D5092" s="18"/>
      <c r="E5092" s="17" t="s">
        <v>5874</v>
      </c>
      <c r="F5092" s="17"/>
      <c r="G5092" s="18"/>
      <c r="H5092" s="18"/>
    </row>
    <row r="5093" spans="1:8" ht="13.2">
      <c r="A5093" s="19" t="str">
        <f>HYPERLINK("https://www.codechef.com/problems/GERALD07","CODECHEF GERALD07")</f>
        <v>CODECHEF GERALD07</v>
      </c>
      <c r="B5093" s="18" t="s">
        <v>5881</v>
      </c>
      <c r="C5093" s="17">
        <v>6.5</v>
      </c>
      <c r="D5093" s="18"/>
      <c r="E5093" s="17" t="s">
        <v>5874</v>
      </c>
      <c r="F5093" s="17"/>
      <c r="G5093" s="18"/>
      <c r="H5093" s="18"/>
    </row>
    <row r="5094" spans="1:8" ht="13.2">
      <c r="A5094" s="19" t="str">
        <f>HYPERLINK("https://www.codechef.com/problems/CARDSHUF","CODECHEF CARDSHUF")</f>
        <v>CODECHEF CARDSHUF</v>
      </c>
      <c r="B5094" s="18" t="s">
        <v>5882</v>
      </c>
      <c r="C5094" s="17">
        <v>6.5</v>
      </c>
      <c r="D5094" s="18"/>
      <c r="E5094" s="17" t="s">
        <v>5874</v>
      </c>
      <c r="F5094" s="17"/>
      <c r="G5094" s="18"/>
      <c r="H5094" s="18"/>
    </row>
    <row r="5095" spans="1:8" ht="13.2">
      <c r="A5095" s="15" t="s">
        <v>5883</v>
      </c>
      <c r="B5095" s="28" t="s">
        <v>5884</v>
      </c>
      <c r="C5095" s="24">
        <v>6.5</v>
      </c>
      <c r="D5095" s="18"/>
      <c r="E5095" s="17" t="s">
        <v>5874</v>
      </c>
      <c r="F5095" s="17"/>
      <c r="G5095" s="18"/>
      <c r="H5095" s="18"/>
    </row>
    <row r="5096" spans="1:8" ht="13.2">
      <c r="A5096" s="19" t="str">
        <f>HYPERLINK("http://codeforces.com/contest/38/problem/G","CF38-D12-G")</f>
        <v>CF38-D12-G</v>
      </c>
      <c r="B5096" s="29" t="s">
        <v>5885</v>
      </c>
      <c r="C5096" s="17">
        <v>6.25</v>
      </c>
      <c r="D5096" s="18"/>
      <c r="E5096" s="17" t="s">
        <v>5874</v>
      </c>
      <c r="F5096" s="17" t="s">
        <v>139</v>
      </c>
      <c r="G5096" s="18"/>
      <c r="H5096" s="18"/>
    </row>
    <row r="5097" spans="1:8" ht="13.2">
      <c r="A5097" s="15" t="s">
        <v>5886</v>
      </c>
      <c r="B5097" s="15" t="s">
        <v>5887</v>
      </c>
      <c r="C5097" s="17">
        <v>6.25</v>
      </c>
      <c r="D5097" s="26" t="str">
        <f>HYPERLINK("https://github.com/SpeedOfMagic/CompetitiveProgramming/blob/master/SPOJ/MEANARR.cpp","Sol")</f>
        <v>Sol</v>
      </c>
      <c r="E5097" s="17" t="s">
        <v>5874</v>
      </c>
      <c r="F5097" s="17" t="s">
        <v>201</v>
      </c>
      <c r="G5097" s="18"/>
      <c r="H5097" s="18"/>
    </row>
    <row r="5098" spans="1:8" ht="13.2">
      <c r="A5098" s="15" t="s">
        <v>5888</v>
      </c>
      <c r="B5098" s="29" t="s">
        <v>5889</v>
      </c>
      <c r="C5098" s="17">
        <v>6.25</v>
      </c>
      <c r="D5098" s="18"/>
      <c r="E5098" s="17" t="s">
        <v>5874</v>
      </c>
      <c r="F5098" s="17"/>
      <c r="G5098" s="18"/>
      <c r="H5098" s="18"/>
    </row>
    <row r="5099" spans="1:8" ht="13.2">
      <c r="A5099" s="15" t="s">
        <v>5890</v>
      </c>
      <c r="B5099" s="28" t="s">
        <v>5891</v>
      </c>
      <c r="C5099" s="24">
        <v>6.25</v>
      </c>
      <c r="D5099" s="18"/>
      <c r="E5099" s="17" t="s">
        <v>5874</v>
      </c>
      <c r="F5099" s="17"/>
      <c r="G5099" s="18"/>
      <c r="H5099" s="18"/>
    </row>
    <row r="5100" spans="1:8" ht="13.2">
      <c r="A5100" s="19" t="str">
        <f>HYPERLINK("http://codeforces.com/gym/101864/attachments/download/7365/2018-bacs-contest-replay-en.pdf","CF101864-GYM-K")</f>
        <v>CF101864-GYM-K</v>
      </c>
      <c r="B5100" s="20" t="s">
        <v>5892</v>
      </c>
      <c r="C5100" s="17">
        <v>6</v>
      </c>
      <c r="D5100" s="26" t="str">
        <f>HYPERLINK("https://github.com/tanmoy13/CompetitveProgramming/blob/master/Online-Judge-Solutions/CodeForces/CF101864-GYM-K.cpp","Sol")</f>
        <v>Sol</v>
      </c>
      <c r="E5100" s="17" t="s">
        <v>5874</v>
      </c>
      <c r="F5100" s="17" t="s">
        <v>139</v>
      </c>
      <c r="G5100" s="18"/>
      <c r="H5100" s="18"/>
    </row>
    <row r="5101" spans="1:8" ht="13.2">
      <c r="A5101" s="19" t="str">
        <f>HYPERLINK("https://hanoi18.kattis.com/problems/hanoi18.lazylearner","kattis hanoi18.lazylearner")</f>
        <v>kattis hanoi18.lazylearner</v>
      </c>
      <c r="B5101" s="20" t="s">
        <v>5893</v>
      </c>
      <c r="C5101" s="21">
        <v>6</v>
      </c>
      <c r="D5101" s="26" t="str">
        <f>HYPERLINK("https://github.com/mostafa-saad/MyCompetitiveProgramming/blob/master/Kattis/kattis-hanoi18.lazylearner.txt","Sol")</f>
        <v>Sol</v>
      </c>
      <c r="E5101" s="17" t="s">
        <v>5874</v>
      </c>
      <c r="F5101" s="17" t="s">
        <v>139</v>
      </c>
      <c r="G5101" s="18"/>
      <c r="H5101" s="18"/>
    </row>
    <row r="5102" spans="1:8" ht="13.2">
      <c r="A5102" s="15" t="s">
        <v>5894</v>
      </c>
      <c r="B5102" s="30" t="s">
        <v>5895</v>
      </c>
      <c r="C5102" s="17">
        <v>6</v>
      </c>
      <c r="D5102" s="26" t="str">
        <f>HYPERLINK("https://github.com/SpeedOfMagic/CompetitiveProgramming/blob/master/SPOJ/CERC07S.cpp","Sol")</f>
        <v>Sol</v>
      </c>
      <c r="E5102" s="17" t="s">
        <v>5874</v>
      </c>
      <c r="F5102" s="17" t="s">
        <v>139</v>
      </c>
      <c r="G5102" s="18"/>
      <c r="H5102" s="18"/>
    </row>
    <row r="5103" spans="1:8" ht="13.2">
      <c r="A5103" s="15" t="s">
        <v>5896</v>
      </c>
      <c r="B5103" s="28" t="s">
        <v>5897</v>
      </c>
      <c r="C5103" s="24">
        <v>6</v>
      </c>
      <c r="D5103" s="26" t="str">
        <f>HYPERLINK("https://github.com/Szawinis/CompetitiveProgramming/blob/master/SPOJ/GSS6.cpp","Sol")</f>
        <v>Sol</v>
      </c>
      <c r="E5103" s="17" t="s">
        <v>5874</v>
      </c>
      <c r="F5103" s="17" t="s">
        <v>613</v>
      </c>
      <c r="G5103" s="18"/>
      <c r="H5103" s="18"/>
    </row>
    <row r="5104" spans="1:8" ht="13.2">
      <c r="A5104" s="15" t="s">
        <v>5898</v>
      </c>
      <c r="B5104" s="29" t="s">
        <v>5889</v>
      </c>
      <c r="C5104" s="24">
        <v>6</v>
      </c>
      <c r="D5104" s="18"/>
      <c r="E5104" s="17" t="s">
        <v>5874</v>
      </c>
      <c r="F5104" s="17"/>
      <c r="G5104" s="18"/>
      <c r="H5104" s="18"/>
    </row>
    <row r="5105" spans="1:8" ht="13.2">
      <c r="A5105" s="15" t="s">
        <v>5899</v>
      </c>
      <c r="B5105" s="29" t="s">
        <v>5892</v>
      </c>
      <c r="C5105" s="17">
        <v>6</v>
      </c>
      <c r="D5105" s="18"/>
      <c r="E5105" s="17" t="s">
        <v>5874</v>
      </c>
      <c r="F5105" s="17"/>
      <c r="G5105" s="18"/>
      <c r="H5105" s="18"/>
    </row>
    <row r="5106" spans="1:8" ht="13.2">
      <c r="A5106" s="15" t="s">
        <v>5900</v>
      </c>
      <c r="B5106" s="29" t="s">
        <v>5892</v>
      </c>
      <c r="C5106" s="24">
        <v>6</v>
      </c>
      <c r="D5106" s="18"/>
      <c r="E5106" s="17" t="s">
        <v>5874</v>
      </c>
      <c r="F5106" s="17"/>
      <c r="G5106" s="18"/>
      <c r="H5106" s="18"/>
    </row>
    <row r="5107" spans="1:8" ht="13.2">
      <c r="A5107" s="19" t="str">
        <f>HYPERLINK("https://www.codechef.com/problems/PRESTIGE", "CODECHEF PRESTIGE")</f>
        <v>CODECHEF PRESTIGE</v>
      </c>
      <c r="B5107" s="20" t="s">
        <v>5901</v>
      </c>
      <c r="C5107" s="21">
        <v>6</v>
      </c>
      <c r="D5107" s="18"/>
      <c r="E5107" s="17" t="s">
        <v>5874</v>
      </c>
      <c r="F5107" s="17"/>
      <c r="G5107" s="18"/>
      <c r="H5107" s="18"/>
    </row>
    <row r="5108" spans="1:8" ht="13.2">
      <c r="A5108" s="15" t="s">
        <v>5902</v>
      </c>
      <c r="B5108" s="29" t="s">
        <v>5903</v>
      </c>
      <c r="C5108" s="24">
        <v>6</v>
      </c>
      <c r="D5108" s="26" t="str">
        <f>HYPERLINK("https://codeforces.com/blog/entry/13204","Discu")</f>
        <v>Discu</v>
      </c>
      <c r="E5108" s="17" t="s">
        <v>5874</v>
      </c>
      <c r="F5108" s="17"/>
      <c r="G5108" s="18"/>
      <c r="H5108" s="18"/>
    </row>
    <row r="5109" spans="1:8" ht="13.2">
      <c r="A5109" s="19" t="str">
        <f>HYPERLINK("https://www.spoj.com/problems/ALLIN1/","SPOJ ALLIN1")</f>
        <v>SPOJ ALLIN1</v>
      </c>
      <c r="B5109" s="25" t="s">
        <v>5904</v>
      </c>
      <c r="C5109" s="17">
        <v>5.0999999999999996</v>
      </c>
      <c r="D5109" s="18" t="s">
        <v>1166</v>
      </c>
      <c r="E5109" s="17" t="s">
        <v>5874</v>
      </c>
      <c r="F5109" s="17"/>
      <c r="G5109" s="18"/>
      <c r="H5109" s="18"/>
    </row>
    <row r="5110" spans="1:8" ht="13.2">
      <c r="A5110" s="15" t="s">
        <v>5905</v>
      </c>
      <c r="B5110" s="15" t="s">
        <v>5892</v>
      </c>
      <c r="C5110" s="17">
        <v>5</v>
      </c>
      <c r="D5110" s="18"/>
      <c r="E5110" s="17" t="s">
        <v>5874</v>
      </c>
      <c r="F5110" s="17" t="s">
        <v>201</v>
      </c>
      <c r="G5110" s="18"/>
      <c r="H5110" s="18"/>
    </row>
    <row r="5111" spans="1:8" ht="13.2">
      <c r="A5111" s="15" t="s">
        <v>5906</v>
      </c>
      <c r="B5111" s="15" t="s">
        <v>5884</v>
      </c>
      <c r="C5111" s="17">
        <v>5</v>
      </c>
      <c r="D5111" s="26" t="str">
        <f>HYPERLINK("https://github.com/mostafa-saad/MyCompetitiveProgramming/blob/master/SPOJ/SPOJ_ADAAPHID.txt","Sol")</f>
        <v>Sol</v>
      </c>
      <c r="E5111" s="17" t="s">
        <v>5874</v>
      </c>
      <c r="F5111" s="17" t="s">
        <v>201</v>
      </c>
      <c r="G5111" s="18"/>
      <c r="H5111" s="18"/>
    </row>
    <row r="5112" spans="1:8" ht="13.2">
      <c r="A5112" s="19" t="str">
        <f>HYPERLINK("https://www.spoj.com/problems/TREAP/","SPOJ TREAP")</f>
        <v>SPOJ TREAP</v>
      </c>
      <c r="B5112" s="15" t="s">
        <v>5892</v>
      </c>
      <c r="C5112" s="17">
        <v>5</v>
      </c>
      <c r="D5112" s="18"/>
      <c r="E5112" s="17" t="s">
        <v>5874</v>
      </c>
      <c r="F5112" s="17"/>
      <c r="G5112" s="18"/>
      <c r="H5112" s="18"/>
    </row>
    <row r="5113" spans="1:8" ht="13.2">
      <c r="A5113" s="15" t="s">
        <v>5907</v>
      </c>
      <c r="B5113" s="28" t="s">
        <v>5908</v>
      </c>
      <c r="C5113" s="24">
        <v>5</v>
      </c>
      <c r="D5113" s="18"/>
      <c r="E5113" s="17" t="s">
        <v>5874</v>
      </c>
      <c r="F5113" s="17"/>
      <c r="G5113" s="18"/>
      <c r="H5113" s="18"/>
    </row>
    <row r="5114" spans="1:8" ht="13.2">
      <c r="A5114" s="19" t="str">
        <f>HYPERLINK("https://www.spoj.com/problems/SDITSAVL/","SPOJ SDITSAVL")</f>
        <v>SPOJ SDITSAVL</v>
      </c>
      <c r="B5114" s="25" t="s">
        <v>5904</v>
      </c>
      <c r="C5114" s="17">
        <v>5</v>
      </c>
      <c r="D5114" s="18" t="s">
        <v>1166</v>
      </c>
      <c r="E5114" s="17" t="s">
        <v>5874</v>
      </c>
      <c r="F5114" s="17"/>
      <c r="G5114" s="18"/>
      <c r="H5114" s="18"/>
    </row>
    <row r="5115" spans="1:8" ht="13.2">
      <c r="A5115" s="15" t="s">
        <v>5909</v>
      </c>
      <c r="B5115" s="15" t="s">
        <v>5910</v>
      </c>
      <c r="C5115" s="17">
        <v>4.5</v>
      </c>
      <c r="D5115" s="18"/>
      <c r="E5115" s="17" t="s">
        <v>5874</v>
      </c>
      <c r="F5115" s="17" t="s">
        <v>154</v>
      </c>
      <c r="G5115" s="18"/>
      <c r="H5115" s="18"/>
    </row>
    <row r="5116" spans="1:8" ht="13.2">
      <c r="A5116" s="15" t="s">
        <v>5911</v>
      </c>
      <c r="B5116" s="30" t="s">
        <v>5912</v>
      </c>
      <c r="C5116" s="24">
        <v>4</v>
      </c>
      <c r="D5116" s="18"/>
      <c r="E5116" s="17" t="s">
        <v>5874</v>
      </c>
      <c r="F5116" s="17"/>
      <c r="G5116" s="18"/>
      <c r="H5116" s="18"/>
    </row>
    <row r="5117" spans="1:8" ht="13.2">
      <c r="A5117" s="19" t="str">
        <f>HYPERLINK("http://codeforces.com/problemset/gymProblem/100147/G","CF100147-GYM-G")</f>
        <v>CF100147-GYM-G</v>
      </c>
      <c r="B5117" s="36" t="s">
        <v>5913</v>
      </c>
      <c r="C5117" s="40">
        <v>4</v>
      </c>
      <c r="D5117" s="18"/>
      <c r="E5117" s="17" t="s">
        <v>5874</v>
      </c>
      <c r="F5117" s="17"/>
      <c r="G5117" s="18"/>
      <c r="H5117" s="18"/>
    </row>
    <row r="5118" spans="1:8" ht="13.2">
      <c r="A5118" s="19" t="str">
        <f>HYPERLINK("http://codeforces.com/problemset/problem/375/D","Codechef GERALD3")</f>
        <v>Codechef GERALD3</v>
      </c>
      <c r="B5118" s="38" t="s">
        <v>5914</v>
      </c>
      <c r="C5118" s="17">
        <v>7.25</v>
      </c>
      <c r="D5118" s="18"/>
      <c r="E5118" s="17" t="s">
        <v>5915</v>
      </c>
      <c r="F5118" s="17"/>
      <c r="G5118" s="18"/>
      <c r="H5118" s="18"/>
    </row>
    <row r="5119" spans="1:8" ht="13.2">
      <c r="A5119" s="19" t="s">
        <v>5916</v>
      </c>
      <c r="B5119" s="38" t="s">
        <v>5914</v>
      </c>
      <c r="C5119" s="17">
        <v>7.25</v>
      </c>
      <c r="D5119" s="18"/>
      <c r="E5119" s="17" t="s">
        <v>5915</v>
      </c>
      <c r="F5119" s="17"/>
      <c r="G5119" s="18"/>
      <c r="H5119" s="18"/>
    </row>
    <row r="5120" spans="1:8" ht="13.2">
      <c r="A5120" s="19" t="s">
        <v>5917</v>
      </c>
      <c r="B5120" s="38" t="s">
        <v>5914</v>
      </c>
      <c r="C5120" s="17">
        <v>7.25</v>
      </c>
      <c r="D5120" s="18"/>
      <c r="E5120" s="17" t="s">
        <v>5915</v>
      </c>
      <c r="F5120" s="17"/>
      <c r="G5120" s="18"/>
      <c r="H5120" s="18"/>
    </row>
    <row r="5121" spans="1:8" ht="13.2">
      <c r="A5121" s="19" t="s">
        <v>5918</v>
      </c>
      <c r="B5121" s="38" t="s">
        <v>5914</v>
      </c>
      <c r="C5121" s="17">
        <v>7.25</v>
      </c>
      <c r="D5121" s="18"/>
      <c r="E5121" s="17" t="s">
        <v>5915</v>
      </c>
      <c r="F5121" s="17"/>
      <c r="G5121" s="18"/>
      <c r="H5121" s="18"/>
    </row>
    <row r="5122" spans="1:8" ht="13.2">
      <c r="A5122" s="19" t="s">
        <v>5919</v>
      </c>
      <c r="B5122" s="38" t="s">
        <v>5914</v>
      </c>
      <c r="C5122" s="17">
        <v>7.25</v>
      </c>
      <c r="D5122" s="18"/>
      <c r="E5122" s="17" t="s">
        <v>5915</v>
      </c>
      <c r="F5122" s="17"/>
      <c r="G5122" s="18"/>
      <c r="H5122" s="18"/>
    </row>
    <row r="5123" spans="1:8" ht="13.2">
      <c r="A5123" s="19" t="s">
        <v>5920</v>
      </c>
      <c r="B5123" s="38" t="s">
        <v>5914</v>
      </c>
      <c r="C5123" s="17">
        <v>7.25</v>
      </c>
      <c r="D5123" s="18"/>
      <c r="E5123" s="17" t="s">
        <v>5915</v>
      </c>
      <c r="F5123" s="17"/>
      <c r="G5123" s="18"/>
      <c r="H5123" s="18"/>
    </row>
    <row r="5124" spans="1:8" ht="13.2">
      <c r="A5124" s="15" t="s">
        <v>5921</v>
      </c>
      <c r="B5124" s="38" t="s">
        <v>5922</v>
      </c>
      <c r="C5124" s="17">
        <v>7.25</v>
      </c>
      <c r="D5124" s="18"/>
      <c r="E5124" s="17" t="s">
        <v>5915</v>
      </c>
      <c r="F5124" s="17"/>
      <c r="G5124" s="18"/>
      <c r="H5124" s="18"/>
    </row>
    <row r="5125" spans="1:8" ht="13.2">
      <c r="A5125" s="19" t="str">
        <f>HYPERLINK("https://www.codechef.com/problems/CLOSEFAR","Codechef CLOSEFAR")</f>
        <v>Codechef CLOSEFAR</v>
      </c>
      <c r="B5125" s="38" t="s">
        <v>5923</v>
      </c>
      <c r="C5125" s="17">
        <v>7</v>
      </c>
      <c r="D5125" s="18"/>
      <c r="E5125" s="17" t="s">
        <v>5915</v>
      </c>
      <c r="F5125" s="17" t="s">
        <v>139</v>
      </c>
      <c r="G5125" s="18"/>
      <c r="H5125" s="18"/>
    </row>
    <row r="5126" spans="1:8" ht="13.2">
      <c r="A5126" s="19" t="str">
        <f>HYPERLINK("http://codeforces.com/contest/351/problem/D","CF351-D1-D")</f>
        <v>CF351-D1-D</v>
      </c>
      <c r="B5126" s="38" t="s">
        <v>5924</v>
      </c>
      <c r="C5126" s="17">
        <v>7</v>
      </c>
      <c r="D5126" s="18"/>
      <c r="E5126" s="17" t="s">
        <v>5915</v>
      </c>
      <c r="F5126" s="17" t="s">
        <v>201</v>
      </c>
      <c r="G5126" s="18"/>
      <c r="H5126" s="18"/>
    </row>
    <row r="5127" spans="1:8" ht="13.2">
      <c r="A5127" s="19" t="str">
        <f>HYPERLINK("https://codeforces.com/contest/940/problem/F","CF940-D2-F")</f>
        <v>CF940-D2-F</v>
      </c>
      <c r="B5127" s="20" t="s">
        <v>5914</v>
      </c>
      <c r="C5127" s="17">
        <v>7</v>
      </c>
      <c r="D5127" s="18"/>
      <c r="E5127" s="17" t="s">
        <v>5915</v>
      </c>
      <c r="F5127" s="17"/>
      <c r="G5127" s="18"/>
      <c r="H5127" s="18"/>
    </row>
    <row r="5128" spans="1:8" ht="13.2">
      <c r="A5128" s="15" t="s">
        <v>5925</v>
      </c>
      <c r="B5128" s="28" t="s">
        <v>5926</v>
      </c>
      <c r="C5128" s="24">
        <v>6.6</v>
      </c>
      <c r="D5128" s="26" t="str">
        <f>HYPERLINK("https://github.com/omaryasser/Competitive-Programming/blob/master/SPOJ%20solutions/COT2%20-%20Count%20on%20a%20tree%20II.cpp","Sol")</f>
        <v>Sol</v>
      </c>
      <c r="E5128" s="17" t="s">
        <v>5915</v>
      </c>
      <c r="F5128" s="17" t="s">
        <v>173</v>
      </c>
      <c r="G5128" s="18"/>
      <c r="H5128" s="18"/>
    </row>
    <row r="5129" spans="1:8" ht="13.2">
      <c r="A5129" s="19" t="str">
        <f>HYPERLINK("https://codeforces.com/contest/840/problem/D","CF840-D1-D")</f>
        <v>CF840-D1-D</v>
      </c>
      <c r="B5129" s="15" t="s">
        <v>5927</v>
      </c>
      <c r="C5129" s="17">
        <v>6.5</v>
      </c>
      <c r="D5129" s="18" t="s">
        <v>5928</v>
      </c>
      <c r="E5129" s="17" t="s">
        <v>5915</v>
      </c>
      <c r="F5129" s="17" t="s">
        <v>139</v>
      </c>
      <c r="G5129" s="18"/>
      <c r="H5129" s="18"/>
    </row>
    <row r="5130" spans="1:8" ht="13.2">
      <c r="A5130" s="19" t="str">
        <f>HYPERLINK("http://codeforces.com/contest/1000/problem/F", "CF1000-D12-F")</f>
        <v>CF1000-D12-F</v>
      </c>
      <c r="B5130" s="20" t="s">
        <v>5929</v>
      </c>
      <c r="C5130" s="21">
        <v>6.5</v>
      </c>
      <c r="D5130" s="26" t="str">
        <f>HYPERLINK("https://github.com/tmwilliamlin168/CompetitiveProgramming/blob/master/CodeForces/CF1000-D12-F.cpp", "Sol")</f>
        <v>Sol</v>
      </c>
      <c r="E5130" s="17" t="s">
        <v>5915</v>
      </c>
      <c r="F5130" s="17" t="s">
        <v>201</v>
      </c>
      <c r="G5130" s="18"/>
      <c r="H5130" s="18"/>
    </row>
    <row r="5131" spans="1:8" ht="13.2">
      <c r="A5131" s="19" t="str">
        <f>HYPERLINK("http://codeforces.com/contest/741/problem/D","CF741-D1-D")</f>
        <v>CF741-D1-D</v>
      </c>
      <c r="B5131" s="15" t="s">
        <v>5930</v>
      </c>
      <c r="C5131" s="17">
        <v>6.5</v>
      </c>
      <c r="D5131" s="18"/>
      <c r="E5131" s="17" t="s">
        <v>5915</v>
      </c>
      <c r="F5131" s="17" t="s">
        <v>201</v>
      </c>
      <c r="G5131" s="18"/>
      <c r="H5131" s="18"/>
    </row>
    <row r="5132" spans="1:8" ht="13.2">
      <c r="A5132" s="19" t="str">
        <f>HYPERLINK("http://codeforces.com/contest/877/problem/F","CF877-D2-F")</f>
        <v>CF877-D2-F</v>
      </c>
      <c r="B5132" s="15" t="s">
        <v>5931</v>
      </c>
      <c r="C5132" s="17">
        <v>6.3</v>
      </c>
      <c r="D5132" s="18"/>
      <c r="E5132" s="17" t="s">
        <v>5915</v>
      </c>
      <c r="F5132" s="17" t="s">
        <v>139</v>
      </c>
      <c r="G5132" s="18"/>
      <c r="H5132" s="18"/>
    </row>
    <row r="5133" spans="1:8" ht="13.2">
      <c r="A5133" s="19" t="str">
        <f>HYPERLINK("http://www.spoj.com/problems/ZQUERY/","SPOJ ZQUERY")</f>
        <v>SPOJ ZQUERY</v>
      </c>
      <c r="B5133" s="38" t="s">
        <v>5932</v>
      </c>
      <c r="C5133" s="24">
        <v>6.25</v>
      </c>
      <c r="D5133" s="26" t="str">
        <f>HYPERLINK("https://github.com/WaleedAbdelhakim/Competitive-Programming/blob/master/SPOJ/ZQUERY.cpp","Sol")</f>
        <v>Sol</v>
      </c>
      <c r="E5133" s="17" t="s">
        <v>5915</v>
      </c>
      <c r="F5133" s="17"/>
      <c r="G5133" s="18"/>
      <c r="H5133" s="18"/>
    </row>
    <row r="5134" spans="1:8" ht="13.2">
      <c r="A5134" s="15" t="s">
        <v>5933</v>
      </c>
      <c r="B5134" s="15" t="s">
        <v>5934</v>
      </c>
      <c r="C5134" s="17">
        <v>6</v>
      </c>
      <c r="D5134" s="18"/>
      <c r="E5134" s="17" t="s">
        <v>5915</v>
      </c>
      <c r="F5134" s="17" t="s">
        <v>139</v>
      </c>
      <c r="G5134" s="18"/>
      <c r="H5134" s="18"/>
    </row>
    <row r="5135" spans="1:8" ht="13.2">
      <c r="A5135" s="19" t="str">
        <f>HYPERLINK("http://codeforces.com/contest/375/problem/D","CF375-D1-D")</f>
        <v>CF375-D1-D</v>
      </c>
      <c r="B5135" s="29" t="s">
        <v>5935</v>
      </c>
      <c r="C5135" s="17">
        <v>5.75</v>
      </c>
      <c r="D5135" s="18"/>
      <c r="E5135" s="17" t="s">
        <v>5915</v>
      </c>
      <c r="F5135" s="17" t="s">
        <v>196</v>
      </c>
      <c r="G5135" s="18"/>
      <c r="H5135" s="18"/>
    </row>
    <row r="5136" spans="1:8" ht="13.2">
      <c r="A5136" s="19" t="str">
        <f>HYPERLINK("codeforces.com/contest/86/problem/D","CF86-D12-D")</f>
        <v>CF86-D12-D</v>
      </c>
      <c r="B5136" s="38" t="s">
        <v>5936</v>
      </c>
      <c r="C5136" s="17">
        <v>5.5</v>
      </c>
      <c r="D5136" s="26" t="str">
        <f>HYPERLINK("https://www.hackerearth.com/practice/notes/mos-algorithm/","One sol in example problem")</f>
        <v>One sol in example problem</v>
      </c>
      <c r="E5136" s="17" t="s">
        <v>5915</v>
      </c>
      <c r="F5136" s="17" t="s">
        <v>201</v>
      </c>
      <c r="G5136" s="18"/>
      <c r="H5136" s="18"/>
    </row>
    <row r="5137" spans="1:8" ht="13.2">
      <c r="A5137" s="19" t="str">
        <f>HYPERLINK("http://codeforces.com/contest/617/problem/E","CF617-D2-E")</f>
        <v>CF617-D2-E</v>
      </c>
      <c r="B5137" s="29" t="s">
        <v>5914</v>
      </c>
      <c r="C5137" s="17">
        <v>5.5</v>
      </c>
      <c r="D5137" s="18"/>
      <c r="E5137" s="17" t="s">
        <v>5915</v>
      </c>
      <c r="F5137" s="17"/>
      <c r="G5137" s="18"/>
      <c r="H5137" s="18"/>
    </row>
    <row r="5138" spans="1:8" ht="13.2">
      <c r="A5138" s="15" t="s">
        <v>5937</v>
      </c>
      <c r="B5138" s="15" t="s">
        <v>5938</v>
      </c>
      <c r="C5138" s="17">
        <v>5</v>
      </c>
      <c r="D5138" s="18"/>
      <c r="E5138" s="17" t="s">
        <v>5915</v>
      </c>
      <c r="F5138" s="17" t="s">
        <v>154</v>
      </c>
      <c r="G5138" s="18"/>
      <c r="H5138" s="18"/>
    </row>
    <row r="5139" spans="1:8" ht="13.2">
      <c r="A5139" s="19" t="str">
        <f>HYPERLINK("https://www.codechef.com/problems/IITI15","CODECHEF IITI15")</f>
        <v>CODECHEF IITI15</v>
      </c>
      <c r="B5139" s="38" t="s">
        <v>5939</v>
      </c>
      <c r="C5139" s="17">
        <v>5</v>
      </c>
      <c r="D5139" s="18"/>
      <c r="E5139" s="17" t="s">
        <v>5915</v>
      </c>
      <c r="F5139" s="17" t="s">
        <v>242</v>
      </c>
      <c r="G5139" s="18"/>
      <c r="H5139" s="18"/>
    </row>
    <row r="5140" spans="1:8" ht="13.2">
      <c r="A5140" s="19" t="str">
        <f>HYPERLINK("http://codeforces.com/contest/220/problem/B","CF220-D1-B")</f>
        <v>CF220-D1-B</v>
      </c>
      <c r="B5140" s="28" t="s">
        <v>5914</v>
      </c>
      <c r="C5140" s="17">
        <v>5</v>
      </c>
      <c r="D5140" s="18"/>
      <c r="E5140" s="17" t="s">
        <v>5915</v>
      </c>
      <c r="F5140" s="17"/>
      <c r="G5140" s="18"/>
      <c r="H5140" s="18"/>
    </row>
    <row r="5141" spans="1:8" ht="13.2">
      <c r="A5141" s="19" t="str">
        <f>HYPERLINK("https://www.hackerearth.com/problem/algorithm/substrings-count-3/","HACKER substrings-count-3")</f>
        <v>HACKER substrings-count-3</v>
      </c>
      <c r="B5141" s="38" t="s">
        <v>5914</v>
      </c>
      <c r="C5141" s="17">
        <v>5</v>
      </c>
      <c r="D5141" s="18"/>
      <c r="E5141" s="17" t="s">
        <v>5915</v>
      </c>
      <c r="F5141" s="17"/>
      <c r="G5141" s="18"/>
      <c r="H5141" s="18"/>
    </row>
    <row r="5142" spans="1:8" ht="13.2">
      <c r="A5142" s="15" t="s">
        <v>5940</v>
      </c>
      <c r="B5142" s="30" t="s">
        <v>5941</v>
      </c>
      <c r="C5142" s="24">
        <v>5</v>
      </c>
      <c r="D5142" s="26" t="str">
        <f>HYPERLINK("https://github.com/mostafa-saad/MyCompetitiveProgramming/blob/master/SPOJ/SPOJ_RACETIME.txt","Don't implement as ad-hoc/greedy/Pure STL. Use a data structure. Sol")</f>
        <v>Don't implement as ad-hoc/greedy/Pure STL. Use a data structure. Sol</v>
      </c>
      <c r="E5142" s="17" t="s">
        <v>5915</v>
      </c>
      <c r="F5142" s="17"/>
      <c r="G5142" s="18"/>
      <c r="H5142" s="18"/>
    </row>
    <row r="5143" spans="1:8" ht="13.2">
      <c r="A5143" s="15" t="s">
        <v>5942</v>
      </c>
      <c r="B5143" s="15" t="s">
        <v>5914</v>
      </c>
      <c r="C5143" s="17">
        <v>4.25</v>
      </c>
      <c r="D5143" s="18"/>
      <c r="E5143" s="17" t="s">
        <v>5915</v>
      </c>
      <c r="F5143" s="17" t="s">
        <v>139</v>
      </c>
      <c r="G5143" s="18"/>
      <c r="H5143" s="18"/>
    </row>
    <row r="5144" spans="1:8" ht="13.2">
      <c r="A5144" s="15" t="s">
        <v>5943</v>
      </c>
      <c r="B5144" s="28" t="s">
        <v>5944</v>
      </c>
      <c r="C5144" s="24">
        <v>4</v>
      </c>
      <c r="D5144" s="18"/>
      <c r="E5144" s="17" t="s">
        <v>5915</v>
      </c>
      <c r="F5144" s="17" t="s">
        <v>139</v>
      </c>
      <c r="G5144" s="18"/>
      <c r="H5144" s="18"/>
    </row>
    <row r="5145" spans="1:8" ht="13.2">
      <c r="A5145" s="15" t="s">
        <v>5945</v>
      </c>
      <c r="B5145" s="30" t="s">
        <v>5946</v>
      </c>
      <c r="C5145" s="24">
        <v>6.5</v>
      </c>
      <c r="D5145" s="26" t="str">
        <f>HYPERLINK("https://github.com/andmej/competitive_programming/blob/master/ICPC%20Live%20Archive/2945%20-%20Help%20R2-D2/2945.cpp","Sol (no editorial)")</f>
        <v>Sol (no editorial)</v>
      </c>
      <c r="E5145" s="17" t="s">
        <v>5947</v>
      </c>
      <c r="F5145" s="17"/>
      <c r="G5145" s="18"/>
      <c r="H5145" s="18"/>
    </row>
    <row r="5146" spans="1:8" ht="13.2">
      <c r="A5146" s="15" t="s">
        <v>5948</v>
      </c>
      <c r="B5146" s="30" t="s">
        <v>5949</v>
      </c>
      <c r="C5146" s="24">
        <v>6</v>
      </c>
      <c r="D5146" s="26" t="str">
        <f>HYPERLINK("https://gitlab.com/mrfathin/UVa/blob/master/volume129/12942%20-%20Sub-expression%20Counting.cpp","Sol")</f>
        <v>Sol</v>
      </c>
      <c r="E5146" s="17" t="s">
        <v>5947</v>
      </c>
      <c r="F5146" s="17"/>
      <c r="G5146" s="18"/>
      <c r="H5146" s="18"/>
    </row>
    <row r="5147" spans="1:8" ht="13.2">
      <c r="A5147" s="19" t="str">
        <f>HYPERLINK("http://codeforces.com/contest/9/problem/D","CF9-D2-D")</f>
        <v>CF9-D2-D</v>
      </c>
      <c r="B5147" s="29" t="s">
        <v>5950</v>
      </c>
      <c r="C5147" s="17">
        <v>5.75</v>
      </c>
      <c r="D5147" s="18"/>
      <c r="E5147" s="17" t="s">
        <v>5947</v>
      </c>
      <c r="F5147" s="17" t="s">
        <v>139</v>
      </c>
      <c r="G5147" s="18"/>
      <c r="H5147" s="18"/>
    </row>
    <row r="5148" spans="1:8" ht="13.2">
      <c r="A5148" s="15" t="s">
        <v>5951</v>
      </c>
      <c r="B5148" s="18" t="s">
        <v>5952</v>
      </c>
      <c r="C5148" s="17">
        <v>5.5</v>
      </c>
      <c r="D5148" s="26" t="str">
        <f>HYPERLINK("http://mypaper.pchome.com.tw/zerojudge/post/1324765427","Sol")</f>
        <v>Sol</v>
      </c>
      <c r="E5148" s="17" t="s">
        <v>5947</v>
      </c>
      <c r="F5148" s="17"/>
      <c r="G5148" s="18"/>
      <c r="H5148" s="18"/>
    </row>
    <row r="5149" spans="1:8" ht="13.2">
      <c r="A5149" s="15" t="s">
        <v>5953</v>
      </c>
      <c r="B5149" s="30" t="s">
        <v>5954</v>
      </c>
      <c r="C5149" s="24">
        <v>5</v>
      </c>
      <c r="D5149" s="18"/>
      <c r="E5149" s="17" t="s">
        <v>5947</v>
      </c>
      <c r="F5149" s="17" t="s">
        <v>139</v>
      </c>
      <c r="G5149" s="18"/>
      <c r="H5149" s="18"/>
    </row>
    <row r="5150" spans="1:8" ht="13.2">
      <c r="A5150" s="15" t="s">
        <v>5955</v>
      </c>
      <c r="B5150" s="16" t="s">
        <v>5956</v>
      </c>
      <c r="C5150" s="17">
        <v>4</v>
      </c>
      <c r="D5150" s="18"/>
      <c r="E5150" s="17" t="s">
        <v>5947</v>
      </c>
      <c r="F5150" s="17"/>
      <c r="G5150" s="18"/>
      <c r="H5150" s="18"/>
    </row>
    <row r="5151" spans="1:8" ht="13.2">
      <c r="A5151" s="19" t="str">
        <f>HYPERLINK("http://codeforces.com/contest/253/problem/E","CF253-D2-E")</f>
        <v>CF253-D2-E</v>
      </c>
      <c r="B5151" s="29" t="s">
        <v>5957</v>
      </c>
      <c r="C5151" s="17">
        <v>7.75</v>
      </c>
      <c r="D5151" s="18"/>
      <c r="E5151" s="17" t="s">
        <v>5958</v>
      </c>
      <c r="F5151" s="17"/>
      <c r="G5151" s="18"/>
      <c r="H5151" s="18"/>
    </row>
    <row r="5152" spans="1:8" ht="13.2">
      <c r="A5152" s="19" t="str">
        <f>HYPERLINK("http://codeforces.com/contest/513/problem/D2","CF513-D12-D2")</f>
        <v>CF513-D12-D2</v>
      </c>
      <c r="B5152" s="15" t="s">
        <v>5959</v>
      </c>
      <c r="C5152" s="24">
        <v>7.5</v>
      </c>
      <c r="D5152" s="18"/>
      <c r="E5152" s="17" t="s">
        <v>5958</v>
      </c>
      <c r="F5152" s="17"/>
      <c r="G5152" s="18"/>
      <c r="H5152" s="18"/>
    </row>
    <row r="5153" spans="1:8" ht="13.2">
      <c r="A5153" s="19" t="str">
        <f>HYPERLINK("http://codeforces.com/contest/734/problem/F","CF734-D2-F")</f>
        <v>CF734-D2-F</v>
      </c>
      <c r="B5153" s="15" t="s">
        <v>5960</v>
      </c>
      <c r="C5153" s="24">
        <v>7</v>
      </c>
      <c r="D5153" s="18"/>
      <c r="E5153" s="17" t="s">
        <v>5958</v>
      </c>
      <c r="F5153" s="17" t="s">
        <v>139</v>
      </c>
      <c r="G5153" s="18"/>
      <c r="H5153" s="18"/>
    </row>
    <row r="5154" spans="1:8" ht="13.2">
      <c r="A5154" s="19" t="str">
        <f>HYPERLINK("http://codeforces.com/contest/127/problem/E","CF127-D2-E")</f>
        <v>CF127-D2-E</v>
      </c>
      <c r="B5154" s="29" t="s">
        <v>5961</v>
      </c>
      <c r="C5154" s="24">
        <v>7</v>
      </c>
      <c r="D5154" s="18"/>
      <c r="E5154" s="17" t="s">
        <v>5958</v>
      </c>
      <c r="F5154" s="17"/>
      <c r="G5154" s="18"/>
      <c r="H5154" s="18"/>
    </row>
    <row r="5155" spans="1:8" ht="13.2">
      <c r="A5155" s="19" t="str">
        <f>HYPERLINK("https://codeforces.com/contest/1250/problem/G", "CF1250-D12-G")</f>
        <v>CF1250-D12-G</v>
      </c>
      <c r="B5155" s="20" t="s">
        <v>5962</v>
      </c>
      <c r="C5155" s="17">
        <v>7</v>
      </c>
      <c r="D5155" s="18"/>
      <c r="E5155" s="17" t="s">
        <v>5958</v>
      </c>
      <c r="F5155" s="17"/>
      <c r="G5155" s="18"/>
      <c r="H5155" s="18"/>
    </row>
    <row r="5156" spans="1:8" ht="13.2">
      <c r="A5156" s="19" t="str">
        <f>HYPERLINK("http://codeforces.com/contest/51/problem/D","CF51-D12-D")</f>
        <v>CF51-D12-D</v>
      </c>
      <c r="B5156" s="29" t="s">
        <v>5963</v>
      </c>
      <c r="C5156" s="17">
        <v>7</v>
      </c>
      <c r="D5156" s="18"/>
      <c r="E5156" s="17" t="s">
        <v>5958</v>
      </c>
      <c r="F5156" s="17"/>
      <c r="G5156" s="18"/>
      <c r="H5156" s="18"/>
    </row>
    <row r="5157" spans="1:8" ht="13.2">
      <c r="A5157" s="19" t="str">
        <f>HYPERLINK("https://codeforces.com/contest/1307/problem/E","CF1307-D12-E")</f>
        <v>CF1307-D12-E</v>
      </c>
      <c r="B5157" s="37" t="s">
        <v>5964</v>
      </c>
      <c r="C5157" s="17">
        <v>7</v>
      </c>
      <c r="D5157" s="18"/>
      <c r="E5157" s="17" t="s">
        <v>5958</v>
      </c>
      <c r="F5157" s="17"/>
      <c r="G5157" s="18"/>
      <c r="H5157" s="18"/>
    </row>
    <row r="5158" spans="1:8" ht="13.2">
      <c r="A5158" s="19" t="str">
        <f>HYPERLINK("http://codeforces.com/contest/218/problem/D","CF218-D2-D")</f>
        <v>CF218-D2-D</v>
      </c>
      <c r="B5158" s="29" t="s">
        <v>5965</v>
      </c>
      <c r="C5158" s="17">
        <v>6.75</v>
      </c>
      <c r="D5158" s="18"/>
      <c r="E5158" s="17" t="s">
        <v>5958</v>
      </c>
      <c r="F5158" s="17"/>
      <c r="G5158" s="18"/>
      <c r="H5158" s="18"/>
    </row>
    <row r="5159" spans="1:8" ht="13.2">
      <c r="A5159" s="19" t="str">
        <f>HYPERLINK("http://codeforces.com/contest/33/problem/E","CF733-D2-E")</f>
        <v>CF733-D2-E</v>
      </c>
      <c r="B5159" s="15" t="s">
        <v>5966</v>
      </c>
      <c r="C5159" s="17">
        <v>6.5</v>
      </c>
      <c r="D5159" s="18"/>
      <c r="E5159" s="17" t="s">
        <v>5958</v>
      </c>
      <c r="F5159" s="17" t="s">
        <v>139</v>
      </c>
      <c r="G5159" s="18"/>
      <c r="H5159" s="18"/>
    </row>
    <row r="5160" spans="1:8" ht="13.2">
      <c r="A5160" s="19" t="str">
        <f>HYPERLINK("https://codeforces.com/contest/731/problem/D","CF731-D2-D")</f>
        <v>CF731-D2-D</v>
      </c>
      <c r="B5160" s="20" t="s">
        <v>5967</v>
      </c>
      <c r="C5160" s="21">
        <v>6.5</v>
      </c>
      <c r="D5160" s="18"/>
      <c r="E5160" s="17" t="s">
        <v>5958</v>
      </c>
      <c r="F5160" s="17" t="s">
        <v>201</v>
      </c>
      <c r="G5160" s="18"/>
      <c r="H5160" s="18"/>
    </row>
    <row r="5161" spans="1:8" ht="13.2">
      <c r="A5161" s="19" t="str">
        <f>HYPERLINK("http://codeforces.com/contest/251/problem/B","CF521-D1-B")</f>
        <v>CF521-D1-B</v>
      </c>
      <c r="B5161" s="29" t="s">
        <v>5968</v>
      </c>
      <c r="C5161" s="24">
        <v>6.5</v>
      </c>
      <c r="D5161" s="18"/>
      <c r="E5161" s="17" t="s">
        <v>5958</v>
      </c>
      <c r="F5161" s="17" t="s">
        <v>242</v>
      </c>
      <c r="G5161" s="18"/>
      <c r="H5161" s="18"/>
    </row>
    <row r="5162" spans="1:8" ht="13.2">
      <c r="A5162" s="15" t="s">
        <v>5969</v>
      </c>
      <c r="B5162" s="16" t="s">
        <v>5970</v>
      </c>
      <c r="C5162" s="17">
        <v>6.5</v>
      </c>
      <c r="D5162" s="18"/>
      <c r="E5162" s="17" t="s">
        <v>5958</v>
      </c>
      <c r="F5162" s="17"/>
      <c r="G5162" s="18"/>
      <c r="H5162" s="18"/>
    </row>
    <row r="5163" spans="1:8" ht="13.2">
      <c r="A5163" s="19" t="str">
        <f>HYPERLINK("http://codeforces.com/contest/133/problem/D","CF133-D2-D")</f>
        <v>CF133-D2-D</v>
      </c>
      <c r="B5163" s="29" t="s">
        <v>5971</v>
      </c>
      <c r="C5163" s="24">
        <v>6.5</v>
      </c>
      <c r="D5163" s="18"/>
      <c r="E5163" s="17" t="s">
        <v>5958</v>
      </c>
      <c r="F5163" s="17"/>
      <c r="G5163" s="18"/>
      <c r="H5163" s="18"/>
    </row>
    <row r="5164" spans="1:8" ht="13.2">
      <c r="A5164" s="19" t="str">
        <f>HYPERLINK("http://codeforces.com/contest/558/problem/D","CF558-D2-D")</f>
        <v>CF558-D2-D</v>
      </c>
      <c r="B5164" s="15" t="s">
        <v>5962</v>
      </c>
      <c r="C5164" s="24">
        <v>6.25</v>
      </c>
      <c r="D5164" s="18"/>
      <c r="E5164" s="17" t="s">
        <v>5958</v>
      </c>
      <c r="F5164" s="17" t="s">
        <v>139</v>
      </c>
      <c r="G5164" s="18"/>
      <c r="H5164" s="18"/>
    </row>
    <row r="5165" spans="1:8" ht="13.2">
      <c r="A5165" s="15" t="s">
        <v>5972</v>
      </c>
      <c r="B5165" s="30" t="s">
        <v>5973</v>
      </c>
      <c r="C5165" s="24">
        <v>6.25</v>
      </c>
      <c r="D5165" s="18"/>
      <c r="E5165" s="17" t="s">
        <v>5958</v>
      </c>
      <c r="F5165" s="17"/>
      <c r="G5165" s="18"/>
      <c r="H5165" s="18"/>
    </row>
    <row r="5166" spans="1:8" ht="13.2">
      <c r="A5166" s="19" t="str">
        <f>HYPERLINK("http://codeforces.com/contest/520/problem/D","CF520-D2-D")</f>
        <v>CF520-D2-D</v>
      </c>
      <c r="B5166" s="29" t="s">
        <v>5974</v>
      </c>
      <c r="C5166" s="17">
        <v>6.25</v>
      </c>
      <c r="D5166" s="18"/>
      <c r="E5166" s="17" t="s">
        <v>5958</v>
      </c>
      <c r="F5166" s="17"/>
      <c r="G5166" s="18"/>
      <c r="H5166" s="18"/>
    </row>
    <row r="5167" spans="1:8" ht="13.2">
      <c r="A5167" s="19" t="str">
        <f>HYPERLINK("http://codeforces.com/contest/139/problem/D","CF139-D2-D")</f>
        <v>CF139-D2-D</v>
      </c>
      <c r="B5167" s="29" t="s">
        <v>5961</v>
      </c>
      <c r="C5167" s="17">
        <v>6</v>
      </c>
      <c r="D5167" s="18"/>
      <c r="E5167" s="17" t="s">
        <v>5958</v>
      </c>
      <c r="F5167" s="17"/>
      <c r="G5167" s="18"/>
      <c r="H5167" s="18"/>
    </row>
    <row r="5168" spans="1:8" ht="13.2">
      <c r="A5168" s="19" t="str">
        <f>HYPERLINK("http://codeforces.com/contest/292/problem/C","CF292-D12-C")</f>
        <v>CF292-D12-C</v>
      </c>
      <c r="B5168" s="29" t="s">
        <v>5961</v>
      </c>
      <c r="C5168" s="17">
        <v>6</v>
      </c>
      <c r="D5168" s="18"/>
      <c r="E5168" s="17" t="s">
        <v>5958</v>
      </c>
      <c r="F5168" s="17"/>
      <c r="G5168" s="18"/>
      <c r="H5168" s="18"/>
    </row>
    <row r="5169" spans="1:8" ht="13.2">
      <c r="A5169" s="19" t="str">
        <f>HYPERLINK("http://codeforces.com/contest/630/problem/E","CF630-D12-E")</f>
        <v>CF630-D12-E</v>
      </c>
      <c r="B5169" s="15" t="s">
        <v>5961</v>
      </c>
      <c r="C5169" s="21">
        <v>6</v>
      </c>
      <c r="D5169" s="18"/>
      <c r="E5169" s="17" t="s">
        <v>5958</v>
      </c>
      <c r="F5169" s="17"/>
      <c r="G5169" s="18"/>
      <c r="H5169" s="18"/>
    </row>
    <row r="5170" spans="1:8" ht="13.2">
      <c r="A5170" s="19" t="str">
        <f>HYPERLINK("http://codeforces.com/contest/677/problem/E","CF677-D2-E")</f>
        <v>CF677-D2-E</v>
      </c>
      <c r="B5170" s="15" t="s">
        <v>5961</v>
      </c>
      <c r="C5170" s="24">
        <v>6</v>
      </c>
      <c r="D5170" s="18"/>
      <c r="E5170" s="17" t="s">
        <v>5958</v>
      </c>
      <c r="F5170" s="17"/>
      <c r="G5170" s="18"/>
      <c r="H5170" s="18"/>
    </row>
    <row r="5171" spans="1:8" ht="13.2">
      <c r="A5171" s="15" t="s">
        <v>5975</v>
      </c>
      <c r="B5171" s="48" t="s">
        <v>5961</v>
      </c>
      <c r="C5171" s="31">
        <v>6</v>
      </c>
      <c r="D5171" s="18"/>
      <c r="E5171" s="17" t="s">
        <v>5958</v>
      </c>
      <c r="F5171" s="17"/>
      <c r="G5171" s="18"/>
      <c r="H5171" s="18"/>
    </row>
    <row r="5172" spans="1:8" ht="13.2">
      <c r="A5172" s="19" t="str">
        <f>HYPERLINK("http://codeforces.com/contest/714/problem/D","CF714-D2-D")</f>
        <v>CF714-D2-D</v>
      </c>
      <c r="B5172" s="15" t="s">
        <v>5957</v>
      </c>
      <c r="C5172" s="24">
        <v>6</v>
      </c>
      <c r="D5172" s="18"/>
      <c r="E5172" s="17" t="s">
        <v>5958</v>
      </c>
      <c r="F5172" s="17"/>
      <c r="G5172" s="18"/>
      <c r="H5172" s="18"/>
    </row>
    <row r="5173" spans="1:8" ht="13.2">
      <c r="A5173" s="15" t="s">
        <v>5976</v>
      </c>
      <c r="B5173" s="16" t="s">
        <v>5977</v>
      </c>
      <c r="C5173" s="17">
        <v>6</v>
      </c>
      <c r="D5173" s="18"/>
      <c r="E5173" s="17" t="s">
        <v>5958</v>
      </c>
      <c r="F5173" s="17"/>
      <c r="G5173" s="18"/>
      <c r="H5173" s="18"/>
    </row>
    <row r="5174" spans="1:8" ht="13.2">
      <c r="A5174" s="15" t="s">
        <v>5978</v>
      </c>
      <c r="B5174" s="30" t="s">
        <v>5979</v>
      </c>
      <c r="C5174" s="24">
        <v>6</v>
      </c>
      <c r="D5174" s="18"/>
      <c r="E5174" s="17" t="s">
        <v>5958</v>
      </c>
      <c r="F5174" s="17"/>
      <c r="G5174" s="18"/>
      <c r="H5174" s="18"/>
    </row>
    <row r="5175" spans="1:8" ht="13.2">
      <c r="A5175" s="15" t="s">
        <v>5980</v>
      </c>
      <c r="B5175" s="35" t="s">
        <v>5981</v>
      </c>
      <c r="C5175" s="17">
        <v>6</v>
      </c>
      <c r="D5175" s="18"/>
      <c r="E5175" s="17" t="s">
        <v>5958</v>
      </c>
      <c r="F5175" s="17"/>
      <c r="G5175" s="18"/>
      <c r="H5175" s="18"/>
    </row>
    <row r="5176" spans="1:8" ht="13.2">
      <c r="A5176" s="15" t="s">
        <v>5982</v>
      </c>
      <c r="B5176" s="29" t="s">
        <v>5983</v>
      </c>
      <c r="C5176" s="24">
        <v>6</v>
      </c>
      <c r="D5176" s="18"/>
      <c r="E5176" s="17" t="s">
        <v>5958</v>
      </c>
      <c r="F5176" s="17"/>
      <c r="G5176" s="18"/>
      <c r="H5176" s="18"/>
    </row>
    <row r="5177" spans="1:8" ht="13.2">
      <c r="A5177" s="19" t="str">
        <f>HYPERLINK("http://codeforces.com/contest/320/problem/D","CF320-D2-D")</f>
        <v>CF320-D2-D</v>
      </c>
      <c r="B5177" s="29" t="s">
        <v>5967</v>
      </c>
      <c r="C5177" s="17">
        <v>5.5</v>
      </c>
      <c r="D5177" s="18"/>
      <c r="E5177" s="17" t="s">
        <v>5958</v>
      </c>
      <c r="F5177" s="17" t="s">
        <v>229</v>
      </c>
      <c r="G5177" s="18"/>
      <c r="H5177" s="18"/>
    </row>
    <row r="5178" spans="1:8" ht="13.2">
      <c r="A5178" s="19" t="str">
        <f>HYPERLINK("https://codeforces.com/contest/1090/problem/C","CF1090-D12-C")</f>
        <v>CF1090-D12-C</v>
      </c>
      <c r="B5178" s="37" t="s">
        <v>5984</v>
      </c>
      <c r="C5178" s="17">
        <v>5.5</v>
      </c>
      <c r="D5178" s="18"/>
      <c r="E5178" s="17" t="s">
        <v>5958</v>
      </c>
      <c r="F5178" s="17" t="s">
        <v>139</v>
      </c>
      <c r="G5178" s="18"/>
      <c r="H5178" s="18"/>
    </row>
    <row r="5179" spans="1:8" ht="13.2">
      <c r="A5179" s="19" t="str">
        <f>HYPERLINK("https://codingcompetitions.withgoogle.com/kickstart/round/0000000000050ff2/0000000000150aac","KICKSTART 19-RC-A")</f>
        <v>KICKSTART 19-RC-A</v>
      </c>
      <c r="B5179" s="20" t="s">
        <v>5985</v>
      </c>
      <c r="C5179" s="21">
        <v>5.5</v>
      </c>
      <c r="D5179" s="18"/>
      <c r="E5179" s="17" t="s">
        <v>5958</v>
      </c>
      <c r="F5179" s="17" t="s">
        <v>139</v>
      </c>
      <c r="G5179" s="18"/>
      <c r="H5179" s="18"/>
    </row>
    <row r="5180" spans="1:8" ht="13.2">
      <c r="A5180" s="19" t="str">
        <f>HYPERLINK("https://codeforces.com/contest/1099/problem/E","CF1099-D2-E")</f>
        <v>CF1099-D2-E</v>
      </c>
      <c r="B5180" s="15" t="s">
        <v>5961</v>
      </c>
      <c r="C5180" s="17">
        <v>5.5</v>
      </c>
      <c r="D5180" s="18"/>
      <c r="E5180" s="17" t="s">
        <v>5958</v>
      </c>
      <c r="F5180" s="17" t="s">
        <v>201</v>
      </c>
      <c r="G5180" s="18"/>
      <c r="H5180" s="18"/>
    </row>
    <row r="5181" spans="1:8" ht="13.2">
      <c r="A5181" s="19" t="str">
        <f>HYPERLINK("http://codeforces.com/contest/435/problem/D","CF435-D2-D")</f>
        <v>CF435-D2-D</v>
      </c>
      <c r="B5181" s="29" t="s">
        <v>5986</v>
      </c>
      <c r="C5181" s="17">
        <v>5.5</v>
      </c>
      <c r="D5181" s="18"/>
      <c r="E5181" s="17" t="s">
        <v>5958</v>
      </c>
      <c r="F5181" s="17" t="s">
        <v>201</v>
      </c>
      <c r="G5181" s="18"/>
      <c r="H5181" s="18"/>
    </row>
    <row r="5182" spans="1:8" ht="13.2">
      <c r="A5182" s="19" t="str">
        <f>HYPERLINK("http://codeforces.com/contest/719/problem/C","CF719-D2-C")</f>
        <v>CF719-D2-C</v>
      </c>
      <c r="B5182" s="29" t="s">
        <v>5961</v>
      </c>
      <c r="C5182" s="17">
        <v>5.5</v>
      </c>
      <c r="D5182" s="18"/>
      <c r="E5182" s="17" t="s">
        <v>5958</v>
      </c>
      <c r="F5182" s="17"/>
      <c r="G5182" s="18"/>
      <c r="H5182" s="18"/>
    </row>
    <row r="5183" spans="1:8" ht="13.2">
      <c r="A5183" s="19" t="str">
        <f>HYPERLINK("https://csacademy.com/contest/round-79/task/groups/","CSA79-D")</f>
        <v>CSA79-D</v>
      </c>
      <c r="B5183" s="20" t="s">
        <v>5961</v>
      </c>
      <c r="C5183" s="17">
        <v>5.5</v>
      </c>
      <c r="D5183" s="26" t="str">
        <f>HYPERLINK("https://github.com/timpostuvan/CompetitiveProgramming/blob/master/CSAcademy/CSA79-D.cpp","Sol")</f>
        <v>Sol</v>
      </c>
      <c r="E5183" s="17" t="s">
        <v>5958</v>
      </c>
      <c r="F5183" s="17"/>
      <c r="G5183" s="18"/>
      <c r="H5183" s="18"/>
    </row>
    <row r="5184" spans="1:8" ht="13.2">
      <c r="A5184" s="19" t="str">
        <f>HYPERLINK("https://codeforces.com/gym/101187/problem/F","CF101187-GYM-F")</f>
        <v>CF101187-GYM-F</v>
      </c>
      <c r="B5184" s="20" t="s">
        <v>5961</v>
      </c>
      <c r="C5184" s="21">
        <v>5.25</v>
      </c>
      <c r="D5184" s="26" t="str">
        <f>HYPERLINK("https://github.com/SpeedOfMagic/CompetitiveProgramming/blob/master/CodeforcesGym/CF101187-GYM-F.cpp","Sol")</f>
        <v>Sol</v>
      </c>
      <c r="E5184" s="17" t="s">
        <v>5958</v>
      </c>
      <c r="F5184" s="17" t="s">
        <v>201</v>
      </c>
      <c r="G5184" s="18"/>
      <c r="H5184" s="18"/>
    </row>
    <row r="5185" spans="1:8" ht="13.2">
      <c r="A5185" s="19" t="str">
        <f>HYPERLINK("http://codeforces.com/contest/570/problem/C","CF570-D2-C")</f>
        <v>CF570-D2-C</v>
      </c>
      <c r="B5185" s="29" t="s">
        <v>5959</v>
      </c>
      <c r="C5185" s="17">
        <v>5</v>
      </c>
      <c r="D5185" s="18"/>
      <c r="E5185" s="17" t="s">
        <v>5958</v>
      </c>
      <c r="F5185" s="17" t="s">
        <v>229</v>
      </c>
      <c r="G5185" s="18"/>
      <c r="H5185" s="18"/>
    </row>
    <row r="5186" spans="1:8" ht="13.2">
      <c r="A5186" s="19" t="str">
        <f>HYPERLINK("http://codeforces.com/contest/1043/problem/D", "CF1042-D12-D")</f>
        <v>CF1042-D12-D</v>
      </c>
      <c r="B5186" s="15" t="s">
        <v>5987</v>
      </c>
      <c r="C5186" s="17">
        <v>5</v>
      </c>
      <c r="D5186" s="18"/>
      <c r="E5186" s="17" t="s">
        <v>5958</v>
      </c>
      <c r="F5186" s="17" t="s">
        <v>139</v>
      </c>
      <c r="G5186" s="18"/>
      <c r="H5186" s="18"/>
    </row>
    <row r="5187" spans="1:8" ht="13.2">
      <c r="A5187" s="19" t="str">
        <f>HYPERLINK("http://codeforces.com/contest/350/problem/E","CF350-D2-E")</f>
        <v>CF350-D2-E</v>
      </c>
      <c r="B5187" s="15" t="s">
        <v>5988</v>
      </c>
      <c r="C5187" s="24">
        <v>5</v>
      </c>
      <c r="D5187" s="18"/>
      <c r="E5187" s="17" t="s">
        <v>5958</v>
      </c>
      <c r="F5187" s="17" t="s">
        <v>242</v>
      </c>
      <c r="G5187" s="18"/>
      <c r="H5187" s="18"/>
    </row>
    <row r="5188" spans="1:8" ht="13.2">
      <c r="A5188" s="19" t="str">
        <f>HYPERLINK("http://codeforces.com/contest/405/problem/C","CF405-D2-C")</f>
        <v>CF405-D2-C</v>
      </c>
      <c r="B5188" s="29" t="s">
        <v>5989</v>
      </c>
      <c r="C5188" s="17">
        <v>5</v>
      </c>
      <c r="D5188" s="18"/>
      <c r="E5188" s="17" t="s">
        <v>5958</v>
      </c>
      <c r="F5188" s="17" t="s">
        <v>242</v>
      </c>
      <c r="G5188" s="18"/>
      <c r="H5188" s="18"/>
    </row>
    <row r="5189" spans="1:8" ht="13.2">
      <c r="A5189" s="19" t="str">
        <f>HYPERLINK("http://codeforces.com/contest/114/problem/C","CF114-D2-C")</f>
        <v>CF114-D2-C</v>
      </c>
      <c r="B5189" s="18" t="s">
        <v>5961</v>
      </c>
      <c r="C5189" s="17">
        <v>5</v>
      </c>
      <c r="D5189" s="18"/>
      <c r="E5189" s="17" t="s">
        <v>5958</v>
      </c>
      <c r="F5189" s="17"/>
      <c r="G5189" s="18"/>
      <c r="H5189" s="18"/>
    </row>
    <row r="5190" spans="1:8" ht="13.2">
      <c r="A5190" s="19" t="str">
        <f>HYPERLINK("http://codeforces.com/contest/463/problem/C","CF463-D2-C")</f>
        <v>CF463-D2-C</v>
      </c>
      <c r="B5190" s="29" t="s">
        <v>5961</v>
      </c>
      <c r="C5190" s="17">
        <v>5</v>
      </c>
      <c r="D5190" s="18"/>
      <c r="E5190" s="17" t="s">
        <v>5958</v>
      </c>
      <c r="F5190" s="17"/>
      <c r="G5190" s="18"/>
      <c r="H5190" s="18"/>
    </row>
    <row r="5191" spans="1:8" ht="13.2">
      <c r="A5191" s="19" t="str">
        <f>HYPERLINK("http://codeforces.com/contest/734/problem/D","CF734-D2-D")</f>
        <v>CF734-D2-D</v>
      </c>
      <c r="B5191" s="18" t="s">
        <v>5961</v>
      </c>
      <c r="C5191" s="17">
        <v>5</v>
      </c>
      <c r="D5191" s="18"/>
      <c r="E5191" s="17" t="s">
        <v>5958</v>
      </c>
      <c r="F5191" s="17"/>
      <c r="G5191" s="18"/>
      <c r="H5191" s="18"/>
    </row>
    <row r="5192" spans="1:8" ht="13.2">
      <c r="A5192" s="15" t="s">
        <v>5990</v>
      </c>
      <c r="B5192" s="48" t="s">
        <v>5961</v>
      </c>
      <c r="C5192" s="31">
        <v>5</v>
      </c>
      <c r="D5192" s="18"/>
      <c r="E5192" s="17" t="s">
        <v>5958</v>
      </c>
      <c r="F5192" s="17"/>
      <c r="G5192" s="18"/>
      <c r="H5192" s="18"/>
    </row>
    <row r="5193" spans="1:8" ht="13.2">
      <c r="A5193" s="15" t="s">
        <v>5991</v>
      </c>
      <c r="B5193" s="28" t="s">
        <v>5961</v>
      </c>
      <c r="C5193" s="24">
        <v>5</v>
      </c>
      <c r="D5193" s="18"/>
      <c r="E5193" s="17" t="s">
        <v>5958</v>
      </c>
      <c r="F5193" s="17"/>
      <c r="G5193" s="18"/>
      <c r="H5193" s="18"/>
    </row>
    <row r="5194" spans="1:8" ht="13.2">
      <c r="A5194" s="19" t="str">
        <f>HYPERLINK("http://codeforces.com/contest/143/problem/C","CF143-D2-C")</f>
        <v>CF143-D2-C</v>
      </c>
      <c r="B5194" s="18" t="s">
        <v>5992</v>
      </c>
      <c r="C5194" s="17">
        <v>5</v>
      </c>
      <c r="D5194" s="18"/>
      <c r="E5194" s="17" t="s">
        <v>5958</v>
      </c>
      <c r="F5194" s="17"/>
      <c r="G5194" s="18"/>
      <c r="H5194" s="18"/>
    </row>
    <row r="5195" spans="1:8" ht="13.2">
      <c r="A5195" s="19" t="str">
        <f>HYPERLINK("http://codeforces.com/contest/433/problem/C","CF433-D2-C")</f>
        <v>CF433-D2-C</v>
      </c>
      <c r="B5195" s="29" t="s">
        <v>5993</v>
      </c>
      <c r="C5195" s="31">
        <v>5</v>
      </c>
      <c r="D5195" s="18"/>
      <c r="E5195" s="17" t="s">
        <v>5958</v>
      </c>
      <c r="F5195" s="17"/>
      <c r="G5195" s="18"/>
      <c r="H5195" s="18"/>
    </row>
    <row r="5196" spans="1:8" ht="13.2">
      <c r="A5196" s="15" t="s">
        <v>5994</v>
      </c>
      <c r="B5196" s="27" t="s">
        <v>5995</v>
      </c>
      <c r="C5196" s="17">
        <v>5</v>
      </c>
      <c r="D5196" s="18"/>
      <c r="E5196" s="17" t="s">
        <v>5958</v>
      </c>
      <c r="F5196" s="17"/>
      <c r="G5196" s="18"/>
      <c r="H5196" s="18"/>
    </row>
    <row r="5197" spans="1:8" ht="13.2">
      <c r="A5197" s="15" t="s">
        <v>5996</v>
      </c>
      <c r="B5197" s="38" t="s">
        <v>5997</v>
      </c>
      <c r="C5197" s="17">
        <v>5</v>
      </c>
      <c r="D5197" s="18"/>
      <c r="E5197" s="17" t="s">
        <v>5958</v>
      </c>
      <c r="F5197" s="17"/>
      <c r="G5197" s="18"/>
      <c r="H5197" s="18"/>
    </row>
    <row r="5198" spans="1:8" ht="13.2">
      <c r="A5198" s="19" t="str">
        <f>HYPERLINK("http://codeforces.com/contest/581/problem/D","CF581-D2-D")</f>
        <v>CF581-D2-D</v>
      </c>
      <c r="B5198" s="29" t="s">
        <v>5961</v>
      </c>
      <c r="C5198" s="17">
        <v>4.5</v>
      </c>
      <c r="D5198" s="18"/>
      <c r="E5198" s="17" t="s">
        <v>5958</v>
      </c>
      <c r="F5198" s="17" t="s">
        <v>201</v>
      </c>
      <c r="G5198" s="18"/>
      <c r="H5198" s="18"/>
    </row>
    <row r="5199" spans="1:8" ht="13.2">
      <c r="A5199" s="15" t="s">
        <v>5998</v>
      </c>
      <c r="B5199" s="29" t="s">
        <v>5999</v>
      </c>
      <c r="C5199" s="24">
        <v>4.5</v>
      </c>
      <c r="D5199" s="26" t="str">
        <f>HYPERLINK("https://ideone.com/QCHUj4","Sol")</f>
        <v>Sol</v>
      </c>
      <c r="E5199" s="17" t="s">
        <v>5958</v>
      </c>
      <c r="F5199" s="17" t="s">
        <v>201</v>
      </c>
      <c r="G5199" s="18"/>
      <c r="H5199" s="18"/>
    </row>
    <row r="5200" spans="1:8" ht="13.2">
      <c r="A5200" s="19" t="str">
        <f>HYPERLINK("http://codeforces.com/contest/507/problem/C","CF507-D2-C")</f>
        <v>CF507-D2-C</v>
      </c>
      <c r="B5200" s="29" t="s">
        <v>5992</v>
      </c>
      <c r="C5200" s="17">
        <v>4.5</v>
      </c>
      <c r="D5200" s="18"/>
      <c r="E5200" s="17" t="s">
        <v>5958</v>
      </c>
      <c r="F5200" s="17" t="s">
        <v>201</v>
      </c>
      <c r="G5200" s="18"/>
      <c r="H5200" s="18"/>
    </row>
    <row r="5201" spans="1:8" ht="13.2">
      <c r="A5201" s="19" t="str">
        <f>HYPERLINK("http://codeforces.com/contest/435/problem/C","CF435-D2-C")</f>
        <v>CF435-D2-C</v>
      </c>
      <c r="B5201" s="18" t="s">
        <v>5961</v>
      </c>
      <c r="C5201" s="17">
        <v>4.5</v>
      </c>
      <c r="D5201" s="18"/>
      <c r="E5201" s="17" t="s">
        <v>5958</v>
      </c>
      <c r="F5201" s="17"/>
      <c r="G5201" s="18"/>
      <c r="H5201" s="18"/>
    </row>
    <row r="5202" spans="1:8" ht="13.2">
      <c r="A5202" s="19" t="str">
        <f>HYPERLINK("http://codeforces.com/contest/586/problem/C","CF586-D2-C")</f>
        <v>CF586-D2-C</v>
      </c>
      <c r="B5202" s="29" t="s">
        <v>5961</v>
      </c>
      <c r="C5202" s="17">
        <v>4.5</v>
      </c>
      <c r="D5202" s="18"/>
      <c r="E5202" s="17" t="s">
        <v>5958</v>
      </c>
      <c r="F5202" s="17"/>
      <c r="G5202" s="18"/>
      <c r="H5202" s="18"/>
    </row>
    <row r="5203" spans="1:8" ht="13.2">
      <c r="A5203" s="15" t="s">
        <v>6000</v>
      </c>
      <c r="B5203" s="29" t="s">
        <v>5970</v>
      </c>
      <c r="C5203" s="24">
        <v>4.5</v>
      </c>
      <c r="D5203" s="18"/>
      <c r="E5203" s="24" t="s">
        <v>5958</v>
      </c>
      <c r="F5203" s="17"/>
      <c r="G5203" s="18"/>
      <c r="H5203" s="18"/>
    </row>
    <row r="5204" spans="1:8" ht="13.2">
      <c r="A5204" s="19" t="str">
        <f>HYPERLINK("http://codeforces.com/contest/168/problem/C","CF168-D2-C")</f>
        <v>CF168-D2-C</v>
      </c>
      <c r="B5204" s="29" t="s">
        <v>6001</v>
      </c>
      <c r="C5204" s="17">
        <v>4.5</v>
      </c>
      <c r="D5204" s="18"/>
      <c r="E5204" s="17" t="s">
        <v>5958</v>
      </c>
      <c r="F5204" s="17"/>
      <c r="G5204" s="18"/>
      <c r="H5204" s="18"/>
    </row>
    <row r="5205" spans="1:8" ht="13.2">
      <c r="A5205" s="19" t="str">
        <f>HYPERLINK("http://codeforces.com/contest/469/problem/C","CF469-D2-C")</f>
        <v>CF469-D2-C</v>
      </c>
      <c r="B5205" s="29" t="s">
        <v>5959</v>
      </c>
      <c r="C5205" s="17">
        <v>4.5</v>
      </c>
      <c r="D5205" s="18"/>
      <c r="E5205" s="17" t="s">
        <v>5958</v>
      </c>
      <c r="F5205" s="17"/>
      <c r="G5205" s="18"/>
      <c r="H5205" s="18"/>
    </row>
    <row r="5206" spans="1:8" ht="13.2">
      <c r="A5206" s="19" t="str">
        <f>HYPERLINK("http://codeforces.com/contest/746/problem/C","CF746-D2-C")</f>
        <v>CF746-D2-C</v>
      </c>
      <c r="B5206" s="29" t="s">
        <v>5959</v>
      </c>
      <c r="C5206" s="17">
        <v>4.5</v>
      </c>
      <c r="D5206" s="18"/>
      <c r="E5206" s="17" t="s">
        <v>5958</v>
      </c>
      <c r="F5206" s="17"/>
      <c r="G5206" s="18"/>
      <c r="H5206" s="18"/>
    </row>
    <row r="5207" spans="1:8" ht="13.2">
      <c r="A5207" s="15" t="s">
        <v>6002</v>
      </c>
      <c r="B5207" s="30" t="s">
        <v>6003</v>
      </c>
      <c r="C5207" s="24">
        <v>4.5</v>
      </c>
      <c r="D5207" s="18"/>
      <c r="E5207" s="17" t="s">
        <v>5958</v>
      </c>
      <c r="F5207" s="17"/>
      <c r="G5207" s="18"/>
      <c r="H5207" s="18"/>
    </row>
    <row r="5208" spans="1:8" ht="13.2">
      <c r="A5208" s="19" t="str">
        <f>HYPERLINK("https://codeforces.com/contest/1282/problem/C","CF1282-D2-C")</f>
        <v>CF1282-D2-C</v>
      </c>
      <c r="B5208" s="20" t="s">
        <v>6004</v>
      </c>
      <c r="C5208" s="21">
        <v>4.5</v>
      </c>
      <c r="D5208" s="18"/>
      <c r="E5208" s="17" t="s">
        <v>5958</v>
      </c>
      <c r="F5208" s="17"/>
      <c r="G5208" s="18"/>
      <c r="H5208" s="18"/>
    </row>
    <row r="5209" spans="1:8" ht="13.2">
      <c r="A5209" s="19" t="str">
        <f>HYPERLINK("http://codeforces.com/contest/421/problem/C","CF421-D2-C")</f>
        <v>CF421-D2-C</v>
      </c>
      <c r="B5209" s="29" t="s">
        <v>6005</v>
      </c>
      <c r="C5209" s="24">
        <v>4.5</v>
      </c>
      <c r="D5209" s="18"/>
      <c r="E5209" s="17" t="s">
        <v>5958</v>
      </c>
      <c r="F5209" s="17"/>
      <c r="G5209" s="18"/>
      <c r="H5209" s="18"/>
    </row>
    <row r="5210" spans="1:8" ht="13.2">
      <c r="A5210" s="19" t="str">
        <f>HYPERLINK("http://codeforces.com/contest/382/problem/C","CF382-D2-C")</f>
        <v>CF382-D2-C</v>
      </c>
      <c r="B5210" s="18" t="s">
        <v>6006</v>
      </c>
      <c r="C5210" s="17">
        <v>4.5</v>
      </c>
      <c r="D5210" s="18"/>
      <c r="E5210" s="17" t="s">
        <v>5958</v>
      </c>
      <c r="F5210" s="17"/>
      <c r="G5210" s="18"/>
      <c r="H5210" s="18"/>
    </row>
    <row r="5211" spans="1:8" ht="13.2">
      <c r="A5211" s="19" t="str">
        <f>HYPERLINK("https://codeforces.com/contest/1087/problem/C","CF1087-D2-C")</f>
        <v>CF1087-D2-C</v>
      </c>
      <c r="B5211" s="15" t="s">
        <v>5961</v>
      </c>
      <c r="C5211" s="17">
        <v>4</v>
      </c>
      <c r="D5211" s="18"/>
      <c r="E5211" s="17" t="s">
        <v>5958</v>
      </c>
      <c r="F5211" s="17" t="s">
        <v>139</v>
      </c>
      <c r="G5211" s="18"/>
      <c r="H5211" s="18"/>
    </row>
    <row r="5212" spans="1:8" ht="13.2">
      <c r="A5212" s="19" t="str">
        <f>HYPERLINK("https://codeforces.com/contest/1077/problem/D","CF1077-D3-D")</f>
        <v>CF1077-D3-D</v>
      </c>
      <c r="B5212" s="15" t="s">
        <v>5961</v>
      </c>
      <c r="C5212" s="17">
        <v>4</v>
      </c>
      <c r="D5212" s="18"/>
      <c r="E5212" s="17" t="s">
        <v>5958</v>
      </c>
      <c r="F5212" s="17" t="s">
        <v>201</v>
      </c>
      <c r="G5212" s="18"/>
      <c r="H5212" s="18"/>
    </row>
    <row r="5213" spans="1:8" ht="13.2">
      <c r="A5213" s="15" t="s">
        <v>6007</v>
      </c>
      <c r="B5213" s="15" t="s">
        <v>6008</v>
      </c>
      <c r="C5213" s="17">
        <v>4</v>
      </c>
      <c r="D5213" s="18"/>
      <c r="E5213" s="17" t="s">
        <v>5958</v>
      </c>
      <c r="F5213" s="17" t="s">
        <v>537</v>
      </c>
      <c r="G5213" s="18"/>
      <c r="H5213" s="18"/>
    </row>
    <row r="5214" spans="1:8" ht="13.2">
      <c r="A5214" s="19" t="str">
        <f>HYPERLINK("https://uva.onlinejudge.org/index.php?option=onlinejudge&amp;page=show_problem&amp;problem=63","UVA 127")</f>
        <v>UVA 127</v>
      </c>
      <c r="B5214" s="29" t="s">
        <v>6009</v>
      </c>
      <c r="C5214" s="17">
        <v>4</v>
      </c>
      <c r="D5214" s="18"/>
      <c r="E5214" s="17" t="s">
        <v>5958</v>
      </c>
      <c r="F5214" s="17" t="s">
        <v>242</v>
      </c>
      <c r="G5214" s="18"/>
      <c r="H5214" s="18"/>
    </row>
    <row r="5215" spans="1:8" ht="13.2">
      <c r="A5215" s="19" t="str">
        <f>HYPERLINK("http://codeforces.com/contest/200/problem/D","CF200-D2-D")</f>
        <v>CF200-D2-D</v>
      </c>
      <c r="B5215" s="18" t="s">
        <v>5961</v>
      </c>
      <c r="C5215" s="17">
        <v>4</v>
      </c>
      <c r="D5215" s="18"/>
      <c r="E5215" s="17" t="s">
        <v>5958</v>
      </c>
      <c r="F5215" s="17"/>
      <c r="G5215" s="18"/>
      <c r="H5215" s="18"/>
    </row>
    <row r="5216" spans="1:8" ht="13.2">
      <c r="A5216" s="19" t="str">
        <f>HYPERLINK("http://codeforces.com/contest/239/problem/C","CF239-D2-C")</f>
        <v>CF239-D2-C</v>
      </c>
      <c r="B5216" s="15" t="s">
        <v>5961</v>
      </c>
      <c r="C5216" s="33">
        <v>4</v>
      </c>
      <c r="D5216" s="18"/>
      <c r="E5216" s="17" t="s">
        <v>5958</v>
      </c>
      <c r="F5216" s="17"/>
      <c r="G5216" s="18"/>
      <c r="H5216" s="18"/>
    </row>
    <row r="5217" spans="1:8" ht="13.2">
      <c r="A5217" s="19" t="str">
        <f>HYPERLINK("http://codeforces.com/contest/43/problem/D","CF43-D2-D")</f>
        <v>CF43-D2-D</v>
      </c>
      <c r="B5217" s="18" t="s">
        <v>5961</v>
      </c>
      <c r="C5217" s="17">
        <v>4</v>
      </c>
      <c r="D5217" s="18"/>
      <c r="E5217" s="17" t="s">
        <v>5958</v>
      </c>
      <c r="F5217" s="17"/>
      <c r="G5217" s="18"/>
      <c r="H5217" s="18"/>
    </row>
    <row r="5218" spans="1:8" ht="13.2">
      <c r="A5218" s="19" t="str">
        <f>HYPERLINK("http://codeforces.com/contest/495/problem/C","CF495-D2-C")</f>
        <v>CF495-D2-C</v>
      </c>
      <c r="B5218" s="29" t="s">
        <v>5961</v>
      </c>
      <c r="C5218" s="17">
        <v>4</v>
      </c>
      <c r="D5218" s="18"/>
      <c r="E5218" s="17" t="s">
        <v>5958</v>
      </c>
      <c r="F5218" s="17"/>
      <c r="G5218" s="18"/>
      <c r="H5218" s="18"/>
    </row>
    <row r="5219" spans="1:8" ht="13.2">
      <c r="A5219" s="19" t="str">
        <f>HYPERLINK("http://codeforces.com/contest/69/problem/C","CF69-D2-C")</f>
        <v>CF69-D2-C</v>
      </c>
      <c r="B5219" s="29" t="s">
        <v>5961</v>
      </c>
      <c r="C5219" s="17">
        <v>4</v>
      </c>
      <c r="D5219" s="18"/>
      <c r="E5219" s="17" t="s">
        <v>5958</v>
      </c>
      <c r="F5219" s="17"/>
      <c r="G5219" s="18"/>
      <c r="H5219" s="18"/>
    </row>
    <row r="5220" spans="1:8" ht="13.2">
      <c r="A5220" s="15" t="s">
        <v>6010</v>
      </c>
      <c r="B5220" s="48" t="s">
        <v>5961</v>
      </c>
      <c r="C5220" s="33">
        <v>4</v>
      </c>
      <c r="D5220" s="18"/>
      <c r="E5220" s="17" t="s">
        <v>5958</v>
      </c>
      <c r="F5220" s="17"/>
      <c r="G5220" s="18"/>
      <c r="H5220" s="18"/>
    </row>
    <row r="5221" spans="1:8" ht="13.2">
      <c r="A5221" s="19" t="str">
        <f>HYPERLINK("http://codeforces.com/contest/268/problem/C","CF268-D2-C")</f>
        <v>CF268-D2-C</v>
      </c>
      <c r="B5221" s="29" t="s">
        <v>5959</v>
      </c>
      <c r="C5221" s="17">
        <v>4</v>
      </c>
      <c r="D5221" s="18"/>
      <c r="E5221" s="17" t="s">
        <v>5958</v>
      </c>
      <c r="F5221" s="17"/>
      <c r="G5221" s="18"/>
      <c r="H5221" s="18"/>
    </row>
    <row r="5222" spans="1:8" ht="13.2">
      <c r="A5222" s="19" t="str">
        <f>HYPERLINK("http://codeforces.com/contest/282/problem/C","CF282-D2-C")</f>
        <v>CF282-D2-C</v>
      </c>
      <c r="B5222" s="18" t="s">
        <v>5959</v>
      </c>
      <c r="C5222" s="17">
        <v>4</v>
      </c>
      <c r="D5222" s="18"/>
      <c r="E5222" s="17" t="s">
        <v>5958</v>
      </c>
      <c r="F5222" s="17"/>
      <c r="G5222" s="18"/>
      <c r="H5222" s="18"/>
    </row>
    <row r="5223" spans="1:8" ht="13.2">
      <c r="A5223" s="15" t="s">
        <v>6011</v>
      </c>
      <c r="B5223" s="41" t="s">
        <v>6012</v>
      </c>
      <c r="C5223" s="33">
        <v>4</v>
      </c>
      <c r="D5223" s="18"/>
      <c r="E5223" s="17" t="s">
        <v>5958</v>
      </c>
      <c r="F5223" s="17"/>
      <c r="G5223" s="18"/>
      <c r="H5223" s="18"/>
    </row>
    <row r="5224" spans="1:8" ht="13.2">
      <c r="A5224" s="15" t="s">
        <v>6013</v>
      </c>
      <c r="B5224" s="28" t="s">
        <v>6014</v>
      </c>
      <c r="C5224" s="17">
        <v>4</v>
      </c>
      <c r="D5224" s="18"/>
      <c r="E5224" s="17" t="s">
        <v>5958</v>
      </c>
      <c r="F5224" s="17"/>
      <c r="G5224" s="18"/>
      <c r="H5224" s="18"/>
    </row>
    <row r="5225" spans="1:8" ht="13.2">
      <c r="A5225" s="15" t="s">
        <v>6015</v>
      </c>
      <c r="B5225" s="16" t="s">
        <v>5992</v>
      </c>
      <c r="C5225" s="33">
        <v>4</v>
      </c>
      <c r="D5225" s="18"/>
      <c r="E5225" s="17" t="s">
        <v>5958</v>
      </c>
      <c r="F5225" s="17"/>
      <c r="G5225" s="18"/>
      <c r="H5225" s="18"/>
    </row>
    <row r="5226" spans="1:8" ht="13.2">
      <c r="A5226" s="15" t="s">
        <v>6016</v>
      </c>
      <c r="B5226" s="18" t="s">
        <v>6017</v>
      </c>
      <c r="C5226" s="24">
        <v>4</v>
      </c>
      <c r="D5226" s="18"/>
      <c r="E5226" s="17" t="s">
        <v>5958</v>
      </c>
      <c r="F5226" s="17"/>
      <c r="G5226" s="18"/>
      <c r="H5226" s="18"/>
    </row>
    <row r="5227" spans="1:8" ht="13.2">
      <c r="A5227" s="19" t="str">
        <f>HYPERLINK("http://codeforces.com/contest/66/problem/A","CF66-D2-A")</f>
        <v>CF66-D2-A</v>
      </c>
      <c r="B5227" s="18" t="s">
        <v>6006</v>
      </c>
      <c r="C5227" s="17">
        <v>4</v>
      </c>
      <c r="D5227" s="18"/>
      <c r="E5227" s="17" t="s">
        <v>5958</v>
      </c>
      <c r="F5227" s="17"/>
      <c r="G5227" s="18"/>
      <c r="H5227" s="18"/>
    </row>
    <row r="5228" spans="1:8" ht="13.2">
      <c r="A5228" s="19" t="str">
        <f>HYPERLINK("http://codeforces.com/contest/670/problem/C","CF670-D2-C")</f>
        <v>CF670-D2-C</v>
      </c>
      <c r="B5228" s="29" t="s">
        <v>6006</v>
      </c>
      <c r="C5228" s="17">
        <v>4</v>
      </c>
      <c r="D5228" s="18"/>
      <c r="E5228" s="17" t="s">
        <v>5958</v>
      </c>
      <c r="F5228" s="17"/>
      <c r="G5228" s="18"/>
      <c r="H5228" s="18"/>
    </row>
    <row r="5229" spans="1:8" ht="13.2">
      <c r="A5229" s="19" t="str">
        <f>HYPERLINK("http://codeforces.com/contest/462/problem/C","CF462-D2-C")</f>
        <v>CF462-D2-C</v>
      </c>
      <c r="B5229" s="29" t="s">
        <v>6018</v>
      </c>
      <c r="C5229" s="17">
        <v>4</v>
      </c>
      <c r="D5229" s="26" t="str">
        <f>HYPERLINK("https://github.com/MedoN11/CompetitiveProgramming/blob/master/Atcoder/CF_462C.java","Sol")</f>
        <v>Sol</v>
      </c>
      <c r="E5229" s="17" t="s">
        <v>5958</v>
      </c>
      <c r="F5229" s="17"/>
      <c r="G5229" s="18"/>
      <c r="H5229" s="18"/>
    </row>
    <row r="5230" spans="1:8" ht="13.2">
      <c r="A5230" s="15" t="s">
        <v>6019</v>
      </c>
      <c r="B5230" s="35" t="s">
        <v>6020</v>
      </c>
      <c r="C5230" s="17">
        <v>4</v>
      </c>
      <c r="D5230" s="18"/>
      <c r="E5230" s="17" t="s">
        <v>5958</v>
      </c>
      <c r="F5230" s="17"/>
      <c r="G5230" s="18"/>
      <c r="H5230" s="18"/>
    </row>
    <row r="5231" spans="1:8" ht="13.2">
      <c r="A5231" s="19" t="str">
        <f>HYPERLINK("https://codeforces.com/contest/1136/problem/C","CF1136-D2-C")</f>
        <v>CF1136-D2-C</v>
      </c>
      <c r="B5231" s="15" t="s">
        <v>5961</v>
      </c>
      <c r="C5231" s="17">
        <v>3.5</v>
      </c>
      <c r="D5231" s="18"/>
      <c r="E5231" s="17" t="s">
        <v>5958</v>
      </c>
      <c r="F5231" s="17" t="s">
        <v>139</v>
      </c>
      <c r="G5231" s="18"/>
      <c r="H5231" s="18"/>
    </row>
    <row r="5232" spans="1:8" ht="13.2">
      <c r="A5232" s="19" t="str">
        <f>HYPERLINK("http://codeforces.com/contest/1062/problem/A", "CF1062-D2-A")</f>
        <v>CF1062-D2-A</v>
      </c>
      <c r="B5232" s="20" t="s">
        <v>5961</v>
      </c>
      <c r="C5232" s="21">
        <v>3.5</v>
      </c>
      <c r="D5232" s="18"/>
      <c r="E5232" s="17" t="s">
        <v>5958</v>
      </c>
      <c r="F5232" s="17" t="s">
        <v>201</v>
      </c>
      <c r="G5232" s="18"/>
      <c r="H5232" s="18"/>
    </row>
    <row r="5233" spans="1:8" ht="13.2">
      <c r="A5233" s="15" t="s">
        <v>6021</v>
      </c>
      <c r="B5233" s="29" t="s">
        <v>5961</v>
      </c>
      <c r="C5233" s="17">
        <v>3.5</v>
      </c>
      <c r="D5233" s="18"/>
      <c r="E5233" s="17" t="s">
        <v>5958</v>
      </c>
      <c r="F5233" s="17"/>
      <c r="G5233" s="18"/>
      <c r="H5233" s="18"/>
    </row>
    <row r="5234" spans="1:8" ht="13.2">
      <c r="A5234" s="19" t="str">
        <f>HYPERLINK("http://codeforces.com/contest/61/problem/C","CF61-D2-C")</f>
        <v>CF61-D2-C</v>
      </c>
      <c r="B5234" s="29" t="s">
        <v>5992</v>
      </c>
      <c r="C5234" s="17">
        <v>3.5</v>
      </c>
      <c r="D5234" s="18"/>
      <c r="E5234" s="17" t="s">
        <v>5958</v>
      </c>
      <c r="F5234" s="17"/>
      <c r="G5234" s="18"/>
      <c r="H5234" s="18"/>
    </row>
    <row r="5235" spans="1:8" ht="13.2">
      <c r="A5235" s="15" t="s">
        <v>6022</v>
      </c>
      <c r="B5235" s="15" t="s">
        <v>6023</v>
      </c>
      <c r="C5235" s="17">
        <v>3.5</v>
      </c>
      <c r="D5235" s="18"/>
      <c r="E5235" s="17" t="s">
        <v>5958</v>
      </c>
      <c r="F5235" s="17"/>
      <c r="G5235" s="18"/>
      <c r="H5235" s="18"/>
    </row>
    <row r="5236" spans="1:8" ht="13.2">
      <c r="A5236" s="19" t="str">
        <f>HYPERLINK("http://codeforces.com/contest/47/problem/C","CF47-D2-C")</f>
        <v>CF47-D2-C</v>
      </c>
      <c r="B5236" s="29" t="s">
        <v>6024</v>
      </c>
      <c r="C5236" s="17">
        <v>3.5</v>
      </c>
      <c r="D5236" s="18"/>
      <c r="E5236" s="17" t="s">
        <v>5958</v>
      </c>
      <c r="F5236" s="17"/>
      <c r="G5236" s="18"/>
      <c r="H5236" s="18"/>
    </row>
    <row r="5237" spans="1:8" ht="13.2">
      <c r="A5237" s="15" t="s">
        <v>6025</v>
      </c>
      <c r="B5237" s="29" t="s">
        <v>6026</v>
      </c>
      <c r="C5237" s="24">
        <v>3</v>
      </c>
      <c r="D5237" s="26" t="str">
        <f>HYPERLINK("https://github.com/MeGaCrazy/CompetitiveProgramming/blob/9ebf16b4239c8f58c694f2ae22c8f07d1fa70864/Timus/TIMUS_1054.cpp","Sol")</f>
        <v>Sol</v>
      </c>
      <c r="E5237" s="17" t="s">
        <v>5958</v>
      </c>
      <c r="F5237" s="17" t="s">
        <v>201</v>
      </c>
      <c r="G5237" s="18"/>
      <c r="H5237" s="18"/>
    </row>
    <row r="5238" spans="1:8" ht="13.2">
      <c r="A5238" s="15" t="s">
        <v>6027</v>
      </c>
      <c r="B5238" s="29" t="s">
        <v>5961</v>
      </c>
      <c r="C5238" s="17">
        <v>3</v>
      </c>
      <c r="D5238" s="18"/>
      <c r="E5238" s="17" t="s">
        <v>5958</v>
      </c>
      <c r="F5238" s="17"/>
      <c r="G5238" s="18"/>
      <c r="H5238" s="18"/>
    </row>
    <row r="5239" spans="1:8" ht="13.2">
      <c r="A5239" s="15" t="s">
        <v>6028</v>
      </c>
      <c r="B5239" s="29" t="s">
        <v>5961</v>
      </c>
      <c r="C5239" s="17">
        <v>3</v>
      </c>
      <c r="D5239" s="18"/>
      <c r="E5239" s="17" t="s">
        <v>5958</v>
      </c>
      <c r="F5239" s="17"/>
      <c r="G5239" s="18"/>
      <c r="H5239" s="18"/>
    </row>
    <row r="5240" spans="1:8" ht="13.2">
      <c r="A5240" s="15" t="s">
        <v>6029</v>
      </c>
      <c r="B5240" s="29" t="s">
        <v>6030</v>
      </c>
      <c r="C5240" s="40">
        <v>3</v>
      </c>
      <c r="D5240" s="18"/>
      <c r="E5240" s="17" t="s">
        <v>5958</v>
      </c>
      <c r="F5240" s="17"/>
      <c r="G5240" s="18"/>
      <c r="H5240" s="18"/>
    </row>
    <row r="5241" spans="1:8" ht="13.2">
      <c r="A5241" s="15" t="s">
        <v>6031</v>
      </c>
      <c r="B5241" s="34" t="s">
        <v>6032</v>
      </c>
      <c r="C5241" s="17">
        <v>3</v>
      </c>
      <c r="D5241" s="18"/>
      <c r="E5241" s="17" t="s">
        <v>5958</v>
      </c>
      <c r="F5241" s="17"/>
      <c r="G5241" s="18"/>
      <c r="H5241" s="18"/>
    </row>
    <row r="5242" spans="1:8" ht="13.2">
      <c r="A5242" s="15" t="s">
        <v>6033</v>
      </c>
      <c r="B5242" s="30" t="s">
        <v>6034</v>
      </c>
      <c r="C5242" s="40">
        <v>3</v>
      </c>
      <c r="D5242" s="18"/>
      <c r="E5242" s="17" t="s">
        <v>5958</v>
      </c>
      <c r="F5242" s="17"/>
      <c r="G5242" s="18"/>
      <c r="H5242" s="18"/>
    </row>
    <row r="5243" spans="1:8" ht="13.2">
      <c r="A5243" s="15" t="s">
        <v>6035</v>
      </c>
      <c r="B5243" s="28" t="s">
        <v>5992</v>
      </c>
      <c r="C5243" s="24">
        <v>3</v>
      </c>
      <c r="D5243" s="18"/>
      <c r="E5243" s="17" t="s">
        <v>5958</v>
      </c>
      <c r="F5243" s="17"/>
      <c r="G5243" s="18"/>
      <c r="H5243" s="18"/>
    </row>
    <row r="5244" spans="1:8" ht="13.2">
      <c r="A5244" s="15" t="s">
        <v>6036</v>
      </c>
      <c r="B5244" s="29" t="s">
        <v>5961</v>
      </c>
      <c r="C5244" s="24">
        <v>2</v>
      </c>
      <c r="D5244" s="18"/>
      <c r="E5244" s="17" t="s">
        <v>5958</v>
      </c>
      <c r="F5244" s="17"/>
      <c r="G5244" s="18"/>
      <c r="H5244" s="18"/>
    </row>
    <row r="5245" spans="1:8" ht="13.2">
      <c r="A5245" s="15" t="s">
        <v>6037</v>
      </c>
      <c r="B5245" s="28" t="s">
        <v>6038</v>
      </c>
      <c r="C5245" s="24">
        <v>2</v>
      </c>
      <c r="D5245" s="18"/>
      <c r="E5245" s="17" t="s">
        <v>5958</v>
      </c>
      <c r="F5245" s="17"/>
      <c r="G5245" s="18"/>
      <c r="H5245" s="18"/>
    </row>
    <row r="5246" spans="1:8" ht="13.2">
      <c r="A5246" s="19" t="str">
        <f>HYPERLINK("http://codeforces.com/contest/372/problem/D","CF372-D1-D")</f>
        <v>CF372-D1-D</v>
      </c>
      <c r="B5246" s="15" t="s">
        <v>6039</v>
      </c>
      <c r="C5246" s="24">
        <v>7.5</v>
      </c>
      <c r="D5246" s="18"/>
      <c r="E5246" s="17" t="s">
        <v>6040</v>
      </c>
      <c r="F5246" s="17"/>
      <c r="G5246" s="18"/>
      <c r="H5246" s="18"/>
    </row>
    <row r="5247" spans="1:8" ht="13.2">
      <c r="A5247" s="19" t="str">
        <f>HYPERLINK("https://codeforces.com/contest/1252/problem/E","CF1252-D12-E")</f>
        <v>CF1252-D12-E</v>
      </c>
      <c r="B5247" s="15" t="s">
        <v>6041</v>
      </c>
      <c r="C5247" s="17">
        <v>6.5</v>
      </c>
      <c r="D5247" s="18"/>
      <c r="E5247" s="17" t="s">
        <v>6040</v>
      </c>
      <c r="F5247" s="17" t="s">
        <v>139</v>
      </c>
      <c r="G5247" s="18"/>
      <c r="H5247" s="18"/>
    </row>
    <row r="5248" spans="1:8" ht="13.2">
      <c r="A5248" s="19" t="str">
        <f>HYPERLINK("http://codeforces.com/problemset/problem/371/E","CF408-D2-E")</f>
        <v>CF408-D2-E</v>
      </c>
      <c r="B5248" s="48" t="s">
        <v>6042</v>
      </c>
      <c r="C5248" s="24">
        <v>6</v>
      </c>
      <c r="D5248" s="18"/>
      <c r="E5248" s="17" t="s">
        <v>6040</v>
      </c>
      <c r="F5248" s="17" t="s">
        <v>229</v>
      </c>
      <c r="G5248" s="18"/>
      <c r="H5248" s="18"/>
    </row>
    <row r="5249" spans="1:8" ht="13.2">
      <c r="A5249" s="19" t="str">
        <f>HYPERLINK("https://codeforces.com/contest/1148/problem/E","CF1148-D12-E")</f>
        <v>CF1148-D12-E</v>
      </c>
      <c r="B5249" s="20" t="s">
        <v>6043</v>
      </c>
      <c r="C5249" s="21">
        <v>6</v>
      </c>
      <c r="D5249" s="18"/>
      <c r="E5249" s="17" t="s">
        <v>6040</v>
      </c>
      <c r="F5249" s="17"/>
      <c r="G5249" s="18"/>
      <c r="H5249" s="18"/>
    </row>
    <row r="5250" spans="1:8" ht="13.2">
      <c r="A5250" s="19" t="str">
        <f>HYPERLINK("http://codeforces.com/contest/309/problem/B","CF309-D12-B")</f>
        <v>CF309-D12-B</v>
      </c>
      <c r="B5250" s="29" t="s">
        <v>6044</v>
      </c>
      <c r="C5250" s="24">
        <v>5.5</v>
      </c>
      <c r="D5250" s="18"/>
      <c r="E5250" s="17" t="s">
        <v>6040</v>
      </c>
      <c r="F5250" s="17" t="s">
        <v>154</v>
      </c>
      <c r="G5250" s="18"/>
      <c r="H5250" s="18"/>
    </row>
    <row r="5251" spans="1:8" ht="13.2">
      <c r="A5251" s="19" t="str">
        <f>HYPERLINK("http://codeforces.com/contest/253/problem/D","CF253-D2-D")</f>
        <v>CF253-D2-D</v>
      </c>
      <c r="B5251" s="29" t="s">
        <v>6045</v>
      </c>
      <c r="C5251" s="17">
        <v>5.5</v>
      </c>
      <c r="D5251" s="18"/>
      <c r="E5251" s="17" t="s">
        <v>6040</v>
      </c>
      <c r="F5251" s="17" t="s">
        <v>196</v>
      </c>
      <c r="G5251" s="18"/>
      <c r="H5251" s="18"/>
    </row>
    <row r="5252" spans="1:8" ht="13.2">
      <c r="A5252" s="19" t="str">
        <f>HYPERLINK("https://codeforces.com/contest/1195/problem/E", "CF1195-D2-E")</f>
        <v>CF1195-D2-E</v>
      </c>
      <c r="B5252" s="43" t="s">
        <v>6046</v>
      </c>
      <c r="C5252" s="17">
        <v>5.5</v>
      </c>
      <c r="D5252" s="18"/>
      <c r="E5252" s="17" t="s">
        <v>6040</v>
      </c>
      <c r="F5252" s="17" t="s">
        <v>139</v>
      </c>
      <c r="G5252" s="18"/>
      <c r="H5252" s="18"/>
    </row>
    <row r="5253" spans="1:8" ht="13.2">
      <c r="A5253" s="19" t="str">
        <f>HYPERLINK("https://codeforces.com/gym/102001/problem/F", "CF102001-GYM-F")</f>
        <v>CF102001-GYM-F</v>
      </c>
      <c r="B5253" s="15" t="s">
        <v>6047</v>
      </c>
      <c r="C5253" s="17">
        <v>5.5</v>
      </c>
      <c r="D5253" s="26" t="str">
        <f>HYPERLINK("https://github.com/YazanZebak/CompetitiveProgramming/blob/master/Codeforces/CF102001-GYM-F.cpp", "Sol")</f>
        <v>Sol</v>
      </c>
      <c r="E5253" s="17" t="s">
        <v>6040</v>
      </c>
      <c r="F5253" s="17" t="s">
        <v>139</v>
      </c>
      <c r="G5253" s="18"/>
      <c r="H5253" s="18"/>
    </row>
    <row r="5254" spans="1:8" ht="13.2">
      <c r="A5254" s="19" t="str">
        <f>HYPERLINK("http://codeforces.com/contest/224/problem/D","CF224-D2-D")</f>
        <v>CF224-D2-D</v>
      </c>
      <c r="B5254" s="29" t="s">
        <v>6048</v>
      </c>
      <c r="C5254" s="17">
        <v>5.5</v>
      </c>
      <c r="D5254" s="26" t="str">
        <f>HYPERLINK("https://github.com/abdullaAshraf/Problem-Solving/blob/master/CodeForces/CF224-D2-D.cpp","Sol")</f>
        <v>Sol</v>
      </c>
      <c r="E5254" s="17" t="s">
        <v>6040</v>
      </c>
      <c r="F5254" s="17" t="s">
        <v>139</v>
      </c>
      <c r="G5254" s="18"/>
      <c r="H5254" s="18"/>
    </row>
    <row r="5255" spans="1:8" ht="13.2">
      <c r="A5255" s="19" t="str">
        <f>HYPERLINK("http://codeforces.com/contest/281/problem/D","CF281-D2-D")</f>
        <v>CF281-D2-D</v>
      </c>
      <c r="B5255" s="29" t="s">
        <v>6049</v>
      </c>
      <c r="C5255" s="17">
        <v>5.5</v>
      </c>
      <c r="D5255" s="18"/>
      <c r="E5255" s="17" t="s">
        <v>6040</v>
      </c>
      <c r="F5255" s="17" t="s">
        <v>201</v>
      </c>
      <c r="G5255" s="18"/>
      <c r="H5255" s="18"/>
    </row>
    <row r="5256" spans="1:8" ht="13.2">
      <c r="A5256" s="19" t="str">
        <f>HYPERLINK("http://codeforces.com/contest/746/problem/F","CF746-D2-F")</f>
        <v>CF746-D2-F</v>
      </c>
      <c r="B5256" s="18" t="s">
        <v>6046</v>
      </c>
      <c r="C5256" s="17">
        <v>5.5</v>
      </c>
      <c r="D5256" s="18"/>
      <c r="E5256" s="17" t="s">
        <v>6040</v>
      </c>
      <c r="F5256" s="17" t="s">
        <v>242</v>
      </c>
      <c r="G5256" s="18"/>
      <c r="H5256" s="18"/>
    </row>
    <row r="5257" spans="1:8" ht="13.2">
      <c r="A5257" s="15" t="s">
        <v>6050</v>
      </c>
      <c r="B5257" s="30" t="s">
        <v>6051</v>
      </c>
      <c r="C5257" s="24">
        <v>5.5</v>
      </c>
      <c r="D5257" s="26" t="str">
        <f>HYPERLINK("https://github.com/MohamedNabil97/CompetitiveProgramming/tree/master/UVA/1344.cpp","Sol")</f>
        <v>Sol</v>
      </c>
      <c r="E5257" s="17" t="s">
        <v>6040</v>
      </c>
      <c r="F5257" s="17"/>
      <c r="G5257" s="18"/>
      <c r="H5257" s="18"/>
    </row>
    <row r="5258" spans="1:8" ht="13.2">
      <c r="A5258" s="19" t="str">
        <f>HYPERLINK("https://leetcode.com/problems/shortest-subarray-with-sum-at-least-k","LeetCode shortest-subarray-with-sum-at-least-k")</f>
        <v>LeetCode shortest-subarray-with-sum-at-least-k</v>
      </c>
      <c r="B5258" s="15" t="s">
        <v>6052</v>
      </c>
      <c r="C5258" s="17">
        <v>5.25</v>
      </c>
      <c r="D5258" s="26" t="str">
        <f>HYPERLINK("https://github.com/mostafa-saad/MyCompetitiveProgramming/blob/master/LeetCode/LeetCode-shortest-subarray-with-sum-at-least-k.txt","Sol")</f>
        <v>Sol</v>
      </c>
      <c r="E5258" s="17" t="s">
        <v>6040</v>
      </c>
      <c r="F5258" s="17" t="s">
        <v>139</v>
      </c>
      <c r="G5258" s="18"/>
      <c r="H5258" s="18"/>
    </row>
    <row r="5259" spans="1:8" ht="13.2">
      <c r="A5259" s="15" t="s">
        <v>6053</v>
      </c>
      <c r="B5259" s="15" t="s">
        <v>6054</v>
      </c>
      <c r="C5259" s="17">
        <v>5</v>
      </c>
      <c r="D5259" s="26" t="str">
        <f>HYPERLINK("https://github.com/nathalieFouad/CompetitiveProgramming/blob/master/SPOJ/SPOJ%20KOIREP/.cpp","Sol")</f>
        <v>Sol</v>
      </c>
      <c r="E5259" s="17" t="s">
        <v>6040</v>
      </c>
      <c r="F5259" s="17" t="s">
        <v>154</v>
      </c>
      <c r="G5259" s="18"/>
      <c r="H5259" s="18"/>
    </row>
    <row r="5260" spans="1:8" ht="13.2">
      <c r="A5260" s="19" t="str">
        <f>HYPERLINK("https://dwacon5th-prelims.contest.atcoder.jp/tasks/dwacon5th_prelims_c","Dwango5th-C")</f>
        <v>Dwango5th-C</v>
      </c>
      <c r="B5260" s="15" t="s">
        <v>6054</v>
      </c>
      <c r="C5260" s="53">
        <v>5</v>
      </c>
      <c r="D5260" s="26" t="str">
        <f>HYPERLINK("https://ideone.com/SZdJ79","Sol")</f>
        <v>Sol</v>
      </c>
      <c r="E5260" s="17" t="s">
        <v>6040</v>
      </c>
      <c r="F5260" s="17" t="s">
        <v>139</v>
      </c>
      <c r="G5260" s="18"/>
      <c r="H5260" s="18"/>
    </row>
    <row r="5261" spans="1:8" ht="13.2">
      <c r="A5261" s="19" t="str">
        <f>HYPERLINK("http://codeforces.com/contest/1043/problem/D","CF1043-D12-D")</f>
        <v>CF1043-D12-D</v>
      </c>
      <c r="B5261" s="15" t="s">
        <v>6055</v>
      </c>
      <c r="C5261" s="17">
        <v>5</v>
      </c>
      <c r="D5261" s="26" t="str">
        <f>HYPERLINK("https://github.com/nya-nya-meow/CompetitiveProgramming/blob/master/CodeForces/CF1043-D12-D.cpp","Sol")</f>
        <v>Sol</v>
      </c>
      <c r="E5261" s="17" t="s">
        <v>6040</v>
      </c>
      <c r="F5261" s="17" t="s">
        <v>139</v>
      </c>
      <c r="G5261" s="18"/>
      <c r="H5261" s="18"/>
    </row>
    <row r="5262" spans="1:8" ht="13.2">
      <c r="A5262" s="19" t="str">
        <f>HYPERLINK("http://codeforces.com/contest/883/problem/I","CF883-D12-I")</f>
        <v>CF883-D12-I</v>
      </c>
      <c r="B5262" s="15" t="s">
        <v>6056</v>
      </c>
      <c r="C5262" s="17">
        <v>5</v>
      </c>
      <c r="D5262" s="18"/>
      <c r="E5262" s="17" t="s">
        <v>6040</v>
      </c>
      <c r="F5262" s="17" t="s">
        <v>139</v>
      </c>
      <c r="G5262" s="18"/>
      <c r="H5262" s="18"/>
    </row>
    <row r="5263" spans="1:8" ht="13.2">
      <c r="A5263" s="19" t="str">
        <f>HYPERLINK("http://codeforces.com/contest/6/problem/E","CF6-D2-E")</f>
        <v>CF6-D2-E</v>
      </c>
      <c r="B5263" s="15" t="s">
        <v>6057</v>
      </c>
      <c r="C5263" s="17">
        <v>5</v>
      </c>
      <c r="D5263" s="18"/>
      <c r="E5263" s="17" t="s">
        <v>6040</v>
      </c>
      <c r="F5263" s="17" t="s">
        <v>139</v>
      </c>
      <c r="G5263" s="18"/>
      <c r="H5263" s="18"/>
    </row>
    <row r="5264" spans="1:8" ht="13.2">
      <c r="A5264" s="19" t="str">
        <f>HYPERLINK("http://codeforces.com/contest/79/problem/C","CF79-D12-C")</f>
        <v>CF79-D12-C</v>
      </c>
      <c r="B5264" s="15" t="s">
        <v>6058</v>
      </c>
      <c r="C5264" s="17">
        <v>5</v>
      </c>
      <c r="D5264" s="18"/>
      <c r="E5264" s="17" t="s">
        <v>6040</v>
      </c>
      <c r="F5264" s="17" t="s">
        <v>139</v>
      </c>
      <c r="G5264" s="18"/>
      <c r="H5264" s="18"/>
    </row>
    <row r="5265" spans="1:8" ht="13.2">
      <c r="A5265" s="19" t="str">
        <f>HYPERLINK("http://codeforces.com/contest/334/problem/D","CF334-D2-D")</f>
        <v>CF334-D2-D</v>
      </c>
      <c r="B5265" s="29" t="s">
        <v>6059</v>
      </c>
      <c r="C5265" s="17">
        <v>5</v>
      </c>
      <c r="D5265" s="18"/>
      <c r="E5265" s="17" t="s">
        <v>6040</v>
      </c>
      <c r="F5265" s="17" t="s">
        <v>613</v>
      </c>
      <c r="G5265" s="18"/>
      <c r="H5265" s="18"/>
    </row>
    <row r="5266" spans="1:8" ht="13.2">
      <c r="A5266" s="19" t="str">
        <f>HYPERLINK("https://www.codechef.com/ACMIND18/problems/REDCGAME","CODECHEF REDCGAME")</f>
        <v>CODECHEF REDCGAME</v>
      </c>
      <c r="B5266" s="15" t="s">
        <v>6054</v>
      </c>
      <c r="C5266" s="17">
        <v>5</v>
      </c>
      <c r="D5266" s="18"/>
      <c r="E5266" s="17" t="s">
        <v>6040</v>
      </c>
      <c r="F5266" s="17" t="s">
        <v>201</v>
      </c>
      <c r="G5266" s="18"/>
      <c r="H5266" s="18"/>
    </row>
    <row r="5267" spans="1:8" ht="13.2">
      <c r="A5267" s="19" t="str">
        <f>HYPERLINK("http://codeforces.com/contest/368/problem/D","CF368-D2-D")</f>
        <v>CF368-D2-D</v>
      </c>
      <c r="B5267" s="29" t="s">
        <v>6060</v>
      </c>
      <c r="C5267" s="17">
        <v>5</v>
      </c>
      <c r="D5267" s="26" t="str">
        <f>HYPERLINK("https://github.com/MohamedNabil97/CompetitiveProgramming/blob/master/CodeForces/CF368-D2-D.cpp","Sol")</f>
        <v>Sol</v>
      </c>
      <c r="E5267" s="17" t="s">
        <v>6040</v>
      </c>
      <c r="F5267" s="17" t="s">
        <v>201</v>
      </c>
      <c r="G5267" s="18"/>
      <c r="H5267" s="18"/>
    </row>
    <row r="5268" spans="1:8" ht="13.2">
      <c r="A5268" s="19" t="str">
        <f>HYPERLINK("http://codeforces.com/contest/190/problem/D","CF190-D2-D")</f>
        <v>CF190-D2-D</v>
      </c>
      <c r="B5268" s="48" t="s">
        <v>6054</v>
      </c>
      <c r="C5268" s="31">
        <v>5</v>
      </c>
      <c r="D5268" s="18"/>
      <c r="E5268" s="17" t="s">
        <v>6040</v>
      </c>
      <c r="F5268" s="17"/>
      <c r="G5268" s="18"/>
      <c r="H5268" s="18"/>
    </row>
    <row r="5269" spans="1:8" ht="13.2">
      <c r="A5269" s="19" t="str">
        <f>HYPERLINK("http://codeforces.com/contest/676/problem/C","CF676-D2-C")</f>
        <v>CF676-D2-C</v>
      </c>
      <c r="B5269" s="29" t="s">
        <v>6054</v>
      </c>
      <c r="C5269" s="17">
        <v>5</v>
      </c>
      <c r="D5269" s="18"/>
      <c r="E5269" s="17" t="s">
        <v>6040</v>
      </c>
      <c r="F5269" s="17"/>
      <c r="G5269" s="18"/>
      <c r="H5269" s="18"/>
    </row>
    <row r="5270" spans="1:8" ht="13.2">
      <c r="A5270" s="19" t="str">
        <f>HYPERLINK("http://codeforces.com/contest/131/problem/F","CF131-D2-F")</f>
        <v>CF131-D2-F</v>
      </c>
      <c r="B5270" s="18" t="s">
        <v>6061</v>
      </c>
      <c r="C5270" s="17">
        <v>5</v>
      </c>
      <c r="D5270" s="18"/>
      <c r="E5270" s="17" t="s">
        <v>6040</v>
      </c>
      <c r="F5270" s="17"/>
      <c r="G5270" s="18"/>
      <c r="H5270" s="18"/>
    </row>
    <row r="5271" spans="1:8" ht="13.2">
      <c r="A5271" s="19" t="str">
        <f>HYPERLINK("http://codeforces.com/problemset/problem/788/A","CF788-D1-A")</f>
        <v>CF788-D1-A</v>
      </c>
      <c r="B5271" s="20" t="s">
        <v>6062</v>
      </c>
      <c r="C5271" s="21">
        <v>5</v>
      </c>
      <c r="D5271" s="18"/>
      <c r="E5271" s="17" t="s">
        <v>6040</v>
      </c>
      <c r="F5271" s="17"/>
      <c r="G5271" s="18"/>
      <c r="H5271" s="18"/>
    </row>
    <row r="5272" spans="1:8" ht="13.2">
      <c r="A5272" s="15" t="s">
        <v>6063</v>
      </c>
      <c r="B5272" s="15" t="s">
        <v>6054</v>
      </c>
      <c r="C5272" s="17">
        <v>4.5</v>
      </c>
      <c r="D5272" s="18"/>
      <c r="E5272" s="17" t="s">
        <v>6040</v>
      </c>
      <c r="F5272" s="17" t="s">
        <v>139</v>
      </c>
      <c r="G5272" s="18"/>
      <c r="H5272" s="18"/>
    </row>
    <row r="5273" spans="1:8" ht="13.2">
      <c r="A5273" s="15" t="s">
        <v>6064</v>
      </c>
      <c r="B5273" s="18" t="s">
        <v>6054</v>
      </c>
      <c r="C5273" s="17">
        <v>4.5</v>
      </c>
      <c r="D5273" s="26" t="str">
        <f>HYPERLINK("https://ideone.com/8udwfm","Sol")</f>
        <v>Sol</v>
      </c>
      <c r="E5273" s="17" t="s">
        <v>6040</v>
      </c>
      <c r="F5273" s="17"/>
      <c r="G5273" s="18"/>
      <c r="H5273" s="18"/>
    </row>
    <row r="5274" spans="1:8" ht="13.2">
      <c r="A5274" s="19" t="str">
        <f>HYPERLINK("http://codeforces.com/contest/155/problem/C","CF155-D2-C")</f>
        <v>CF155-D2-C</v>
      </c>
      <c r="B5274" s="29" t="s">
        <v>6065</v>
      </c>
      <c r="C5274" s="17">
        <v>4.5</v>
      </c>
      <c r="D5274" s="18"/>
      <c r="E5274" s="17" t="s">
        <v>6040</v>
      </c>
      <c r="F5274" s="17"/>
      <c r="G5274" s="18"/>
      <c r="H5274" s="18"/>
    </row>
    <row r="5275" spans="1:8" ht="13.2">
      <c r="A5275" s="15" t="s">
        <v>6066</v>
      </c>
      <c r="B5275" s="29" t="s">
        <v>6067</v>
      </c>
      <c r="C5275" s="33">
        <v>4</v>
      </c>
      <c r="D5275" s="26" t="str">
        <f>HYPERLINK("https://github.com/aabdelzaher/Competitive-Programming/blob/master/Live%20Archive/LIVEARCHIVE2932.java","Sol")</f>
        <v>Sol</v>
      </c>
      <c r="E5275" s="24" t="s">
        <v>6040</v>
      </c>
      <c r="F5275" s="17" t="s">
        <v>255</v>
      </c>
      <c r="G5275" s="18"/>
      <c r="H5275" s="18"/>
    </row>
    <row r="5276" spans="1:8" ht="13.2">
      <c r="A5276" s="19" t="str">
        <f>HYPERLINK("http://codeforces.com/contest/767/problem/D","CF767-D2-D")</f>
        <v>CF767-D2-D</v>
      </c>
      <c r="B5276" s="37" t="s">
        <v>6056</v>
      </c>
      <c r="C5276" s="17">
        <v>4</v>
      </c>
      <c r="D5276" s="18"/>
      <c r="E5276" s="17" t="s">
        <v>6040</v>
      </c>
      <c r="F5276" s="17" t="s">
        <v>139</v>
      </c>
      <c r="G5276" s="18"/>
      <c r="H5276" s="18"/>
    </row>
    <row r="5277" spans="1:8" ht="13.2">
      <c r="A5277" s="19" t="str">
        <f>HYPERLINK("http://codeforces.com/contest/252/problem/C","CF252-D2-C")</f>
        <v>CF252-D2-C</v>
      </c>
      <c r="B5277" s="29" t="s">
        <v>6068</v>
      </c>
      <c r="C5277" s="17">
        <v>4</v>
      </c>
      <c r="D5277" s="18"/>
      <c r="E5277" s="17" t="s">
        <v>6040</v>
      </c>
      <c r="F5277" s="17" t="s">
        <v>201</v>
      </c>
      <c r="G5277" s="18"/>
      <c r="H5277" s="18"/>
    </row>
    <row r="5278" spans="1:8" ht="13.2">
      <c r="A5278" s="19" t="str">
        <f>HYPERLINK("https://www.codechef.com/COOK108A/problems/BDGFT", "CODECHEF BDGFT")</f>
        <v>CODECHEF BDGFT</v>
      </c>
      <c r="B5278" s="15" t="s">
        <v>6069</v>
      </c>
      <c r="C5278" s="17">
        <v>4</v>
      </c>
      <c r="D5278" s="18"/>
      <c r="E5278" s="17" t="s">
        <v>6040</v>
      </c>
      <c r="F5278" s="17" t="s">
        <v>201</v>
      </c>
      <c r="G5278" s="18"/>
      <c r="H5278" s="18"/>
    </row>
    <row r="5279" spans="1:8" ht="13.2">
      <c r="A5279" s="19" t="str">
        <f>HYPERLINK("http://codeforces.com/contest/231/problem/C","CF231-D2-C")</f>
        <v>CF231-D2-C</v>
      </c>
      <c r="B5279" s="29" t="s">
        <v>6056</v>
      </c>
      <c r="C5279" s="17">
        <v>4</v>
      </c>
      <c r="D5279" s="18"/>
      <c r="E5279" s="17" t="s">
        <v>6040</v>
      </c>
      <c r="F5279" s="17" t="s">
        <v>201</v>
      </c>
      <c r="G5279" s="18"/>
      <c r="H5279" s="18"/>
    </row>
    <row r="5280" spans="1:8" ht="13.2">
      <c r="A5280" s="19" t="str">
        <f>HYPERLINK("https://codeforces.com/gym/101609/problem/E","CF101609-GYM-E")</f>
        <v>CF101609-GYM-E</v>
      </c>
      <c r="B5280" s="20" t="s">
        <v>6054</v>
      </c>
      <c r="C5280" s="21">
        <v>3.25</v>
      </c>
      <c r="D5280" s="18"/>
      <c r="E5280" s="17" t="s">
        <v>6040</v>
      </c>
      <c r="F5280" s="17"/>
      <c r="G5280" s="18"/>
      <c r="H5280" s="18"/>
    </row>
    <row r="5281" spans="1:8" ht="13.2">
      <c r="A5281" s="19" t="str">
        <f>HYPERLINK("http://codeforces.com/contest/216/problem/D","CF216-D2-D")</f>
        <v>CF216-D2-D</v>
      </c>
      <c r="B5281" s="29" t="s">
        <v>6059</v>
      </c>
      <c r="C5281" s="17">
        <v>3</v>
      </c>
      <c r="D5281" s="18"/>
      <c r="E5281" s="17" t="s">
        <v>6040</v>
      </c>
      <c r="F5281" s="17"/>
      <c r="G5281" s="18"/>
      <c r="H5281" s="18"/>
    </row>
    <row r="5282" spans="1:8" ht="13.2">
      <c r="A5282" s="15" t="s">
        <v>6070</v>
      </c>
      <c r="B5282" s="48" t="s">
        <v>6071</v>
      </c>
      <c r="C5282" s="31">
        <v>3</v>
      </c>
      <c r="D5282" s="18"/>
      <c r="E5282" s="17" t="s">
        <v>6040</v>
      </c>
      <c r="F5282" s="17"/>
      <c r="G5282" s="18"/>
      <c r="H5282" s="18"/>
    </row>
    <row r="5283" spans="1:8" ht="13.2">
      <c r="A5283" s="19" t="str">
        <f>HYPERLINK("http://www.spoj.com/problems/ALIEN/","SPOJ ALIEN")</f>
        <v>SPOJ ALIEN</v>
      </c>
      <c r="B5283" s="48" t="s">
        <v>6072</v>
      </c>
      <c r="C5283" s="31">
        <v>2.5</v>
      </c>
      <c r="D5283" s="26" t="str">
        <f>HYPERLINK("https://github.com/mostafa-saad/MyCompetitiveProgramming/blob/master/SPOJ/SPOJ_ALIEN.txt","Sol")</f>
        <v>Sol</v>
      </c>
      <c r="E5283" s="17" t="s">
        <v>6040</v>
      </c>
      <c r="F5283" s="17"/>
      <c r="G5283" s="18"/>
      <c r="H5283" s="18"/>
    </row>
    <row r="5284" spans="1:8" ht="13.2">
      <c r="A5284" s="15" t="s">
        <v>6073</v>
      </c>
      <c r="B5284" s="29" t="s">
        <v>6074</v>
      </c>
      <c r="C5284" s="24">
        <v>7.25</v>
      </c>
      <c r="D5284" s="18"/>
      <c r="E5284" s="17" t="s">
        <v>6075</v>
      </c>
      <c r="F5284" s="17"/>
      <c r="G5284" s="18"/>
      <c r="H5284" s="18"/>
    </row>
    <row r="5285" spans="1:8" ht="13.2">
      <c r="A5285" s="15" t="s">
        <v>6076</v>
      </c>
      <c r="B5285" s="29" t="s">
        <v>6077</v>
      </c>
      <c r="C5285" s="24">
        <v>7.25</v>
      </c>
      <c r="D5285" s="18"/>
      <c r="E5285" s="17" t="s">
        <v>6075</v>
      </c>
      <c r="F5285" s="17"/>
      <c r="G5285" s="18"/>
      <c r="H5285" s="18"/>
    </row>
    <row r="5286" spans="1:8" ht="13.2">
      <c r="A5286" s="15" t="s">
        <v>6078</v>
      </c>
      <c r="B5286" s="29" t="s">
        <v>6079</v>
      </c>
      <c r="C5286" s="24">
        <v>7.25</v>
      </c>
      <c r="D5286" s="18"/>
      <c r="E5286" s="17" t="s">
        <v>6075</v>
      </c>
      <c r="F5286" s="17"/>
      <c r="G5286" s="18"/>
      <c r="H5286" s="18"/>
    </row>
    <row r="5287" spans="1:8" ht="13.2">
      <c r="A5287" s="19" t="str">
        <f>HYPERLINK("https://codeforces.com/contest/703/problem/E","CF703-D2-E")</f>
        <v>CF703-D2-E</v>
      </c>
      <c r="B5287" s="15" t="s">
        <v>6080</v>
      </c>
      <c r="C5287" s="17">
        <v>6.5</v>
      </c>
      <c r="D5287" s="18"/>
      <c r="E5287" s="17" t="s">
        <v>6075</v>
      </c>
      <c r="F5287" s="17" t="s">
        <v>139</v>
      </c>
      <c r="G5287" s="18"/>
      <c r="H5287" s="18"/>
    </row>
    <row r="5288" spans="1:8" ht="13.2">
      <c r="A5288" s="15" t="s">
        <v>6081</v>
      </c>
      <c r="B5288" s="28" t="s">
        <v>6077</v>
      </c>
      <c r="C5288" s="24">
        <v>6.5</v>
      </c>
      <c r="D5288" s="18"/>
      <c r="E5288" s="17" t="s">
        <v>6075</v>
      </c>
      <c r="F5288" s="17"/>
      <c r="G5288" s="18"/>
      <c r="H5288" s="18"/>
    </row>
    <row r="5289" spans="1:8" ht="13.2">
      <c r="A5289" s="15" t="s">
        <v>6082</v>
      </c>
      <c r="B5289" s="30" t="s">
        <v>6083</v>
      </c>
      <c r="C5289" s="24">
        <v>6</v>
      </c>
      <c r="D5289" s="26" t="str">
        <f>HYPERLINK("https://github.com/yazanKabbany/CompetitiveProgramming/blob/master/UVA/UVA%201244.cpp","Sol")</f>
        <v>Sol</v>
      </c>
      <c r="E5289" s="17" t="s">
        <v>6075</v>
      </c>
      <c r="F5289" s="17" t="s">
        <v>139</v>
      </c>
      <c r="G5289" s="18"/>
      <c r="H5289" s="18"/>
    </row>
    <row r="5290" spans="1:8" ht="13.2">
      <c r="A5290" s="15" t="s">
        <v>6084</v>
      </c>
      <c r="B5290" s="30" t="s">
        <v>6085</v>
      </c>
      <c r="C5290" s="40">
        <v>6</v>
      </c>
      <c r="D5290" s="26" t="str">
        <f>HYPERLINK("https://github.com/Huvok/CompetitiveProgramming/blob/master/Topcoder/SRM340-D1-500.cpp","Sol")</f>
        <v>Sol</v>
      </c>
      <c r="E5290" s="17" t="s">
        <v>6075</v>
      </c>
      <c r="F5290" s="17" t="s">
        <v>139</v>
      </c>
      <c r="G5290" s="18"/>
      <c r="H5290" s="18"/>
    </row>
    <row r="5291" spans="1:8" ht="13.2">
      <c r="A5291" s="15" t="s">
        <v>6086</v>
      </c>
      <c r="B5291" s="29" t="s">
        <v>6074</v>
      </c>
      <c r="C5291" s="17">
        <v>6</v>
      </c>
      <c r="D5291" s="18"/>
      <c r="E5291" s="17" t="s">
        <v>6075</v>
      </c>
      <c r="F5291" s="17"/>
      <c r="G5291" s="18"/>
      <c r="H5291" s="18"/>
    </row>
    <row r="5292" spans="1:8" ht="13.2">
      <c r="A5292" s="19" t="str">
        <f>HYPERLINK("http://codeforces.com/gym/101589/problem/H","CF101589-GYM-H")</f>
        <v>CF101589-GYM-H</v>
      </c>
      <c r="B5292" s="29" t="s">
        <v>6087</v>
      </c>
      <c r="C5292" s="21">
        <v>5.5</v>
      </c>
      <c r="D5292" s="26" t="str">
        <f>HYPERLINK("https://github.com/MonaAhmed810/CompetitiveProgramming/tree/master/Codeforces/CF101589-GYM-H","Sol")</f>
        <v>Sol</v>
      </c>
      <c r="E5292" s="17" t="s">
        <v>6075</v>
      </c>
      <c r="F5292" s="17" t="s">
        <v>139</v>
      </c>
      <c r="G5292" s="18"/>
      <c r="H5292" s="18"/>
    </row>
    <row r="5293" spans="1:8" ht="13.2">
      <c r="A5293" s="15" t="s">
        <v>6088</v>
      </c>
      <c r="B5293" s="28" t="s">
        <v>6089</v>
      </c>
      <c r="C5293" s="17">
        <v>5</v>
      </c>
      <c r="D5293" s="18"/>
      <c r="E5293" s="17" t="s">
        <v>6075</v>
      </c>
      <c r="F5293" s="17"/>
      <c r="G5293" s="18"/>
      <c r="H5293" s="18"/>
    </row>
    <row r="5294" spans="1:8" ht="13.2">
      <c r="A5294" s="15" t="s">
        <v>6090</v>
      </c>
      <c r="B5294" s="30" t="s">
        <v>6091</v>
      </c>
      <c r="C5294" s="17">
        <v>5</v>
      </c>
      <c r="D5294" s="26" t="str">
        <f>HYPERLINK("https://github.com/Huvok/CompetitiveProgramming/blob/master/UVA/10086.cpp","Sol")</f>
        <v>Sol</v>
      </c>
      <c r="E5294" s="17" t="s">
        <v>6075</v>
      </c>
      <c r="F5294" s="17"/>
      <c r="G5294" s="18"/>
      <c r="H5294" s="18"/>
    </row>
    <row r="5295" spans="1:8" ht="13.2">
      <c r="A5295" s="19" t="str">
        <f>HYPERLINK("https://uva.onlinejudge.org/index.php?option=onlinejudge&amp;page=show_problem&amp;problem=2399","UVA 11404")</f>
        <v>UVA 11404</v>
      </c>
      <c r="B5295" s="29" t="s">
        <v>6074</v>
      </c>
      <c r="C5295" s="17">
        <v>4.5</v>
      </c>
      <c r="D5295" s="26" t="str">
        <f>HYPERLINK("https://github.com/rezwan4029/UVA-CODES/blob/master/11404%20-%20Palindromic%20Subsequence.cpp","Sol")</f>
        <v>Sol</v>
      </c>
      <c r="E5295" s="17" t="s">
        <v>6075</v>
      </c>
      <c r="F5295" s="17" t="s">
        <v>201</v>
      </c>
      <c r="G5295" s="18"/>
      <c r="H5295" s="18"/>
    </row>
    <row r="5296" spans="1:8" ht="13.2">
      <c r="A5296" s="19" t="str">
        <f>HYPERLINK("https://uva.onlinejudge.org/index.php?option=com_onlinejudge&amp;Itemid=8&amp;page=show_problem&amp;problem=603","UVA 662")</f>
        <v>UVA 662</v>
      </c>
      <c r="B5296" s="29" t="s">
        <v>6074</v>
      </c>
      <c r="C5296" s="17">
        <v>4.5</v>
      </c>
      <c r="D5296" s="18"/>
      <c r="E5296" s="17" t="s">
        <v>6075</v>
      </c>
      <c r="F5296" s="17" t="s">
        <v>201</v>
      </c>
      <c r="G5296" s="18"/>
      <c r="H5296" s="18"/>
    </row>
    <row r="5297" spans="1:8" ht="13.2">
      <c r="A5297" s="19" t="str">
        <f>HYPERLINK("https://uva.onlinejudge.org/index.php?option=com_onlinejudge&amp;Itemid=8&amp;page=show_problem&amp;problem=52","UVA 116")</f>
        <v>UVA 116</v>
      </c>
      <c r="B5297" s="29" t="s">
        <v>6074</v>
      </c>
      <c r="C5297" s="17">
        <v>4.5</v>
      </c>
      <c r="D5297" s="18"/>
      <c r="E5297" s="17" t="s">
        <v>6075</v>
      </c>
      <c r="F5297" s="17"/>
      <c r="G5297" s="18"/>
      <c r="H5297" s="18"/>
    </row>
    <row r="5298" spans="1:8" ht="13.2">
      <c r="A5298" s="19" t="str">
        <f>HYPERLINK("http://codeforces.com/contest/56/problem/D","CF56-D2-D")</f>
        <v>CF56-D2-D</v>
      </c>
      <c r="B5298" s="29" t="s">
        <v>6092</v>
      </c>
      <c r="C5298" s="17">
        <v>4.5</v>
      </c>
      <c r="D5298" s="18"/>
      <c r="E5298" s="17" t="s">
        <v>6075</v>
      </c>
      <c r="F5298" s="17"/>
      <c r="G5298" s="18"/>
      <c r="H5298" s="18"/>
    </row>
    <row r="5299" spans="1:8" ht="13.2">
      <c r="A5299" s="15" t="s">
        <v>6093</v>
      </c>
      <c r="B5299" s="28" t="s">
        <v>6074</v>
      </c>
      <c r="C5299" s="17">
        <v>4</v>
      </c>
      <c r="D5299" s="26" t="str">
        <f>HYPERLINK("https://github.com/MNT95/Competitive-Programming/blob/master/UVa/DP/10645%20-%20Menu.cpp","Sol")</f>
        <v>Sol</v>
      </c>
      <c r="E5299" s="17" t="s">
        <v>6075</v>
      </c>
      <c r="F5299" s="17" t="s">
        <v>255</v>
      </c>
      <c r="G5299" s="18"/>
      <c r="H5299" s="18"/>
    </row>
    <row r="5300" spans="1:8" ht="13.2">
      <c r="A5300" s="19" t="str">
        <f>HYPERLINK("http://codeforces.com/contest/137/problem/D","CF137-D2-D")</f>
        <v>CF137-D2-D</v>
      </c>
      <c r="B5300" s="29" t="s">
        <v>6074</v>
      </c>
      <c r="C5300" s="17">
        <v>4</v>
      </c>
      <c r="D5300" s="18"/>
      <c r="E5300" s="17" t="s">
        <v>6075</v>
      </c>
      <c r="F5300" s="17" t="s">
        <v>201</v>
      </c>
      <c r="G5300" s="18"/>
      <c r="H5300" s="18"/>
    </row>
    <row r="5301" spans="1:8" ht="13.2">
      <c r="A5301" s="15" t="s">
        <v>6094</v>
      </c>
      <c r="B5301" s="29" t="s">
        <v>6095</v>
      </c>
      <c r="C5301" s="17">
        <v>4</v>
      </c>
      <c r="D5301" s="26" t="str">
        <f>HYPERLINK("https://github.com/MeGaCrazy/CompetitiveProgramming/blob/master/Contests/SuperVision-Contest-33432/5/UVA_10665.cpp","Sol")</f>
        <v>Sol</v>
      </c>
      <c r="E5301" s="17" t="s">
        <v>6075</v>
      </c>
      <c r="F5301" s="17" t="s">
        <v>242</v>
      </c>
      <c r="G5301" s="18"/>
      <c r="H5301" s="18"/>
    </row>
    <row r="5302" spans="1:8" ht="13.2">
      <c r="A5302" s="19" t="str">
        <f>HYPERLINK("https://uva.onlinejudge.org/index.php?option=com_onlinejudge&amp;Itemid=8&amp;page=show_problem&amp;problem=1394","UVA 10453")</f>
        <v>UVA 10453</v>
      </c>
      <c r="B5302" s="29" t="s">
        <v>6096</v>
      </c>
      <c r="C5302" s="17">
        <v>3.5</v>
      </c>
      <c r="D5302" s="26" t="str">
        <f>HYPERLINK("https://github.com/ilyesG/Competitive-Programming/blob/master/UVA/UVA%2010453.cpp","Sol")</f>
        <v>Sol</v>
      </c>
      <c r="E5302" s="17" t="s">
        <v>6075</v>
      </c>
      <c r="F5302" s="17" t="s">
        <v>139</v>
      </c>
      <c r="G5302" s="18"/>
      <c r="H5302" s="18"/>
    </row>
    <row r="5303" spans="1:8" ht="13.2">
      <c r="A5303" s="19" t="str">
        <f>HYPERLINK("https://uva.onlinejudge.org/index.php?option=com_onlinejudge&amp;Itemid=8&amp;page=show_problem&amp;problem=698","UVA 757")</f>
        <v>UVA 757</v>
      </c>
      <c r="B5303" s="29" t="s">
        <v>6074</v>
      </c>
      <c r="C5303" s="17">
        <v>3</v>
      </c>
      <c r="D5303" s="18"/>
      <c r="E5303" s="17" t="s">
        <v>6075</v>
      </c>
      <c r="F5303" s="17"/>
      <c r="G5303" s="18"/>
      <c r="H5303" s="18"/>
    </row>
    <row r="5304" spans="1:8" ht="13.2">
      <c r="A5304" s="19" t="str">
        <f>HYPERLINK("https://github.com/mostafa-saad/MyCompetitiveProgramming/blob/master/LiveArchive/LIVEARCHIVE_7577.txt","LIVEARCHIVE 7577")</f>
        <v>LIVEARCHIVE 7577</v>
      </c>
      <c r="B5304" s="16" t="s">
        <v>6097</v>
      </c>
      <c r="C5304" s="17">
        <v>7</v>
      </c>
      <c r="D5304" s="26" t="str">
        <f>HYPERLINK("https://github.com/mostafa-saad/MyCompetitiveProgramming/blob/master/LiveArchive/LIVEARCHIVE_7577.txt","Sol")</f>
        <v>Sol</v>
      </c>
      <c r="E5304" s="17" t="s">
        <v>6098</v>
      </c>
      <c r="F5304" s="17" t="s">
        <v>154</v>
      </c>
      <c r="G5304" s="18"/>
      <c r="H5304" s="18"/>
    </row>
    <row r="5305" spans="1:8" ht="13.2">
      <c r="A5305" s="19" t="str">
        <f>HYPERLINK("http://codeforces.com/contest/868/problem/F","CF868-D12-F")</f>
        <v>CF868-D12-F</v>
      </c>
      <c r="B5305" s="38" t="s">
        <v>6099</v>
      </c>
      <c r="C5305" s="17">
        <v>7</v>
      </c>
      <c r="D5305" s="18"/>
      <c r="E5305" s="17" t="s">
        <v>6098</v>
      </c>
      <c r="F5305" s="17" t="s">
        <v>196</v>
      </c>
      <c r="G5305" s="18"/>
      <c r="H5305" s="18"/>
    </row>
    <row r="5306" spans="1:8" ht="13.2">
      <c r="A5306" s="19" t="str">
        <f>HYPERLINK("http://codeforces.com/problemset/problem/673/E","CF673-D12-E")</f>
        <v>CF673-D12-E</v>
      </c>
      <c r="B5306" s="37" t="s">
        <v>6100</v>
      </c>
      <c r="C5306" s="17">
        <v>7</v>
      </c>
      <c r="D5306" s="26" t="str">
        <f>HYPERLINK("https://github.com/ryuzmukhametov/CompetitiveProgramming/blob/master/Codeforces/CF673-D12-E.cpp","Sol")</f>
        <v>Sol</v>
      </c>
      <c r="E5306" s="17" t="s">
        <v>6098</v>
      </c>
      <c r="F5306" s="17" t="s">
        <v>139</v>
      </c>
      <c r="G5306" s="18"/>
      <c r="H5306" s="18"/>
    </row>
    <row r="5307" spans="1:8" ht="13.2">
      <c r="A5307" s="19" t="str">
        <f>HYPERLINK("http://codeforces.com/gym/101982","CF101982-gym-I")</f>
        <v>CF101982-gym-I</v>
      </c>
      <c r="B5307" s="15" t="s">
        <v>6101</v>
      </c>
      <c r="C5307" s="17">
        <v>7</v>
      </c>
      <c r="D5307" s="26" t="str">
        <f>HYPERLINK("https://github.com/mostafa-saad/MyCompetitiveProgramming/blob/master/Codeforces/CF101982-GYM-I.txt","Sol")</f>
        <v>Sol</v>
      </c>
      <c r="E5307" s="17" t="s">
        <v>6098</v>
      </c>
      <c r="F5307" s="17" t="s">
        <v>139</v>
      </c>
      <c r="G5307" s="18"/>
      <c r="H5307" s="18"/>
    </row>
    <row r="5308" spans="1:8" ht="13.2">
      <c r="A5308" s="15" t="s">
        <v>6102</v>
      </c>
      <c r="B5308" s="38" t="s">
        <v>6103</v>
      </c>
      <c r="C5308" s="17">
        <v>7</v>
      </c>
      <c r="D5308" s="18"/>
      <c r="E5308" s="17" t="s">
        <v>6098</v>
      </c>
      <c r="F5308" s="17"/>
      <c r="G5308" s="18"/>
      <c r="H5308" s="18"/>
    </row>
    <row r="5309" spans="1:8" ht="13.2">
      <c r="A5309" s="19" t="str">
        <f>HYPERLINK("http://codeforces.com/contest/442/problem/D","CF442-D1-D")</f>
        <v>CF442-D1-D</v>
      </c>
      <c r="B5309" s="15" t="s">
        <v>6104</v>
      </c>
      <c r="C5309" s="24">
        <v>7</v>
      </c>
      <c r="D5309" s="26" t="str">
        <f>HYPERLINK("https://codeforces.com/blog/entry/61205","See")</f>
        <v>See</v>
      </c>
      <c r="E5309" s="17" t="s">
        <v>6098</v>
      </c>
      <c r="F5309" s="17"/>
      <c r="G5309" s="18"/>
      <c r="H5309" s="18"/>
    </row>
    <row r="5310" spans="1:8" ht="13.2">
      <c r="A5310" s="19" t="str">
        <f>HYPERLINK("http://codeforces.com/gym/101741/problem/J","CF101741-gym-J")</f>
        <v>CF101741-gym-J</v>
      </c>
      <c r="B5310" s="15" t="s">
        <v>6105</v>
      </c>
      <c r="C5310" s="17">
        <v>6.75</v>
      </c>
      <c r="D5310" s="26" t="str">
        <f>HYPERLINK("https://github.com/stefdasca/CompetitiveProgramming/blob/master/Codeforces/Gym/CF101741-GYM-J.cpp","Sol")</f>
        <v>Sol</v>
      </c>
      <c r="E5310" s="17" t="s">
        <v>6098</v>
      </c>
      <c r="F5310" s="17" t="s">
        <v>139</v>
      </c>
      <c r="G5310" s="18"/>
      <c r="H5310" s="18"/>
    </row>
    <row r="5311" spans="1:8" ht="13.2">
      <c r="A5311" s="19" t="str">
        <f>HYPERLINK("https://www.hackerrank.com/contests/world-codesprint-5/challenges/mining","HACKER sprint5-mining")</f>
        <v>HACKER sprint5-mining</v>
      </c>
      <c r="B5311" s="37" t="s">
        <v>6106</v>
      </c>
      <c r="C5311" s="17">
        <v>6.25</v>
      </c>
      <c r="D5311" s="26" t="str">
        <f>HYPERLINK("https://github.com/mostafa-saad/MyCompetitiveProgramming/blob/master/HACKERRANK/HACKER-sprint5-mining.txt","Sol. Solve using each one of the 3 dp optimizations")</f>
        <v>Sol. Solve using each one of the 3 dp optimizations</v>
      </c>
      <c r="E5311" s="17" t="s">
        <v>6098</v>
      </c>
      <c r="F5311" s="17" t="s">
        <v>154</v>
      </c>
      <c r="G5311" s="18"/>
      <c r="H5311" s="18"/>
    </row>
    <row r="5312" spans="1:8" ht="13.2">
      <c r="A5312" s="19" t="str">
        <f>HYPERLINK("http://codeforces.com/problemset/problem/834/D","CF834-D2-D")</f>
        <v>CF834-D2-D</v>
      </c>
      <c r="B5312" s="15" t="s">
        <v>6107</v>
      </c>
      <c r="C5312" s="17">
        <v>6.25</v>
      </c>
      <c r="D5312" s="26" t="str">
        <f>HYPERLINK("https://github.com/jebouin/CompetitiveProgramming/blob/master/CodeForces/CF834-D2-D.cpp", "Sol")</f>
        <v>Sol</v>
      </c>
      <c r="E5312" s="17" t="s">
        <v>6098</v>
      </c>
      <c r="F5312" s="17" t="s">
        <v>154</v>
      </c>
      <c r="G5312" s="18"/>
      <c r="H5312" s="18"/>
    </row>
    <row r="5313" spans="1:8" ht="13.2">
      <c r="A5313" s="19" t="str">
        <f>HYPERLINK("http://codeforces.com/contest/321/problem/E","CF321-D1-E")</f>
        <v>CF321-D1-E</v>
      </c>
      <c r="B5313" s="38" t="s">
        <v>6108</v>
      </c>
      <c r="C5313" s="17">
        <v>6</v>
      </c>
      <c r="D5313" s="18"/>
      <c r="E5313" s="17" t="s">
        <v>6098</v>
      </c>
      <c r="F5313" s="17" t="s">
        <v>201</v>
      </c>
      <c r="G5313" s="18"/>
      <c r="H5313" s="18"/>
    </row>
    <row r="5314" spans="1:8" ht="13.2">
      <c r="A5314" s="15" t="s">
        <v>6109</v>
      </c>
      <c r="B5314" s="37" t="s">
        <v>6110</v>
      </c>
      <c r="C5314" s="17">
        <v>6</v>
      </c>
      <c r="D5314" s="26" t="str">
        <f>HYPERLINK("https://github.com/nikolapesic2802/Programming-Practice/blob/master/Leaves/main.cpp","Sol")</f>
        <v>Sol</v>
      </c>
      <c r="E5314" s="17" t="s">
        <v>6098</v>
      </c>
      <c r="F5314" s="17"/>
      <c r="G5314" s="18"/>
      <c r="H5314" s="18"/>
    </row>
    <row r="5315" spans="1:8" ht="13.2">
      <c r="A5315" s="15" t="s">
        <v>6111</v>
      </c>
      <c r="B5315" s="37" t="s">
        <v>6112</v>
      </c>
      <c r="C5315" s="17">
        <v>5</v>
      </c>
      <c r="D5315" s="18" t="s">
        <v>6113</v>
      </c>
      <c r="E5315" s="17" t="s">
        <v>6098</v>
      </c>
      <c r="F5315" s="17"/>
      <c r="G5315" s="18"/>
      <c r="H5315" s="18"/>
    </row>
    <row r="5316" spans="1:8" ht="13.2">
      <c r="A5316" s="15" t="s">
        <v>6114</v>
      </c>
      <c r="B5316" s="30" t="s">
        <v>6115</v>
      </c>
      <c r="C5316" s="24">
        <v>7.1</v>
      </c>
      <c r="D5316" s="18"/>
      <c r="E5316" s="17" t="s">
        <v>6116</v>
      </c>
      <c r="F5316" s="17" t="s">
        <v>154</v>
      </c>
      <c r="G5316" s="18"/>
      <c r="H5316" s="18"/>
    </row>
    <row r="5317" spans="1:8" ht="13.2">
      <c r="A5317" s="19" t="str">
        <f>HYPERLINK("http://codeforces.com/contest/331/problem/C3","CF331-D12-C3")</f>
        <v>CF331-D12-C3</v>
      </c>
      <c r="B5317" s="15" t="s">
        <v>6117</v>
      </c>
      <c r="C5317" s="24">
        <v>7</v>
      </c>
      <c r="D5317" s="18"/>
      <c r="E5317" s="17" t="s">
        <v>6118</v>
      </c>
      <c r="F5317" s="17" t="s">
        <v>154</v>
      </c>
      <c r="G5317" s="18"/>
      <c r="H5317" s="18"/>
    </row>
    <row r="5318" spans="1:8" ht="13.2">
      <c r="A5318" s="15" t="s">
        <v>6119</v>
      </c>
      <c r="B5318" s="18" t="s">
        <v>6120</v>
      </c>
      <c r="C5318" s="24">
        <v>7</v>
      </c>
      <c r="D5318" s="26" t="str">
        <f>HYPERLINK("https://github.com/timpostuvan/CompetitiveProgramming/blob/master/TopCoder/SRM431-D1-500.cpp","Sol")</f>
        <v>Sol</v>
      </c>
      <c r="E5318" s="17" t="s">
        <v>6118</v>
      </c>
      <c r="F5318" s="17" t="s">
        <v>139</v>
      </c>
      <c r="G5318" s="18"/>
      <c r="H5318" s="18"/>
    </row>
    <row r="5319" spans="1:8" ht="13.2">
      <c r="A5319" s="19" t="str">
        <f>HYPERLINK("http://codeforces.com/contest/625/problem/D","CF625-D2-D")</f>
        <v>CF625-D2-D</v>
      </c>
      <c r="B5319" s="15" t="s">
        <v>6121</v>
      </c>
      <c r="C5319" s="24">
        <v>7</v>
      </c>
      <c r="D5319" s="18"/>
      <c r="E5319" s="17" t="s">
        <v>6118</v>
      </c>
      <c r="F5319" s="17"/>
      <c r="G5319" s="18"/>
      <c r="H5319" s="18"/>
    </row>
    <row r="5320" spans="1:8" ht="13.2">
      <c r="A5320" s="19" t="str">
        <f>HYPERLINK("https://codeforces.com/contest/1245/problem/F","CF1245-D2-F")</f>
        <v>CF1245-D2-F</v>
      </c>
      <c r="B5320" s="20" t="s">
        <v>6122</v>
      </c>
      <c r="C5320" s="21">
        <v>6.5</v>
      </c>
      <c r="D5320" s="18"/>
      <c r="E5320" s="17" t="s">
        <v>6118</v>
      </c>
      <c r="F5320" s="17" t="s">
        <v>139</v>
      </c>
      <c r="G5320" s="18"/>
      <c r="H5320" s="18"/>
    </row>
    <row r="5321" spans="1:8" ht="13.2">
      <c r="A5321" s="19" t="str">
        <f>HYPERLINK("http://codeforces.com/contest/55/problem/D","CF55-D12-D")</f>
        <v>CF55-D12-D</v>
      </c>
      <c r="B5321" s="29" t="s">
        <v>6122</v>
      </c>
      <c r="C5321" s="17">
        <v>6.5</v>
      </c>
      <c r="D5321" s="18"/>
      <c r="E5321" s="17" t="s">
        <v>6118</v>
      </c>
      <c r="F5321" s="17"/>
      <c r="G5321" s="18"/>
      <c r="H5321" s="18"/>
    </row>
    <row r="5322" spans="1:8" ht="13.2">
      <c r="A5322" s="19" t="str">
        <f>HYPERLINK("http://codeforces.com/contest/215/problem/E","CF215-D2-E")</f>
        <v>CF215-D2-E</v>
      </c>
      <c r="B5322" s="29" t="s">
        <v>6123</v>
      </c>
      <c r="C5322" s="17">
        <v>6.5</v>
      </c>
      <c r="D5322" s="18"/>
      <c r="E5322" s="17" t="s">
        <v>6118</v>
      </c>
      <c r="F5322" s="17"/>
      <c r="G5322" s="18"/>
      <c r="H5322" s="18"/>
    </row>
    <row r="5323" spans="1:8" ht="13.2">
      <c r="A5323" s="19" t="str">
        <f>HYPERLINK("http://codeforces.com/contest/855/problem/E","CF855-D12-E")</f>
        <v>CF855-D12-E</v>
      </c>
      <c r="B5323" s="15" t="s">
        <v>6124</v>
      </c>
      <c r="C5323" s="17">
        <v>6.25</v>
      </c>
      <c r="D5323" s="18"/>
      <c r="E5323" s="17" t="s">
        <v>6118</v>
      </c>
      <c r="F5323" s="17" t="s">
        <v>139</v>
      </c>
      <c r="G5323" s="18"/>
      <c r="H5323" s="18"/>
    </row>
    <row r="5324" spans="1:8" ht="13.2">
      <c r="A5324" s="19" t="str">
        <f>HYPERLINK("http://codeforces.com/contest/507/problem/D","CF507-D2-D")</f>
        <v>CF507-D2-D</v>
      </c>
      <c r="B5324" s="29" t="s">
        <v>6122</v>
      </c>
      <c r="C5324" s="17">
        <v>6</v>
      </c>
      <c r="D5324" s="18"/>
      <c r="E5324" s="17" t="s">
        <v>6118</v>
      </c>
      <c r="F5324" s="17" t="s">
        <v>229</v>
      </c>
      <c r="G5324" s="18"/>
      <c r="H5324" s="18"/>
    </row>
    <row r="5325" spans="1:8" ht="13.2">
      <c r="A5325" s="19" t="str">
        <f>HYPERLINK("https://codeforces.com/contest/1073/problem/E","CF1073-D2-E")</f>
        <v>CF1073-D2-E</v>
      </c>
      <c r="B5325" s="15" t="s">
        <v>6122</v>
      </c>
      <c r="C5325" s="17">
        <v>6</v>
      </c>
      <c r="D5325" s="18"/>
      <c r="E5325" s="17" t="s">
        <v>6118</v>
      </c>
      <c r="F5325" s="17" t="s">
        <v>139</v>
      </c>
      <c r="G5325" s="18"/>
      <c r="H5325" s="18"/>
    </row>
    <row r="5326" spans="1:8" ht="13.2">
      <c r="A5326" s="19" t="str">
        <f>HYPERLINK("http://codeforces.com/gym/100324/attachments","CF100324-GYM-A")</f>
        <v>CF100324-GYM-A</v>
      </c>
      <c r="B5326" s="38" t="s">
        <v>6122</v>
      </c>
      <c r="C5326" s="33">
        <v>6</v>
      </c>
      <c r="D5326" s="26" t="str">
        <f>HYPERLINK("https://github.com/LeTrongDat/CompetitiveProgramming/blob/master/Codeforces/CF100324GYM-A.cpp","Sol")</f>
        <v>Sol</v>
      </c>
      <c r="E5326" s="17" t="s">
        <v>6118</v>
      </c>
      <c r="F5326" s="17" t="s">
        <v>242</v>
      </c>
      <c r="G5326" s="18"/>
      <c r="H5326" s="18"/>
    </row>
    <row r="5327" spans="1:8" ht="13.2">
      <c r="A5327" s="15" t="s">
        <v>6125</v>
      </c>
      <c r="B5327" s="18" t="s">
        <v>6122</v>
      </c>
      <c r="C5327" s="31">
        <v>6</v>
      </c>
      <c r="D5327" s="18"/>
      <c r="E5327" s="17" t="s">
        <v>6118</v>
      </c>
      <c r="F5327" s="17"/>
      <c r="G5327" s="18"/>
      <c r="H5327" s="18"/>
    </row>
    <row r="5328" spans="1:8" ht="13.2">
      <c r="A5328" s="19" t="str">
        <f>HYPERLINK("http://codeforces.com/contest/431/problem/D","CF431-D2-D")</f>
        <v>CF431-D2-D</v>
      </c>
      <c r="B5328" s="29" t="s">
        <v>6126</v>
      </c>
      <c r="C5328" s="17">
        <v>5.5</v>
      </c>
      <c r="D5328" s="18"/>
      <c r="E5328" s="17" t="s">
        <v>6118</v>
      </c>
      <c r="F5328" s="17" t="s">
        <v>196</v>
      </c>
      <c r="G5328" s="18"/>
      <c r="H5328" s="18"/>
    </row>
    <row r="5329" spans="1:8" ht="13.2">
      <c r="A5329" s="19" t="str">
        <f>HYPERLINK("http://community.topcoder.com/stat?c=problem_statement&amp;pm=15142&amp;rd=17316","SRM741-D1-250")</f>
        <v>SRM741-D1-250</v>
      </c>
      <c r="B5329" s="15" t="s">
        <v>6127</v>
      </c>
      <c r="C5329" s="17">
        <v>5.5</v>
      </c>
      <c r="D5329" s="26" t="str">
        <f>HYPERLINK("https://github.com/Huvok/CompetitiveProgramming/blob/master/Topcoder/SRM741-D1-250.cpp","Sol")</f>
        <v>Sol</v>
      </c>
      <c r="E5329" s="17" t="s">
        <v>6118</v>
      </c>
      <c r="F5329" s="17" t="s">
        <v>139</v>
      </c>
      <c r="G5329" s="18"/>
      <c r="H5329" s="18"/>
    </row>
    <row r="5330" spans="1:8" ht="13.2">
      <c r="A5330" s="15" t="s">
        <v>6128</v>
      </c>
      <c r="B5330" s="29" t="s">
        <v>6129</v>
      </c>
      <c r="C5330" s="17">
        <v>5.5</v>
      </c>
      <c r="D5330" s="26" t="str">
        <f>HYPERLINK("https://github.com/mostafa-saad/MyCompetitiveProgramming/blob/master/UVA/UVA_11361.txt","Sol")</f>
        <v>Sol</v>
      </c>
      <c r="E5330" s="17" t="s">
        <v>6118</v>
      </c>
      <c r="F5330" s="17" t="s">
        <v>139</v>
      </c>
      <c r="G5330" s="18"/>
      <c r="H5330" s="18"/>
    </row>
    <row r="5331" spans="1:8" ht="13.2">
      <c r="A5331" s="15" t="s">
        <v>6130</v>
      </c>
      <c r="B5331" s="30" t="s">
        <v>6131</v>
      </c>
      <c r="C5331" s="40">
        <v>5.5</v>
      </c>
      <c r="D5331" s="26" t="str">
        <f>HYPERLINK("https://github.com/MedoN11/CompetitiveProgramming/blob/master/TopCoder/SRM546-D1-500.cpp","Sol")</f>
        <v>Sol</v>
      </c>
      <c r="E5331" s="17" t="s">
        <v>6118</v>
      </c>
      <c r="F5331" s="17"/>
      <c r="G5331" s="18"/>
      <c r="H5331" s="18"/>
    </row>
    <row r="5332" spans="1:8" ht="13.2">
      <c r="A5332" s="15" t="s">
        <v>6132</v>
      </c>
      <c r="B5332" s="29" t="s">
        <v>6133</v>
      </c>
      <c r="C5332" s="24">
        <v>5</v>
      </c>
      <c r="D5332" s="18"/>
      <c r="E5332" s="24" t="s">
        <v>6118</v>
      </c>
      <c r="F5332" s="17" t="s">
        <v>255</v>
      </c>
      <c r="G5332" s="18"/>
      <c r="H5332" s="18"/>
    </row>
    <row r="5333" spans="1:8" ht="13.2">
      <c r="A5333" s="15" t="s">
        <v>6134</v>
      </c>
      <c r="B5333" s="15" t="s">
        <v>6135</v>
      </c>
      <c r="C5333" s="17">
        <v>5</v>
      </c>
      <c r="D5333" s="26" t="str">
        <f>HYPERLINK("https://ideone.com/hleZmr","Sol")</f>
        <v>Sol</v>
      </c>
      <c r="E5333" s="17" t="s">
        <v>6118</v>
      </c>
      <c r="F5333" s="17" t="s">
        <v>139</v>
      </c>
      <c r="G5333" s="18"/>
      <c r="H5333" s="18"/>
    </row>
    <row r="5334" spans="1:8" ht="13.2">
      <c r="A5334" s="19" t="str">
        <f>HYPERLINK("http://codeforces.com/contest/401/problem/D","CF401-D2-D")</f>
        <v>CF401-D2-D</v>
      </c>
      <c r="B5334" s="29" t="s">
        <v>6136</v>
      </c>
      <c r="C5334" s="17">
        <v>5</v>
      </c>
      <c r="D5334" s="18"/>
      <c r="E5334" s="17" t="s">
        <v>6118</v>
      </c>
      <c r="F5334" s="17" t="s">
        <v>139</v>
      </c>
      <c r="G5334" s="18"/>
      <c r="H5334" s="18"/>
    </row>
    <row r="5335" spans="1:8" ht="13.2">
      <c r="A5335" s="19" t="str">
        <f>HYPERLINK("https://www.hackerearth.com/problem/algorithm/pr-numbers-160aa0c9/","HACKER pr-numbers")</f>
        <v>HACKER pr-numbers</v>
      </c>
      <c r="B5335" s="15" t="s">
        <v>6122</v>
      </c>
      <c r="C5335" s="17">
        <v>5</v>
      </c>
      <c r="D5335" s="18"/>
      <c r="E5335" s="17" t="s">
        <v>6118</v>
      </c>
      <c r="F5335" s="17" t="s">
        <v>201</v>
      </c>
      <c r="G5335" s="18"/>
      <c r="H5335" s="18"/>
    </row>
    <row r="5336" spans="1:8" ht="13.2">
      <c r="A5336" s="19" t="str">
        <f>HYPERLINK("http://codeforces.com/contest/160/problem/C","CF160-D2-C")</f>
        <v>CF160-D2-C</v>
      </c>
      <c r="B5336" s="29" t="s">
        <v>6137</v>
      </c>
      <c r="C5336" s="17">
        <v>5</v>
      </c>
      <c r="D5336" s="18"/>
      <c r="E5336" s="17" t="s">
        <v>6118</v>
      </c>
      <c r="F5336" s="17" t="s">
        <v>201</v>
      </c>
      <c r="G5336" s="18"/>
      <c r="H5336" s="18"/>
    </row>
    <row r="5337" spans="1:8" ht="13.2">
      <c r="A5337" s="19" t="str">
        <f>HYPERLINK("http://codeforces.com/contest/261/problem/C","CF261-D1-C")</f>
        <v>CF261-D1-C</v>
      </c>
      <c r="B5337" s="15" t="s">
        <v>6138</v>
      </c>
      <c r="C5337" s="17">
        <v>5</v>
      </c>
      <c r="D5337" s="18"/>
      <c r="E5337" s="17" t="s">
        <v>6118</v>
      </c>
      <c r="F5337" s="17"/>
      <c r="G5337" s="18"/>
      <c r="H5337" s="18"/>
    </row>
    <row r="5338" spans="1:8" ht="13.2">
      <c r="A5338" s="15" t="s">
        <v>6139</v>
      </c>
      <c r="B5338" s="15" t="s">
        <v>6140</v>
      </c>
      <c r="C5338" s="31">
        <v>5</v>
      </c>
      <c r="D5338" s="26" t="str">
        <f>HYPERLINK("https://github.com/MedoN11/CompetitiveProgramming/blob/master/Timus/1057.cpp?fref=gc&amp;dti=197799716986593","Sol")</f>
        <v>Sol</v>
      </c>
      <c r="E5338" s="17" t="s">
        <v>6118</v>
      </c>
      <c r="F5338" s="17"/>
      <c r="G5338" s="18"/>
      <c r="H5338" s="18"/>
    </row>
    <row r="5339" spans="1:8" ht="13.2">
      <c r="A5339" s="15" t="s">
        <v>6141</v>
      </c>
      <c r="B5339" s="15" t="s">
        <v>6122</v>
      </c>
      <c r="C5339" s="17">
        <v>4.5</v>
      </c>
      <c r="D5339" s="26" t="str">
        <f>HYPERLINK("https://github.com/adarshkr532/CompetitiveProgramming/blob/master/SPOJ/KOPC12H.cpp", "Sol")</f>
        <v>Sol</v>
      </c>
      <c r="E5339" s="17" t="s">
        <v>6118</v>
      </c>
      <c r="F5339" s="17" t="s">
        <v>139</v>
      </c>
      <c r="G5339" s="18"/>
      <c r="H5339" s="18"/>
    </row>
    <row r="5340" spans="1:8" ht="13.2">
      <c r="A5340" s="19" t="str">
        <f>HYPERLINK("http://codeforces.com/contest/276/problem/D","CF276-D2-D")</f>
        <v>CF276-D2-D</v>
      </c>
      <c r="B5340" s="29" t="s">
        <v>6142</v>
      </c>
      <c r="C5340" s="17">
        <v>4.5</v>
      </c>
      <c r="D5340" s="18" t="s">
        <v>6143</v>
      </c>
      <c r="E5340" s="17" t="s">
        <v>6118</v>
      </c>
      <c r="F5340" s="17" t="s">
        <v>242</v>
      </c>
      <c r="G5340" s="18"/>
      <c r="H5340" s="18"/>
    </row>
    <row r="5341" spans="1:8" ht="13.2">
      <c r="A5341" s="15" t="s">
        <v>6144</v>
      </c>
      <c r="B5341" s="30" t="s">
        <v>6145</v>
      </c>
      <c r="C5341" s="40">
        <v>4.5</v>
      </c>
      <c r="D5341" s="18"/>
      <c r="E5341" s="17" t="s">
        <v>6118</v>
      </c>
      <c r="F5341" s="17"/>
      <c r="G5341" s="18"/>
      <c r="H5341" s="18"/>
    </row>
    <row r="5342" spans="1:8" ht="13.2">
      <c r="A5342" s="15" t="s">
        <v>6146</v>
      </c>
      <c r="B5342" s="30" t="s">
        <v>6122</v>
      </c>
      <c r="C5342" s="33">
        <v>4</v>
      </c>
      <c r="D5342" s="18"/>
      <c r="E5342" s="17" t="s">
        <v>6118</v>
      </c>
      <c r="F5342" s="17"/>
      <c r="G5342" s="18"/>
      <c r="H5342" s="18"/>
    </row>
    <row r="5343" spans="1:8" ht="13.2">
      <c r="A5343" s="15" t="s">
        <v>6147</v>
      </c>
      <c r="B5343" s="30" t="s">
        <v>6148</v>
      </c>
      <c r="C5343" s="24">
        <v>4</v>
      </c>
      <c r="D5343" s="18"/>
      <c r="E5343" s="17" t="s">
        <v>6118</v>
      </c>
      <c r="F5343" s="17"/>
      <c r="G5343" s="18"/>
      <c r="H5343" s="18"/>
    </row>
    <row r="5344" spans="1:8" ht="13.2">
      <c r="A5344" s="19" t="str">
        <f>HYPERLINK("http://codeforces.com/contest/914/problem/C","CF914-D12-C")</f>
        <v>CF914-D12-C</v>
      </c>
      <c r="B5344" s="20" t="s">
        <v>6149</v>
      </c>
      <c r="C5344" s="17">
        <v>4</v>
      </c>
      <c r="D5344" s="18"/>
      <c r="E5344" s="17" t="s">
        <v>6118</v>
      </c>
      <c r="F5344" s="17"/>
      <c r="G5344" s="18"/>
      <c r="H5344" s="18"/>
    </row>
    <row r="5345" spans="1:8" ht="13.2">
      <c r="A5345" s="19" t="str">
        <f>HYPERLINK("https://icpcarchive.ecs.baylor.edu/index.php?option=com_onlinejudge&amp;Itemid=8&amp;category=675&amp;page=show_problem&amp;problem=5184","LIVEARCHIVE 7172")</f>
        <v>LIVEARCHIVE 7172</v>
      </c>
      <c r="B5345" s="15" t="s">
        <v>6150</v>
      </c>
      <c r="C5345" s="17">
        <v>6.75</v>
      </c>
      <c r="D5345" s="26" t="str">
        <f>HYPERLINK("https://github.com/mostafa-saad/MyCompetitiveProgramming/blob/master/LiveArchive/LIVEARCHIVE_7172.txt","Sol")</f>
        <v>Sol</v>
      </c>
      <c r="E5345" s="17" t="s">
        <v>6151</v>
      </c>
      <c r="F5345" s="17" t="s">
        <v>173</v>
      </c>
      <c r="G5345" s="18"/>
      <c r="H5345" s="18"/>
    </row>
    <row r="5346" spans="1:8" ht="13.2">
      <c r="A5346" s="19" t="str">
        <f>HYPERLINK("http://codeforces.com/problemset/problem/815/C","CF815-D1-C")</f>
        <v>CF815-D1-C</v>
      </c>
      <c r="B5346" s="15" t="s">
        <v>6152</v>
      </c>
      <c r="C5346" s="17">
        <v>6.6</v>
      </c>
      <c r="D5346" s="26" t="str">
        <f>HYPERLINK(" http://codeforces.com/blog/entry/18523","Try, then read")</f>
        <v>Try, then read</v>
      </c>
      <c r="E5346" s="17" t="s">
        <v>6151</v>
      </c>
      <c r="F5346" s="17" t="s">
        <v>173</v>
      </c>
      <c r="G5346" s="18"/>
      <c r="H5346" s="18"/>
    </row>
    <row r="5347" spans="1:8" ht="13.2">
      <c r="A5347" s="19" t="str">
        <f>HYPERLINK("http://codeforces.com/contest/440/problem/D","CF440-D12-D")</f>
        <v>CF440-D12-D</v>
      </c>
      <c r="B5347" s="38" t="s">
        <v>6153</v>
      </c>
      <c r="C5347" s="17">
        <v>6.5</v>
      </c>
      <c r="D5347" s="26" t="str">
        <f>HYPERLINK("https://github.com/s6007589/competitive-programming/blob/master/CF440-D12-D.cpp","Sol")</f>
        <v>Sol</v>
      </c>
      <c r="E5347" s="17" t="s">
        <v>6151</v>
      </c>
      <c r="F5347" s="17" t="s">
        <v>154</v>
      </c>
      <c r="G5347" s="18"/>
      <c r="H5347" s="18"/>
    </row>
    <row r="5348" spans="1:8" ht="13.2">
      <c r="A5348" s="19" t="str">
        <f>HYPERLINK("http://codeforces.com/contest/618/problem/D","CF618-D12-D")</f>
        <v>CF618-D12-D</v>
      </c>
      <c r="B5348" s="29" t="s">
        <v>6154</v>
      </c>
      <c r="C5348" s="17">
        <v>6.5</v>
      </c>
      <c r="D5348" s="18"/>
      <c r="E5348" s="17" t="s">
        <v>6151</v>
      </c>
      <c r="F5348" s="17" t="s">
        <v>201</v>
      </c>
      <c r="G5348" s="18"/>
      <c r="H5348" s="18"/>
    </row>
    <row r="5349" spans="1:8" ht="13.2">
      <c r="A5349" s="19" t="str">
        <f>HYPERLINK("http://www.lightoj.com/volume_showproblem.php?problem=1252","lightoj 1252")</f>
        <v>lightoj 1252</v>
      </c>
      <c r="B5349" s="15" t="s">
        <v>6155</v>
      </c>
      <c r="C5349" s="17">
        <v>6.5</v>
      </c>
      <c r="D5349" s="18"/>
      <c r="E5349" s="17" t="s">
        <v>6151</v>
      </c>
      <c r="F5349" s="17"/>
      <c r="G5349" s="18"/>
      <c r="H5349" s="18"/>
    </row>
    <row r="5350" spans="1:8" ht="13.2">
      <c r="A5350" s="19" t="str">
        <f>HYPERLINK("https://www.hackerrank.com/contests/world-codesprint-9/challenges/kingdom-division","HACKER kingdom-division")</f>
        <v>HACKER kingdom-division</v>
      </c>
      <c r="B5350" s="15" t="s">
        <v>6155</v>
      </c>
      <c r="C5350" s="17">
        <v>5.5</v>
      </c>
      <c r="D5350" s="18"/>
      <c r="E5350" s="17" t="s">
        <v>6151</v>
      </c>
      <c r="F5350" s="17" t="s">
        <v>201</v>
      </c>
      <c r="G5350" s="18"/>
      <c r="H5350" s="18"/>
    </row>
    <row r="5351" spans="1:8" ht="13.2">
      <c r="A5351" s="19" t="str">
        <f>HYPERLINK("http://acm.zju.edu.cn/onlinejudge/showProblem.do?problemCode=3213","ZOJ 3213")</f>
        <v>ZOJ 3213</v>
      </c>
      <c r="B5351" s="29" t="s">
        <v>6156</v>
      </c>
      <c r="C5351" s="17">
        <v>9</v>
      </c>
      <c r="D5351" s="18"/>
      <c r="E5351" s="17" t="s">
        <v>6157</v>
      </c>
      <c r="F5351" s="17"/>
      <c r="G5351" s="18"/>
      <c r="H5351" s="18"/>
    </row>
    <row r="5352" spans="1:8" ht="13.2">
      <c r="A5352" s="19" t="str">
        <f>HYPERLINK("https://code.google.com/codejam/contest/32008/dashboard#s=p3","CODEJAM 08-AMERSemifinal-D")</f>
        <v>CODEJAM 08-AMERSemifinal-D</v>
      </c>
      <c r="B5352" s="29" t="s">
        <v>6158</v>
      </c>
      <c r="C5352" s="17">
        <v>7.5</v>
      </c>
      <c r="D5352" s="18"/>
      <c r="E5352" s="17" t="s">
        <v>6157</v>
      </c>
      <c r="F5352" s="17" t="s">
        <v>139</v>
      </c>
      <c r="G5352" s="18"/>
      <c r="H5352" s="18"/>
    </row>
    <row r="5353" spans="1:8" ht="13.2">
      <c r="A5353" s="15" t="s">
        <v>6159</v>
      </c>
      <c r="B5353" s="29" t="s">
        <v>6160</v>
      </c>
      <c r="C5353" s="17">
        <v>7.5</v>
      </c>
      <c r="D5353" s="26" t="str">
        <f>HYPERLINK("https://github.com/Otrebus/timus/blob/master/1519.cpp","Sol")</f>
        <v>Sol</v>
      </c>
      <c r="E5353" s="17" t="s">
        <v>6157</v>
      </c>
      <c r="F5353" s="17"/>
      <c r="G5353" s="18"/>
      <c r="H5353" s="18"/>
    </row>
    <row r="5354" spans="1:8" ht="13.2">
      <c r="A5354" s="15" t="s">
        <v>6161</v>
      </c>
      <c r="B5354" s="30" t="s">
        <v>6162</v>
      </c>
      <c r="C5354" s="40">
        <v>7.25</v>
      </c>
      <c r="D5354" s="18"/>
      <c r="E5354" s="17" t="s">
        <v>6157</v>
      </c>
      <c r="F5354" s="17"/>
      <c r="G5354" s="18"/>
      <c r="H5354" s="18"/>
    </row>
    <row r="5355" spans="1:8" ht="13.2">
      <c r="A5355" s="19" t="str">
        <f>HYPERLINK("http://acm.hdu.edu.cn/showproblem.php?pid=4285","HDU 4285")</f>
        <v>HDU 4285</v>
      </c>
      <c r="B5355" s="29" t="s">
        <v>6163</v>
      </c>
      <c r="C5355" s="17">
        <v>7</v>
      </c>
      <c r="D5355" s="18"/>
      <c r="E5355" s="17" t="s">
        <v>6157</v>
      </c>
      <c r="F5355" s="17"/>
      <c r="G5355" s="18"/>
      <c r="H5355" s="18"/>
    </row>
    <row r="5356" spans="1:8" ht="13.2">
      <c r="A5356" s="19" t="str">
        <f>HYPERLINK("https://community.topcoder.com/stat?c=problem_statement&amp;pm=10549&amp;rd=13903","SRM449-D1-500")</f>
        <v>SRM449-D1-500</v>
      </c>
      <c r="B5356" s="15" t="s">
        <v>6164</v>
      </c>
      <c r="C5356" s="17">
        <v>6.75</v>
      </c>
      <c r="D5356" s="26" t="str">
        <f>HYPERLINK("https://github.com/ryuzmukhametov/CompetitiveProgramming/blob/master/Topcoder/SRM449-D2-1000.cpp","Sol")</f>
        <v>Sol</v>
      </c>
      <c r="E5356" s="17" t="s">
        <v>6157</v>
      </c>
      <c r="F5356" s="17"/>
      <c r="G5356" s="18"/>
      <c r="H5356" s="18"/>
    </row>
    <row r="5357" spans="1:8" ht="13.2">
      <c r="A5357" s="15" t="s">
        <v>6165</v>
      </c>
      <c r="B5357" s="29" t="s">
        <v>6166</v>
      </c>
      <c r="C5357" s="17">
        <v>6</v>
      </c>
      <c r="D5357" s="26" t="str">
        <f>HYPERLINK("https://apps.topcoder.com/wiki/display/tc/SRM+532","Read Editorials too")</f>
        <v>Read Editorials too</v>
      </c>
      <c r="E5357" s="17" t="s">
        <v>6157</v>
      </c>
      <c r="F5357" s="17" t="s">
        <v>139</v>
      </c>
      <c r="G5357" s="18"/>
      <c r="H5357" s="18"/>
    </row>
    <row r="5358" spans="1:8" ht="13.2">
      <c r="A5358" s="19" t="str">
        <f>HYPERLINK("http://codeforces.com/contest/342/problem/D", "CF324-D2-D")</f>
        <v>CF324-D2-D</v>
      </c>
      <c r="B5358" s="20" t="s">
        <v>6163</v>
      </c>
      <c r="C5358" s="21">
        <v>6</v>
      </c>
      <c r="D5358" s="18"/>
      <c r="E5358" s="17" t="s">
        <v>6157</v>
      </c>
      <c r="F5358" s="17" t="s">
        <v>201</v>
      </c>
      <c r="G5358" s="18"/>
      <c r="H5358" s="18"/>
    </row>
    <row r="5359" spans="1:8" ht="13.2">
      <c r="A5359" s="15" t="s">
        <v>6167</v>
      </c>
      <c r="B5359" s="29" t="s">
        <v>6168</v>
      </c>
      <c r="C5359" s="24">
        <v>7</v>
      </c>
      <c r="D5359" s="18"/>
      <c r="E5359" s="17" t="s">
        <v>6169</v>
      </c>
      <c r="F5359" s="17"/>
      <c r="G5359" s="18"/>
      <c r="H5359" s="18"/>
    </row>
    <row r="5360" spans="1:8" ht="13.2">
      <c r="A5360" s="15" t="s">
        <v>6170</v>
      </c>
      <c r="B5360" s="29" t="s">
        <v>6168</v>
      </c>
      <c r="C5360" s="24">
        <v>6.75</v>
      </c>
      <c r="D5360" s="18"/>
      <c r="E5360" s="17" t="s">
        <v>6169</v>
      </c>
      <c r="F5360" s="17"/>
      <c r="G5360" s="18"/>
      <c r="H5360" s="18"/>
    </row>
    <row r="5361" spans="1:8" ht="13.2">
      <c r="A5361" s="15" t="s">
        <v>6171</v>
      </c>
      <c r="B5361" s="16" t="s">
        <v>6172</v>
      </c>
      <c r="C5361" s="17">
        <v>6</v>
      </c>
      <c r="D5361" s="18"/>
      <c r="E5361" s="17" t="s">
        <v>6169</v>
      </c>
      <c r="F5361" s="17" t="s">
        <v>154</v>
      </c>
      <c r="G5361" s="18"/>
      <c r="H5361" s="18"/>
    </row>
    <row r="5362" spans="1:8" ht="13.2">
      <c r="A5362" s="15" t="s">
        <v>6173</v>
      </c>
      <c r="B5362" s="38" t="s">
        <v>6174</v>
      </c>
      <c r="C5362" s="17">
        <v>6</v>
      </c>
      <c r="D5362" s="26" t="str">
        <f>HYPERLINK("https://ideone.com/7yWKZY","Sol")</f>
        <v>Sol</v>
      </c>
      <c r="E5362" s="17" t="s">
        <v>6169</v>
      </c>
      <c r="F5362" s="17"/>
      <c r="G5362" s="18"/>
      <c r="H5362" s="18"/>
    </row>
    <row r="5363" spans="1:8" ht="13.2">
      <c r="A5363" s="15" t="s">
        <v>6175</v>
      </c>
      <c r="B5363" s="16" t="s">
        <v>6176</v>
      </c>
      <c r="C5363" s="17">
        <v>5</v>
      </c>
      <c r="D5363" s="18"/>
      <c r="E5363" s="17" t="s">
        <v>6169</v>
      </c>
      <c r="F5363" s="17" t="s">
        <v>306</v>
      </c>
      <c r="G5363" s="18"/>
      <c r="H5363" s="18"/>
    </row>
    <row r="5364" spans="1:8" ht="13.2">
      <c r="A5364" s="15" t="s">
        <v>6177</v>
      </c>
      <c r="B5364" s="29" t="s">
        <v>6178</v>
      </c>
      <c r="C5364" s="31">
        <v>5</v>
      </c>
      <c r="D5364" s="18"/>
      <c r="E5364" s="17" t="s">
        <v>6169</v>
      </c>
      <c r="F5364" s="17" t="s">
        <v>139</v>
      </c>
      <c r="G5364" s="18"/>
      <c r="H5364" s="18"/>
    </row>
    <row r="5365" spans="1:8" ht="13.2">
      <c r="A5365" s="15" t="s">
        <v>6179</v>
      </c>
      <c r="B5365" s="29" t="s">
        <v>6168</v>
      </c>
      <c r="C5365" s="24">
        <v>5</v>
      </c>
      <c r="D5365" s="18"/>
      <c r="E5365" s="17" t="s">
        <v>6169</v>
      </c>
      <c r="F5365" s="17"/>
      <c r="G5365" s="18"/>
      <c r="H5365" s="18"/>
    </row>
    <row r="5366" spans="1:8" ht="13.2">
      <c r="A5366" s="15" t="s">
        <v>6180</v>
      </c>
      <c r="B5366" s="29" t="s">
        <v>6168</v>
      </c>
      <c r="C5366" s="24">
        <v>5</v>
      </c>
      <c r="D5366" s="18"/>
      <c r="E5366" s="17" t="s">
        <v>6169</v>
      </c>
      <c r="F5366" s="17"/>
      <c r="G5366" s="18"/>
      <c r="H5366" s="18"/>
    </row>
    <row r="5367" spans="1:8" ht="13.2">
      <c r="A5367" s="19" t="str">
        <f>HYPERLINK("http://codeforces.com/contest/318/problem/D","CF318-D2-D")</f>
        <v>CF318-D2-D</v>
      </c>
      <c r="B5367" s="18" t="s">
        <v>6181</v>
      </c>
      <c r="C5367" s="17">
        <v>4.5</v>
      </c>
      <c r="D5367" s="18"/>
      <c r="E5367" s="17" t="s">
        <v>6169</v>
      </c>
      <c r="F5367" s="17"/>
      <c r="G5367" s="18"/>
      <c r="H5367" s="18"/>
    </row>
    <row r="5368" spans="1:8" ht="13.2">
      <c r="A5368" s="19" t="str">
        <f>HYPERLINK("http://codeforces.com/contest/723/problem/D","CF723-D2-D")</f>
        <v>CF723-D2-D</v>
      </c>
      <c r="B5368" s="18" t="s">
        <v>6168</v>
      </c>
      <c r="C5368" s="17">
        <v>4</v>
      </c>
      <c r="D5368" s="18"/>
      <c r="E5368" s="17" t="s">
        <v>6169</v>
      </c>
      <c r="F5368" s="17"/>
      <c r="G5368" s="18"/>
      <c r="H5368" s="18"/>
    </row>
    <row r="5369" spans="1:8" ht="13.2">
      <c r="A5369" s="19" t="str">
        <f>HYPERLINK("https://open.kattis.com/problems/coast","Kattis coast")</f>
        <v>Kattis coast</v>
      </c>
      <c r="B5369" s="15" t="s">
        <v>6168</v>
      </c>
      <c r="C5369" s="17">
        <v>4</v>
      </c>
      <c r="D5369" s="26" t="str">
        <f>HYPERLINK("https://github.com/arvindr9/CompetitiveProgramming/blob/master/Kattis/Kattis%20coast.cpp","Sol")</f>
        <v>Sol</v>
      </c>
      <c r="E5369" s="17" t="s">
        <v>6169</v>
      </c>
      <c r="F5369" s="17"/>
      <c r="G5369" s="18"/>
      <c r="H5369" s="18"/>
    </row>
    <row r="5370" spans="1:8" ht="13.2">
      <c r="A5370" s="15" t="s">
        <v>6182</v>
      </c>
      <c r="B5370" s="29" t="s">
        <v>6168</v>
      </c>
      <c r="C5370" s="24">
        <v>4</v>
      </c>
      <c r="D5370" s="18"/>
      <c r="E5370" s="17" t="s">
        <v>6169</v>
      </c>
      <c r="F5370" s="17"/>
      <c r="G5370" s="18"/>
      <c r="H5370" s="18"/>
    </row>
    <row r="5371" spans="1:8" ht="13.2">
      <c r="A5371" s="19" t="str">
        <f>HYPERLINK("https://uva.onlinejudge.org/index.php?option=com_onlinejudge&amp;Itemid=8&amp;page=show_problem&amp;problem=3104","UVA 11953")</f>
        <v>UVA 11953</v>
      </c>
      <c r="B5371" s="29" t="s">
        <v>6168</v>
      </c>
      <c r="C5371" s="17">
        <v>3.5</v>
      </c>
      <c r="D5371" s="18"/>
      <c r="E5371" s="17" t="s">
        <v>6169</v>
      </c>
      <c r="F5371" s="17"/>
      <c r="G5371" s="18"/>
      <c r="H5371" s="18"/>
    </row>
    <row r="5372" spans="1:8" ht="13.2">
      <c r="A5372" s="15" t="s">
        <v>6183</v>
      </c>
      <c r="B5372" s="29" t="s">
        <v>6168</v>
      </c>
      <c r="C5372" s="17">
        <v>3.5</v>
      </c>
      <c r="D5372" s="18"/>
      <c r="E5372" s="17" t="s">
        <v>6169</v>
      </c>
      <c r="F5372" s="17"/>
      <c r="G5372" s="18"/>
      <c r="H5372" s="18"/>
    </row>
    <row r="5373" spans="1:8" ht="13.2">
      <c r="A5373" s="19" t="str">
        <f>HYPERLINK("https://uva.onlinejudge.org/index.php?option=onlinejudge&amp;page=show_problem&amp;problem=725","UVA 784")</f>
        <v>UVA 784</v>
      </c>
      <c r="B5373" s="29" t="s">
        <v>6168</v>
      </c>
      <c r="C5373" s="17">
        <v>3.5</v>
      </c>
      <c r="D5373" s="18"/>
      <c r="E5373" s="17" t="s">
        <v>6169</v>
      </c>
      <c r="F5373" s="17"/>
      <c r="G5373" s="18"/>
      <c r="H5373" s="18"/>
    </row>
    <row r="5374" spans="1:8" ht="13.2">
      <c r="A5374" s="15" t="s">
        <v>6184</v>
      </c>
      <c r="B5374" s="29" t="s">
        <v>6185</v>
      </c>
      <c r="C5374" s="17">
        <v>3.5</v>
      </c>
      <c r="D5374" s="18"/>
      <c r="E5374" s="17" t="s">
        <v>6169</v>
      </c>
      <c r="F5374" s="17"/>
      <c r="G5374" s="18"/>
      <c r="H5374" s="18"/>
    </row>
    <row r="5375" spans="1:8" ht="13.2">
      <c r="A5375" s="15" t="s">
        <v>6186</v>
      </c>
      <c r="B5375" s="29" t="s">
        <v>6168</v>
      </c>
      <c r="C5375" s="24">
        <v>3</v>
      </c>
      <c r="D5375" s="18"/>
      <c r="E5375" s="17" t="s">
        <v>6169</v>
      </c>
      <c r="F5375" s="17" t="s">
        <v>306</v>
      </c>
      <c r="G5375" s="18"/>
      <c r="H5375" s="18"/>
    </row>
    <row r="5376" spans="1:8" ht="13.2">
      <c r="A5376" s="19" t="str">
        <f>HYPERLINK("https://uva.onlinejudge.org/index.php?option=onlinejudge&amp;page=show_problem&amp;problem=2035","UVA 11094")</f>
        <v>UVA 11094</v>
      </c>
      <c r="B5376" s="29" t="s">
        <v>6168</v>
      </c>
      <c r="C5376" s="17">
        <v>3</v>
      </c>
      <c r="D5376" s="18"/>
      <c r="E5376" s="17" t="s">
        <v>6169</v>
      </c>
      <c r="F5376" s="17"/>
      <c r="G5376" s="18"/>
      <c r="H5376" s="18"/>
    </row>
    <row r="5377" spans="1:8" ht="13.2">
      <c r="A5377" s="19" t="str">
        <f>HYPERLINK("https://uva.onlinejudge.org/index.php?option=com_onlinejudge&amp;Itemid=8&amp;page=show_problem&amp;problem=793","UVA 852")</f>
        <v>UVA 852</v>
      </c>
      <c r="B5377" s="29" t="s">
        <v>6168</v>
      </c>
      <c r="C5377" s="17">
        <v>3</v>
      </c>
      <c r="D5377" s="18"/>
      <c r="E5377" s="17" t="s">
        <v>6169</v>
      </c>
      <c r="F5377" s="17"/>
      <c r="G5377" s="18"/>
      <c r="H5377" s="18"/>
    </row>
    <row r="5378" spans="1:8" ht="13.2">
      <c r="A5378" s="15" t="s">
        <v>6187</v>
      </c>
      <c r="B5378" s="28" t="s">
        <v>6188</v>
      </c>
      <c r="C5378" s="24">
        <v>3</v>
      </c>
      <c r="D5378" s="18"/>
      <c r="E5378" s="17" t="s">
        <v>6169</v>
      </c>
      <c r="F5378" s="17"/>
      <c r="G5378" s="18"/>
      <c r="H5378" s="18"/>
    </row>
    <row r="5379" spans="1:8" ht="13.2">
      <c r="A5379" s="15" t="s">
        <v>6189</v>
      </c>
      <c r="B5379" s="38" t="s">
        <v>6190</v>
      </c>
      <c r="C5379" s="24">
        <v>3</v>
      </c>
      <c r="D5379" s="18"/>
      <c r="E5379" s="17" t="s">
        <v>6169</v>
      </c>
      <c r="F5379" s="17"/>
      <c r="G5379" s="18"/>
      <c r="H5379" s="18"/>
    </row>
    <row r="5380" spans="1:8" ht="13.2">
      <c r="A5380" s="19" t="str">
        <f>HYPERLINK("https://uva.onlinejudge.org/index.php?option=onlinejudge&amp;page=show_problem&amp;problem=542","UVA 601")</f>
        <v>UVA 601</v>
      </c>
      <c r="B5380" s="18" t="s">
        <v>6181</v>
      </c>
      <c r="C5380" s="17">
        <v>3</v>
      </c>
      <c r="D5380" s="18"/>
      <c r="E5380" s="17" t="s">
        <v>6169</v>
      </c>
      <c r="F5380" s="17"/>
      <c r="G5380" s="18"/>
      <c r="H5380" s="18"/>
    </row>
    <row r="5381" spans="1:8" ht="13.2">
      <c r="A5381" s="19" t="str">
        <f>HYPERLINK("https://uva.onlinejudge.org/index.php?option=onlinejudge&amp;page=show_problem&amp;problem=288","UVA 352")</f>
        <v>UVA 352</v>
      </c>
      <c r="B5381" s="29" t="s">
        <v>6168</v>
      </c>
      <c r="C5381" s="17">
        <v>2</v>
      </c>
      <c r="D5381" s="18"/>
      <c r="E5381" s="17" t="s">
        <v>6169</v>
      </c>
      <c r="F5381" s="17"/>
      <c r="G5381" s="18"/>
      <c r="H5381" s="18"/>
    </row>
    <row r="5382" spans="1:8" ht="13.2">
      <c r="A5382" s="15" t="s">
        <v>6191</v>
      </c>
      <c r="B5382" s="29" t="s">
        <v>6168</v>
      </c>
      <c r="C5382" s="24">
        <v>2</v>
      </c>
      <c r="D5382" s="18"/>
      <c r="E5382" s="17" t="s">
        <v>6169</v>
      </c>
      <c r="F5382" s="17"/>
      <c r="G5382" s="18"/>
      <c r="H5382" s="18"/>
    </row>
    <row r="5383" spans="1:8" ht="13.2">
      <c r="A5383" s="15" t="s">
        <v>6192</v>
      </c>
      <c r="B5383" s="28" t="s">
        <v>6193</v>
      </c>
      <c r="C5383" s="24">
        <v>6.25</v>
      </c>
      <c r="D5383" s="26" t="str">
        <f>HYPERLINK("https://github.com/mostafa-saad/MyCompetitiveProgramming/blob/master/SPOJ/SPOJ_TREEISO.txt","Sol")</f>
        <v>Sol</v>
      </c>
      <c r="E5383" s="17" t="s">
        <v>6194</v>
      </c>
      <c r="F5383" s="17" t="s">
        <v>139</v>
      </c>
      <c r="G5383" s="18"/>
      <c r="H5383" s="18"/>
    </row>
    <row r="5384" spans="1:8" ht="13.2">
      <c r="A5384" s="15" t="s">
        <v>6195</v>
      </c>
      <c r="B5384" s="37" t="s">
        <v>6196</v>
      </c>
      <c r="C5384" s="17">
        <v>6.25</v>
      </c>
      <c r="D5384" s="26" t="str">
        <f>HYPERLINK("https://github.com/aabdelzaher/Competitive-Programming/blob/master/UVa/UVa10707.java","Sol")</f>
        <v>Sol</v>
      </c>
      <c r="E5384" s="17" t="s">
        <v>6194</v>
      </c>
      <c r="F5384" s="17"/>
      <c r="G5384" s="18"/>
      <c r="H5384" s="18"/>
    </row>
    <row r="5385" spans="1:8" ht="13.2">
      <c r="A5385" s="15" t="s">
        <v>6197</v>
      </c>
      <c r="B5385" s="28" t="s">
        <v>6198</v>
      </c>
      <c r="C5385" s="24">
        <v>6</v>
      </c>
      <c r="D5385" s="18"/>
      <c r="E5385" s="17" t="s">
        <v>6194</v>
      </c>
      <c r="F5385" s="17"/>
      <c r="G5385" s="18"/>
      <c r="H5385" s="18"/>
    </row>
    <row r="5386" spans="1:8" ht="13.2">
      <c r="A5386" s="15" t="s">
        <v>6199</v>
      </c>
      <c r="B5386" s="28" t="s">
        <v>6198</v>
      </c>
      <c r="C5386" s="24">
        <v>6</v>
      </c>
      <c r="D5386" s="26" t="str">
        <f>HYPERLINK("https://github.com/mukel/ProgrammingContests/blob/master/OldStuff/SPOJ/new5/transl.cpp","Sol (no editorial)")</f>
        <v>Sol (no editorial)</v>
      </c>
      <c r="E5386" s="17" t="s">
        <v>6194</v>
      </c>
      <c r="F5386" s="17"/>
      <c r="G5386" s="18"/>
      <c r="H5386" s="18"/>
    </row>
    <row r="5387" spans="1:8" ht="13.2">
      <c r="A5387" s="19" t="str">
        <f>HYPERLINK("https://icpcarchive.ecs.baylor.edu/index.php?option=com_onlinejudge&amp;Itemid=8&amp;page=show_problem&amp;problem=936","LIVEARCHIVE 2935")</f>
        <v>LIVEARCHIVE 2935</v>
      </c>
      <c r="B5387" s="29" t="s">
        <v>6200</v>
      </c>
      <c r="C5387" s="17">
        <v>4.5</v>
      </c>
      <c r="D5387" s="26" t="str">
        <f>HYPERLINK("https://github.com/mostafa-saad/MyCompetitiveProgramming/blob/master/LiveArchive/LiveArchive_2935.txt","Sol")</f>
        <v>Sol</v>
      </c>
      <c r="E5387" s="17" t="s">
        <v>6194</v>
      </c>
      <c r="F5387" s="17" t="s">
        <v>154</v>
      </c>
      <c r="G5387" s="18"/>
      <c r="H5387" s="18"/>
    </row>
    <row r="5388" spans="1:8" ht="13.2">
      <c r="A5388" s="19" t="str">
        <f>HYPERLINK("http://codeforces.com/contest/560/problem/D","CF560-D2-D")</f>
        <v>CF560-D2-D</v>
      </c>
      <c r="B5388" s="29" t="s">
        <v>6201</v>
      </c>
      <c r="C5388" s="17">
        <v>4</v>
      </c>
      <c r="D5388" s="26" t="str">
        <f>HYPERLINK("https://github.com/VAMPIER000001/CompetitiveProgramming/blob/6ffe2c80fe5aba2bf2d901503b96f1b90053462a/CF/CF560-D2-D(2).Cpp","Sol to learn")</f>
        <v>Sol to learn</v>
      </c>
      <c r="E5388" s="17" t="s">
        <v>6194</v>
      </c>
      <c r="F5388" s="17" t="s">
        <v>201</v>
      </c>
      <c r="G5388" s="18"/>
      <c r="H5388" s="18"/>
    </row>
    <row r="5389" spans="1:8" ht="13.2">
      <c r="A5389" s="19" t="str">
        <f>HYPERLINK("https://onlinejudge.org/index.php?option=com_onlinejudge&amp;Itemid=8&amp;page=show_problem&amp;problem=3933","UVA 12489")</f>
        <v>UVA 12489</v>
      </c>
      <c r="B5389" s="15" t="s">
        <v>6202</v>
      </c>
      <c r="C5389" s="17"/>
      <c r="D5389" s="18"/>
      <c r="E5389" s="17" t="s">
        <v>6194</v>
      </c>
      <c r="F5389" s="17"/>
      <c r="G5389" s="18"/>
      <c r="H5389" s="18"/>
    </row>
    <row r="5390" spans="1:8" ht="13.2">
      <c r="A5390" s="15" t="s">
        <v>6203</v>
      </c>
      <c r="B5390" s="28" t="s">
        <v>6204</v>
      </c>
      <c r="C5390" s="24">
        <v>8.5</v>
      </c>
      <c r="D5390" s="18"/>
      <c r="E5390" s="17" t="s">
        <v>6205</v>
      </c>
      <c r="F5390" s="17"/>
      <c r="G5390" s="18"/>
      <c r="H5390" s="18"/>
    </row>
    <row r="5391" spans="1:8" ht="13.2">
      <c r="A5391" s="15" t="s">
        <v>6206</v>
      </c>
      <c r="B5391" s="60" t="s">
        <v>6207</v>
      </c>
      <c r="C5391" s="59">
        <v>6.5</v>
      </c>
      <c r="D5391" s="18"/>
      <c r="E5391" s="59" t="s">
        <v>6205</v>
      </c>
      <c r="F5391" s="17"/>
      <c r="G5391" s="18"/>
      <c r="H5391" s="18"/>
    </row>
    <row r="5392" spans="1:8" ht="13.2">
      <c r="A5392" s="19" t="str">
        <f>HYPERLINK("https://codeforces.com/contest/1100/problem/E","CF1100-D2-E")</f>
        <v>CF1100-D2-E</v>
      </c>
      <c r="B5392" s="15" t="s">
        <v>6208</v>
      </c>
      <c r="C5392" s="17">
        <v>6.25</v>
      </c>
      <c r="D5392" s="18"/>
      <c r="E5392" s="17" t="s">
        <v>6205</v>
      </c>
      <c r="F5392" s="17" t="s">
        <v>154</v>
      </c>
      <c r="G5392" s="18"/>
      <c r="H5392" s="18"/>
    </row>
    <row r="5393" spans="1:8" ht="13.2">
      <c r="A5393" s="19" t="str">
        <f>HYPERLINK("https://agc027.contest.atcoder.jp/tasks/agc027_c", "AtCoder027-AGC-C")</f>
        <v>AtCoder027-AGC-C</v>
      </c>
      <c r="B5393" s="20" t="s">
        <v>6204</v>
      </c>
      <c r="C5393" s="21">
        <v>6</v>
      </c>
      <c r="D5393" s="18"/>
      <c r="E5393" s="17" t="s">
        <v>6205</v>
      </c>
      <c r="F5393" s="17" t="s">
        <v>139</v>
      </c>
      <c r="G5393" s="18"/>
      <c r="H5393" s="18"/>
    </row>
    <row r="5394" spans="1:8" ht="13.2">
      <c r="A5394" s="15" t="s">
        <v>6209</v>
      </c>
      <c r="B5394" s="28" t="s">
        <v>6210</v>
      </c>
      <c r="C5394" s="17">
        <v>6</v>
      </c>
      <c r="D5394" s="26" t="str">
        <f>HYPERLINK("https://github.com/osamahatem/CompetitiveProgramming/blob/master/UVA/1222%20-%20Bribing%20FIPA.cpp","Sol")</f>
        <v>Sol</v>
      </c>
      <c r="E5394" s="17" t="s">
        <v>6205</v>
      </c>
      <c r="F5394" s="17" t="s">
        <v>139</v>
      </c>
      <c r="G5394" s="18"/>
      <c r="H5394" s="18"/>
    </row>
    <row r="5395" spans="1:8" ht="13.2">
      <c r="A5395" s="19" t="str">
        <f>HYPERLINK("http://codeforces.com/contest/812/problem/D","CF812-D2-D")</f>
        <v>CF812-D2-D</v>
      </c>
      <c r="B5395" s="29" t="s">
        <v>6211</v>
      </c>
      <c r="C5395" s="17">
        <v>6</v>
      </c>
      <c r="D5395" s="26" t="str">
        <f>HYPERLINK("https://github.com/BRAINOOOO/CompetitiveProgramming/blob/master/CF/CF812-D2-D","Sol")</f>
        <v>Sol</v>
      </c>
      <c r="E5395" s="17" t="s">
        <v>6205</v>
      </c>
      <c r="F5395" s="17" t="s">
        <v>139</v>
      </c>
      <c r="G5395" s="18"/>
      <c r="H5395" s="18"/>
    </row>
    <row r="5396" spans="1:8" ht="13.2">
      <c r="A5396" s="15" t="s">
        <v>6212</v>
      </c>
      <c r="B5396" s="16" t="s">
        <v>6204</v>
      </c>
      <c r="C5396" s="17">
        <v>6</v>
      </c>
      <c r="D5396" s="18"/>
      <c r="E5396" s="17" t="s">
        <v>6205</v>
      </c>
      <c r="F5396" s="17"/>
      <c r="G5396" s="18"/>
      <c r="H5396" s="18"/>
    </row>
    <row r="5397" spans="1:8" ht="13.2">
      <c r="A5397" s="15" t="s">
        <v>6213</v>
      </c>
      <c r="B5397" s="28" t="s">
        <v>6204</v>
      </c>
      <c r="C5397" s="17">
        <v>6</v>
      </c>
      <c r="D5397" s="18"/>
      <c r="E5397" s="17" t="s">
        <v>6205</v>
      </c>
      <c r="F5397" s="17"/>
      <c r="G5397" s="18"/>
      <c r="H5397" s="18"/>
    </row>
    <row r="5398" spans="1:8" ht="13.2">
      <c r="A5398" s="15" t="s">
        <v>6214</v>
      </c>
      <c r="B5398" s="28" t="s">
        <v>6215</v>
      </c>
      <c r="C5398" s="24">
        <v>6</v>
      </c>
      <c r="D5398" s="18"/>
      <c r="E5398" s="17" t="s">
        <v>6205</v>
      </c>
      <c r="F5398" s="17"/>
      <c r="G5398" s="18"/>
      <c r="H5398" s="18"/>
    </row>
    <row r="5399" spans="1:8" ht="13.2">
      <c r="A5399" s="19" t="str">
        <f>HYPERLINK("http://codeforces.com/contest/274/problem/D","CF274-D1-D")</f>
        <v>CF274-D1-D</v>
      </c>
      <c r="B5399" s="29" t="s">
        <v>6216</v>
      </c>
      <c r="C5399" s="17">
        <v>6</v>
      </c>
      <c r="D5399" s="18"/>
      <c r="E5399" s="17" t="s">
        <v>6205</v>
      </c>
      <c r="F5399" s="17"/>
      <c r="G5399" s="18"/>
      <c r="H5399" s="18"/>
    </row>
    <row r="5400" spans="1:8" ht="13.2">
      <c r="A5400" s="19" t="str">
        <f>HYPERLINK("http://codeforces.com/contest/681/problem/D","CF681-D2-D")</f>
        <v>CF681-D2-D</v>
      </c>
      <c r="B5400" s="29" t="s">
        <v>6217</v>
      </c>
      <c r="C5400" s="17">
        <v>5.5</v>
      </c>
      <c r="D5400" s="26" t="str">
        <f>HYPERLINK("https://github.com/mahmoudbadawy5/CompetitiveProgramming/blob/master/codeforces/CF681-D2-D.cpp","Sol")</f>
        <v>Sol</v>
      </c>
      <c r="E5400" s="17" t="s">
        <v>6205</v>
      </c>
      <c r="F5400" s="17" t="s">
        <v>139</v>
      </c>
      <c r="G5400" s="18"/>
      <c r="H5400" s="18"/>
    </row>
    <row r="5401" spans="1:8" ht="13.2">
      <c r="A5401" s="15" t="s">
        <v>6218</v>
      </c>
      <c r="B5401" s="29" t="s">
        <v>6219</v>
      </c>
      <c r="C5401" s="24">
        <v>5.5</v>
      </c>
      <c r="D5401" s="18"/>
      <c r="E5401" s="17" t="s">
        <v>6205</v>
      </c>
      <c r="F5401" s="17" t="s">
        <v>242</v>
      </c>
      <c r="G5401" s="18"/>
      <c r="H5401" s="18"/>
    </row>
    <row r="5402" spans="1:8" ht="13.2">
      <c r="A5402" s="15" t="s">
        <v>6220</v>
      </c>
      <c r="B5402" s="29" t="s">
        <v>6221</v>
      </c>
      <c r="C5402" s="24">
        <v>5.5</v>
      </c>
      <c r="D5402" s="18"/>
      <c r="E5402" s="17" t="s">
        <v>6205</v>
      </c>
      <c r="F5402" s="17"/>
      <c r="G5402" s="18"/>
      <c r="H5402" s="18"/>
    </row>
    <row r="5403" spans="1:8" ht="13.2">
      <c r="A5403" s="15" t="s">
        <v>6222</v>
      </c>
      <c r="B5403" s="29" t="s">
        <v>6204</v>
      </c>
      <c r="C5403" s="17">
        <v>5</v>
      </c>
      <c r="D5403" s="18"/>
      <c r="E5403" s="17" t="s">
        <v>6205</v>
      </c>
      <c r="F5403" s="17" t="s">
        <v>139</v>
      </c>
      <c r="G5403" s="18"/>
      <c r="H5403" s="18"/>
    </row>
    <row r="5404" spans="1:8" ht="13.2">
      <c r="A5404" s="15" t="s">
        <v>6223</v>
      </c>
      <c r="B5404" s="28" t="s">
        <v>6224</v>
      </c>
      <c r="C5404" s="17">
        <v>5</v>
      </c>
      <c r="D5404" s="26" t="str">
        <f>HYPERLINK("https://github.com/mostafa-saad/MyCompetitiveProgramming/blob/master/UVA/UVA_12645.txt","Sol")</f>
        <v>Sol</v>
      </c>
      <c r="E5404" s="17" t="s">
        <v>6205</v>
      </c>
      <c r="F5404" s="17" t="s">
        <v>139</v>
      </c>
      <c r="G5404" s="18"/>
      <c r="H5404" s="18"/>
    </row>
    <row r="5405" spans="1:8" ht="13.2">
      <c r="A5405" s="19" t="str">
        <f>HYPERLINK("http://codeforces.com/contest/645/problem/D","CF645-D12-D")</f>
        <v>CF645-D12-D</v>
      </c>
      <c r="B5405" s="28" t="s">
        <v>6208</v>
      </c>
      <c r="C5405" s="24">
        <v>5</v>
      </c>
      <c r="D5405" s="18"/>
      <c r="E5405" s="17" t="s">
        <v>6205</v>
      </c>
      <c r="F5405" s="17" t="s">
        <v>139</v>
      </c>
      <c r="G5405" s="18"/>
      <c r="H5405" s="18"/>
    </row>
    <row r="5406" spans="1:8" ht="13.2">
      <c r="A5406" s="19" t="str">
        <f>HYPERLINK("http://codeforces.com/contest/510/problem/C","CF510-D2-C")</f>
        <v>CF510-D2-C</v>
      </c>
      <c r="B5406" s="28" t="s">
        <v>6204</v>
      </c>
      <c r="C5406" s="17">
        <v>5</v>
      </c>
      <c r="D5406" s="18"/>
      <c r="E5406" s="17" t="s">
        <v>6205</v>
      </c>
      <c r="F5406" s="17" t="s">
        <v>201</v>
      </c>
      <c r="G5406" s="18"/>
      <c r="H5406" s="18"/>
    </row>
    <row r="5407" spans="1:8" ht="13.2">
      <c r="A5407" s="15" t="s">
        <v>6225</v>
      </c>
      <c r="B5407" s="20" t="s">
        <v>6204</v>
      </c>
      <c r="C5407" s="21">
        <v>5</v>
      </c>
      <c r="D5407" s="18"/>
      <c r="E5407" s="17" t="s">
        <v>6205</v>
      </c>
      <c r="F5407" s="17"/>
      <c r="G5407" s="18"/>
      <c r="H5407" s="18"/>
    </row>
    <row r="5408" spans="1:8" ht="13.2">
      <c r="A5408" s="19" t="str">
        <f>HYPERLINK("https://codeforces.com/contest/1068/problem/E","CF1068-D2-E")</f>
        <v>CF1068-D2-E</v>
      </c>
      <c r="B5408" s="15" t="s">
        <v>6204</v>
      </c>
      <c r="C5408" s="17">
        <v>5</v>
      </c>
      <c r="D5408" s="18"/>
      <c r="E5408" s="17" t="s">
        <v>6205</v>
      </c>
      <c r="F5408" s="17"/>
      <c r="G5408" s="18"/>
      <c r="H5408" s="18"/>
    </row>
    <row r="5409" spans="1:8" ht="13.2">
      <c r="A5409" s="15" t="s">
        <v>6226</v>
      </c>
      <c r="B5409" s="29" t="s">
        <v>6227</v>
      </c>
      <c r="C5409" s="24">
        <v>5</v>
      </c>
      <c r="D5409" s="26" t="str">
        <f>HYPERLINK("https://github.com/VAMPIER000001/CompetitiveProgramming/blob/master/UVA/V-110/UVA%2011060.Cpp","Sol")</f>
        <v>Sol</v>
      </c>
      <c r="E5409" s="17" t="s">
        <v>6205</v>
      </c>
      <c r="F5409" s="17"/>
      <c r="G5409" s="18"/>
      <c r="H5409" s="18"/>
    </row>
    <row r="5410" spans="1:8" ht="13.2">
      <c r="A5410" s="19" t="str">
        <f>HYPERLINK("http://codeforces.com/contest/655/problem/D","CF655-D12-D")</f>
        <v>CF655-D12-D</v>
      </c>
      <c r="B5410" s="20" t="s">
        <v>6208</v>
      </c>
      <c r="C5410" s="21">
        <v>5</v>
      </c>
      <c r="D5410" s="18"/>
      <c r="E5410" s="17" t="s">
        <v>6205</v>
      </c>
      <c r="F5410" s="17"/>
      <c r="G5410" s="18"/>
      <c r="H5410" s="18"/>
    </row>
    <row r="5411" spans="1:8" ht="13.2">
      <c r="A5411" s="15" t="s">
        <v>6228</v>
      </c>
      <c r="B5411" s="28" t="s">
        <v>6229</v>
      </c>
      <c r="C5411" s="17">
        <v>5</v>
      </c>
      <c r="D5411" s="18"/>
      <c r="E5411" s="17" t="s">
        <v>6205</v>
      </c>
      <c r="F5411" s="17"/>
      <c r="G5411" s="18"/>
      <c r="H5411" s="18"/>
    </row>
    <row r="5412" spans="1:8" ht="13.2">
      <c r="A5412" s="19" t="str">
        <f>HYPERLINK("http://codeforces.com/contest/501/problem/C","CF501-D2-C")</f>
        <v>CF501-D2-C</v>
      </c>
      <c r="B5412" s="29" t="s">
        <v>6230</v>
      </c>
      <c r="C5412" s="24">
        <v>4.5</v>
      </c>
      <c r="D5412" s="18"/>
      <c r="E5412" s="17" t="s">
        <v>6205</v>
      </c>
      <c r="F5412" s="17" t="s">
        <v>306</v>
      </c>
      <c r="G5412" s="18"/>
      <c r="H5412" s="18"/>
    </row>
    <row r="5413" spans="1:8" ht="13.2">
      <c r="A5413" s="19" t="str">
        <f>HYPERLINK("http://codeforces.com/contest/825/problem/E","CF825-D12-E")</f>
        <v>CF825-D12-E</v>
      </c>
      <c r="B5413" s="28" t="s">
        <v>6204</v>
      </c>
      <c r="C5413" s="33">
        <v>4</v>
      </c>
      <c r="D5413" s="18"/>
      <c r="E5413" s="17" t="s">
        <v>6205</v>
      </c>
      <c r="F5413" s="17" t="s">
        <v>255</v>
      </c>
      <c r="G5413" s="18"/>
      <c r="H5413" s="18"/>
    </row>
    <row r="5414" spans="1:8" ht="13.2">
      <c r="A5414" s="15" t="s">
        <v>6231</v>
      </c>
      <c r="B5414" s="29" t="s">
        <v>6232</v>
      </c>
      <c r="C5414" s="31">
        <v>4</v>
      </c>
      <c r="D5414" s="18"/>
      <c r="E5414" s="17" t="s">
        <v>6205</v>
      </c>
      <c r="F5414" s="17" t="s">
        <v>255</v>
      </c>
      <c r="G5414" s="18"/>
      <c r="H5414" s="18"/>
    </row>
    <row r="5415" spans="1:8" ht="13.2">
      <c r="A5415" s="15" t="s">
        <v>6233</v>
      </c>
      <c r="B5415" s="28" t="s">
        <v>6232</v>
      </c>
      <c r="C5415" s="24">
        <v>4</v>
      </c>
      <c r="D5415" s="26" t="str">
        <f>HYPERLINK("https://github.com/AliOsm/CompetitiveProgramming/blob/master/ACM%20ICPC%20Live%20Archive/6195%20-%20The%20Dueling%20Philosophers%20Problem.cpp","Sol")</f>
        <v>Sol</v>
      </c>
      <c r="E5415" s="24" t="s">
        <v>6205</v>
      </c>
      <c r="F5415" s="17" t="s">
        <v>229</v>
      </c>
      <c r="G5415" s="18"/>
      <c r="H5415" s="18"/>
    </row>
    <row r="5416" spans="1:8" ht="13.2">
      <c r="A5416" s="15" t="s">
        <v>6234</v>
      </c>
      <c r="B5416" s="29" t="s">
        <v>6219</v>
      </c>
      <c r="C5416" s="24">
        <v>4</v>
      </c>
      <c r="D5416" s="18"/>
      <c r="E5416" s="17" t="s">
        <v>6205</v>
      </c>
      <c r="F5416" s="17" t="s">
        <v>306</v>
      </c>
      <c r="G5416" s="18"/>
      <c r="H5416" s="18"/>
    </row>
    <row r="5417" spans="1:8" ht="13.2">
      <c r="A5417" s="15" t="s">
        <v>6235</v>
      </c>
      <c r="B5417" s="29" t="s">
        <v>6236</v>
      </c>
      <c r="C5417" s="17">
        <v>4</v>
      </c>
      <c r="D5417" s="18"/>
      <c r="E5417" s="17" t="s">
        <v>6205</v>
      </c>
      <c r="F5417" s="17" t="s">
        <v>139</v>
      </c>
      <c r="G5417" s="18"/>
      <c r="H5417" s="18"/>
    </row>
    <row r="5418" spans="1:8" ht="13.2">
      <c r="A5418" s="15" t="s">
        <v>6237</v>
      </c>
      <c r="B5418" s="28" t="s">
        <v>6204</v>
      </c>
      <c r="C5418" s="24">
        <v>4</v>
      </c>
      <c r="D5418" s="26" t="str">
        <f>HYPERLINK("https://github.com/mostafa-saad/MyCompetitiveProgramming/blob/master/UVA/UVA_12263.txt","Sol")</f>
        <v>Sol</v>
      </c>
      <c r="E5418" s="17" t="s">
        <v>6205</v>
      </c>
      <c r="F5418" s="17" t="s">
        <v>201</v>
      </c>
      <c r="G5418" s="18"/>
      <c r="H5418" s="18"/>
    </row>
    <row r="5419" spans="1:8" ht="13.2">
      <c r="A5419" s="19" t="str">
        <f>HYPERLINK("https://csacademy.com/contest/round-60/task/digit-permutation/","CSA60-C")</f>
        <v>CSA60-C</v>
      </c>
      <c r="B5419" s="38" t="s">
        <v>6232</v>
      </c>
      <c r="C5419" s="17">
        <v>4</v>
      </c>
      <c r="D5419" s="18"/>
      <c r="E5419" s="17" t="s">
        <v>6205</v>
      </c>
      <c r="F5419" s="17"/>
      <c r="G5419" s="18"/>
      <c r="H5419" s="18"/>
    </row>
    <row r="5420" spans="1:8" ht="13.2">
      <c r="A5420" s="15" t="s">
        <v>6238</v>
      </c>
      <c r="B5420" s="29" t="s">
        <v>6239</v>
      </c>
      <c r="C5420" s="17">
        <v>4</v>
      </c>
      <c r="D5420" s="26" t="str">
        <f>HYPERLINK("https://github.com/VAMPIER000001/CompetitiveProgramming/blob/master/UVA/V-116/UVA%2011686.Cpp","Sol")</f>
        <v>Sol</v>
      </c>
      <c r="E5420" s="17" t="s">
        <v>6205</v>
      </c>
      <c r="F5420" s="17"/>
      <c r="G5420" s="18"/>
      <c r="H5420" s="18"/>
    </row>
    <row r="5421" spans="1:8" ht="13.2">
      <c r="A5421" s="15" t="s">
        <v>6240</v>
      </c>
      <c r="B5421" s="29" t="s">
        <v>6241</v>
      </c>
      <c r="C5421" s="17">
        <v>4</v>
      </c>
      <c r="D5421" s="18"/>
      <c r="E5421" s="17" t="s">
        <v>6205</v>
      </c>
      <c r="F5421" s="17"/>
      <c r="G5421" s="18"/>
      <c r="H5421" s="18"/>
    </row>
    <row r="5422" spans="1:8" ht="13.2">
      <c r="A5422" s="15" t="s">
        <v>6242</v>
      </c>
      <c r="B5422" s="29" t="s">
        <v>6204</v>
      </c>
      <c r="C5422" s="33">
        <v>3.5</v>
      </c>
      <c r="D5422" s="26" t="str">
        <f>HYPERLINK("https://github.com/BRAINOOO/CompetitiveProgramming/blob/1519e5f21442182e46b6cdec30b7f4a90fc74063/Spoj/SPOJ%20DEPEND.Cpp","Sol")</f>
        <v>Sol</v>
      </c>
      <c r="E5422" s="17" t="s">
        <v>6205</v>
      </c>
      <c r="F5422" s="17"/>
      <c r="G5422" s="18"/>
      <c r="H5422" s="18"/>
    </row>
    <row r="5423" spans="1:8" ht="13.2">
      <c r="A5423" s="15" t="s">
        <v>6243</v>
      </c>
      <c r="B5423" s="29" t="s">
        <v>6204</v>
      </c>
      <c r="C5423" s="17">
        <v>3</v>
      </c>
      <c r="D5423" s="26" t="str">
        <f>HYPERLINK("https://github.com/BidhanRoy/Algorithm-Code-Library/blob/master/Sample%20Codes/Knuth%20Optimization%20(%20Uva%2010304%20).cpp","Use knuth")</f>
        <v>Use knuth</v>
      </c>
      <c r="E5423" s="17" t="s">
        <v>6205</v>
      </c>
      <c r="F5423" s="17"/>
      <c r="G5423" s="18"/>
      <c r="H5423" s="18"/>
    </row>
    <row r="5424" spans="1:8" ht="13.2">
      <c r="A5424" s="15" t="s">
        <v>6244</v>
      </c>
      <c r="B5424" s="29" t="s">
        <v>6204</v>
      </c>
      <c r="C5424" s="17">
        <v>2</v>
      </c>
      <c r="D5424" s="18"/>
      <c r="E5424" s="17" t="s">
        <v>6205</v>
      </c>
      <c r="F5424" s="17"/>
      <c r="G5424" s="18"/>
      <c r="H5424" s="18"/>
    </row>
    <row r="5425" spans="1:8" ht="13.2">
      <c r="A5425" s="19" t="str">
        <f>HYPERLINK("http://codeforces.com/contest/132/problem/E","CF132-D1-E")</f>
        <v>CF132-D1-E</v>
      </c>
      <c r="B5425" s="15" t="s">
        <v>6245</v>
      </c>
      <c r="C5425" s="24">
        <v>8</v>
      </c>
      <c r="D5425" s="18"/>
      <c r="E5425" s="17" t="s">
        <v>6246</v>
      </c>
      <c r="F5425" s="17" t="s">
        <v>139</v>
      </c>
      <c r="G5425" s="18"/>
      <c r="H5425" s="18"/>
    </row>
    <row r="5426" spans="1:8" ht="13.2">
      <c r="A5426" s="15" t="s">
        <v>6247</v>
      </c>
      <c r="B5426" s="16" t="s">
        <v>6248</v>
      </c>
      <c r="C5426" s="24">
        <v>8</v>
      </c>
      <c r="D5426" s="18"/>
      <c r="E5426" s="17" t="s">
        <v>6246</v>
      </c>
      <c r="F5426" s="17"/>
      <c r="G5426" s="18"/>
      <c r="H5426" s="18"/>
    </row>
    <row r="5427" spans="1:8" ht="13.2">
      <c r="A5427" s="19" t="str">
        <f>HYPERLINK("https://www.codechef.com/problems/RIN","CODECHEF RIN")</f>
        <v>CODECHEF RIN</v>
      </c>
      <c r="B5427" s="18" t="s">
        <v>6249</v>
      </c>
      <c r="C5427" s="17">
        <v>7.75</v>
      </c>
      <c r="D5427" s="18"/>
      <c r="E5427" s="17" t="s">
        <v>6246</v>
      </c>
      <c r="F5427" s="17" t="s">
        <v>173</v>
      </c>
      <c r="G5427" s="18"/>
      <c r="H5427" s="18"/>
    </row>
    <row r="5428" spans="1:8" ht="13.2">
      <c r="A5428" s="15" t="s">
        <v>6250</v>
      </c>
      <c r="B5428" s="38" t="s">
        <v>6248</v>
      </c>
      <c r="C5428" s="17">
        <v>7.5</v>
      </c>
      <c r="D5428" s="26" t="str">
        <f>HYPERLINK("https://ideone.com/F83fze","Sol")</f>
        <v>Sol</v>
      </c>
      <c r="E5428" s="17" t="s">
        <v>6246</v>
      </c>
      <c r="F5428" s="17"/>
      <c r="G5428" s="18"/>
      <c r="H5428" s="18"/>
    </row>
    <row r="5429" spans="1:8" ht="13.2">
      <c r="A5429" s="19" t="str">
        <f>HYPERLINK("http://codeforces.com/contest/724/problem/E","CF724-D12-E")</f>
        <v>CF724-D12-E</v>
      </c>
      <c r="B5429" s="15" t="s">
        <v>6251</v>
      </c>
      <c r="C5429" s="24">
        <v>7</v>
      </c>
      <c r="D5429" s="18"/>
      <c r="E5429" s="17" t="s">
        <v>6246</v>
      </c>
      <c r="F5429" s="17" t="s">
        <v>154</v>
      </c>
      <c r="G5429" s="18"/>
      <c r="H5429" s="18"/>
    </row>
    <row r="5430" spans="1:8" ht="13.2">
      <c r="A5430" s="19" t="str">
        <f>HYPERLINK("http://codeforces.com/contest/434/problem/D","CF434-D1-D")</f>
        <v>CF434-D1-D</v>
      </c>
      <c r="B5430" s="15" t="s">
        <v>6248</v>
      </c>
      <c r="C5430" s="24">
        <v>7</v>
      </c>
      <c r="D5430" s="18"/>
      <c r="E5430" s="17" t="s">
        <v>6246</v>
      </c>
      <c r="F5430" s="17"/>
      <c r="G5430" s="18"/>
      <c r="H5430" s="18"/>
    </row>
    <row r="5431" spans="1:8" ht="13.2">
      <c r="A5431" s="19" t="str">
        <f>HYPERLINK("https://codeforces.com/contest/1146/problem/G","CF1146-D12-G")</f>
        <v>CF1146-D12-G</v>
      </c>
      <c r="B5431" s="15" t="s">
        <v>6248</v>
      </c>
      <c r="C5431" s="21">
        <v>6.5</v>
      </c>
      <c r="D5431" s="18"/>
      <c r="E5431" s="17" t="s">
        <v>6246</v>
      </c>
      <c r="F5431" s="17" t="s">
        <v>139</v>
      </c>
      <c r="G5431" s="18"/>
      <c r="H5431" s="18"/>
    </row>
    <row r="5432" spans="1:8" ht="13.2">
      <c r="A5432" s="19" t="str">
        <f>HYPERLINK("https://www.facebook.com/hackercup/problem/448364075989193/","FbHkrCup 19-R1-С")</f>
        <v>FbHkrCup 19-R1-С</v>
      </c>
      <c r="B5432" s="15" t="s">
        <v>6252</v>
      </c>
      <c r="C5432" s="17">
        <v>6.5</v>
      </c>
      <c r="D5432" s="18"/>
      <c r="E5432" s="17" t="s">
        <v>6246</v>
      </c>
      <c r="F5432" s="17" t="s">
        <v>139</v>
      </c>
      <c r="G5432" s="18"/>
      <c r="H5432" s="18"/>
    </row>
    <row r="5433" spans="1:8" ht="13.2">
      <c r="A5433" s="19" t="str">
        <f>HYPERLINK("https://codeforces.com/contest/808/problem/F","CF808-D12-F")</f>
        <v>CF808-D12-F</v>
      </c>
      <c r="B5433" s="15" t="s">
        <v>6253</v>
      </c>
      <c r="C5433" s="17">
        <v>6.5</v>
      </c>
      <c r="D5433" s="18"/>
      <c r="E5433" s="17" t="s">
        <v>6246</v>
      </c>
      <c r="F5433" s="17" t="s">
        <v>139</v>
      </c>
      <c r="G5433" s="18"/>
      <c r="H5433" s="18"/>
    </row>
    <row r="5434" spans="1:8" ht="13.2">
      <c r="A5434" s="15" t="s">
        <v>6254</v>
      </c>
      <c r="B5434" s="39" t="s">
        <v>6255</v>
      </c>
      <c r="C5434" s="17">
        <v>6.5</v>
      </c>
      <c r="D5434" s="18"/>
      <c r="E5434" s="17" t="s">
        <v>6246</v>
      </c>
      <c r="F5434" s="17" t="s">
        <v>201</v>
      </c>
      <c r="G5434" s="18"/>
      <c r="H5434" s="18"/>
    </row>
    <row r="5435" spans="1:8" ht="13.2">
      <c r="A5435" s="15" t="s">
        <v>6256</v>
      </c>
      <c r="B5435" s="39" t="s">
        <v>6248</v>
      </c>
      <c r="C5435" s="17">
        <v>6.4</v>
      </c>
      <c r="D5435" s="26" t="str">
        <f>HYPERLINK("https://github.com/mostafa-saad/MyCompetitiveProgramming/blob/master/UVA/UVA_11765.txt","Sol")</f>
        <v>Sol</v>
      </c>
      <c r="E5435" s="17" t="s">
        <v>6246</v>
      </c>
      <c r="F5435" s="17" t="s">
        <v>154</v>
      </c>
      <c r="G5435" s="18"/>
      <c r="H5435" s="18"/>
    </row>
    <row r="5436" spans="1:8" ht="13.2">
      <c r="A5436" s="15" t="s">
        <v>6257</v>
      </c>
      <c r="B5436" s="39" t="s">
        <v>6258</v>
      </c>
      <c r="C5436" s="24">
        <v>6.25</v>
      </c>
      <c r="D5436" s="26" t="str">
        <f>HYPERLINK("https://github.com/mostafa-saad/MyCompetitiveProgramming/blob/master/UVA/UVA_11419.txt","Sol")</f>
        <v>Sol</v>
      </c>
      <c r="E5436" s="17" t="s">
        <v>6246</v>
      </c>
      <c r="F5436" s="17" t="s">
        <v>154</v>
      </c>
      <c r="G5436" s="18"/>
      <c r="H5436" s="18"/>
    </row>
    <row r="5437" spans="1:8" ht="13.2">
      <c r="A5437" s="15" t="s">
        <v>6259</v>
      </c>
      <c r="B5437" s="29" t="s">
        <v>6248</v>
      </c>
      <c r="C5437" s="17">
        <v>6</v>
      </c>
      <c r="D5437" s="26" t="str">
        <f>HYPERLINK("https://github.com/Huvok/CompetitiveProgramming/blob/master/SPOJ/COCONUTS.cpp","Sol")</f>
        <v>Sol</v>
      </c>
      <c r="E5437" s="17" t="s">
        <v>6246</v>
      </c>
      <c r="F5437" s="17" t="s">
        <v>139</v>
      </c>
      <c r="G5437" s="18"/>
      <c r="H5437" s="18"/>
    </row>
    <row r="5438" spans="1:8" ht="13.2">
      <c r="A5438" s="15" t="s">
        <v>6260</v>
      </c>
      <c r="B5438" s="23" t="s">
        <v>6261</v>
      </c>
      <c r="C5438" s="17">
        <v>6</v>
      </c>
      <c r="D5438" s="26" t="str">
        <f>HYPERLINK("https://github.com/HeartBlue/CompetitiveProgramming/blob/master/LIVEARCHIVE/LIVEARCHIVE%205099%20Nubulsa%20Expo.cpp","Sol")</f>
        <v>Sol</v>
      </c>
      <c r="E5438" s="17" t="s">
        <v>6246</v>
      </c>
      <c r="F5438" s="17" t="s">
        <v>201</v>
      </c>
      <c r="G5438" s="18"/>
      <c r="H5438" s="18"/>
    </row>
    <row r="5439" spans="1:8" ht="13.2">
      <c r="A5439" s="15" t="s">
        <v>6262</v>
      </c>
      <c r="B5439" s="29" t="s">
        <v>6263</v>
      </c>
      <c r="C5439" s="24">
        <v>5.75</v>
      </c>
      <c r="D5439" s="26" t="str">
        <f>HYPERLINK("https://github.com/Huvok/CompetitiveProgramming/blob/master/Topcoder/SRM465-D1-500.cpp","Sol")</f>
        <v>Sol</v>
      </c>
      <c r="E5439" s="17" t="s">
        <v>6246</v>
      </c>
      <c r="F5439" s="17" t="s">
        <v>196</v>
      </c>
      <c r="G5439" s="18"/>
      <c r="H5439" s="18"/>
    </row>
    <row r="5440" spans="1:8" ht="13.2">
      <c r="A5440" s="15" t="s">
        <v>6264</v>
      </c>
      <c r="B5440" s="18" t="s">
        <v>6265</v>
      </c>
      <c r="C5440" s="17">
        <v>5.5</v>
      </c>
      <c r="D5440" s="26" t="str">
        <f>HYPERLINK("https://github.com/mostafa-saad/MyCompetitiveProgramming/blob/master/ZOJ/ZOJ_2587.txt","Sol")</f>
        <v>Sol</v>
      </c>
      <c r="E5440" s="17" t="s">
        <v>6246</v>
      </c>
      <c r="F5440" s="17" t="s">
        <v>1053</v>
      </c>
      <c r="G5440" s="18"/>
      <c r="H5440" s="18"/>
    </row>
    <row r="5441" spans="1:8" ht="13.2">
      <c r="A5441" s="15" t="s">
        <v>6266</v>
      </c>
      <c r="B5441" s="29" t="s">
        <v>6267</v>
      </c>
      <c r="C5441" s="17">
        <v>5.5</v>
      </c>
      <c r="D5441" s="26" t="str">
        <f>HYPERLINK("https://github.com/MohamedNabil97/CompetitiveProgramming/blob/master/TopCoder/SRM447-D1-500.cpp","Don't use DP. Check it later in editorial. Sol")</f>
        <v>Don't use DP. Check it later in editorial. Sol</v>
      </c>
      <c r="E5441" s="17" t="s">
        <v>6246</v>
      </c>
      <c r="F5441" s="17" t="s">
        <v>139</v>
      </c>
      <c r="G5441" s="18"/>
      <c r="H5441" s="18"/>
    </row>
    <row r="5442" spans="1:8" ht="13.2">
      <c r="A5442" s="15" t="s">
        <v>6268</v>
      </c>
      <c r="B5442" s="48" t="s">
        <v>6269</v>
      </c>
      <c r="C5442" s="17">
        <v>5.5</v>
      </c>
      <c r="D5442" s="18"/>
      <c r="E5442" s="17" t="s">
        <v>6246</v>
      </c>
      <c r="F5442" s="17"/>
      <c r="G5442" s="18"/>
      <c r="H5442" s="18"/>
    </row>
    <row r="5443" spans="1:8" ht="13.2">
      <c r="A5443" s="19" t="str">
        <f>HYPERLINK("https://uva.onlinejudge.org/index.php?option=onlinejudge&amp;page=show_problem&amp;problem=2501","UVA 11506")</f>
        <v>UVA 11506</v>
      </c>
      <c r="B5443" s="29" t="s">
        <v>6270</v>
      </c>
      <c r="C5443" s="17">
        <v>5.25</v>
      </c>
      <c r="D5443" s="26" t="str">
        <f>HYPERLINK("https://github.com/abdullaAshraf/Problem-Solving/blob/master/UVA/11506.cpp","Sol")</f>
        <v>Sol</v>
      </c>
      <c r="E5443" s="17" t="s">
        <v>6246</v>
      </c>
      <c r="F5443" s="17" t="s">
        <v>139</v>
      </c>
      <c r="G5443" s="18"/>
      <c r="H5443" s="18"/>
    </row>
    <row r="5444" spans="1:8" ht="13.2">
      <c r="A5444" s="19" t="str">
        <f>HYPERLINK("https://uva.onlinejudge.org/index.php?option=onlinejudge&amp;page=show_problem&amp;problem=1421","UVA 10480")</f>
        <v>UVA 10480</v>
      </c>
      <c r="B5444" s="29" t="s">
        <v>6271</v>
      </c>
      <c r="C5444" s="17">
        <v>4.5</v>
      </c>
      <c r="D5444" s="26" t="str">
        <f>HYPERLINK("https://github.com/abdullaAshraf/Problem-Solving/blob/master/UVA/10480.cpp","Sol")</f>
        <v>Sol</v>
      </c>
      <c r="E5444" s="17" t="s">
        <v>6246</v>
      </c>
      <c r="F5444" s="17" t="s">
        <v>139</v>
      </c>
      <c r="G5444" s="18"/>
      <c r="H5444" s="18"/>
    </row>
    <row r="5445" spans="1:8" ht="13.2">
      <c r="A5445" s="15" t="s">
        <v>6272</v>
      </c>
      <c r="B5445" s="39" t="s">
        <v>6273</v>
      </c>
      <c r="C5445" s="31">
        <v>2</v>
      </c>
      <c r="D5445" s="18"/>
      <c r="E5445" s="17" t="s">
        <v>6246</v>
      </c>
      <c r="F5445" s="17"/>
      <c r="G5445" s="18"/>
      <c r="H5445" s="18"/>
    </row>
    <row r="5446" spans="1:8" ht="13.2">
      <c r="A5446" s="19" t="str">
        <f>HYPERLINK("https://www.hackerrank.com/challenges/mathematical-expectation","HACKR mathematical-expectation")</f>
        <v>HACKR mathematical-expectation</v>
      </c>
      <c r="B5446" s="28" t="s">
        <v>6274</v>
      </c>
      <c r="C5446" s="17">
        <v>9</v>
      </c>
      <c r="D5446" s="18"/>
      <c r="E5446" s="17" t="s">
        <v>6275</v>
      </c>
      <c r="F5446" s="17"/>
      <c r="G5446" s="18"/>
      <c r="H5446" s="18"/>
    </row>
    <row r="5447" spans="1:8" ht="13.2">
      <c r="A5447" s="19" t="str">
        <f>HYPERLINK("https://www.hackerrank.com/challenges/assignment","HACKR assignment")</f>
        <v>HACKR assignment</v>
      </c>
      <c r="B5447" s="29" t="s">
        <v>6276</v>
      </c>
      <c r="C5447" s="17">
        <v>8.75</v>
      </c>
      <c r="D5447" s="18"/>
      <c r="E5447" s="17" t="s">
        <v>6275</v>
      </c>
      <c r="F5447" s="17"/>
      <c r="G5447" s="18"/>
      <c r="H5447" s="18"/>
    </row>
    <row r="5448" spans="1:8" ht="13.2">
      <c r="A5448" s="19" t="str">
        <f>HYPERLINK("https://www.hackerrank.com/challenges/random","HACKR random")</f>
        <v>HACKR random</v>
      </c>
      <c r="B5448" s="29" t="s">
        <v>6276</v>
      </c>
      <c r="C5448" s="17">
        <v>8.5</v>
      </c>
      <c r="D5448" s="18"/>
      <c r="E5448" s="17" t="s">
        <v>6275</v>
      </c>
      <c r="F5448" s="17"/>
      <c r="G5448" s="18"/>
      <c r="H5448" s="18"/>
    </row>
    <row r="5449" spans="1:8" ht="13.2">
      <c r="A5449" s="19" t="str">
        <f>HYPERLINK("https://www.hackerrank.com/challenges/rirb","HACKR rirb")</f>
        <v>HACKR rirb</v>
      </c>
      <c r="B5449" s="29" t="s">
        <v>6276</v>
      </c>
      <c r="C5449" s="17">
        <v>8</v>
      </c>
      <c r="D5449" s="18"/>
      <c r="E5449" s="17" t="s">
        <v>6275</v>
      </c>
      <c r="F5449" s="17"/>
      <c r="G5449" s="18"/>
      <c r="H5449" s="18"/>
    </row>
    <row r="5450" spans="1:8" ht="13.2">
      <c r="A5450" s="15" t="s">
        <v>6277</v>
      </c>
      <c r="B5450" s="30" t="s">
        <v>6276</v>
      </c>
      <c r="C5450" s="24">
        <v>7.5</v>
      </c>
      <c r="D5450" s="26" t="str">
        <f>HYPERLINK("https://github.com/mostafa-saad/MyCompetitiveProgramming/blob/master/TopCoder/SRM526.5-D1-500.txt","Sol")</f>
        <v>Sol</v>
      </c>
      <c r="E5450" s="17" t="s">
        <v>6275</v>
      </c>
      <c r="F5450" s="17" t="s">
        <v>173</v>
      </c>
      <c r="G5450" s="18"/>
      <c r="H5450" s="18"/>
    </row>
    <row r="5451" spans="1:8" ht="13.2">
      <c r="A5451" s="19" t="str">
        <f>HYPERLINK("https://codeforces.com/contest/1194/problem/F","CF1194-D12-F")</f>
        <v>CF1194-D12-F</v>
      </c>
      <c r="B5451" s="20" t="s">
        <v>6278</v>
      </c>
      <c r="C5451" s="21">
        <v>7</v>
      </c>
      <c r="D5451" s="18"/>
      <c r="E5451" s="17" t="s">
        <v>6275</v>
      </c>
      <c r="F5451" s="17" t="s">
        <v>139</v>
      </c>
      <c r="G5451" s="18"/>
      <c r="H5451" s="18"/>
    </row>
    <row r="5452" spans="1:8" ht="13.2">
      <c r="A5452" s="19" t="str">
        <f>HYPERLINK("https://www.hackerrank.com/challenges/kevin-and-expected-value","HACKR kevin-and-expected-value")</f>
        <v>HACKR kevin-and-expected-value</v>
      </c>
      <c r="B5452" s="29" t="s">
        <v>6279</v>
      </c>
      <c r="C5452" s="17">
        <v>7</v>
      </c>
      <c r="D5452" s="18"/>
      <c r="E5452" s="17" t="s">
        <v>6275</v>
      </c>
      <c r="F5452" s="17" t="s">
        <v>139</v>
      </c>
      <c r="G5452" s="18"/>
      <c r="H5452" s="18"/>
    </row>
    <row r="5453" spans="1:8" ht="13.2">
      <c r="A5453" s="19" t="str">
        <f>HYPERLINK("https://codeforces.com/contest/1042/problem/E","CF1042-D2-E")</f>
        <v>CF1042-D2-E</v>
      </c>
      <c r="B5453" s="15" t="s">
        <v>6276</v>
      </c>
      <c r="C5453" s="17">
        <v>6.75</v>
      </c>
      <c r="D5453" s="18"/>
      <c r="E5453" s="17" t="s">
        <v>6275</v>
      </c>
      <c r="F5453" s="17" t="s">
        <v>139</v>
      </c>
      <c r="G5453" s="18"/>
      <c r="H5453" s="18"/>
    </row>
    <row r="5454" spans="1:8" ht="13.2">
      <c r="A5454" s="15" t="s">
        <v>6280</v>
      </c>
      <c r="B5454" s="30" t="s">
        <v>6281</v>
      </c>
      <c r="C5454" s="17">
        <v>6.75</v>
      </c>
      <c r="D5454" s="18"/>
      <c r="E5454" s="17" t="s">
        <v>6275</v>
      </c>
      <c r="F5454" s="17"/>
      <c r="G5454" s="18"/>
      <c r="H5454" s="18"/>
    </row>
    <row r="5455" spans="1:8" ht="13.2">
      <c r="A5455" s="19" t="str">
        <f>HYPERLINK("http://codeforces.com/contest/280/problem/C","CF172-D1-C")</f>
        <v>CF172-D1-C</v>
      </c>
      <c r="B5455" s="28" t="s">
        <v>6274</v>
      </c>
      <c r="C5455" s="17">
        <v>6.75</v>
      </c>
      <c r="D5455" s="18"/>
      <c r="E5455" s="17" t="s">
        <v>6275</v>
      </c>
      <c r="F5455" s="17"/>
      <c r="G5455" s="18"/>
      <c r="H5455" s="18"/>
    </row>
    <row r="5456" spans="1:8" ht="13.2">
      <c r="A5456" s="19" t="str">
        <f>HYPERLINK("https://www.hackerrank.com/challenges/matchstick-experiment","HACKR matchstick-experiment")</f>
        <v>HACKR matchstick-experiment</v>
      </c>
      <c r="B5456" s="28" t="s">
        <v>6274</v>
      </c>
      <c r="C5456" s="17">
        <v>6.75</v>
      </c>
      <c r="D5456" s="18"/>
      <c r="E5456" s="17" t="s">
        <v>6275</v>
      </c>
      <c r="F5456" s="17"/>
      <c r="G5456" s="18"/>
      <c r="H5456" s="18"/>
    </row>
    <row r="5457" spans="1:8" ht="13.2">
      <c r="A5457" s="15" t="s">
        <v>6282</v>
      </c>
      <c r="B5457" s="30" t="s">
        <v>6276</v>
      </c>
      <c r="C5457" s="17">
        <v>6.5</v>
      </c>
      <c r="D5457" s="18"/>
      <c r="E5457" s="24" t="s">
        <v>6275</v>
      </c>
      <c r="F5457" s="17" t="s">
        <v>154</v>
      </c>
      <c r="G5457" s="18"/>
      <c r="H5457" s="18"/>
    </row>
    <row r="5458" spans="1:8" ht="13.2">
      <c r="A5458" s="19" t="str">
        <f>HYPERLINK("http://codeforces.com/contest/138/problem/C","CF138-D1-C")</f>
        <v>CF138-D1-C</v>
      </c>
      <c r="B5458" s="15" t="s">
        <v>6274</v>
      </c>
      <c r="C5458" s="24">
        <v>6.5</v>
      </c>
      <c r="D5458" s="18"/>
      <c r="E5458" s="17" t="s">
        <v>6275</v>
      </c>
      <c r="F5458" s="17" t="s">
        <v>139</v>
      </c>
      <c r="G5458" s="18"/>
      <c r="H5458" s="18"/>
    </row>
    <row r="5459" spans="1:8" ht="13.2">
      <c r="A5459" s="15" t="s">
        <v>6283</v>
      </c>
      <c r="B5459" s="29" t="s">
        <v>6276</v>
      </c>
      <c r="C5459" s="24">
        <v>6.5</v>
      </c>
      <c r="D5459" s="18"/>
      <c r="E5459" s="17" t="s">
        <v>6275</v>
      </c>
      <c r="F5459" s="17"/>
      <c r="G5459" s="18"/>
      <c r="H5459" s="18"/>
    </row>
    <row r="5460" spans="1:8" ht="13.2">
      <c r="A5460" s="19" t="str">
        <f>HYPERLINK("https://csacademy.com/contest/round-47/task/expected-merge/","CSA47-D")</f>
        <v>CSA47-D</v>
      </c>
      <c r="B5460" s="28" t="s">
        <v>6284</v>
      </c>
      <c r="C5460" s="17">
        <v>6.5</v>
      </c>
      <c r="D5460" s="18"/>
      <c r="E5460" s="17" t="s">
        <v>6275</v>
      </c>
      <c r="F5460" s="17"/>
      <c r="G5460" s="18"/>
      <c r="H5460" s="18"/>
    </row>
    <row r="5461" spans="1:8" ht="13.2">
      <c r="A5461" s="19" t="str">
        <f>HYPERLINK("http://codeforces.com/contest/280/problem/C","CF280-D1-C")</f>
        <v>CF280-D1-C</v>
      </c>
      <c r="B5461" s="29" t="s">
        <v>6285</v>
      </c>
      <c r="C5461" s="17">
        <v>6.25</v>
      </c>
      <c r="D5461" s="18"/>
      <c r="E5461" s="17" t="s">
        <v>6275</v>
      </c>
      <c r="F5461" s="17" t="s">
        <v>173</v>
      </c>
      <c r="G5461" s="18"/>
      <c r="H5461" s="18"/>
    </row>
    <row r="5462" spans="1:8" ht="13.2">
      <c r="A5462" s="19" t="str">
        <f>HYPERLINK("https://www.codechef.com/COOK108A/problems/EXPTPROD","CODECHEF EXPTPROD")</f>
        <v>CODECHEF EXPTPROD</v>
      </c>
      <c r="B5462" s="15" t="s">
        <v>6276</v>
      </c>
      <c r="C5462" s="17">
        <v>6.25</v>
      </c>
      <c r="D5462" s="26" t="str">
        <f>HYPERLINK("https://github.com/goswami-rahul/competitive-coding/blob/master/CompetitiveProgramming/codechef/EXPTPROD.cpp","Sol")</f>
        <v>Sol</v>
      </c>
      <c r="E5462" s="17" t="s">
        <v>6275</v>
      </c>
      <c r="F5462" s="17" t="s">
        <v>154</v>
      </c>
      <c r="G5462" s="18"/>
      <c r="H5462" s="18"/>
    </row>
    <row r="5463" spans="1:8" ht="13.2">
      <c r="A5463" s="19" t="str">
        <f>HYPERLINK("http://codeforces.com/contest/139/problem/E","CF139-D2-E")</f>
        <v>CF139-D2-E</v>
      </c>
      <c r="B5463" s="28" t="s">
        <v>6286</v>
      </c>
      <c r="C5463" s="17">
        <v>6.25</v>
      </c>
      <c r="D5463" s="18" t="s">
        <v>6287</v>
      </c>
      <c r="E5463" s="17" t="s">
        <v>6275</v>
      </c>
      <c r="F5463" s="17" t="s">
        <v>154</v>
      </c>
      <c r="G5463" s="18"/>
      <c r="H5463" s="18"/>
    </row>
    <row r="5464" spans="1:8" ht="13.2">
      <c r="A5464" s="19" t="str">
        <f>HYPERLINK("https://github.com/3agwa/CompetitiveProgramming/blob/master/CodeForces/CF268-D2-E.cpp","CF268-D2-E")</f>
        <v>CF268-D2-E</v>
      </c>
      <c r="B5464" s="29" t="s">
        <v>6288</v>
      </c>
      <c r="C5464" s="17">
        <v>6</v>
      </c>
      <c r="D5464" s="26" t="str">
        <f>HYPERLINK("https://github.com/3agwa/CompetitiveProgramming/blob/master/CodeForces/CF268-D2-E.cpp","Sol")</f>
        <v>Sol</v>
      </c>
      <c r="E5464" s="17" t="s">
        <v>6275</v>
      </c>
      <c r="F5464" s="17" t="s">
        <v>139</v>
      </c>
      <c r="G5464" s="18"/>
      <c r="H5464" s="18"/>
    </row>
    <row r="5465" spans="1:8" ht="13.2">
      <c r="A5465" s="19" t="str">
        <f>HYPERLINK("https://www.codechef.com/problems/FSSYNC","CODECHEF FSSYNC")</f>
        <v>CODECHEF FSSYNC</v>
      </c>
      <c r="B5465" s="28" t="s">
        <v>6289</v>
      </c>
      <c r="C5465" s="17">
        <v>6</v>
      </c>
      <c r="D5465" s="26" t="str">
        <f>HYPERLINK("https://github.com/AMR-KELEG/Competitive-Programming/blob/master/Codechef/FSSYNC.cpp","Sol")</f>
        <v>Sol</v>
      </c>
      <c r="E5465" s="17" t="s">
        <v>6275</v>
      </c>
      <c r="F5465" s="17" t="s">
        <v>139</v>
      </c>
      <c r="G5465" s="18"/>
      <c r="H5465" s="18"/>
    </row>
    <row r="5466" spans="1:8" ht="13.2">
      <c r="A5466" s="19" t="str">
        <f>HYPERLINK("https://codeforces.com/contest/1009/problem/E","CF1009-D12-E")</f>
        <v>CF1009-D12-E</v>
      </c>
      <c r="B5466" s="20" t="s">
        <v>6290</v>
      </c>
      <c r="C5466" s="21">
        <v>6</v>
      </c>
      <c r="D5466" s="26" t="str">
        <f>HYPERLINK("https://github.com/SpeedOfMagic/CompetitiveProgramming/blob/master/Codeforces/CF1009-D12-E.cpp","Sol")</f>
        <v>Sol</v>
      </c>
      <c r="E5466" s="17" t="s">
        <v>6275</v>
      </c>
      <c r="F5466" s="17" t="s">
        <v>201</v>
      </c>
      <c r="G5466" s="18"/>
      <c r="H5466" s="18"/>
    </row>
    <row r="5467" spans="1:8" ht="13.2">
      <c r="A5467" s="19" t="str">
        <f>HYPERLINK("http://codeforces.com/problemset/problem/846/F","CF846-D12-F")</f>
        <v>CF846-D12-F</v>
      </c>
      <c r="B5467" s="28" t="s">
        <v>6274</v>
      </c>
      <c r="C5467" s="17">
        <v>6</v>
      </c>
      <c r="D5467" s="18"/>
      <c r="E5467" s="17" t="s">
        <v>6275</v>
      </c>
      <c r="F5467" s="17" t="s">
        <v>201</v>
      </c>
      <c r="G5467" s="18"/>
      <c r="H5467" s="18"/>
    </row>
    <row r="5468" spans="1:8" ht="13.2">
      <c r="A5468" s="19" t="str">
        <f>HYPERLINK("http://codeforces.com/problemset/gymProblem/101411/K","CF101411-GYM-K")</f>
        <v>CF101411-GYM-K</v>
      </c>
      <c r="B5468" s="18" t="s">
        <v>6276</v>
      </c>
      <c r="C5468" s="17">
        <v>6</v>
      </c>
      <c r="D5468" s="18"/>
      <c r="E5468" s="17" t="s">
        <v>6275</v>
      </c>
      <c r="F5468" s="17"/>
      <c r="G5468" s="18"/>
      <c r="H5468" s="18"/>
    </row>
    <row r="5469" spans="1:8" ht="13.2">
      <c r="A5469" s="15" t="s">
        <v>6291</v>
      </c>
      <c r="B5469" s="15" t="s">
        <v>6276</v>
      </c>
      <c r="C5469" s="17">
        <v>6</v>
      </c>
      <c r="D5469" s="18"/>
      <c r="E5469" s="17" t="s">
        <v>6275</v>
      </c>
      <c r="F5469" s="17"/>
      <c r="G5469" s="18"/>
      <c r="H5469" s="18"/>
    </row>
    <row r="5470" spans="1:8" ht="13.2">
      <c r="A5470" s="19" t="str">
        <f>HYPERLINK("http://codeforces.com/problemset/problem/912/D","CF912-D2-D")</f>
        <v>CF912-D2-D</v>
      </c>
      <c r="B5470" s="18" t="s">
        <v>6292</v>
      </c>
      <c r="C5470" s="17">
        <v>5.5</v>
      </c>
      <c r="D5470" s="18"/>
      <c r="E5470" s="17" t="s">
        <v>6275</v>
      </c>
      <c r="F5470" s="17" t="s">
        <v>196</v>
      </c>
      <c r="G5470" s="18"/>
      <c r="H5470" s="18"/>
    </row>
    <row r="5471" spans="1:8" ht="13.2">
      <c r="A5471" s="15" t="s">
        <v>6293</v>
      </c>
      <c r="B5471" s="29" t="s">
        <v>6276</v>
      </c>
      <c r="C5471" s="17">
        <v>5.5</v>
      </c>
      <c r="D5471" s="18"/>
      <c r="E5471" s="17" t="s">
        <v>6275</v>
      </c>
      <c r="F5471" s="17" t="s">
        <v>139</v>
      </c>
      <c r="G5471" s="18"/>
      <c r="H5471" s="18"/>
    </row>
    <row r="5472" spans="1:8" ht="13.2">
      <c r="A5472" s="19" t="str">
        <f>HYPERLINK("http://codeforces.com/contest/500/problem/D","CF500-D12-D")</f>
        <v>CF500-D12-D</v>
      </c>
      <c r="B5472" s="29" t="s">
        <v>6294</v>
      </c>
      <c r="C5472" s="17">
        <v>5.5</v>
      </c>
      <c r="D5472" s="18"/>
      <c r="E5472" s="17" t="s">
        <v>6275</v>
      </c>
      <c r="F5472" s="17" t="s">
        <v>139</v>
      </c>
      <c r="G5472" s="18"/>
      <c r="H5472" s="18"/>
    </row>
    <row r="5473" spans="1:8" ht="13.2">
      <c r="A5473" s="19" t="str">
        <f>HYPERLINK("http://codeforces.com/contest/205/problem/E","CF205-D2-E")</f>
        <v>CF205-D2-E</v>
      </c>
      <c r="B5473" s="29" t="s">
        <v>6295</v>
      </c>
      <c r="C5473" s="17">
        <v>5.5</v>
      </c>
      <c r="D5473" s="18"/>
      <c r="E5473" s="17" t="s">
        <v>6275</v>
      </c>
      <c r="F5473" s="17" t="s">
        <v>613</v>
      </c>
      <c r="G5473" s="18"/>
      <c r="H5473" s="18"/>
    </row>
    <row r="5474" spans="1:8" ht="13.2">
      <c r="A5474" s="15" t="s">
        <v>6296</v>
      </c>
      <c r="B5474" s="28" t="s">
        <v>6297</v>
      </c>
      <c r="C5474" s="24">
        <v>5.5</v>
      </c>
      <c r="D5474" s="18"/>
      <c r="E5474" s="17" t="s">
        <v>6275</v>
      </c>
      <c r="F5474" s="17" t="s">
        <v>242</v>
      </c>
      <c r="G5474" s="18"/>
      <c r="H5474" s="18"/>
    </row>
    <row r="5475" spans="1:8" ht="13.2">
      <c r="A5475" s="15" t="s">
        <v>6298</v>
      </c>
      <c r="B5475" s="30" t="s">
        <v>6299</v>
      </c>
      <c r="C5475" s="17">
        <v>5.25</v>
      </c>
      <c r="D5475" s="26" t="str">
        <f>HYPERLINK("https://github.com/tmwilliamlin168/CompetitiveProgramming/blob/master/TopCoder/SRM515-D2-1000.java", "Sol")</f>
        <v>Sol</v>
      </c>
      <c r="E5475" s="24" t="s">
        <v>6275</v>
      </c>
      <c r="F5475" s="17" t="s">
        <v>255</v>
      </c>
      <c r="G5475" s="18"/>
      <c r="H5475" s="18"/>
    </row>
    <row r="5476" spans="1:8" ht="13.2">
      <c r="A5476" s="19" t="str">
        <f>HYPERLINK("https://codeforces.com/gym/102020/problem/E", "CF102020-GYM-E")</f>
        <v>CF102020-GYM-E</v>
      </c>
      <c r="B5476" s="15" t="s">
        <v>6276</v>
      </c>
      <c r="C5476" s="17">
        <v>5</v>
      </c>
      <c r="D5476" s="26" t="str">
        <f>HYPERLINK("https://github.com/YazanZebak/CompetitiveProgramming/blob/master/Codeforces/CF102020-GYM-E.cpp", "Sol")</f>
        <v>Sol</v>
      </c>
      <c r="E5476" s="17" t="s">
        <v>6275</v>
      </c>
      <c r="F5476" s="17" t="s">
        <v>139</v>
      </c>
      <c r="G5476" s="18"/>
      <c r="H5476" s="18"/>
    </row>
    <row r="5477" spans="1:8" ht="13.2">
      <c r="A5477" s="19" t="str">
        <f>HYPERLINK("https://www.hackerrank.com/challenges/vertical-sticks","HACKR vertical-sticks")</f>
        <v>HACKR vertical-sticks</v>
      </c>
      <c r="B5477" s="29" t="s">
        <v>6274</v>
      </c>
      <c r="C5477" s="17">
        <v>5</v>
      </c>
      <c r="D5477" s="18"/>
      <c r="E5477" s="17" t="s">
        <v>6275</v>
      </c>
      <c r="F5477" s="17" t="s">
        <v>139</v>
      </c>
      <c r="G5477" s="18"/>
      <c r="H5477" s="18"/>
    </row>
    <row r="5478" spans="1:8" ht="13.2">
      <c r="A5478" s="15" t="s">
        <v>6300</v>
      </c>
      <c r="B5478" s="29" t="s">
        <v>6301</v>
      </c>
      <c r="C5478" s="17">
        <v>5</v>
      </c>
      <c r="D5478" s="18"/>
      <c r="E5478" s="17" t="s">
        <v>6275</v>
      </c>
      <c r="F5478" s="17" t="s">
        <v>139</v>
      </c>
      <c r="G5478" s="18"/>
      <c r="H5478" s="18"/>
    </row>
    <row r="5479" spans="1:8" ht="13.2">
      <c r="A5479" s="19" t="str">
        <f>HYPERLINK("http://codeforces.com/contest/621/problem/C","CF621-D2-C")</f>
        <v>CF621-D2-C</v>
      </c>
      <c r="B5479" s="29" t="s">
        <v>6276</v>
      </c>
      <c r="C5479" s="17">
        <v>4.5</v>
      </c>
      <c r="D5479" s="18"/>
      <c r="E5479" s="17" t="s">
        <v>6275</v>
      </c>
      <c r="F5479" s="17" t="s">
        <v>139</v>
      </c>
      <c r="G5479" s="18"/>
      <c r="H5479" s="18"/>
    </row>
    <row r="5480" spans="1:8" ht="13.2">
      <c r="A5480" s="19" t="str">
        <f>HYPERLINK("http://codeforces.com/contest/443/problem/D","CF443-D2-D")</f>
        <v>CF443-D2-D</v>
      </c>
      <c r="B5480" s="29" t="s">
        <v>6302</v>
      </c>
      <c r="C5480" s="17">
        <v>4.5</v>
      </c>
      <c r="D5480" s="26" t="str">
        <f>HYPERLINK("http://codeforces.com/contest/443/submission/27060632","Sol")</f>
        <v>Sol</v>
      </c>
      <c r="E5480" s="17" t="s">
        <v>6275</v>
      </c>
      <c r="F5480" s="17" t="s">
        <v>139</v>
      </c>
      <c r="G5480" s="18"/>
      <c r="H5480" s="18"/>
    </row>
    <row r="5481" spans="1:8" ht="13.2">
      <c r="A5481" s="19" t="str">
        <f>HYPERLINK("http://codeforces.com/contest/454/problem/C","CF454-D2-C")</f>
        <v>CF454-D2-C</v>
      </c>
      <c r="B5481" s="29" t="s">
        <v>6303</v>
      </c>
      <c r="C5481" s="17">
        <v>4.5</v>
      </c>
      <c r="D5481" s="18"/>
      <c r="E5481" s="17" t="s">
        <v>6275</v>
      </c>
      <c r="F5481" s="17" t="s">
        <v>242</v>
      </c>
      <c r="G5481" s="18"/>
      <c r="H5481" s="18"/>
    </row>
    <row r="5482" spans="1:8" ht="13.2">
      <c r="A5482" s="15" t="s">
        <v>6304</v>
      </c>
      <c r="B5482" s="29" t="s">
        <v>6305</v>
      </c>
      <c r="C5482" s="17">
        <v>4</v>
      </c>
      <c r="D5482" s="18"/>
      <c r="E5482" s="17" t="s">
        <v>6275</v>
      </c>
      <c r="F5482" s="17" t="s">
        <v>229</v>
      </c>
      <c r="G5482" s="18"/>
      <c r="H5482" s="18"/>
    </row>
    <row r="5483" spans="1:8" ht="13.2">
      <c r="A5483" s="19" t="str">
        <f>HYPERLINK("http://codeforces.com/contest/839/problem/C","CF839-D2-C")</f>
        <v>CF839-D2-C</v>
      </c>
      <c r="B5483" s="29" t="s">
        <v>6294</v>
      </c>
      <c r="C5483" s="17">
        <v>4</v>
      </c>
      <c r="D5483" s="18"/>
      <c r="E5483" s="17" t="s">
        <v>6275</v>
      </c>
      <c r="F5483" s="17" t="s">
        <v>201</v>
      </c>
      <c r="G5483" s="18"/>
      <c r="H5483" s="18"/>
    </row>
    <row r="5484" spans="1:8" ht="13.2">
      <c r="A5484" s="19" t="str">
        <f>HYPERLINK("https://uva.onlinejudge.org/index.php?option=com_onlinejudge&amp;Itemid=8&amp;page=show_problem&amp;problem=1718","UVA 10777")</f>
        <v>UVA 10777</v>
      </c>
      <c r="B5484" s="29" t="s">
        <v>6306</v>
      </c>
      <c r="C5484" s="17">
        <v>4</v>
      </c>
      <c r="D5484" s="26" t="str">
        <f>HYPERLINK("https://github.com/mostafa-saad/MyCompetitiveProgramming/blob/master/UVA/UVA_10777.txt","Sol")</f>
        <v>Sol</v>
      </c>
      <c r="E5484" s="17" t="s">
        <v>6275</v>
      </c>
      <c r="F5484" s="17"/>
      <c r="G5484" s="18"/>
      <c r="H5484" s="18"/>
    </row>
    <row r="5485" spans="1:8" ht="13.2">
      <c r="A5485" s="19" t="str">
        <f>HYPERLINK("https://csacademy.com/contest/round-43/task/diesel-train/","CSA43-C")</f>
        <v>CSA43-C</v>
      </c>
      <c r="B5485" s="15" t="s">
        <v>6307</v>
      </c>
      <c r="C5485" s="17">
        <v>4</v>
      </c>
      <c r="D5485" s="18"/>
      <c r="E5485" s="17" t="s">
        <v>6275</v>
      </c>
      <c r="F5485" s="17"/>
      <c r="G5485" s="18"/>
      <c r="H5485" s="18"/>
    </row>
    <row r="5486" spans="1:8" ht="13.2">
      <c r="A5486" s="19" t="str">
        <f>HYPERLINK("https://www.hackerrank.com/challenges/lazy-sorting","HACKR lazy-sorting")</f>
        <v>HACKR lazy-sorting</v>
      </c>
      <c r="B5486" s="29" t="s">
        <v>6308</v>
      </c>
      <c r="C5486" s="17">
        <v>4</v>
      </c>
      <c r="D5486" s="26" t="str">
        <f>HYPERLINK("https://www.youtube.com/watch?v=j__Kredt7vY","Revise Expected Value")</f>
        <v>Revise Expected Value</v>
      </c>
      <c r="E5486" s="17" t="s">
        <v>6275</v>
      </c>
      <c r="F5486" s="17"/>
      <c r="G5486" s="18"/>
      <c r="H5486" s="18"/>
    </row>
    <row r="5487" spans="1:8" ht="13.2">
      <c r="A5487" s="15" t="s">
        <v>6309</v>
      </c>
      <c r="B5487" s="20" t="s">
        <v>6310</v>
      </c>
      <c r="C5487" s="21">
        <v>8</v>
      </c>
      <c r="D5487" s="18"/>
      <c r="E5487" s="17" t="s">
        <v>6311</v>
      </c>
      <c r="F5487" s="17"/>
      <c r="G5487" s="18"/>
      <c r="H5487" s="18"/>
    </row>
    <row r="5488" spans="1:8" ht="13.2">
      <c r="A5488" s="19" t="str">
        <f>HYPERLINK("http://codeforces.com/contest/487/problem/E","CF487-D1-E")</f>
        <v>CF487-D1-E</v>
      </c>
      <c r="B5488" s="15" t="s">
        <v>6312</v>
      </c>
      <c r="C5488" s="24">
        <v>8</v>
      </c>
      <c r="D5488" s="18"/>
      <c r="E5488" s="17" t="s">
        <v>6311</v>
      </c>
      <c r="F5488" s="17"/>
      <c r="G5488" s="18"/>
      <c r="H5488" s="18"/>
    </row>
    <row r="5489" spans="1:8" ht="13.2">
      <c r="A5489" s="19" t="str">
        <f>HYPERLINK("http://codeforces.com/contest/348/problem/E","CF348-D1-E")</f>
        <v>CF348-D1-E</v>
      </c>
      <c r="B5489" s="15" t="s">
        <v>6313</v>
      </c>
      <c r="C5489" s="24">
        <v>8</v>
      </c>
      <c r="D5489" s="18"/>
      <c r="E5489" s="17" t="s">
        <v>6311</v>
      </c>
      <c r="F5489" s="17"/>
      <c r="G5489" s="18"/>
      <c r="H5489" s="18"/>
    </row>
    <row r="5490" spans="1:8" ht="13.2">
      <c r="A5490" s="19" t="str">
        <f>HYPERLINK("http://www.codechef.com/problems/DGCD","CODECHEF DGCD")</f>
        <v>CODECHEF DGCD</v>
      </c>
      <c r="B5490" s="29" t="s">
        <v>6314</v>
      </c>
      <c r="C5490" s="40">
        <v>8</v>
      </c>
      <c r="D5490" s="18"/>
      <c r="E5490" s="17" t="s">
        <v>6311</v>
      </c>
      <c r="F5490" s="17"/>
      <c r="G5490" s="18"/>
      <c r="H5490" s="18"/>
    </row>
    <row r="5491" spans="1:8" ht="13.2">
      <c r="A5491" s="19" t="str">
        <f>HYPERLINK("https://www.codechef.com/problems/QTREE6","CODECHEF QTREE6")</f>
        <v>CODECHEF QTREE6</v>
      </c>
      <c r="B5491" s="29" t="s">
        <v>6315</v>
      </c>
      <c r="C5491" s="24">
        <v>8</v>
      </c>
      <c r="D5491" s="18"/>
      <c r="E5491" s="17" t="s">
        <v>6311</v>
      </c>
      <c r="F5491" s="17"/>
      <c r="G5491" s="18"/>
      <c r="H5491" s="18"/>
    </row>
    <row r="5492" spans="1:8" ht="13.2">
      <c r="A5492" s="19" t="str">
        <f>HYPERLINK("https://codeforces.com/contest/1017/problem/G","CF1017-D12-G")</f>
        <v>CF1017-D12-G</v>
      </c>
      <c r="B5492" s="15" t="s">
        <v>6316</v>
      </c>
      <c r="C5492" s="17">
        <v>8</v>
      </c>
      <c r="D5492" s="18"/>
      <c r="E5492" s="17" t="s">
        <v>6311</v>
      </c>
      <c r="F5492" s="17"/>
      <c r="G5492" s="18"/>
      <c r="H5492" s="18"/>
    </row>
    <row r="5493" spans="1:8" ht="13.2">
      <c r="A5493" s="19" t="str">
        <f>HYPERLINK("https://codeforces.com/problemset/problem/1007/D", "CF1007-D1-D")</f>
        <v>CF1007-D1-D</v>
      </c>
      <c r="B5493" s="15" t="s">
        <v>6317</v>
      </c>
      <c r="C5493" s="17">
        <v>7.5</v>
      </c>
      <c r="D5493" s="18"/>
      <c r="E5493" s="17" t="s">
        <v>6311</v>
      </c>
      <c r="F5493" s="17" t="s">
        <v>139</v>
      </c>
      <c r="G5493" s="18"/>
      <c r="H5493" s="18"/>
    </row>
    <row r="5494" spans="1:8" ht="13.2">
      <c r="A5494" s="19" t="str">
        <f>HYPERLINK("https://ipsc.ksp.sk/2009/real/problems/l.html","IPSC09-L")</f>
        <v>IPSC09-L</v>
      </c>
      <c r="B5494" s="29" t="s">
        <v>6314</v>
      </c>
      <c r="C5494" s="40">
        <v>7.5</v>
      </c>
      <c r="D5494" s="18"/>
      <c r="E5494" s="17" t="s">
        <v>6311</v>
      </c>
      <c r="F5494" s="17"/>
      <c r="G5494" s="18"/>
      <c r="H5494" s="18"/>
    </row>
    <row r="5495" spans="1:8" ht="13.2">
      <c r="A5495" s="19" t="str">
        <f>HYPERLINK("https://codeforces.com/gym/101908/problem/H","CF101908-Gym-H")</f>
        <v>CF101908-Gym-H</v>
      </c>
      <c r="B5495" s="15" t="s">
        <v>6318</v>
      </c>
      <c r="C5495" s="21">
        <v>7.25</v>
      </c>
      <c r="D5495" s="26" t="str">
        <f>HYPERLINK("https://github.com/swapnil119/CompetitiveProgramming/blob/master/CompetitiveProgramming/Codeforces/CF101908-GYM-H.cpp","Sol")</f>
        <v>Sol</v>
      </c>
      <c r="E5495" s="17" t="s">
        <v>6311</v>
      </c>
      <c r="F5495" s="17" t="s">
        <v>139</v>
      </c>
      <c r="G5495" s="18"/>
      <c r="H5495" s="18"/>
    </row>
    <row r="5496" spans="1:8" ht="13.2">
      <c r="A5496" s="15" t="s">
        <v>6319</v>
      </c>
      <c r="B5496" s="30" t="s">
        <v>6320</v>
      </c>
      <c r="C5496" s="24">
        <v>7.25</v>
      </c>
      <c r="D5496" s="18"/>
      <c r="E5496" s="17" t="s">
        <v>6311</v>
      </c>
      <c r="F5496" s="17"/>
      <c r="G5496" s="18"/>
      <c r="H5496" s="18"/>
    </row>
    <row r="5497" spans="1:8" ht="13.2">
      <c r="A5497" s="15" t="s">
        <v>6321</v>
      </c>
      <c r="B5497" s="29" t="s">
        <v>6314</v>
      </c>
      <c r="C5497" s="24">
        <v>7.25</v>
      </c>
      <c r="D5497" s="18"/>
      <c r="E5497" s="17" t="s">
        <v>6311</v>
      </c>
      <c r="F5497" s="17"/>
      <c r="G5497" s="18"/>
      <c r="H5497" s="18"/>
    </row>
    <row r="5498" spans="1:8" ht="13.2">
      <c r="A5498" s="19" t="str">
        <f>HYPERLINK("http://codeforces.com/contest/696/problem/E","CF696-D1-E")</f>
        <v>CF696-D1-E</v>
      </c>
      <c r="B5498" s="30" t="s">
        <v>6322</v>
      </c>
      <c r="C5498" s="40">
        <v>7</v>
      </c>
      <c r="D5498" s="18"/>
      <c r="E5498" s="17" t="s">
        <v>6311</v>
      </c>
      <c r="F5498" s="17" t="s">
        <v>139</v>
      </c>
      <c r="G5498" s="18"/>
      <c r="H5498" s="18"/>
    </row>
    <row r="5499" spans="1:8" ht="13.2">
      <c r="A5499" s="19" t="str">
        <f>HYPERLINK("http://codeforces.com/contest/613/problem/D","CF613-D1-D")</f>
        <v>CF613-D1-D</v>
      </c>
      <c r="B5499" s="15" t="s">
        <v>6323</v>
      </c>
      <c r="C5499" s="24">
        <v>7</v>
      </c>
      <c r="D5499" s="18"/>
      <c r="E5499" s="17" t="s">
        <v>6311</v>
      </c>
      <c r="F5499" s="17" t="s">
        <v>201</v>
      </c>
      <c r="G5499" s="18"/>
      <c r="H5499" s="18"/>
    </row>
    <row r="5500" spans="1:8" ht="13.2">
      <c r="A5500" s="19" t="str">
        <f>HYPERLINK("http://codeforces.com/contest/601/problem/D","CF601-D1-D")</f>
        <v>CF601-D1-D</v>
      </c>
      <c r="B5500" s="29" t="s">
        <v>6324</v>
      </c>
      <c r="C5500" s="17">
        <v>7</v>
      </c>
      <c r="D5500" s="18"/>
      <c r="E5500" s="17" t="s">
        <v>6311</v>
      </c>
      <c r="F5500" s="17"/>
      <c r="G5500" s="18"/>
      <c r="H5500" s="18"/>
    </row>
    <row r="5501" spans="1:8" ht="13.2">
      <c r="A5501" s="19" t="str">
        <f>HYPERLINK("http://codeforces.com/contest/588/problem/E","CF588-D2-E")</f>
        <v>CF588-D2-E</v>
      </c>
      <c r="B5501" s="30" t="s">
        <v>6325</v>
      </c>
      <c r="C5501" s="17">
        <v>7</v>
      </c>
      <c r="D5501" s="18"/>
      <c r="E5501" s="17" t="s">
        <v>6311</v>
      </c>
      <c r="F5501" s="17"/>
      <c r="G5501" s="18"/>
      <c r="H5501" s="18"/>
    </row>
    <row r="5502" spans="1:8" ht="13.2">
      <c r="A5502" s="19" t="str">
        <f>HYPERLINK("https://www.codechef.com/problems/MONOPLOY","CODECHEF MONOPLOY")</f>
        <v>CODECHEF MONOPLOY</v>
      </c>
      <c r="B5502" s="29" t="s">
        <v>6326</v>
      </c>
      <c r="C5502" s="40">
        <v>6.75</v>
      </c>
      <c r="D5502" s="18"/>
      <c r="E5502" s="17" t="s">
        <v>6311</v>
      </c>
      <c r="F5502" s="17" t="s">
        <v>154</v>
      </c>
      <c r="G5502" s="18"/>
      <c r="H5502" s="18"/>
    </row>
    <row r="5503" spans="1:8" ht="13.2">
      <c r="A5503" s="19" t="str">
        <f>HYPERLINK("https://codeforces.com/contest/828/problem/F","CF828-D2-F")</f>
        <v>CF828-D2-F</v>
      </c>
      <c r="B5503" s="25" t="s">
        <v>6325</v>
      </c>
      <c r="C5503" s="17">
        <v>6.5</v>
      </c>
      <c r="D5503" s="18"/>
      <c r="E5503" s="17" t="s">
        <v>6311</v>
      </c>
      <c r="F5503" s="17" t="s">
        <v>154</v>
      </c>
      <c r="G5503" s="18"/>
      <c r="H5503" s="18"/>
    </row>
    <row r="5504" spans="1:8" ht="13.2">
      <c r="A5504" s="19" t="str">
        <f>HYPERLINK("http://www.codechef.com/problems/GERALD2","CODECHEF GERALD2")</f>
        <v>CODECHEF GERALD2</v>
      </c>
      <c r="B5504" s="30" t="s">
        <v>6320</v>
      </c>
      <c r="C5504" s="40">
        <v>6.5</v>
      </c>
      <c r="D5504" s="18"/>
      <c r="E5504" s="17" t="s">
        <v>6311</v>
      </c>
      <c r="F5504" s="17" t="s">
        <v>139</v>
      </c>
      <c r="G5504" s="18"/>
      <c r="H5504" s="18"/>
    </row>
    <row r="5505" spans="1:8" ht="13.2">
      <c r="A5505" s="19" t="str">
        <f>HYPERLINK("http://www.codechef.com/problems/QTREE","CODECHEF QTREE")</f>
        <v>CODECHEF QTREE</v>
      </c>
      <c r="B5505" s="29" t="s">
        <v>6314</v>
      </c>
      <c r="C5505" s="40">
        <v>6.25</v>
      </c>
      <c r="D5505" s="18"/>
      <c r="E5505" s="17" t="s">
        <v>6311</v>
      </c>
      <c r="F5505" s="17" t="s">
        <v>139</v>
      </c>
      <c r="G5505" s="18"/>
      <c r="H5505" s="18"/>
    </row>
    <row r="5506" spans="1:8" ht="13.2">
      <c r="A5506" s="15" t="s">
        <v>6327</v>
      </c>
      <c r="B5506" s="30" t="s">
        <v>6328</v>
      </c>
      <c r="C5506" s="40">
        <v>6</v>
      </c>
      <c r="D5506" s="26" t="str">
        <f>HYPERLINK("https://github.com/Coder-Boy1/SPOJ/blob/master/SPOJ%20GOT","Sol")</f>
        <v>Sol</v>
      </c>
      <c r="E5506" s="17" t="s">
        <v>6311</v>
      </c>
      <c r="F5506" s="17" t="s">
        <v>201</v>
      </c>
      <c r="G5506" s="18"/>
      <c r="H5506" s="18"/>
    </row>
    <row r="5507" spans="1:8" ht="13.2">
      <c r="A5507" s="19" t="str">
        <f>HYPERLINK("http://www.codechef.com/problems/QUERY","CODECHEF QUERY")</f>
        <v>CODECHEF QUERY</v>
      </c>
      <c r="B5507" s="30" t="s">
        <v>6329</v>
      </c>
      <c r="C5507" s="40">
        <v>6</v>
      </c>
      <c r="D5507" s="18"/>
      <c r="E5507" s="17" t="s">
        <v>6311</v>
      </c>
      <c r="F5507" s="17" t="s">
        <v>201</v>
      </c>
      <c r="G5507" s="18"/>
      <c r="H5507" s="18"/>
    </row>
    <row r="5508" spans="1:8" ht="13.2">
      <c r="A5508" s="19" t="str">
        <f>HYPERLINK("https://www.codechef.com/JUNE19A/problems/INTRPATH","Codechef INTRPATH")</f>
        <v>Codechef INTRPATH</v>
      </c>
      <c r="B5508" s="20" t="s">
        <v>6330</v>
      </c>
      <c r="C5508" s="21">
        <v>5.5</v>
      </c>
      <c r="D5508" s="18"/>
      <c r="E5508" s="17" t="s">
        <v>6311</v>
      </c>
      <c r="F5508" s="17" t="s">
        <v>139</v>
      </c>
      <c r="G5508" s="18"/>
      <c r="H5508" s="18"/>
    </row>
    <row r="5509" spans="1:8" ht="13.2">
      <c r="A5509" s="15" t="s">
        <v>6331</v>
      </c>
      <c r="B5509" s="28" t="s">
        <v>6332</v>
      </c>
      <c r="C5509" s="24">
        <v>5.5</v>
      </c>
      <c r="D5509" s="18"/>
      <c r="E5509" s="17" t="s">
        <v>6311</v>
      </c>
      <c r="F5509" s="17" t="s">
        <v>139</v>
      </c>
      <c r="G5509" s="18"/>
      <c r="H5509" s="18"/>
    </row>
    <row r="5510" spans="1:8" ht="13.2">
      <c r="A5510" s="19" t="str">
        <f>HYPERLINK("http://codeforces.com/contest/343/problem/D","CF343-D1-D")</f>
        <v>CF343-D1-D</v>
      </c>
      <c r="B5510" s="29" t="s">
        <v>6333</v>
      </c>
      <c r="C5510" s="17">
        <v>5.5</v>
      </c>
      <c r="D5510" s="18"/>
      <c r="E5510" s="17" t="s">
        <v>6311</v>
      </c>
      <c r="F5510" s="17" t="s">
        <v>139</v>
      </c>
      <c r="G5510" s="18"/>
      <c r="H5510" s="18"/>
    </row>
    <row r="5511" spans="1:8" ht="13.2">
      <c r="A5511" s="15" t="s">
        <v>6334</v>
      </c>
      <c r="B5511" s="28" t="s">
        <v>6335</v>
      </c>
      <c r="C5511" s="24">
        <v>5.5</v>
      </c>
      <c r="D5511" s="26" t="str">
        <f>HYPERLINK("https://github.com/mostafa-saad/MyCompetitiveProgramming/blob/master/PKU/PKU_2763.txt","Sol")</f>
        <v>Sol</v>
      </c>
      <c r="E5511" s="17" t="s">
        <v>6311</v>
      </c>
      <c r="F5511" s="17"/>
      <c r="G5511" s="18"/>
      <c r="H5511" s="18"/>
    </row>
    <row r="5512" spans="1:8" ht="13.2">
      <c r="A5512" s="15" t="s">
        <v>6336</v>
      </c>
      <c r="B5512" s="30" t="s">
        <v>6325</v>
      </c>
      <c r="C5512" s="54">
        <v>5</v>
      </c>
      <c r="D5512" s="18"/>
      <c r="E5512" s="17" t="s">
        <v>6311</v>
      </c>
      <c r="F5512" s="17" t="s">
        <v>201</v>
      </c>
      <c r="G5512" s="18"/>
      <c r="H5512" s="18"/>
    </row>
    <row r="5513" spans="1:8" ht="13.2">
      <c r="A5513" s="15" t="s">
        <v>6337</v>
      </c>
      <c r="B5513" s="28" t="s">
        <v>6338</v>
      </c>
      <c r="C5513" s="24">
        <v>5</v>
      </c>
      <c r="D5513" s="26" t="str">
        <f>HYPERLINK("https://github.com/WaleedAbdelhakim/Competitive-Programming/blob/master/SPOJ/QTREE3.cpp","Sol")</f>
        <v>Sol</v>
      </c>
      <c r="E5513" s="17" t="s">
        <v>6311</v>
      </c>
      <c r="F5513" s="17"/>
      <c r="G5513" s="18"/>
      <c r="H5513" s="18"/>
    </row>
    <row r="5514" spans="1:8" ht="13.2">
      <c r="A5514" s="15" t="s">
        <v>6339</v>
      </c>
      <c r="B5514" s="28" t="s">
        <v>6340</v>
      </c>
      <c r="C5514" s="24">
        <v>5</v>
      </c>
      <c r="D5514" s="18"/>
      <c r="E5514" s="17" t="s">
        <v>6311</v>
      </c>
      <c r="F5514" s="17"/>
      <c r="G5514" s="18"/>
      <c r="H5514" s="18"/>
    </row>
    <row r="5515" spans="1:8" ht="13.2">
      <c r="A5515" s="15" t="s">
        <v>6341</v>
      </c>
      <c r="B5515" s="29" t="s">
        <v>6314</v>
      </c>
      <c r="C5515" s="24">
        <v>5</v>
      </c>
      <c r="D5515" s="26" t="str">
        <f>HYPERLINK("https://github.com/luciocf/OI-Problems/blob/master/USACO/USACO%202011-2012/Gold/Dec%202011/grassplant.cpp","Sol")</f>
        <v>Sol</v>
      </c>
      <c r="E5515" s="17" t="s">
        <v>6311</v>
      </c>
      <c r="F5515" s="17"/>
      <c r="G5515" s="18"/>
      <c r="H5515" s="18"/>
    </row>
    <row r="5516" spans="1:8" ht="13.2">
      <c r="A5516" s="19" t="str">
        <f>HYPERLINK("http://www.lightoj.com/volume_showproblem.php?problem=1348","LightOJ 1188")</f>
        <v>LightOJ 1188</v>
      </c>
      <c r="B5516" s="29" t="s">
        <v>6342</v>
      </c>
      <c r="C5516" s="33">
        <v>4</v>
      </c>
      <c r="D5516" s="18"/>
      <c r="E5516" s="17" t="s">
        <v>6311</v>
      </c>
      <c r="F5516" s="17"/>
      <c r="G5516" s="18"/>
      <c r="H5516" s="18"/>
    </row>
    <row r="5517" spans="1:8" ht="13.2">
      <c r="A5517" s="19" t="str">
        <f>HYPERLINK("https://codeforces.com/problemset/problem/1254/D", "CF1254-D1-D")</f>
        <v>CF1254-D1-D</v>
      </c>
      <c r="B5517" s="20" t="s">
        <v>6343</v>
      </c>
      <c r="C5517" s="17"/>
      <c r="D5517" s="18"/>
      <c r="E5517" s="17" t="s">
        <v>6311</v>
      </c>
      <c r="F5517" s="17" t="s">
        <v>139</v>
      </c>
      <c r="G5517" s="18"/>
      <c r="H5517" s="18"/>
    </row>
    <row r="5518" spans="1:8" ht="13.2">
      <c r="A5518" s="19" t="str">
        <f>HYPERLINK("https://www.hackerrank.com/contests/w38/challenges/neighborhood-queries", "HACKR neighborhood-queries")</f>
        <v>HACKR neighborhood-queries</v>
      </c>
      <c r="B5518" s="20" t="s">
        <v>6344</v>
      </c>
      <c r="C5518" s="21">
        <v>7.5</v>
      </c>
      <c r="D5518" s="26" t="str">
        <f>HYPERLINK("https://github.com/mostafa-saad/MyCompetitiveProgramming/blob/master/HACKERRANK/HACKR-neighborhood-queries.txt", "Sol")</f>
        <v>Sol</v>
      </c>
      <c r="E5518" s="17" t="s">
        <v>6345</v>
      </c>
      <c r="F5518" s="17" t="s">
        <v>154</v>
      </c>
      <c r="G5518" s="18"/>
      <c r="H5518" s="18"/>
    </row>
    <row r="5519" spans="1:8" ht="13.2">
      <c r="A5519" s="19" t="str">
        <f>HYPERLINK("https://codeforces.com/contest/1205/problem/D", "CF1205-D1-D")</f>
        <v>CF1205-D1-D</v>
      </c>
      <c r="B5519" s="20" t="s">
        <v>6346</v>
      </c>
      <c r="C5519" s="21">
        <v>6.75</v>
      </c>
      <c r="D5519" s="18"/>
      <c r="E5519" s="17" t="s">
        <v>6345</v>
      </c>
      <c r="F5519" s="17" t="s">
        <v>154</v>
      </c>
      <c r="G5519" s="18"/>
      <c r="H5519" s="18"/>
    </row>
    <row r="5520" spans="1:8" ht="13.2">
      <c r="A5520" s="19" t="str">
        <f>HYPERLINK("http://codeforces.com/contest/833/problem/D","CF833-D1-D")</f>
        <v>CF833-D1-D</v>
      </c>
      <c r="B5520" s="15" t="s">
        <v>6347</v>
      </c>
      <c r="C5520" s="17">
        <v>6.75</v>
      </c>
      <c r="D5520" s="26" t="str">
        <f>HYPERLINK("https://github.com/tmwilliamlin168/CompetitiveProgramming/blob/master/CodeForces/0833D.cpp", "Sol")</f>
        <v>Sol</v>
      </c>
      <c r="E5520" s="17" t="s">
        <v>6345</v>
      </c>
      <c r="F5520" s="17" t="s">
        <v>201</v>
      </c>
      <c r="G5520" s="18"/>
      <c r="H5520" s="18"/>
    </row>
    <row r="5521" spans="1:8" ht="13.2">
      <c r="A5521" s="19" t="str">
        <f>HYPERLINK("http://codeforces.com/contest/914/problem/E","CF914-D12-E")</f>
        <v>CF914-D12-E</v>
      </c>
      <c r="B5521" s="18" t="s">
        <v>6348</v>
      </c>
      <c r="C5521" s="17">
        <v>6.25</v>
      </c>
      <c r="D5521" s="18"/>
      <c r="E5521" s="17" t="s">
        <v>6345</v>
      </c>
      <c r="F5521" s="17" t="s">
        <v>1112</v>
      </c>
      <c r="G5521" s="18"/>
      <c r="H5521" s="18"/>
    </row>
    <row r="5522" spans="1:8" ht="13.2">
      <c r="A5522" s="19" t="str">
        <f>HYPERLINK("https://codeforces.com/gym/100570/problem/F","CF100570-gym-F")</f>
        <v>CF100570-gym-F</v>
      </c>
      <c r="B5522" s="15" t="s">
        <v>6349</v>
      </c>
      <c r="C5522" s="21">
        <v>6</v>
      </c>
      <c r="D5522" s="18"/>
      <c r="E5522" s="17" t="s">
        <v>6345</v>
      </c>
      <c r="F5522" s="17" t="s">
        <v>154</v>
      </c>
      <c r="G5522" s="18"/>
      <c r="H5522" s="18"/>
    </row>
    <row r="5523" spans="1:8" ht="13.2">
      <c r="A5523" s="19" t="str">
        <f>HYPERLINK("https://www.codechef.com/problems/PRIMEDST","CODECHEF PRIMEDST")</f>
        <v>CODECHEF PRIMEDST</v>
      </c>
      <c r="B5523" s="18" t="s">
        <v>6350</v>
      </c>
      <c r="C5523" s="17">
        <v>6</v>
      </c>
      <c r="D5523" s="18"/>
      <c r="E5523" s="17" t="s">
        <v>6345</v>
      </c>
      <c r="F5523" s="17" t="s">
        <v>154</v>
      </c>
      <c r="G5523" s="18"/>
      <c r="H5523" s="18"/>
    </row>
    <row r="5524" spans="1:8" ht="13.2">
      <c r="A5524" s="19" t="str">
        <f>HYPERLINK("https://www.hackerrank.com/challenges/bst-maintenance/problem","HACKER bst-maintenance")</f>
        <v>HACKER bst-maintenance</v>
      </c>
      <c r="B5524" s="15" t="s">
        <v>6349</v>
      </c>
      <c r="C5524" s="21">
        <v>6</v>
      </c>
      <c r="D5524" s="18"/>
      <c r="E5524" s="17" t="s">
        <v>6345</v>
      </c>
      <c r="F5524" s="17" t="s">
        <v>139</v>
      </c>
      <c r="G5524" s="18"/>
      <c r="H5524" s="18"/>
    </row>
    <row r="5525" spans="1:8" ht="13.2">
      <c r="A5525" s="19" t="str">
        <f>HYPERLINK("http://codeforces.com/contest/322/problem/E","CF322-D2-E")</f>
        <v>CF322-D2-E</v>
      </c>
      <c r="B5525" s="29" t="s">
        <v>6351</v>
      </c>
      <c r="C5525" s="17">
        <v>6</v>
      </c>
      <c r="D5525" s="18"/>
      <c r="E5525" s="17" t="s">
        <v>6345</v>
      </c>
      <c r="F5525" s="17" t="s">
        <v>139</v>
      </c>
      <c r="G5525" s="18"/>
      <c r="H5525" s="18"/>
    </row>
    <row r="5526" spans="1:8" ht="13.2">
      <c r="A5526" s="19" t="str">
        <f>HYPERLINK("https://www.devskill.com/CodingProblems/ViewProblem/176","DCP 176")</f>
        <v>DCP 176</v>
      </c>
      <c r="B5526" s="15" t="s">
        <v>6352</v>
      </c>
      <c r="C5526" s="17">
        <v>6</v>
      </c>
      <c r="D5526" s="26" t="str">
        <f>HYPERLINK("https://github.com/mostafa-saad/MyCompetitiveProgramming/blob/master/DCP/DCP_176.txt","Sol")</f>
        <v>Sol</v>
      </c>
      <c r="E5526" s="17" t="s">
        <v>6345</v>
      </c>
      <c r="F5526" s="17"/>
      <c r="G5526" s="18"/>
      <c r="H5526" s="18"/>
    </row>
    <row r="5527" spans="1:8" ht="13.2">
      <c r="A5527" s="15" t="s">
        <v>6353</v>
      </c>
      <c r="B5527" s="28" t="s">
        <v>6354</v>
      </c>
      <c r="C5527" s="24">
        <v>5.75</v>
      </c>
      <c r="D5527" s="26" t="str">
        <f>HYPERLINK("https://github.com/nya-nya-meow/CompetitiveProgramming/blob/master/SPOJ/QTREE5.cpp","Sol")</f>
        <v>Sol</v>
      </c>
      <c r="E5527" s="17" t="s">
        <v>6345</v>
      </c>
      <c r="F5527" s="17" t="s">
        <v>201</v>
      </c>
      <c r="G5527" s="18"/>
      <c r="H5527" s="18"/>
    </row>
    <row r="5528" spans="1:8" ht="13.2">
      <c r="A5528" s="19" t="str">
        <f>HYPERLINK("http://codeforces.com/contest/766/problem/E","CF766-D2-E")</f>
        <v>CF766-D2-E</v>
      </c>
      <c r="B5528" s="38" t="s">
        <v>6355</v>
      </c>
      <c r="C5528" s="17">
        <v>5.5</v>
      </c>
      <c r="D5528" s="18"/>
      <c r="E5528" s="17" t="s">
        <v>6345</v>
      </c>
      <c r="F5528" s="17" t="s">
        <v>139</v>
      </c>
      <c r="G5528" s="18"/>
      <c r="H5528" s="18"/>
    </row>
    <row r="5529" spans="1:8" ht="13.2">
      <c r="A5529" s="19" t="str">
        <f>HYPERLINK("https://codeforces.com/gym/101174/attachments","CF101174-GYM-F")</f>
        <v>CF101174-GYM-F</v>
      </c>
      <c r="B5529" s="15" t="s">
        <v>6356</v>
      </c>
      <c r="C5529" s="17">
        <v>5.5</v>
      </c>
      <c r="D5529" s="26" t="str">
        <f>HYPERLINK("https://github.com/mostafa-saad/MyCompetitiveProgramming/blob/master/Codeforces/CF101174-GYM-F.txt","Sol")</f>
        <v>Sol</v>
      </c>
      <c r="E5529" s="17" t="s">
        <v>6345</v>
      </c>
      <c r="F5529" s="17" t="s">
        <v>139</v>
      </c>
      <c r="G5529" s="18"/>
      <c r="H5529" s="18"/>
    </row>
    <row r="5530" spans="1:8" ht="13.2">
      <c r="A5530" s="19" t="str">
        <f>HYPERLINK("https://www.codechef.com/problems/TESTERS","CODECHEF TESTERS")</f>
        <v>CODECHEF TESTERS</v>
      </c>
      <c r="B5530" s="15" t="s">
        <v>6357</v>
      </c>
      <c r="C5530" s="21">
        <v>5.5</v>
      </c>
      <c r="D5530" s="18"/>
      <c r="E5530" s="17" t="s">
        <v>6345</v>
      </c>
      <c r="F5530" s="17" t="s">
        <v>139</v>
      </c>
      <c r="G5530" s="18"/>
      <c r="H5530" s="18"/>
    </row>
    <row r="5531" spans="1:8" ht="13.2">
      <c r="A5531" s="19" t="str">
        <f>HYPERLINK("http://codeforces.com/contest/715/problem/C","CF715-D1-C")</f>
        <v>CF715-D1-C</v>
      </c>
      <c r="B5531" s="15" t="s">
        <v>6358</v>
      </c>
      <c r="C5531" s="24">
        <v>5.5</v>
      </c>
      <c r="D5531" s="18"/>
      <c r="E5531" s="17" t="s">
        <v>6345</v>
      </c>
      <c r="F5531" s="17" t="s">
        <v>201</v>
      </c>
      <c r="G5531" s="18"/>
      <c r="H5531" s="18"/>
    </row>
    <row r="5532" spans="1:8" ht="13.2">
      <c r="A5532" s="19" t="str">
        <f>HYPERLINK("http://codeforces.com/problemset/problem/321/C","CF321-D1-C")</f>
        <v>CF321-D1-C</v>
      </c>
      <c r="B5532" s="28" t="s">
        <v>6359</v>
      </c>
      <c r="C5532" s="17">
        <v>5.25</v>
      </c>
      <c r="D5532" s="18"/>
      <c r="E5532" s="17" t="s">
        <v>6345</v>
      </c>
      <c r="F5532" s="17"/>
      <c r="G5532" s="18"/>
      <c r="H5532" s="18"/>
    </row>
    <row r="5533" spans="1:8" ht="13.2">
      <c r="A5533" s="19" t="str">
        <f>HYPERLINK("https://codeforces.com/gym/101856/attachments","CF101856-GYM-E")</f>
        <v>CF101856-GYM-E</v>
      </c>
      <c r="B5533" s="20" t="s">
        <v>6360</v>
      </c>
      <c r="C5533" s="21">
        <v>5</v>
      </c>
      <c r="D5533" s="26" t="str">
        <f>HYPERLINK("https://github.com/SpeedOfMagic/CompetitiveProgramming/blob/master/CodeforcesGym/CF101840-GYM-E.cpp","Sol")</f>
        <v>Sol</v>
      </c>
      <c r="E5533" s="17" t="s">
        <v>6345</v>
      </c>
      <c r="F5533" s="17" t="s">
        <v>201</v>
      </c>
      <c r="G5533" s="18"/>
      <c r="H5533" s="18"/>
    </row>
    <row r="5534" spans="1:8" ht="13.2">
      <c r="A5534" s="19" t="str">
        <f>HYPERLINK("http://codeforces.com/contest/377/problem/E","CF377-D1-E")</f>
        <v>CF377-D1-E</v>
      </c>
      <c r="B5534" s="15" t="s">
        <v>6361</v>
      </c>
      <c r="C5534" s="17">
        <v>9.5</v>
      </c>
      <c r="D5534" s="18"/>
      <c r="E5534" s="17" t="s">
        <v>6362</v>
      </c>
      <c r="F5534" s="17"/>
      <c r="G5534" s="18"/>
      <c r="H5534" s="18"/>
    </row>
    <row r="5535" spans="1:8" ht="13.2">
      <c r="A5535" s="19" t="str">
        <f>HYPERLINK("https://codeforces.com/gym/100829","CF100829-GYM-A")</f>
        <v>CF100829-GYM-A</v>
      </c>
      <c r="B5535" s="15" t="s">
        <v>6363</v>
      </c>
      <c r="C5535" s="17">
        <v>8.5</v>
      </c>
      <c r="D5535" s="26" t="str">
        <f>HYPERLINK("https://contest.felk.cvut.cz/15prg/solved/CTU_OPEN_2015_SOLUTIONS.pdf","Editorials")</f>
        <v>Editorials</v>
      </c>
      <c r="E5535" s="17" t="s">
        <v>6362</v>
      </c>
      <c r="F5535" s="17" t="s">
        <v>139</v>
      </c>
      <c r="G5535" s="18"/>
      <c r="H5535" s="18"/>
    </row>
    <row r="5536" spans="1:8" ht="13.2">
      <c r="A5536" s="19" t="str">
        <f>HYPERLINK("http://codeforces.com/problemset/problem/660/F","CF660-D12-F")</f>
        <v>CF660-D12-F</v>
      </c>
      <c r="B5536" s="15" t="s">
        <v>6361</v>
      </c>
      <c r="C5536" s="17">
        <v>8</v>
      </c>
      <c r="D5536" s="18"/>
      <c r="E5536" s="17" t="s">
        <v>6362</v>
      </c>
      <c r="F5536" s="17"/>
      <c r="G5536" s="18"/>
      <c r="H5536" s="18"/>
    </row>
    <row r="5537" spans="1:8" ht="13.2">
      <c r="A5537" s="19" t="str">
        <f>HYPERLINK("https://www.codechef.com/problems/JUMP","CODECHEF JUMP")</f>
        <v>CODECHEF JUMP</v>
      </c>
      <c r="B5537" s="15" t="s">
        <v>6361</v>
      </c>
      <c r="C5537" s="24">
        <v>8</v>
      </c>
      <c r="D5537" s="18"/>
      <c r="E5537" s="17" t="s">
        <v>6362</v>
      </c>
      <c r="F5537" s="17"/>
      <c r="G5537" s="18"/>
      <c r="H5537" s="18"/>
    </row>
    <row r="5538" spans="1:8" ht="13.2">
      <c r="A5538" s="15" t="s">
        <v>6364</v>
      </c>
      <c r="B5538" s="15" t="s">
        <v>6365</v>
      </c>
      <c r="C5538" s="17">
        <v>8</v>
      </c>
      <c r="D5538" s="18"/>
      <c r="E5538" s="17" t="s">
        <v>6362</v>
      </c>
      <c r="F5538" s="17"/>
      <c r="G5538" s="18"/>
      <c r="H5538" s="18"/>
    </row>
    <row r="5539" spans="1:8" ht="13.2">
      <c r="A5539" s="19" t="str">
        <f>HYPERLINK("https://www.hackerrank.com/challenges/geometry-queries","HACKR geometry-queries")</f>
        <v>HACKR geometry-queries</v>
      </c>
      <c r="B5539" s="15" t="s">
        <v>6366</v>
      </c>
      <c r="C5539" s="17">
        <v>8</v>
      </c>
      <c r="D5539" s="18"/>
      <c r="E5539" s="17" t="s">
        <v>6362</v>
      </c>
      <c r="F5539" s="17"/>
      <c r="G5539" s="18"/>
      <c r="H5539" s="18"/>
    </row>
    <row r="5540" spans="1:8" ht="13.2">
      <c r="A5540" s="19" t="str">
        <f>HYPERLINK("https://codeforces.com/contest/1137/problem/E","CF1137-D1-E")</f>
        <v>CF1137-D1-E</v>
      </c>
      <c r="B5540" s="15" t="s">
        <v>6361</v>
      </c>
      <c r="C5540" s="17">
        <v>7.5</v>
      </c>
      <c r="D5540" s="18"/>
      <c r="E5540" s="17" t="s">
        <v>6362</v>
      </c>
      <c r="F5540" s="17" t="s">
        <v>201</v>
      </c>
      <c r="G5540" s="18"/>
      <c r="H5540" s="18"/>
    </row>
    <row r="5541" spans="1:8" ht="13.2">
      <c r="A5541" s="15" t="s">
        <v>6367</v>
      </c>
      <c r="B5541" s="15" t="s">
        <v>6368</v>
      </c>
      <c r="C5541" s="17">
        <v>7.5</v>
      </c>
      <c r="D5541" s="18"/>
      <c r="E5541" s="17" t="s">
        <v>6362</v>
      </c>
      <c r="F5541" s="17"/>
      <c r="G5541" s="18"/>
      <c r="H5541" s="18"/>
    </row>
    <row r="5542" spans="1:8" ht="13.2">
      <c r="A5542" s="19" t="str">
        <f>HYPERLINK("https://www.codechef.com/problems/IAI","CODECHEF IAI")</f>
        <v>CODECHEF IAI</v>
      </c>
      <c r="B5542" s="20" t="s">
        <v>6369</v>
      </c>
      <c r="C5542" s="17">
        <v>7.25</v>
      </c>
      <c r="D5542" s="18"/>
      <c r="E5542" s="17" t="s">
        <v>6362</v>
      </c>
      <c r="F5542" s="17" t="s">
        <v>154</v>
      </c>
      <c r="G5542" s="18"/>
      <c r="H5542" s="18"/>
    </row>
    <row r="5543" spans="1:8" ht="13.2">
      <c r="A5543" s="19" t="str">
        <f>HYPERLINK("https://codeforces.com/contest/1178/problem/G","CF1178-D12-G")</f>
        <v>CF1178-D12-G</v>
      </c>
      <c r="B5543" s="15" t="s">
        <v>6361</v>
      </c>
      <c r="C5543" s="17">
        <v>7.25</v>
      </c>
      <c r="D5543" s="18"/>
      <c r="E5543" s="17" t="s">
        <v>6362</v>
      </c>
      <c r="F5543" s="17" t="s">
        <v>139</v>
      </c>
      <c r="G5543" s="18"/>
      <c r="H5543" s="18"/>
    </row>
    <row r="5544" spans="1:8" ht="13.2">
      <c r="A5544" s="19" t="str">
        <f>HYPERLINK("https://codeforces.com/problemset/problem/1175/G", "CF1175-D12-G")</f>
        <v>CF1175-D12-G</v>
      </c>
      <c r="B5544" s="20" t="s">
        <v>6370</v>
      </c>
      <c r="C5544" s="17">
        <v>7</v>
      </c>
      <c r="D5544" s="18"/>
      <c r="E5544" s="17" t="s">
        <v>6362</v>
      </c>
      <c r="F5544" s="17" t="s">
        <v>154</v>
      </c>
      <c r="G5544" s="18"/>
      <c r="H5544" s="18"/>
    </row>
    <row r="5545" spans="1:8" ht="13.2">
      <c r="A5545" s="19" t="str">
        <f>HYPERLINK("https://codeforces.com/contest/932/problem/F","CF931-D12-F")</f>
        <v>CF931-D12-F</v>
      </c>
      <c r="B5545" s="15" t="s">
        <v>6371</v>
      </c>
      <c r="C5545" s="17">
        <v>7</v>
      </c>
      <c r="D5545" s="18" t="str">
        <f>HYPERLINK("httpshttps://github.com/quangloc99/CompetitiveProgramming/blob/master/Codeforces/CF931-D12-F.cpp","Sol")</f>
        <v>Sol</v>
      </c>
      <c r="E5545" s="17" t="s">
        <v>6362</v>
      </c>
      <c r="F5545" s="17" t="s">
        <v>154</v>
      </c>
      <c r="G5545" s="18"/>
      <c r="H5545" s="18"/>
    </row>
    <row r="5546" spans="1:8" ht="13.2">
      <c r="A5546" s="19" t="str">
        <f>HYPERLINK("http://codeforces.com/contest/455/problem/E","CF455-D1-E")</f>
        <v>CF455-D1-E</v>
      </c>
      <c r="B5546" s="15" t="s">
        <v>6372</v>
      </c>
      <c r="C5546" s="17">
        <v>7</v>
      </c>
      <c r="D5546" s="18"/>
      <c r="E5546" s="17" t="s">
        <v>6362</v>
      </c>
      <c r="F5546" s="17" t="s">
        <v>139</v>
      </c>
      <c r="G5546" s="18"/>
      <c r="H5546" s="18"/>
    </row>
    <row r="5547" spans="1:8" ht="13.2">
      <c r="A5547" s="19" t="str">
        <f>HYPERLINK("http://codeforces.com/problemset/problem/932/F","CF932-D12-F")</f>
        <v>CF932-D12-F</v>
      </c>
      <c r="B5547" s="15" t="s">
        <v>6373</v>
      </c>
      <c r="C5547" s="17">
        <v>7</v>
      </c>
      <c r="D5547" s="18"/>
      <c r="E5547" s="17" t="s">
        <v>6362</v>
      </c>
      <c r="F5547" s="17" t="s">
        <v>139</v>
      </c>
      <c r="G5547" s="18"/>
      <c r="H5547" s="18"/>
    </row>
    <row r="5548" spans="1:8" ht="13.2">
      <c r="A5548" s="19" t="str">
        <f>HYPERLINK("https://open.kattis.com/problems/thief","kattis thief")</f>
        <v>kattis thief</v>
      </c>
      <c r="B5548" s="20" t="s">
        <v>6361</v>
      </c>
      <c r="C5548" s="24">
        <v>7</v>
      </c>
      <c r="D5548" s="18"/>
      <c r="E5548" s="17" t="s">
        <v>6362</v>
      </c>
      <c r="F5548" s="17"/>
      <c r="G5548" s="18"/>
      <c r="H5548" s="18"/>
    </row>
    <row r="5549" spans="1:8" ht="13.2">
      <c r="A5549" s="19" t="str">
        <f>HYPERLINK("https://open.kattis.com/problems/yatp","kattis yatp")</f>
        <v>kattis yatp</v>
      </c>
      <c r="B5549" s="20" t="s">
        <v>6361</v>
      </c>
      <c r="C5549" s="24">
        <v>7</v>
      </c>
      <c r="D5549" s="18"/>
      <c r="E5549" s="17" t="s">
        <v>6362</v>
      </c>
      <c r="F5549" s="17"/>
      <c r="G5549" s="18"/>
      <c r="H5549" s="18"/>
    </row>
    <row r="5550" spans="1:8" ht="13.2">
      <c r="A5550" s="15" t="s">
        <v>6374</v>
      </c>
      <c r="B5550" s="15" t="s">
        <v>6375</v>
      </c>
      <c r="C5550" s="17">
        <v>6.5</v>
      </c>
      <c r="D5550" s="26" t="str">
        <f>HYPERLINK("https://github.com/mostafa-saad/MyCompetitiveProgramming/blob/master/SPOJ/SPOJ_TRAKA.txt","Sol")</f>
        <v>Sol</v>
      </c>
      <c r="E5550" s="17" t="s">
        <v>6362</v>
      </c>
      <c r="F5550" s="17" t="s">
        <v>139</v>
      </c>
      <c r="G5550" s="18"/>
      <c r="H5550" s="18"/>
    </row>
    <row r="5551" spans="1:8" ht="13.2">
      <c r="A5551" s="19" t="str">
        <f>HYPERLINK("https://www.hackerrank.com/contests/university-codesprint-5/challenges/sword-profit","HACKR sword-profit")</f>
        <v>HACKR sword-profit</v>
      </c>
      <c r="B5551" s="20" t="s">
        <v>6376</v>
      </c>
      <c r="C5551" s="21">
        <v>6.5</v>
      </c>
      <c r="D5551" s="26" t="str">
        <f>HYPERLINK("https://github.com/SpeedOfMagic/CompetitiveProgramming/blob/master/UC/5-sword-profit.cpp","Sol")</f>
        <v>Sol</v>
      </c>
      <c r="E5551" s="17" t="s">
        <v>6362</v>
      </c>
      <c r="F5551" s="17" t="s">
        <v>139</v>
      </c>
      <c r="G5551" s="18"/>
      <c r="H5551" s="18"/>
    </row>
    <row r="5552" spans="1:8" ht="13.2">
      <c r="A5552" s="15" t="s">
        <v>6377</v>
      </c>
      <c r="B5552" s="15" t="s">
        <v>6378</v>
      </c>
      <c r="C5552" s="17">
        <v>6.5</v>
      </c>
      <c r="D5552" s="26" t="str">
        <f>HYPERLINK("https://github.com/mostafa-saad/MyCompetitiveProgramming/blob/master/SPOJ/SPOJ_BAABO.txt","Sol")</f>
        <v>Sol</v>
      </c>
      <c r="E5552" s="17" t="s">
        <v>6362</v>
      </c>
      <c r="F5552" s="17" t="s">
        <v>139</v>
      </c>
      <c r="G5552" s="18"/>
      <c r="H5552" s="18"/>
    </row>
    <row r="5553" spans="1:8" ht="13.2">
      <c r="A5553" s="19" t="str">
        <f>HYPERLINK("http://codeforces.com/problemset/problem/631/E","CF631-D2-E")</f>
        <v>CF631-D2-E</v>
      </c>
      <c r="B5553" s="15" t="s">
        <v>6379</v>
      </c>
      <c r="C5553" s="17">
        <v>6.5</v>
      </c>
      <c r="D5553" s="18"/>
      <c r="E5553" s="17" t="s">
        <v>6362</v>
      </c>
      <c r="F5553" s="17" t="s">
        <v>201</v>
      </c>
      <c r="G5553" s="18"/>
      <c r="H5553" s="18"/>
    </row>
    <row r="5554" spans="1:8" ht="13.2">
      <c r="A5554" s="19" t="str">
        <f>HYPERLINK("http://codeforces.com/contest/436/problem/F","CF436-D12-F")</f>
        <v>CF436-D12-F</v>
      </c>
      <c r="B5554" s="15" t="s">
        <v>6380</v>
      </c>
      <c r="C5554" s="24">
        <v>6.5</v>
      </c>
      <c r="D5554" s="18"/>
      <c r="E5554" s="17" t="s">
        <v>6362</v>
      </c>
      <c r="F5554" s="17"/>
      <c r="G5554" s="18"/>
      <c r="H5554" s="18"/>
    </row>
    <row r="5555" spans="1:8" ht="13.2">
      <c r="A5555" s="19" t="str">
        <f>HYPERLINK("https://codeforces.com/contest/932/problem/F","CF932-D1-F")</f>
        <v>CF932-D1-F</v>
      </c>
      <c r="B5555" s="15" t="s">
        <v>6361</v>
      </c>
      <c r="C5555" s="17">
        <v>6.4</v>
      </c>
      <c r="D5555" s="18"/>
      <c r="E5555" s="17" t="s">
        <v>6362</v>
      </c>
      <c r="F5555" s="17" t="s">
        <v>139</v>
      </c>
      <c r="G5555" s="18"/>
      <c r="H5555" s="18"/>
    </row>
    <row r="5556" spans="1:8" ht="13.2">
      <c r="A5556" s="19" t="str">
        <f>HYPERLINK("https://www.hackerrank.com/contests/world-codesprint-5/challenges/mining","HACKR sprint5-mining")</f>
        <v>HACKR sprint5-mining</v>
      </c>
      <c r="B5556" s="15" t="s">
        <v>6361</v>
      </c>
      <c r="C5556" s="17">
        <v>6.3</v>
      </c>
      <c r="D5556" s="26" t="str">
        <f>HYPERLINK("https://github.com/tmwilliamlin168/CompetitiveProgramming/blob/master/HackerRank/mining.cpp", "Sol")</f>
        <v>Sol</v>
      </c>
      <c r="E5556" s="17" t="s">
        <v>6362</v>
      </c>
      <c r="F5556" s="17" t="s">
        <v>139</v>
      </c>
      <c r="G5556" s="18"/>
      <c r="H5556" s="18"/>
    </row>
    <row r="5557" spans="1:8" ht="13.2">
      <c r="A5557" s="19" t="str">
        <f>HYPERLINK("https://www.codechef.com/problems/CYCLRACE","CODECHEF CYCLRACE")</f>
        <v>CODECHEF CYCLRACE</v>
      </c>
      <c r="B5557" s="15" t="s">
        <v>6381</v>
      </c>
      <c r="C5557" s="24">
        <v>6.25</v>
      </c>
      <c r="D5557" s="26" t="str">
        <f>HYPERLINK("https://github.com/quangloc99/CompetitiveProgramming/blob/master/CODECHEF/CYCLRACE.cpp","Sol")</f>
        <v>Sol</v>
      </c>
      <c r="E5557" s="17" t="s">
        <v>6362</v>
      </c>
      <c r="F5557" s="17" t="s">
        <v>139</v>
      </c>
      <c r="G5557" s="18"/>
      <c r="H5557" s="18"/>
    </row>
    <row r="5558" spans="1:8" ht="13.2">
      <c r="A5558" s="19" t="str">
        <f>HYPERLINK("http://codeforces.com/problemset/problem/311/B","CF311-D1-B")</f>
        <v>CF311-D1-B</v>
      </c>
      <c r="B5558" s="15" t="s">
        <v>6382</v>
      </c>
      <c r="C5558" s="17">
        <v>6.25</v>
      </c>
      <c r="D5558" s="26" t="str">
        <f>HYPERLINK("https://github.com/nikolapesic2802/Programming-Practice/blob/master/Cats%20Transport/main.cpp","Sol")</f>
        <v>Sol</v>
      </c>
      <c r="E5558" s="17" t="s">
        <v>6362</v>
      </c>
      <c r="F5558" s="17"/>
      <c r="G5558" s="18"/>
      <c r="H5558" s="18"/>
    </row>
    <row r="5559" spans="1:8" ht="13.2">
      <c r="A5559" s="15" t="s">
        <v>6383</v>
      </c>
      <c r="B5559" s="37" t="s">
        <v>6384</v>
      </c>
      <c r="C5559" s="17">
        <v>6</v>
      </c>
      <c r="D5559" s="26" t="str">
        <f>HYPERLINK("https://github.com/quangloc99/CompetitiveProgramming/blob/master/Livearchive/5133.cpp","Sol")</f>
        <v>Sol</v>
      </c>
      <c r="E5559" s="17" t="s">
        <v>6362</v>
      </c>
      <c r="F5559" s="17" t="s">
        <v>154</v>
      </c>
      <c r="G5559" s="18"/>
      <c r="H5559" s="18"/>
    </row>
    <row r="5560" spans="1:8" ht="13.2">
      <c r="A5560" s="15" t="s">
        <v>6385</v>
      </c>
      <c r="B5560" s="37" t="s">
        <v>6386</v>
      </c>
      <c r="C5560" s="17">
        <v>6</v>
      </c>
      <c r="D5560" s="26" t="str">
        <f>HYPERLINK("https://github.com/mostafa-saad/MyCompetitiveProgramming/blob/master/SPOJ/SPOJ_ACQUIRE.txt","Sol")</f>
        <v>Sol</v>
      </c>
      <c r="E5560" s="17" t="s">
        <v>6362</v>
      </c>
      <c r="F5560" s="17" t="s">
        <v>139</v>
      </c>
      <c r="G5560" s="18"/>
      <c r="H5560" s="18"/>
    </row>
    <row r="5561" spans="1:8" ht="13.2">
      <c r="A5561" s="19" t="str">
        <f>HYPERLINK("http://codeforces.com/contest/319/problem/C","CF319-D1-C")</f>
        <v>CF319-D1-C</v>
      </c>
      <c r="B5561" s="37" t="s">
        <v>6387</v>
      </c>
      <c r="C5561" s="17">
        <v>6</v>
      </c>
      <c r="D5561" s="26" t="str">
        <f>HYPERLINK("https://codeforces.com/contest/319/submission/52469803","Sol")</f>
        <v>Sol</v>
      </c>
      <c r="E5561" s="17" t="s">
        <v>6362</v>
      </c>
      <c r="F5561" s="17"/>
      <c r="G5561" s="18"/>
      <c r="H5561" s="18"/>
    </row>
    <row r="5562" spans="1:8" ht="13.2">
      <c r="A5562" s="19" t="str">
        <f>HYPERLINK("https://codeforces.com/problemset/problem/1083/E", "CF1083-D1-E")</f>
        <v>CF1083-D1-E</v>
      </c>
      <c r="B5562" s="15" t="s">
        <v>6388</v>
      </c>
      <c r="C5562" s="17">
        <v>6</v>
      </c>
      <c r="D5562" s="26" t="str">
        <f>HYPERLINK("https://github.com/nikolapesic2802/Programming-Practice/blob/master/The%20Fair%20Nut%20and%20rectangless/main.cpp","Sol (not intended)")</f>
        <v>Sol (not intended)</v>
      </c>
      <c r="E5562" s="17" t="s">
        <v>6362</v>
      </c>
      <c r="F5562" s="17"/>
      <c r="G5562" s="18"/>
      <c r="H5562" s="18"/>
    </row>
    <row r="5563" spans="1:8" ht="13.2">
      <c r="A5563" s="19" t="str">
        <f>HYPERLINK("http://codeforces.com/contest/291/problem/E","CF291-D2-E")</f>
        <v>CF291-D2-E</v>
      </c>
      <c r="B5563" s="29" t="s">
        <v>6389</v>
      </c>
      <c r="C5563" s="17">
        <v>6.25</v>
      </c>
      <c r="D5563" s="26" t="str">
        <f>HYPERLINK("https://github.com/jebouin/CompetitiveProgramming/blob/master/CodeForces/CF291-D2-E.cpp","Sol")</f>
        <v>Sol</v>
      </c>
      <c r="E5563" s="17" t="s">
        <v>6390</v>
      </c>
      <c r="F5563" s="17" t="s">
        <v>139</v>
      </c>
      <c r="G5563" s="18"/>
      <c r="H5563" s="18"/>
    </row>
    <row r="5564" spans="1:8" ht="13.2">
      <c r="A5564" s="19" t="str">
        <f>HYPERLINK("http://codeforces.com/contest/1009/problem/F","CF1009-D12-F")</f>
        <v>CF1009-D12-F</v>
      </c>
      <c r="B5564" s="20" t="s">
        <v>6391</v>
      </c>
      <c r="C5564" s="21">
        <v>5.75</v>
      </c>
      <c r="D5564" s="18"/>
      <c r="E5564" s="17" t="s">
        <v>6390</v>
      </c>
      <c r="F5564" s="17" t="s">
        <v>201</v>
      </c>
      <c r="G5564" s="18"/>
      <c r="H5564" s="18"/>
    </row>
    <row r="5565" spans="1:8" ht="13.2">
      <c r="A5565" s="19" t="str">
        <f>HYPERLINK("http://codeforces.com/problemsets/acmsguru/problem/99999/507","SGU 507")</f>
        <v>SGU 507</v>
      </c>
      <c r="B5565" s="20" t="s">
        <v>6392</v>
      </c>
      <c r="C5565" s="21">
        <v>5.5</v>
      </c>
      <c r="D5565" s="26" t="str">
        <f>HYPERLINK("https://github.com/aviroop123/CompetitiveProgramming/blob/master/SGU/SGU%20507.cpp","Sol")</f>
        <v>Sol</v>
      </c>
      <c r="E5565" s="17" t="s">
        <v>6390</v>
      </c>
      <c r="F5565" s="17" t="s">
        <v>201</v>
      </c>
      <c r="G5565" s="18"/>
      <c r="H5565" s="18"/>
    </row>
    <row r="5566" spans="1:8" ht="13.2">
      <c r="A5566" s="19" t="str">
        <f>HYPERLINK("https://www.hackerearth.com/practice/algorithms/graphs/depth-first-search/practice-problems/algorithm/the-grass-type/","HACKER the-grass-type")</f>
        <v>HACKER the-grass-type</v>
      </c>
      <c r="B5566" s="15" t="s">
        <v>6393</v>
      </c>
      <c r="C5566" s="17">
        <v>5</v>
      </c>
      <c r="D5566" s="18"/>
      <c r="E5566" s="17" t="s">
        <v>6390</v>
      </c>
      <c r="F5566" s="17"/>
      <c r="G5566" s="18"/>
      <c r="H5566" s="18"/>
    </row>
    <row r="5567" spans="1:8" ht="13.2">
      <c r="A5567" s="19" t="str">
        <f>HYPERLINK("http://codeforces.com/contest/246/problem/E","CF246-D2-E")</f>
        <v>CF246-D2-E</v>
      </c>
      <c r="B5567" s="20" t="s">
        <v>6391</v>
      </c>
      <c r="C5567" s="17">
        <v>5</v>
      </c>
      <c r="D5567" s="18"/>
      <c r="E5567" s="17" t="s">
        <v>6390</v>
      </c>
      <c r="F5567" s="17"/>
      <c r="G5567" s="18"/>
      <c r="H5567" s="18"/>
    </row>
    <row r="5568" spans="1:8" ht="13.2">
      <c r="A5568" s="19" t="str">
        <f>HYPERLINK("http://codeforces.com/contest/570/problem/D","CF570-D2-D")</f>
        <v>CF570-D2-D</v>
      </c>
      <c r="B5568" s="29" t="s">
        <v>6394</v>
      </c>
      <c r="C5568" s="17">
        <v>4</v>
      </c>
      <c r="D5568" s="18"/>
      <c r="E5568" s="17" t="s">
        <v>6390</v>
      </c>
      <c r="F5568" s="17" t="s">
        <v>242</v>
      </c>
      <c r="G5568" s="18"/>
      <c r="H5568" s="18"/>
    </row>
    <row r="5569" spans="1:8" ht="13.2">
      <c r="A5569" s="19" t="str">
        <f>HYPERLINK("http://codeforces.com/contest/208/problem/E","CF208-D2-E")</f>
        <v>CF208-D2-E</v>
      </c>
      <c r="B5569" s="29" t="s">
        <v>6395</v>
      </c>
      <c r="C5569" s="24">
        <v>4</v>
      </c>
      <c r="D5569" s="18"/>
      <c r="E5569" s="17" t="s">
        <v>6390</v>
      </c>
      <c r="F5569" s="17"/>
      <c r="G5569" s="18"/>
      <c r="H5569" s="18"/>
    </row>
    <row r="5570" spans="1:8" ht="13.2">
      <c r="A5570" s="19" t="str">
        <f>HYPERLINK("https://codeforces.com/contest/896/problem/E","CF896-D1-E")</f>
        <v>CF896-D1-E</v>
      </c>
      <c r="B5570" s="15" t="s">
        <v>6396</v>
      </c>
      <c r="C5570" s="17">
        <v>7.5</v>
      </c>
      <c r="D5570" s="18"/>
      <c r="E5570" s="17" t="s">
        <v>6397</v>
      </c>
      <c r="F5570" s="17" t="s">
        <v>154</v>
      </c>
      <c r="G5570" s="18"/>
      <c r="H5570" s="18"/>
    </row>
    <row r="5571" spans="1:8" ht="13.2">
      <c r="A5571" s="19" t="str">
        <f>HYPERLINK("https://codeforces.com/problemset/problem/1083/F", "CF1083-D1-F")</f>
        <v>CF1083-D1-F</v>
      </c>
      <c r="B5571" s="15" t="s">
        <v>6398</v>
      </c>
      <c r="C5571" s="17">
        <v>7.5</v>
      </c>
      <c r="D5571" s="18"/>
      <c r="E5571" s="17" t="s">
        <v>6397</v>
      </c>
      <c r="F5571" s="17" t="s">
        <v>139</v>
      </c>
      <c r="G5571" s="18"/>
      <c r="H5571" s="18"/>
    </row>
    <row r="5572" spans="1:8" ht="13.2">
      <c r="A5572" s="19" t="str">
        <f>HYPERLINK("http://codeforces.com/contest/487/problem/D","CF487-D1-D")</f>
        <v>CF487-D1-D</v>
      </c>
      <c r="B5572" s="15" t="s">
        <v>6399</v>
      </c>
      <c r="C5572" s="24">
        <v>7.5</v>
      </c>
      <c r="D5572" s="18"/>
      <c r="E5572" s="17" t="s">
        <v>6397</v>
      </c>
      <c r="F5572" s="17"/>
      <c r="G5572" s="18"/>
      <c r="H5572" s="18"/>
    </row>
    <row r="5573" spans="1:8" ht="13.2">
      <c r="A5573" s="19" t="str">
        <f>HYPERLINK("https://www.codechef.com/problems/PRINDRAG", "CODECHEF PRINDRAG")</f>
        <v>CODECHEF PRINDRAG</v>
      </c>
      <c r="B5573" s="20" t="s">
        <v>6400</v>
      </c>
      <c r="C5573" s="21">
        <v>7</v>
      </c>
      <c r="D5573" s="18"/>
      <c r="E5573" s="17" t="s">
        <v>6397</v>
      </c>
      <c r="F5573" s="17" t="s">
        <v>154</v>
      </c>
      <c r="G5573" s="18"/>
      <c r="H5573" s="18"/>
    </row>
    <row r="5574" spans="1:8" ht="13.2">
      <c r="A5574" s="19" t="str">
        <f>HYPERLINK("https://codeforces.com/problemset/problem/1182/F", "CF1182-D2-F")</f>
        <v>CF1182-D2-F</v>
      </c>
      <c r="B5574" s="20" t="s">
        <v>6401</v>
      </c>
      <c r="C5574" s="17">
        <v>7</v>
      </c>
      <c r="D5574" s="26" t="str">
        <f>HYPERLINK("https://github.com/tmwilliamlin168/CompetitiveProgramming/blob/master/CodeForces/1182F.cpp", "Sol")</f>
        <v>Sol</v>
      </c>
      <c r="E5574" s="17" t="s">
        <v>6397</v>
      </c>
      <c r="F5574" s="17" t="s">
        <v>154</v>
      </c>
      <c r="G5574" s="18"/>
      <c r="H5574" s="18"/>
    </row>
    <row r="5575" spans="1:8" ht="13.2">
      <c r="A5575" s="19" t="str">
        <f>HYPERLINK("https://codeforces.com/problemset/problem/1129/D", "CF1129-D1-D")</f>
        <v>CF1129-D1-D</v>
      </c>
      <c r="B5575" s="15" t="s">
        <v>6402</v>
      </c>
      <c r="C5575" s="17">
        <v>7</v>
      </c>
      <c r="D5575" s="18"/>
      <c r="E5575" s="17" t="s">
        <v>6397</v>
      </c>
      <c r="F5575" s="17" t="s">
        <v>201</v>
      </c>
      <c r="G5575" s="18"/>
      <c r="H5575" s="18"/>
    </row>
    <row r="5576" spans="1:8" ht="13.2">
      <c r="A5576" s="19" t="str">
        <f>HYPERLINK("http://codeforces.com/contest/348/problem/C","CF348-D1-C")</f>
        <v>CF348-D1-C</v>
      </c>
      <c r="B5576" s="15" t="s">
        <v>6403</v>
      </c>
      <c r="C5576" s="17">
        <v>7</v>
      </c>
      <c r="D5576" s="18"/>
      <c r="E5576" s="17" t="s">
        <v>6397</v>
      </c>
      <c r="F5576" s="17"/>
      <c r="G5576" s="18"/>
      <c r="H5576" s="18"/>
    </row>
    <row r="5577" spans="1:8" ht="13.2">
      <c r="A5577" s="19" t="str">
        <f>HYPERLINK("https://www.hackerrank.com/contests/world-codesprint-13/challenges/dynamic-trees", "HACKR dynamic-trees")</f>
        <v>HACKR dynamic-trees</v>
      </c>
      <c r="B5577" s="20" t="s">
        <v>6404</v>
      </c>
      <c r="C5577" s="21">
        <v>7</v>
      </c>
      <c r="D5577" s="26" t="str">
        <f>HYPERLINK("https://github.com/tmwilliamlin168/CompetitiveProgramming/blob/master/Hackerrank/dynamic-trees.cpp", "Sol")</f>
        <v>Sol</v>
      </c>
      <c r="E5577" s="17" t="s">
        <v>6397</v>
      </c>
      <c r="F5577" s="17"/>
      <c r="G5577" s="18"/>
      <c r="H5577" s="18"/>
    </row>
    <row r="5578" spans="1:8" ht="13.2">
      <c r="A5578" s="19" t="str">
        <f>HYPERLINK("http://codeforces.com/contest/455/problem/D","CF455-D1-D")</f>
        <v>CF455-D1-D</v>
      </c>
      <c r="B5578" s="15" t="s">
        <v>6405</v>
      </c>
      <c r="C5578" s="24">
        <v>7</v>
      </c>
      <c r="D5578" s="18"/>
      <c r="E5578" s="17" t="s">
        <v>6397</v>
      </c>
      <c r="F5578" s="17"/>
      <c r="G5578" s="18"/>
      <c r="H5578" s="18"/>
    </row>
    <row r="5579" spans="1:8" ht="13.2">
      <c r="A5579" s="19" t="str">
        <f>HYPERLINK("https://www.codechef.com/problems/MINXOR","CODECHEF MINXOR")</f>
        <v>CODECHEF MINXOR</v>
      </c>
      <c r="B5579" s="29" t="s">
        <v>6406</v>
      </c>
      <c r="C5579" s="24">
        <v>7</v>
      </c>
      <c r="D5579" s="18"/>
      <c r="E5579" s="17" t="s">
        <v>6397</v>
      </c>
      <c r="F5579" s="17"/>
      <c r="G5579" s="18"/>
      <c r="H5579" s="18"/>
    </row>
    <row r="5580" spans="1:8" ht="13.2">
      <c r="A5580" s="19" t="str">
        <f>HYPERLINK("http://codeforces.com/contest/91/problem/E","CF91-D1-E")</f>
        <v>CF91-D1-E</v>
      </c>
      <c r="B5580" s="15" t="s">
        <v>6407</v>
      </c>
      <c r="C5580" s="24">
        <v>6.75</v>
      </c>
      <c r="D5580" s="18"/>
      <c r="E5580" s="17" t="s">
        <v>6397</v>
      </c>
      <c r="F5580" s="17" t="s">
        <v>139</v>
      </c>
      <c r="G5580" s="18"/>
      <c r="H5580" s="18"/>
    </row>
    <row r="5581" spans="1:8" ht="13.2">
      <c r="A5581" s="19" t="str">
        <f>HYPERLINK("http://codeforces.com/contest/547/problem/E","CF547-D1-E")</f>
        <v>CF547-D1-E</v>
      </c>
      <c r="B5581" s="15" t="s">
        <v>6408</v>
      </c>
      <c r="C5581" s="24">
        <v>6.5</v>
      </c>
      <c r="D5581" s="18"/>
      <c r="E5581" s="17" t="s">
        <v>6397</v>
      </c>
      <c r="F5581" s="17" t="s">
        <v>196</v>
      </c>
      <c r="G5581" s="18"/>
      <c r="H5581" s="18"/>
    </row>
    <row r="5582" spans="1:8" ht="13.2">
      <c r="A5582" s="19" t="str">
        <f>HYPERLINK("https://codeforces.com/contest/678/problem/F","CF678-D12-F")</f>
        <v>CF678-D12-F</v>
      </c>
      <c r="B5582" s="15" t="s">
        <v>6409</v>
      </c>
      <c r="C5582" s="17">
        <v>6.5</v>
      </c>
      <c r="D5582" s="18"/>
      <c r="E5582" s="17" t="s">
        <v>6397</v>
      </c>
      <c r="F5582" s="17" t="s">
        <v>139</v>
      </c>
      <c r="G5582" s="18"/>
      <c r="H5582" s="18"/>
    </row>
    <row r="5583" spans="1:8" ht="13.2">
      <c r="A5583" s="19" t="str">
        <f>HYPERLINK("https://www.codechef.com/problems/DOCSDEL", "CODECHEF DOCSDEL")</f>
        <v>CODECHEF DOCSDEL</v>
      </c>
      <c r="B5583" s="20" t="s">
        <v>6403</v>
      </c>
      <c r="C5583" s="21">
        <v>6.25</v>
      </c>
      <c r="D5583" s="26" t="str">
        <f>HYPERLINK("https://github.com/tmwilliamlin168/CompetitiveProgramming/blob/master/CodeChef/DOCSDEL.cpp", "Sol")</f>
        <v>Sol</v>
      </c>
      <c r="E5583" s="17" t="s">
        <v>6397</v>
      </c>
      <c r="F5583" s="17" t="s">
        <v>139</v>
      </c>
      <c r="G5583" s="18"/>
      <c r="H5583" s="18"/>
    </row>
    <row r="5584" spans="1:8" ht="13.2">
      <c r="A5584" s="19" t="str">
        <f>HYPERLINK("https://codeforces.com/gym/101470/attachments","CF101470-GYM-F")</f>
        <v>CF101470-GYM-F</v>
      </c>
      <c r="B5584" s="15" t="s">
        <v>6398</v>
      </c>
      <c r="C5584" s="17">
        <v>6</v>
      </c>
      <c r="D5584" s="26" t="str">
        <f>HYPERLINK("https://github.com/WaleedAbdelhakim/Competitive-Programming/blob/master/CodeForces/CF101470-GYM-F.cpp","Sol")</f>
        <v>Sol</v>
      </c>
      <c r="E5584" s="17" t="s">
        <v>6397</v>
      </c>
      <c r="F5584" s="17" t="s">
        <v>139</v>
      </c>
      <c r="G5584" s="18"/>
      <c r="H5584" s="18"/>
    </row>
    <row r="5585" spans="1:8" ht="13.2">
      <c r="A5585" s="19" t="str">
        <f>HYPERLINK("http://codeforces.com/contest/13/problem/E","CF13-D12-E")</f>
        <v>CF13-D12-E</v>
      </c>
      <c r="B5585" s="15" t="s">
        <v>6398</v>
      </c>
      <c r="C5585" s="24">
        <v>6</v>
      </c>
      <c r="D5585" s="18"/>
      <c r="E5585" s="17" t="s">
        <v>6397</v>
      </c>
      <c r="F5585" s="17" t="s">
        <v>139</v>
      </c>
      <c r="G5585" s="18"/>
      <c r="H5585" s="18"/>
    </row>
    <row r="5586" spans="1:8" ht="13.2">
      <c r="A5586" s="19" t="str">
        <f>HYPERLINK("https://www.hackerrank.com/contests/world-codesprint-13/challenges/competitive-teams", "HACKR competitive-teams")</f>
        <v>HACKR competitive-teams</v>
      </c>
      <c r="B5586" s="20" t="s">
        <v>6410</v>
      </c>
      <c r="C5586" s="21">
        <v>6</v>
      </c>
      <c r="D5586" s="26" t="str">
        <f>HYPERLINK("https://github.com/tmwilliamlin168/CompetitiveProgramming/blob/master/HackerRank/world-codesprint-13/competitive-teams.cpp", "Sol")</f>
        <v>Sol</v>
      </c>
      <c r="E5586" s="17" t="s">
        <v>6397</v>
      </c>
      <c r="F5586" s="17" t="s">
        <v>139</v>
      </c>
      <c r="G5586" s="18"/>
      <c r="H5586" s="18"/>
    </row>
    <row r="5587" spans="1:8" ht="13.2">
      <c r="A5587" s="19" t="str">
        <f>HYPERLINK("http://codeforces.com/contest/551/problem/E","CF551-D2-E")</f>
        <v>CF551-D2-E</v>
      </c>
      <c r="B5587" s="15" t="s">
        <v>6411</v>
      </c>
      <c r="C5587" s="24">
        <v>6</v>
      </c>
      <c r="D5587" s="18"/>
      <c r="E5587" s="17" t="s">
        <v>6397</v>
      </c>
      <c r="F5587" s="17"/>
      <c r="G5587" s="18"/>
      <c r="H5587" s="18"/>
    </row>
    <row r="5588" spans="1:8" ht="13.2">
      <c r="A5588" s="19" t="str">
        <f>HYPERLINK("http://codeforces.com/contest/342/problem/E","CF342-D2-E")</f>
        <v>CF342-D2-E</v>
      </c>
      <c r="B5588" s="32" t="s">
        <v>6412</v>
      </c>
      <c r="C5588" s="17">
        <v>5.75</v>
      </c>
      <c r="D5588" s="18"/>
      <c r="E5588" s="17" t="s">
        <v>6397</v>
      </c>
      <c r="F5588" s="17" t="s">
        <v>139</v>
      </c>
      <c r="G5588" s="18"/>
      <c r="H5588" s="18"/>
    </row>
    <row r="5589" spans="1:8" ht="13.2">
      <c r="A5589" s="19" t="str">
        <f>HYPERLINK("http://codeforces.com/contest/797/problem/E","CF797-D12-E")</f>
        <v>CF797-D12-E</v>
      </c>
      <c r="B5589" s="30" t="s">
        <v>6402</v>
      </c>
      <c r="C5589" s="40">
        <v>5.5</v>
      </c>
      <c r="D5589" s="18"/>
      <c r="E5589" s="17" t="s">
        <v>6397</v>
      </c>
      <c r="F5589" s="17" t="s">
        <v>201</v>
      </c>
      <c r="G5589" s="18"/>
      <c r="H5589" s="18"/>
    </row>
    <row r="5590" spans="1:8" ht="13.2">
      <c r="A5590" s="19" t="str">
        <f>HYPERLINK("https://codeforces.com/contest/1207/problem/F", "CF1207-D12-F")</f>
        <v>CF1207-D12-F</v>
      </c>
      <c r="B5590" s="20" t="s">
        <v>6413</v>
      </c>
      <c r="C5590" s="17">
        <v>5.5</v>
      </c>
      <c r="D5590" s="18"/>
      <c r="E5590" s="17" t="s">
        <v>6397</v>
      </c>
      <c r="F5590" s="17"/>
      <c r="G5590" s="18"/>
      <c r="H5590" s="18"/>
    </row>
    <row r="5591" spans="1:8" ht="13.2">
      <c r="A5591" s="19" t="str">
        <f>HYPERLINK("http://codeforces.com/contest/103/problem/D","CF103-D1-D")</f>
        <v>CF103-D1-D</v>
      </c>
      <c r="B5591" s="15" t="s">
        <v>6398</v>
      </c>
      <c r="C5591" s="17">
        <v>5</v>
      </c>
      <c r="D5591" s="18"/>
      <c r="E5591" s="17" t="s">
        <v>6397</v>
      </c>
      <c r="F5591" s="17"/>
      <c r="G5591" s="18"/>
      <c r="H5591" s="18"/>
    </row>
    <row r="5592" spans="1:8" ht="13.2">
      <c r="A5592" s="15" t="s">
        <v>6414</v>
      </c>
      <c r="B5592" s="29" t="s">
        <v>6415</v>
      </c>
      <c r="C5592" s="17">
        <v>5</v>
      </c>
      <c r="D5592" s="26" t="str">
        <f>HYPERLINK("https://pastebin.com/Hfz9Aq4e","Sol")</f>
        <v>Sol</v>
      </c>
      <c r="E5592" s="17" t="s">
        <v>6397</v>
      </c>
      <c r="F5592" s="17"/>
      <c r="G5592" s="18"/>
      <c r="H5592" s="18"/>
    </row>
    <row r="5593" spans="1:8" ht="13.2">
      <c r="A5593" s="19" t="str">
        <f>HYPERLINK("https://codeforces.com/contest/1279/problem/F","CF1279-D12-F")</f>
        <v>CF1279-D12-F</v>
      </c>
      <c r="B5593" s="15" t="s">
        <v>6416</v>
      </c>
      <c r="C5593" s="17">
        <v>7.5</v>
      </c>
      <c r="D5593" s="18"/>
      <c r="E5593" s="17" t="s">
        <v>6417</v>
      </c>
      <c r="F5593" s="17" t="s">
        <v>139</v>
      </c>
      <c r="G5593" s="18"/>
      <c r="H5593" s="18"/>
    </row>
    <row r="5594" spans="1:8" ht="13.2">
      <c r="A5594" s="19" t="str">
        <f>HYPERLINK("https://www.codechef.com/problems/CHEFAOR","CODECHEF CHEFAOR")</f>
        <v>CODECHEF CHEFAOR</v>
      </c>
      <c r="B5594" s="15" t="s">
        <v>6418</v>
      </c>
      <c r="C5594" s="17">
        <v>6.25</v>
      </c>
      <c r="D5594" s="26" t="str">
        <f>HYPERLINK("https://github.com/mostafa-saad/MyCompetitiveProgramming/blob/master/CodeChef/CODECHEF-CHEFAOR.txt","Find O(NK) Sol")</f>
        <v>Find O(NK) Sol</v>
      </c>
      <c r="E5594" s="17" t="s">
        <v>6419</v>
      </c>
      <c r="F5594" s="17" t="s">
        <v>139</v>
      </c>
      <c r="G5594" s="18"/>
      <c r="H5594" s="18"/>
    </row>
    <row r="5595" spans="1:8" ht="13.2">
      <c r="A5595" s="15" t="s">
        <v>6420</v>
      </c>
      <c r="B5595" s="29" t="s">
        <v>6421</v>
      </c>
      <c r="C5595" s="24">
        <v>6</v>
      </c>
      <c r="D5595" s="26" t="str">
        <f>HYPERLINK("https://github.com/gabrielrussoc/competitive-programming/blob/master/spoj/brkstrng.cpp","Sol")</f>
        <v>Sol</v>
      </c>
      <c r="E5595" s="17" t="s">
        <v>6419</v>
      </c>
      <c r="F5595" s="17" t="s">
        <v>139</v>
      </c>
      <c r="G5595" s="18"/>
      <c r="H5595" s="18"/>
    </row>
    <row r="5596" spans="1:8" ht="13.2">
      <c r="A5596" s="15" t="s">
        <v>6422</v>
      </c>
      <c r="B5596" s="15" t="s">
        <v>6421</v>
      </c>
      <c r="C5596" s="17">
        <v>5.25</v>
      </c>
      <c r="D5596" s="26" t="str">
        <f>HYPERLINK("https://github.com/taow-com-prog/problemsolving/blob/master/UVA/UVA%2012836.cpp","Use knuth")</f>
        <v>Use knuth</v>
      </c>
      <c r="E5596" s="17" t="s">
        <v>6419</v>
      </c>
      <c r="F5596" s="17"/>
      <c r="G5596" s="18"/>
      <c r="H5596" s="18"/>
    </row>
    <row r="5597" spans="1:8" ht="13.2">
      <c r="A5597" s="15" t="s">
        <v>6423</v>
      </c>
      <c r="B5597" s="15" t="s">
        <v>6424</v>
      </c>
      <c r="C5597" s="17">
        <v>5</v>
      </c>
      <c r="D5597" s="26" t="str">
        <f>HYPERLINK("https://github.com/taow-com-prog/problemsolving/blob/master/UVA/UVA%2010304.cpp","Use knuth")</f>
        <v>Use knuth</v>
      </c>
      <c r="E5597" s="17" t="s">
        <v>6419</v>
      </c>
      <c r="F5597" s="17" t="s">
        <v>201</v>
      </c>
      <c r="G5597" s="18"/>
      <c r="H5597" s="18"/>
    </row>
    <row r="5598" spans="1:8" ht="13.2">
      <c r="A5598" s="19" t="str">
        <f>HYPERLINK("http://codeforces.com/contest/704/problem/B","CF704-D1-B")</f>
        <v>CF704-D1-B</v>
      </c>
      <c r="B5598" s="15" t="s">
        <v>6425</v>
      </c>
      <c r="C5598" s="24">
        <v>7.5</v>
      </c>
      <c r="D5598" s="18"/>
      <c r="E5598" s="17" t="s">
        <v>6426</v>
      </c>
      <c r="F5598" s="17" t="s">
        <v>173</v>
      </c>
      <c r="G5598" s="18"/>
      <c r="H5598" s="18"/>
    </row>
    <row r="5599" spans="1:8" ht="13.2">
      <c r="A5599" s="19" t="str">
        <f>HYPERLINK("http://codeforces.com/contest/626/problem/F","CF626-D12-F")</f>
        <v>CF626-D12-F</v>
      </c>
      <c r="B5599" s="15" t="s">
        <v>6427</v>
      </c>
      <c r="C5599" s="24">
        <v>6.5</v>
      </c>
      <c r="D5599" s="18"/>
      <c r="E5599" s="17" t="s">
        <v>6426</v>
      </c>
      <c r="F5599" s="17" t="s">
        <v>1053</v>
      </c>
      <c r="G5599" s="18"/>
      <c r="H5599" s="18"/>
    </row>
    <row r="5600" spans="1:8" ht="13.2">
      <c r="A5600" s="19" t="str">
        <f>HYPERLINK("http://codeforces.com/contest/367/problem/E","CF367-D1-E")</f>
        <v>CF367-D1-E</v>
      </c>
      <c r="B5600" s="15" t="s">
        <v>6428</v>
      </c>
      <c r="C5600" s="24">
        <v>6.5</v>
      </c>
      <c r="D5600" s="26" t="str">
        <f>HYPERLINK("https://github.com/Triplem5ds/Competitve-Programming/blob/master/Codeforces/CF367-D1-E.cc","Find O(NNM) Sol")</f>
        <v>Find O(NNM) Sol</v>
      </c>
      <c r="E5600" s="17" t="s">
        <v>6426</v>
      </c>
      <c r="F5600" s="17" t="s">
        <v>154</v>
      </c>
      <c r="G5600" s="18"/>
      <c r="H5600" s="18"/>
    </row>
    <row r="5601" spans="1:8" ht="13.2">
      <c r="A5601" s="19" t="str">
        <f>HYPERLINK("http://codeforces.com/contest/466/problem/D","CF466-D2-D")</f>
        <v>CF466-D2-D</v>
      </c>
      <c r="B5601" s="29" t="s">
        <v>6427</v>
      </c>
      <c r="C5601" s="17">
        <v>6</v>
      </c>
      <c r="D5601" s="18"/>
      <c r="E5601" s="17" t="s">
        <v>6426</v>
      </c>
      <c r="F5601" s="17" t="s">
        <v>196</v>
      </c>
      <c r="G5601" s="18"/>
      <c r="H5601" s="18"/>
    </row>
    <row r="5602" spans="1:8" ht="13.2">
      <c r="A5602" s="19" t="str">
        <f>HYPERLINK("http://codeforces.com/contest/101/problem/E","CF101-D1-E")</f>
        <v>CF101-D1-E</v>
      </c>
      <c r="B5602" s="15" t="s">
        <v>6429</v>
      </c>
      <c r="C5602" s="24">
        <v>8.5</v>
      </c>
      <c r="D5602" s="18"/>
      <c r="E5602" s="17" t="s">
        <v>6430</v>
      </c>
      <c r="F5602" s="17"/>
      <c r="G5602" s="18"/>
      <c r="H5602" s="18"/>
    </row>
    <row r="5603" spans="1:8" ht="13.2">
      <c r="A5603" s="19" t="str">
        <f>HYPERLINK("http://codeforces.com/contest/739/problem/E","CF739-D1-E")</f>
        <v>CF739-D1-E</v>
      </c>
      <c r="B5603" s="15" t="s">
        <v>6431</v>
      </c>
      <c r="C5603" s="53">
        <v>8</v>
      </c>
      <c r="D5603" s="26" t="str">
        <f>HYPERLINK("http://codeforces.com/blog/entry/49691","Nice Read")</f>
        <v>Nice Read</v>
      </c>
      <c r="E5603" s="17" t="s">
        <v>6430</v>
      </c>
      <c r="F5603" s="17" t="s">
        <v>173</v>
      </c>
      <c r="G5603" s="18"/>
      <c r="H5603" s="18"/>
    </row>
    <row r="5604" spans="1:8" ht="13.2">
      <c r="A5604" s="19" t="str">
        <f>HYPERLINK("http://codeforces.com/contest/674/problem/C","CF674-D12-C")</f>
        <v>CF674-D12-C</v>
      </c>
      <c r="B5604" s="15" t="s">
        <v>6432</v>
      </c>
      <c r="C5604" s="17">
        <v>7.5</v>
      </c>
      <c r="D5604" s="26" t="str">
        <f>HYPERLINK("http://codeforces.com/blog/entry/46693","Find O(nlogk) sol")</f>
        <v>Find O(nlogk) sol</v>
      </c>
      <c r="E5604" s="17" t="s">
        <v>6430</v>
      </c>
      <c r="F5604" s="17" t="s">
        <v>173</v>
      </c>
      <c r="G5604" s="18"/>
      <c r="H5604" s="18"/>
    </row>
    <row r="5605" spans="1:8" ht="13.2">
      <c r="A5605" s="19" t="str">
        <f>HYPERLINK("https://csacademy.com/contest/round-56/task/or-problem/","CSA56-F")</f>
        <v>CSA56-F</v>
      </c>
      <c r="B5605" s="15" t="s">
        <v>6433</v>
      </c>
      <c r="C5605" s="17">
        <v>7.5</v>
      </c>
      <c r="D5605" s="18"/>
      <c r="E5605" s="17" t="s">
        <v>6430</v>
      </c>
      <c r="F5605" s="17"/>
      <c r="G5605" s="18"/>
      <c r="H5605" s="18"/>
    </row>
    <row r="5606" spans="1:8" ht="13.2">
      <c r="A5606" s="15" t="s">
        <v>6434</v>
      </c>
      <c r="B5606" s="41" t="s">
        <v>6435</v>
      </c>
      <c r="C5606" s="17">
        <v>7.25</v>
      </c>
      <c r="D5606" s="18"/>
      <c r="E5606" s="17" t="s">
        <v>6430</v>
      </c>
      <c r="F5606" s="17" t="s">
        <v>173</v>
      </c>
      <c r="G5606" s="18"/>
      <c r="H5606" s="18"/>
    </row>
    <row r="5607" spans="1:8" ht="13.2">
      <c r="A5607" s="19" t="str">
        <f>HYPERLINK("https://www.hackerrank.com/contests/monthly/challenges/alien-languages/problem","HACKER alien-languages")</f>
        <v>HACKER alien-languages</v>
      </c>
      <c r="B5607" s="15" t="s">
        <v>6429</v>
      </c>
      <c r="C5607" s="17">
        <v>6.5</v>
      </c>
      <c r="D5607" s="26" t="str">
        <f>HYPERLINK("https://github.com/HeartBlue/CompetitiveProgramming/blob/master/HACKR/HACKR%20alien-languages.cpp","Sol")</f>
        <v>Sol</v>
      </c>
      <c r="E5607" s="17" t="s">
        <v>6430</v>
      </c>
      <c r="F5607" s="17" t="s">
        <v>154</v>
      </c>
      <c r="G5607" s="18"/>
      <c r="H5607" s="18"/>
    </row>
    <row r="5608" spans="1:8" ht="13.2">
      <c r="A5608" s="19" t="str">
        <f>HYPERLINK("http://codeforces.com/gym/101856/problem/B","CF101856-GYM-B")</f>
        <v>CF101856-GYM-B</v>
      </c>
      <c r="B5608" s="20" t="s">
        <v>6436</v>
      </c>
      <c r="C5608" s="21">
        <v>6.75</v>
      </c>
      <c r="D5608" s="26" t="str">
        <f>HYPERLINK("https://github.com/swapnil119/CompetitiveProgramming/blob/master/CompetitiveProgramming/Codeforces/CF101840-GYM-B.cpp","Sol")</f>
        <v>Sol</v>
      </c>
      <c r="E5608" s="17" t="s">
        <v>6437</v>
      </c>
      <c r="F5608" s="17"/>
      <c r="G5608" s="18"/>
      <c r="H5608" s="18"/>
    </row>
    <row r="5609" spans="1:8" ht="13.2">
      <c r="A5609" s="19" t="str">
        <f>HYPERLINK("http://codeforces.com/contest/119/problem/D","CF119-D12-D")</f>
        <v>CF119-D12-D</v>
      </c>
      <c r="B5609" s="15" t="s">
        <v>6438</v>
      </c>
      <c r="C5609" s="17">
        <v>7.25</v>
      </c>
      <c r="D5609" s="18"/>
      <c r="E5609" s="17" t="s">
        <v>6439</v>
      </c>
      <c r="F5609" s="17" t="s">
        <v>154</v>
      </c>
      <c r="G5609" s="18"/>
      <c r="H5609" s="18"/>
    </row>
    <row r="5610" spans="1:8" ht="13.2">
      <c r="A5610" s="19" t="str">
        <f>HYPERLINK("https://www.codechef.com/problems/STR_FUNC","CODECHEF STR_FUNC")</f>
        <v>CODECHEF STR_FUNC</v>
      </c>
      <c r="B5610" s="15" t="s">
        <v>6440</v>
      </c>
      <c r="C5610" s="17">
        <v>8</v>
      </c>
      <c r="D5610" s="18"/>
      <c r="E5610" s="17" t="s">
        <v>6441</v>
      </c>
      <c r="F5610" s="17"/>
      <c r="G5610" s="18"/>
      <c r="H5610" s="18"/>
    </row>
    <row r="5611" spans="1:8" ht="13.2">
      <c r="A5611" s="19" t="str">
        <f>HYPERLINK("https://www.codechef.com/problems/TIMETRAV","CODECHEF TIMETRAV")</f>
        <v>CODECHEF TIMETRAV</v>
      </c>
      <c r="B5611" s="15" t="s">
        <v>6440</v>
      </c>
      <c r="C5611" s="17">
        <v>8</v>
      </c>
      <c r="D5611" s="18"/>
      <c r="E5611" s="17" t="s">
        <v>6441</v>
      </c>
      <c r="F5611" s="17"/>
      <c r="G5611" s="18"/>
      <c r="H5611" s="18"/>
    </row>
    <row r="5612" spans="1:8" ht="13.2">
      <c r="A5612" s="19" t="str">
        <f>HYPERLINK("https://icpcarchive.ecs.baylor.edu/index.php?option=com_onlinejudge&amp;Itemid=8&amp;category=635&amp;page=show_problem&amp;problem=4997","LiveArchive 6985")</f>
        <v>LiveArchive 6985</v>
      </c>
      <c r="B5612" s="15" t="s">
        <v>6440</v>
      </c>
      <c r="C5612" s="17">
        <v>8</v>
      </c>
      <c r="D5612" s="18"/>
      <c r="E5612" s="17" t="s">
        <v>6441</v>
      </c>
      <c r="F5612" s="17"/>
      <c r="G5612" s="18"/>
      <c r="H5612" s="18"/>
    </row>
    <row r="5613" spans="1:8" ht="13.2">
      <c r="A5613" s="19" t="str">
        <f>HYPERLINK("https://www.codechef.com/problems/CSS","CODECHEF CSS")</f>
        <v>CODECHEF CSS</v>
      </c>
      <c r="B5613" s="15" t="s">
        <v>6442</v>
      </c>
      <c r="C5613" s="17">
        <v>8</v>
      </c>
      <c r="D5613" s="18"/>
      <c r="E5613" s="17" t="s">
        <v>6441</v>
      </c>
      <c r="F5613" s="17"/>
      <c r="G5613" s="18"/>
      <c r="H5613" s="18"/>
    </row>
    <row r="5614" spans="1:8" ht="13.2">
      <c r="A5614" s="19" t="str">
        <f>HYPERLINK("https://codeforces.com/contest/800/problem/D","CF800-D12-D")</f>
        <v>CF800-D12-D</v>
      </c>
      <c r="B5614" s="15" t="s">
        <v>6440</v>
      </c>
      <c r="C5614" s="17">
        <v>7.5</v>
      </c>
      <c r="D5614" s="18"/>
      <c r="E5614" s="17" t="s">
        <v>6441</v>
      </c>
      <c r="F5614" s="17"/>
      <c r="G5614" s="18"/>
      <c r="H5614" s="18"/>
    </row>
    <row r="5615" spans="1:8" ht="13.2">
      <c r="A5615" s="19" t="str">
        <f>HYPERLINK("http://codeforces.com/gym/101666/problem/G","CF101666-Gym-G")</f>
        <v>CF101666-Gym-G</v>
      </c>
      <c r="B5615" s="20" t="s">
        <v>6443</v>
      </c>
      <c r="C5615" s="21">
        <v>7</v>
      </c>
      <c r="D5615" s="26" t="str">
        <f>HYPERLINK("https://github.com/swapnil119/CompetitiveProgramming/blob/master/CompetitiveProgramming/Codeforces/CF101666-GYM-G.cpp","Sol")</f>
        <v>Sol</v>
      </c>
      <c r="E5615" s="17" t="s">
        <v>6441</v>
      </c>
      <c r="F5615" s="17" t="s">
        <v>154</v>
      </c>
      <c r="G5615" s="18"/>
      <c r="H5615" s="18"/>
    </row>
    <row r="5616" spans="1:8" ht="13.2">
      <c r="A5616" s="19" t="str">
        <f>HYPERLINK("https://codeforces.com/gym/102006/problem/F","CF102006-gym-F")</f>
        <v>CF102006-gym-F</v>
      </c>
      <c r="B5616" s="15" t="s">
        <v>6444</v>
      </c>
      <c r="C5616" s="17">
        <v>7</v>
      </c>
      <c r="D5616" s="18"/>
      <c r="E5616" s="17" t="s">
        <v>6441</v>
      </c>
      <c r="F5616" s="17"/>
      <c r="G5616" s="18"/>
      <c r="H5616" s="18"/>
    </row>
    <row r="5617" spans="1:8" ht="13.2">
      <c r="A5617" s="19" t="str">
        <f>HYPERLINK("https://csacademy.com/contest/round-78/task/xor-transform/","CSA78-E")</f>
        <v>CSA78-E</v>
      </c>
      <c r="B5617" s="47" t="s">
        <v>6445</v>
      </c>
      <c r="C5617" s="62">
        <v>7</v>
      </c>
      <c r="D5617" s="18"/>
      <c r="E5617" s="62" t="s">
        <v>6441</v>
      </c>
      <c r="F5617" s="17"/>
      <c r="G5617" s="18"/>
      <c r="H5617" s="18"/>
    </row>
    <row r="5618" spans="1:8" ht="13.2">
      <c r="A5618" s="19" t="str">
        <f>HYPERLINK("https://www.codechef.com/problems/BEAUTY","CODECHEF BEAUTY")</f>
        <v>CODECHEF BEAUTY</v>
      </c>
      <c r="B5618" s="18" t="s">
        <v>6446</v>
      </c>
      <c r="C5618" s="17">
        <v>7</v>
      </c>
      <c r="D5618" s="18"/>
      <c r="E5618" s="17" t="s">
        <v>6441</v>
      </c>
      <c r="F5618" s="17"/>
      <c r="G5618" s="18"/>
      <c r="H5618" s="18"/>
    </row>
    <row r="5619" spans="1:8" ht="13.2">
      <c r="A5619" s="19" t="str">
        <f>HYPERLINK("https://www.hackerrank.com/contests/countercode/challenges/subset","HACKR subset")</f>
        <v>HACKR subset</v>
      </c>
      <c r="B5619" s="15" t="s">
        <v>6440</v>
      </c>
      <c r="C5619" s="17">
        <v>7</v>
      </c>
      <c r="D5619" s="18"/>
      <c r="E5619" s="17" t="s">
        <v>6441</v>
      </c>
      <c r="F5619" s="17"/>
      <c r="G5619" s="18"/>
      <c r="H5619" s="18"/>
    </row>
    <row r="5620" spans="1:8" ht="13.2">
      <c r="A5620" s="19" t="str">
        <f>HYPERLINK("http://codeforces.com/problemset/problem/1033/F", "CF1033-D12-F")</f>
        <v>CF1033-D12-F</v>
      </c>
      <c r="B5620" s="15" t="s">
        <v>6447</v>
      </c>
      <c r="C5620" s="17">
        <v>6.9</v>
      </c>
      <c r="D5620" s="18" t="s">
        <v>6448</v>
      </c>
      <c r="E5620" s="17" t="s">
        <v>6441</v>
      </c>
      <c r="F5620" s="17" t="s">
        <v>154</v>
      </c>
      <c r="G5620" s="18"/>
      <c r="H5620" s="18"/>
    </row>
    <row r="5621" spans="1:8" ht="13.2">
      <c r="A5621" s="19" t="str">
        <f>HYPERLINK("http://codeforces.com/contest/449/problem/D","CF449-D1-D")</f>
        <v>CF449-D1-D</v>
      </c>
      <c r="B5621" s="15" t="s">
        <v>6449</v>
      </c>
      <c r="C5621" s="24">
        <v>6.75</v>
      </c>
      <c r="D5621" s="18"/>
      <c r="E5621" s="17" t="s">
        <v>6441</v>
      </c>
      <c r="F5621" s="17" t="s">
        <v>1053</v>
      </c>
      <c r="G5621" s="18"/>
      <c r="H5621" s="18"/>
    </row>
    <row r="5622" spans="1:8" ht="13.2">
      <c r="A5622" s="19" t="str">
        <f>HYPERLINK("https://codeforces.com/contest/1208/problem/F", "CF1208-D12-F")</f>
        <v>CF1208-D12-F</v>
      </c>
      <c r="B5622" s="20" t="s">
        <v>6444</v>
      </c>
      <c r="C5622" s="17">
        <v>6.5</v>
      </c>
      <c r="D5622" s="26" t="str">
        <f>HYPERLINK("https://github.com/fiv2001/CompetitiveProgramming/blob/master/Codeforces/CF1208-D12-F.cpp", "Sol")</f>
        <v>Sol</v>
      </c>
      <c r="E5622" s="17" t="s">
        <v>6441</v>
      </c>
      <c r="F5622" s="17" t="s">
        <v>139</v>
      </c>
      <c r="G5622" s="18"/>
      <c r="H5622" s="18"/>
    </row>
    <row r="5623" spans="1:8" ht="13.2">
      <c r="A5623" s="19" t="str">
        <f>HYPERLINK("https://olymp.innopolis.ru/ooui/informatics/upload/2018-2019/inno-2019-final-en.pdf","Innopolis 19-Final-B")</f>
        <v>Innopolis 19-Final-B</v>
      </c>
      <c r="B5623" s="15" t="s">
        <v>6450</v>
      </c>
      <c r="C5623" s="17">
        <v>6.5</v>
      </c>
      <c r="D5623" s="18" t="s">
        <v>6451</v>
      </c>
      <c r="E5623" s="17" t="s">
        <v>6441</v>
      </c>
      <c r="F5623" s="17" t="s">
        <v>139</v>
      </c>
      <c r="G5623" s="18"/>
      <c r="H5623" s="18"/>
    </row>
    <row r="5624" spans="1:8" ht="13.2">
      <c r="A5624" s="19" t="str">
        <f>HYPERLINK("https://www.codechef.com/COOK107A/problems/SUBSETS", "CODECHEF SUBSETS")</f>
        <v>CODECHEF SUBSETS</v>
      </c>
      <c r="B5624" s="15" t="s">
        <v>6452</v>
      </c>
      <c r="C5624" s="17">
        <v>6.4</v>
      </c>
      <c r="D5624" s="26" t="str">
        <f>HYPERLINK("https://raw.githubusercontent.com/veljko02/CompetitiveProgramming/master/CodeChef/subsets.cpp","Sol")</f>
        <v>Sol</v>
      </c>
      <c r="E5624" s="17" t="s">
        <v>6441</v>
      </c>
      <c r="F5624" s="17" t="s">
        <v>139</v>
      </c>
      <c r="G5624" s="18"/>
      <c r="H5624" s="18"/>
    </row>
    <row r="5625" spans="1:8" ht="13.2">
      <c r="A5625" s="19" t="str">
        <f>HYPERLINK("https://atcoder.jp/contests/arc100/tasks/arc100_c","Atcoder100-ARC-C")</f>
        <v>Atcoder100-ARC-C</v>
      </c>
      <c r="B5625" s="15" t="s">
        <v>6453</v>
      </c>
      <c r="C5625" s="17">
        <v>6.25</v>
      </c>
      <c r="D5625" s="18"/>
      <c r="E5625" s="17" t="s">
        <v>6441</v>
      </c>
      <c r="F5625" s="17" t="s">
        <v>154</v>
      </c>
      <c r="G5625" s="18"/>
      <c r="H5625" s="18"/>
    </row>
    <row r="5626" spans="1:8" ht="13.2">
      <c r="A5626" s="19" t="str">
        <f>HYPERLINK("https://www.hackerearth.com/practice/algorithms/dynamic-programming/2-dimensional/practice-problems/algorithm/uchiha-brothers-and-two-products-circuit/","HACKER uchiha-brothers-and-two-products-circuit")</f>
        <v>HACKER uchiha-brothers-and-two-products-circuit</v>
      </c>
      <c r="B5626" s="15" t="s">
        <v>6454</v>
      </c>
      <c r="C5626" s="17">
        <v>6.25</v>
      </c>
      <c r="D5626" s="26" t="str">
        <f>HYPERLINK("https://github.com/veljko02/CompetitiveProgramming/blob/master/HackerEarth/uchicha_brothers.cpp","Sol")</f>
        <v>Sol</v>
      </c>
      <c r="E5626" s="17" t="s">
        <v>6441</v>
      </c>
      <c r="F5626" s="17" t="s">
        <v>154</v>
      </c>
      <c r="G5626" s="18"/>
      <c r="H5626" s="18"/>
    </row>
    <row r="5627" spans="1:8" ht="13.2">
      <c r="A5627" s="19" t="str">
        <f>HYPERLINK("https://www.hackerearth.com/problem/algorithm/berland-programming-contests-9c8b5165/description/","HACKER berland-programming-contests-9c8b5165")</f>
        <v>HACKER berland-programming-contests-9c8b5165</v>
      </c>
      <c r="B5627" s="15" t="s">
        <v>6444</v>
      </c>
      <c r="C5627" s="17">
        <v>6.25</v>
      </c>
      <c r="D5627" s="18"/>
      <c r="E5627" s="17" t="s">
        <v>6441</v>
      </c>
      <c r="F5627" s="17" t="s">
        <v>139</v>
      </c>
      <c r="G5627" s="18"/>
      <c r="H5627" s="18"/>
    </row>
    <row r="5628" spans="1:8" ht="13.2">
      <c r="A5628" s="19" t="str">
        <f>HYPERLINK("http://codeforces.com/contest/383/problem/E","CF383-D1-E")</f>
        <v>CF383-D1-E</v>
      </c>
      <c r="B5628" s="15" t="s">
        <v>6444</v>
      </c>
      <c r="C5628" s="24">
        <v>6</v>
      </c>
      <c r="D5628" s="18"/>
      <c r="E5628" s="17" t="s">
        <v>6441</v>
      </c>
      <c r="F5628" s="17" t="s">
        <v>139</v>
      </c>
      <c r="G5628" s="18"/>
      <c r="H5628" s="18"/>
    </row>
    <row r="5629" spans="1:8" ht="13.2">
      <c r="A5629" s="19" t="str">
        <f>HYPERLINK("http://codeforces.com/contest/165/problem/E","CF165-D2-E")</f>
        <v>CF165-D2-E</v>
      </c>
      <c r="B5629" s="28" t="s">
        <v>6455</v>
      </c>
      <c r="C5629" s="24">
        <v>6</v>
      </c>
      <c r="D5629" s="18"/>
      <c r="E5629" s="17" t="s">
        <v>6441</v>
      </c>
      <c r="F5629" s="17" t="s">
        <v>139</v>
      </c>
      <c r="G5629" s="18"/>
      <c r="H5629" s="18"/>
    </row>
    <row r="5630" spans="1:8" ht="13.2">
      <c r="A5630" s="19" t="str">
        <f>HYPERLINK("https://codingcompetitions.withgoogle.com/kickstart/round/0000000000050e02/000000000018fd5e","Kickstart 19-RG-C")</f>
        <v>Kickstart 19-RG-C</v>
      </c>
      <c r="B5630" s="20" t="s">
        <v>6444</v>
      </c>
      <c r="C5630" s="21">
        <v>5.5</v>
      </c>
      <c r="D5630" s="18"/>
      <c r="E5630" s="17" t="s">
        <v>6441</v>
      </c>
      <c r="F5630" s="17" t="s">
        <v>139</v>
      </c>
      <c r="G5630" s="18"/>
      <c r="H5630" s="18"/>
    </row>
    <row r="5631" spans="1:8" ht="13.2">
      <c r="A5631" s="19" t="str">
        <f>HYPERLINK(" https://www.hackerearth.com/practice/algorithms/dynamic-programming/bit-masking/practice-problems/algorithm/special-pairs-7/description/","HACKER special-pairs-7")</f>
        <v>HACKER special-pairs-7</v>
      </c>
      <c r="B5631" s="15" t="s">
        <v>6444</v>
      </c>
      <c r="C5631" s="17">
        <v>5</v>
      </c>
      <c r="D5631" s="18"/>
      <c r="E5631" s="17" t="s">
        <v>6441</v>
      </c>
      <c r="F5631" s="17" t="s">
        <v>139</v>
      </c>
      <c r="G5631" s="18"/>
      <c r="H5631" s="18"/>
    </row>
    <row r="5632" spans="1:8" ht="13.2">
      <c r="A5632" s="19" t="str">
        <f>HYPERLINK("http://codeforces.com/contest/204/problem/E","CF204-D1-E")</f>
        <v>CF204-D1-E</v>
      </c>
      <c r="B5632" s="15" t="s">
        <v>6456</v>
      </c>
      <c r="C5632" s="24">
        <v>7.5</v>
      </c>
      <c r="D5632" s="18"/>
      <c r="E5632" s="17" t="s">
        <v>6457</v>
      </c>
      <c r="F5632" s="17" t="s">
        <v>201</v>
      </c>
      <c r="G5632" s="18"/>
      <c r="H5632" s="18"/>
    </row>
    <row r="5633" spans="1:8" ht="13.2">
      <c r="A5633" s="19" t="str">
        <f>HYPERLINK("https://www.codechef.com/problems/SUBQUERY","CODECHEF SUBQUERY")</f>
        <v>CODECHEF SUBQUERY</v>
      </c>
      <c r="B5633" s="30" t="s">
        <v>6456</v>
      </c>
      <c r="C5633" s="17">
        <v>5</v>
      </c>
      <c r="D5633" s="18"/>
      <c r="E5633" s="17" t="s">
        <v>6457</v>
      </c>
      <c r="F5633" s="17" t="s">
        <v>139</v>
      </c>
      <c r="G5633" s="18"/>
      <c r="H5633" s="18"/>
    </row>
    <row r="5634" spans="1:8" ht="13.2">
      <c r="A5634" s="19" t="str">
        <f>HYPERLINK("https://www.codechef.com/problems/TSUBSTR","CODECHEF TSUBSTR")</f>
        <v>CODECHEF TSUBSTR</v>
      </c>
      <c r="B5634" s="30" t="s">
        <v>6456</v>
      </c>
      <c r="C5634" s="17">
        <v>5</v>
      </c>
      <c r="D5634" s="18"/>
      <c r="E5634" s="17" t="s">
        <v>6457</v>
      </c>
      <c r="F5634" s="17" t="s">
        <v>139</v>
      </c>
      <c r="G5634" s="18"/>
      <c r="H5634" s="18"/>
    </row>
    <row r="5635" spans="1:8" ht="13.2">
      <c r="A5635" s="19" t="str">
        <f>HYPERLINK("http://codeforces.com/contest/735/problem/E","CF735-D2-E")</f>
        <v>CF735-D2-E</v>
      </c>
      <c r="B5635" s="15" t="s">
        <v>6458</v>
      </c>
      <c r="C5635" s="24">
        <v>8</v>
      </c>
      <c r="D5635" s="18"/>
      <c r="E5635" s="17" t="s">
        <v>6459</v>
      </c>
      <c r="F5635" s="17" t="s">
        <v>139</v>
      </c>
      <c r="G5635" s="18"/>
      <c r="H5635" s="18"/>
    </row>
    <row r="5636" spans="1:8" ht="13.2">
      <c r="A5636" s="19" t="str">
        <f>HYPERLINK("https://codeforces.com/contest/995/problem/F","CF995-D1-F")</f>
        <v>CF995-D1-F</v>
      </c>
      <c r="B5636" s="15" t="s">
        <v>6460</v>
      </c>
      <c r="C5636" s="21">
        <v>8</v>
      </c>
      <c r="D5636" s="18"/>
      <c r="E5636" s="17" t="s">
        <v>6459</v>
      </c>
      <c r="F5636" s="17" t="s">
        <v>201</v>
      </c>
      <c r="G5636" s="18"/>
      <c r="H5636" s="18"/>
    </row>
    <row r="5637" spans="1:8" ht="13.2">
      <c r="A5637" s="19" t="str">
        <f>HYPERLINK("http://codeforces.com/contest/868/problem/E","CF868-D12-E")</f>
        <v>CF868-D12-E</v>
      </c>
      <c r="B5637" s="15" t="s">
        <v>6461</v>
      </c>
      <c r="C5637" s="17">
        <v>7.5</v>
      </c>
      <c r="D5637" s="18"/>
      <c r="E5637" s="17" t="s">
        <v>6459</v>
      </c>
      <c r="F5637" s="17" t="s">
        <v>154</v>
      </c>
      <c r="G5637" s="18"/>
      <c r="H5637" s="18"/>
    </row>
    <row r="5638" spans="1:8" ht="13.2">
      <c r="A5638" s="19" t="str">
        <f>HYPERLINK("https://codeforces.com/contest/1179/problem/D","CF1179-D1-D")</f>
        <v>CF1179-D1-D</v>
      </c>
      <c r="B5638" s="15" t="s">
        <v>6458</v>
      </c>
      <c r="C5638" s="17">
        <v>7.5</v>
      </c>
      <c r="D5638" s="18"/>
      <c r="E5638" s="17" t="s">
        <v>6459</v>
      </c>
      <c r="F5638" s="17" t="s">
        <v>139</v>
      </c>
      <c r="G5638" s="18"/>
      <c r="H5638" s="18"/>
    </row>
    <row r="5639" spans="1:8" ht="13.2">
      <c r="A5639" s="19" t="str">
        <f>HYPERLINK("http://codeforces.com/contest/23/problem/E","CF23-D12-E")</f>
        <v>CF23-D12-E</v>
      </c>
      <c r="B5639" s="15" t="s">
        <v>6462</v>
      </c>
      <c r="C5639" s="24">
        <v>7.5</v>
      </c>
      <c r="D5639" s="18"/>
      <c r="E5639" s="17" t="s">
        <v>6459</v>
      </c>
      <c r="F5639" s="17" t="s">
        <v>139</v>
      </c>
      <c r="G5639" s="18"/>
      <c r="H5639" s="18"/>
    </row>
    <row r="5640" spans="1:8" ht="13.2">
      <c r="A5640" s="19" t="str">
        <f>HYPERLINK("https://codeforces.com/contest/1280/problem/D","CF1280-D1-D")</f>
        <v>CF1280-D1-D</v>
      </c>
      <c r="B5640" s="20" t="s">
        <v>6463</v>
      </c>
      <c r="C5640" s="21">
        <v>7.5</v>
      </c>
      <c r="D5640" s="18"/>
      <c r="E5640" s="17" t="s">
        <v>6459</v>
      </c>
      <c r="F5640" s="17" t="s">
        <v>139</v>
      </c>
      <c r="G5640" s="18"/>
      <c r="H5640" s="18"/>
    </row>
    <row r="5641" spans="1:8" ht="13.2">
      <c r="A5641" s="19" t="str">
        <f>HYPERLINK("https://codeforces.com/contest/1266/problem/F","CF1266-D12-F")</f>
        <v>CF1266-D12-F</v>
      </c>
      <c r="B5641" s="20" t="s">
        <v>6464</v>
      </c>
      <c r="C5641" s="21">
        <v>7.5</v>
      </c>
      <c r="D5641" s="18"/>
      <c r="E5641" s="17" t="s">
        <v>6459</v>
      </c>
      <c r="F5641" s="17" t="s">
        <v>139</v>
      </c>
      <c r="G5641" s="18"/>
      <c r="H5641" s="18"/>
    </row>
    <row r="5642" spans="1:8" ht="13.2">
      <c r="A5642" s="19" t="str">
        <f>HYPERLINK("http://codeforces.com/contest/816/problem/E","CF816-D2-E")</f>
        <v>CF816-D2-E</v>
      </c>
      <c r="B5642" s="18" t="s">
        <v>6465</v>
      </c>
      <c r="C5642" s="24">
        <v>7</v>
      </c>
      <c r="D5642" s="26" t="str">
        <f>HYPERLINK("https://github.com/OmarHashim/Competitive-Programming/blob/master/CodeForces/CF816-D2-E.cpp","After AC, Can u develop O(n^2) sol?")</f>
        <v>After AC, Can u develop O(n^2) sol?</v>
      </c>
      <c r="E5642" s="17" t="s">
        <v>6459</v>
      </c>
      <c r="F5642" s="17" t="s">
        <v>154</v>
      </c>
      <c r="G5642" s="18"/>
      <c r="H5642" s="18"/>
    </row>
    <row r="5643" spans="1:8" ht="13.2">
      <c r="A5643" s="19" t="str">
        <f>HYPERLINK("http://codeforces.com/contest/294/problem/E","CF294-D2-E")</f>
        <v>CF294-D2-E</v>
      </c>
      <c r="B5643" s="15" t="s">
        <v>6458</v>
      </c>
      <c r="C5643" s="24">
        <v>7</v>
      </c>
      <c r="D5643" s="18"/>
      <c r="E5643" s="17" t="s">
        <v>6459</v>
      </c>
      <c r="F5643" s="17" t="s">
        <v>139</v>
      </c>
      <c r="G5643" s="18"/>
      <c r="H5643" s="18"/>
    </row>
    <row r="5644" spans="1:8" ht="13.8">
      <c r="A5644" s="19" t="str">
        <f>HYPERLINK("http://codeforces.com/contest/805/problem/F","CF805-D2-F")</f>
        <v>CF805-D2-F</v>
      </c>
      <c r="B5644" s="44" t="s">
        <v>6458</v>
      </c>
      <c r="C5644" s="17">
        <v>7</v>
      </c>
      <c r="D5644" s="18"/>
      <c r="E5644" s="17" t="s">
        <v>6459</v>
      </c>
      <c r="F5644" s="17" t="s">
        <v>139</v>
      </c>
      <c r="G5644" s="18"/>
      <c r="H5644" s="18"/>
    </row>
    <row r="5645" spans="1:8" ht="13.2">
      <c r="A5645" s="19" t="str">
        <f>HYPERLINK("http://codeforces.com/contest/581/problem/F","CF581-D2-F")</f>
        <v>CF581-D2-F</v>
      </c>
      <c r="B5645" s="15" t="s">
        <v>6458</v>
      </c>
      <c r="C5645" s="24">
        <v>7</v>
      </c>
      <c r="D5645" s="18"/>
      <c r="E5645" s="17" t="s">
        <v>6459</v>
      </c>
      <c r="F5645" s="17"/>
      <c r="G5645" s="18"/>
      <c r="H5645" s="18"/>
    </row>
    <row r="5646" spans="1:8" ht="13.2">
      <c r="A5646" s="19" t="str">
        <f>HYPERLINK("https://icpcarchive.ecs.baylor.edu/index.php?option=com_onlinejudge&amp;Itemid=8&amp;category=683&amp;page=show_problem&amp;problem=5248","LIVEARCHIVE 7236")</f>
        <v>LIVEARCHIVE 7236</v>
      </c>
      <c r="B5646" s="20" t="s">
        <v>6466</v>
      </c>
      <c r="C5646" s="17">
        <v>6.6</v>
      </c>
      <c r="D5646" s="26" t="str">
        <f>HYPERLINK("https://github.com/mostafa-saad/MyCompetitiveProgramming/blob/master/LiveArchive/LIVEARCHIVE_7236.txt","Sol")</f>
        <v>Sol</v>
      </c>
      <c r="E5646" s="17" t="s">
        <v>6459</v>
      </c>
      <c r="F5646" s="17" t="s">
        <v>139</v>
      </c>
      <c r="G5646" s="18"/>
      <c r="H5646" s="18"/>
    </row>
    <row r="5647" spans="1:8" ht="13.2">
      <c r="A5647" s="15" t="s">
        <v>6467</v>
      </c>
      <c r="B5647" s="15" t="s">
        <v>6468</v>
      </c>
      <c r="C5647" s="17">
        <v>6.5</v>
      </c>
      <c r="D5647" s="26" t="str">
        <f>HYPERLINK("https://www.quora.com/How-do-I-solve-SPOJ-Two-Paths-problem","Editorial")</f>
        <v>Editorial</v>
      </c>
      <c r="E5647" s="17" t="s">
        <v>6459</v>
      </c>
      <c r="F5647" s="17" t="s">
        <v>154</v>
      </c>
      <c r="G5647" s="18"/>
      <c r="H5647" s="18"/>
    </row>
    <row r="5648" spans="1:8" ht="13.2">
      <c r="A5648" s="19" t="str">
        <f>HYPERLINK("http://codeforces.com/contest/543/problem/D","CF543-D1-D")</f>
        <v>CF543-D1-D</v>
      </c>
      <c r="B5648" s="29" t="s">
        <v>6469</v>
      </c>
      <c r="C5648" s="17">
        <v>6.5</v>
      </c>
      <c r="D5648" s="18"/>
      <c r="E5648" s="17" t="s">
        <v>6459</v>
      </c>
      <c r="F5648" s="17" t="s">
        <v>139</v>
      </c>
      <c r="G5648" s="18"/>
      <c r="H5648" s="18"/>
    </row>
    <row r="5649" spans="1:8" ht="13.2">
      <c r="A5649" s="19" t="str">
        <f>HYPERLINK("https://www.codechef.com/FEB19A/problems/XDCOMP","CODECHEF XDCOMP")</f>
        <v>CODECHEF XDCOMP</v>
      </c>
      <c r="B5649" s="20" t="s">
        <v>6470</v>
      </c>
      <c r="C5649" s="17">
        <v>6.5</v>
      </c>
      <c r="D5649" s="18"/>
      <c r="E5649" s="17" t="s">
        <v>6459</v>
      </c>
      <c r="F5649" s="17" t="s">
        <v>139</v>
      </c>
      <c r="G5649" s="18"/>
      <c r="H5649" s="18"/>
    </row>
    <row r="5650" spans="1:8" ht="13.2">
      <c r="A5650" s="19" t="str">
        <f>HYPERLINK("http://codeforces.com/contest/349/problem/D","CF349-D2-D")</f>
        <v>CF349-D2-D</v>
      </c>
      <c r="B5650" s="15" t="s">
        <v>6471</v>
      </c>
      <c r="C5650" s="24">
        <v>6.5</v>
      </c>
      <c r="D5650" s="18"/>
      <c r="E5650" s="17" t="s">
        <v>6459</v>
      </c>
      <c r="F5650" s="17" t="s">
        <v>139</v>
      </c>
      <c r="G5650" s="18"/>
      <c r="H5650" s="18"/>
    </row>
    <row r="5651" spans="1:8" ht="13.2">
      <c r="A5651" s="15" t="s">
        <v>6472</v>
      </c>
      <c r="B5651" s="18" t="s">
        <v>6473</v>
      </c>
      <c r="C5651" s="31">
        <v>6.5</v>
      </c>
      <c r="D5651" s="18"/>
      <c r="E5651" s="17" t="s">
        <v>6459</v>
      </c>
      <c r="F5651" s="17"/>
      <c r="G5651" s="18"/>
      <c r="H5651" s="18"/>
    </row>
    <row r="5652" spans="1:8" ht="13.2">
      <c r="A5652" s="15" t="s">
        <v>6474</v>
      </c>
      <c r="B5652" s="15" t="s">
        <v>6475</v>
      </c>
      <c r="C5652" s="17">
        <v>6.5</v>
      </c>
      <c r="D5652" s="18"/>
      <c r="E5652" s="17" t="s">
        <v>6459</v>
      </c>
      <c r="F5652" s="17"/>
      <c r="G5652" s="18"/>
      <c r="H5652" s="18"/>
    </row>
    <row r="5653" spans="1:8" ht="13.2">
      <c r="A5653" s="19" t="str">
        <f>HYPERLINK("http://codeforces.com/contest/791/problem/D","CF791-D2-D")</f>
        <v>CF791-D2-D</v>
      </c>
      <c r="B5653" s="38" t="s">
        <v>6458</v>
      </c>
      <c r="C5653" s="17">
        <v>6.4</v>
      </c>
      <c r="D5653" s="18"/>
      <c r="E5653" s="17" t="s">
        <v>6459</v>
      </c>
      <c r="F5653" s="17" t="s">
        <v>1053</v>
      </c>
      <c r="G5653" s="18"/>
      <c r="H5653" s="18"/>
    </row>
    <row r="5654" spans="1:8" ht="13.2">
      <c r="A5654" s="19" t="str">
        <f>HYPERLINK("http://codeforces.com/contest/629/problem/E","CF629-D2-E")</f>
        <v>CF629-D2-E</v>
      </c>
      <c r="B5654" s="43" t="s">
        <v>6476</v>
      </c>
      <c r="C5654" s="24">
        <v>6.3</v>
      </c>
      <c r="D5654" s="18"/>
      <c r="E5654" s="17" t="s">
        <v>6459</v>
      </c>
      <c r="F5654" s="17" t="s">
        <v>139</v>
      </c>
      <c r="G5654" s="18"/>
      <c r="H5654" s="18"/>
    </row>
    <row r="5655" spans="1:8" ht="13.2">
      <c r="A5655" s="19" t="str">
        <f>HYPERLINK("http://codeforces.com/contest/1060/problem/E","CF1060-D2-E")</f>
        <v>CF1060-D2-E</v>
      </c>
      <c r="B5655" s="20" t="s">
        <v>6477</v>
      </c>
      <c r="C5655" s="21">
        <v>6.25</v>
      </c>
      <c r="D5655" s="18"/>
      <c r="E5655" s="17" t="s">
        <v>6459</v>
      </c>
      <c r="F5655" s="17" t="s">
        <v>154</v>
      </c>
      <c r="G5655" s="18"/>
      <c r="H5655" s="18"/>
    </row>
    <row r="5656" spans="1:8" ht="13.2">
      <c r="A5656" s="19" t="str">
        <f>HYPERLINK("https://codeforces.com/contest/1092/problem/F","CF1092-D3-F")</f>
        <v>CF1092-D3-F</v>
      </c>
      <c r="B5656" s="20" t="s">
        <v>6478</v>
      </c>
      <c r="C5656" s="21">
        <v>6.25</v>
      </c>
      <c r="D5656" s="18"/>
      <c r="E5656" s="17" t="s">
        <v>6459</v>
      </c>
      <c r="F5656" s="17" t="s">
        <v>139</v>
      </c>
      <c r="G5656" s="18"/>
      <c r="H5656" s="18"/>
    </row>
    <row r="5657" spans="1:8" ht="13.2">
      <c r="A5657" s="19" t="str">
        <f>HYPERLINK("http://codeforces.com/contest/802/problem/K","CF802-D12-K")</f>
        <v>CF802-D12-K</v>
      </c>
      <c r="B5657" s="15" t="s">
        <v>6479</v>
      </c>
      <c r="C5657" s="17">
        <v>6.25</v>
      </c>
      <c r="D5657" s="18"/>
      <c r="E5657" s="17" t="s">
        <v>6459</v>
      </c>
      <c r="F5657" s="17" t="s">
        <v>201</v>
      </c>
      <c r="G5657" s="18"/>
      <c r="H5657" s="18"/>
    </row>
    <row r="5658" spans="1:8" ht="13.2">
      <c r="A5658" s="19" t="str">
        <f>HYPERLINK("https://codeforces.com/contest/1263/problem/F","CF1263-D2-F")</f>
        <v>CF1263-D2-F</v>
      </c>
      <c r="B5658" s="20" t="s">
        <v>6480</v>
      </c>
      <c r="C5658" s="17">
        <v>6.25</v>
      </c>
      <c r="D5658" s="18"/>
      <c r="E5658" s="17" t="s">
        <v>6459</v>
      </c>
      <c r="F5658" s="17" t="s">
        <v>201</v>
      </c>
      <c r="G5658" s="18"/>
      <c r="H5658" s="18"/>
    </row>
    <row r="5659" spans="1:8" ht="13.2">
      <c r="A5659" s="15" t="s">
        <v>6481</v>
      </c>
      <c r="B5659" s="43" t="s">
        <v>6482</v>
      </c>
      <c r="C5659" s="24">
        <v>6.25</v>
      </c>
      <c r="D5659" s="26" t="str">
        <f>HYPERLINK("https://github.com/aviroop123/CompetitiveProgramming/blob/master/UVA/UVA%2011174.cpp","Sol")</f>
        <v>Sol</v>
      </c>
      <c r="E5659" s="17" t="s">
        <v>6459</v>
      </c>
      <c r="F5659" s="17"/>
      <c r="G5659" s="18"/>
      <c r="H5659" s="18"/>
    </row>
    <row r="5660" spans="1:8" ht="13.2">
      <c r="A5660" s="19" t="str">
        <f>HYPERLINK("https://codeforces.com/contest/1249/problem/F","CF1249-D3-F")</f>
        <v>CF1249-D3-F</v>
      </c>
      <c r="B5660" s="15" t="s">
        <v>6458</v>
      </c>
      <c r="C5660" s="17">
        <v>6.1</v>
      </c>
      <c r="D5660" s="18"/>
      <c r="E5660" s="17" t="s">
        <v>6459</v>
      </c>
      <c r="F5660" s="17" t="s">
        <v>154</v>
      </c>
      <c r="G5660" s="18"/>
      <c r="H5660" s="18"/>
    </row>
    <row r="5661" spans="1:8" ht="13.2">
      <c r="A5661" s="19" t="str">
        <f>HYPERLINK("https://codeforces.com/contest/960/problem/E","CF960-D12-E")</f>
        <v>CF960-D12-E</v>
      </c>
      <c r="B5661" s="15" t="s">
        <v>6483</v>
      </c>
      <c r="C5661" s="17">
        <v>6.1</v>
      </c>
      <c r="D5661" s="18"/>
      <c r="E5661" s="17" t="s">
        <v>6459</v>
      </c>
      <c r="F5661" s="17" t="s">
        <v>201</v>
      </c>
      <c r="G5661" s="18"/>
      <c r="H5661" s="18"/>
    </row>
    <row r="5662" spans="1:8" ht="13.2">
      <c r="A5662" s="19" t="str">
        <f>HYPERLINK("http://codeforces.com/contest/1088/problem/E","CF1088-D2-E")</f>
        <v>CF1088-D2-E</v>
      </c>
      <c r="B5662" s="15" t="s">
        <v>6484</v>
      </c>
      <c r="C5662" s="17">
        <v>6</v>
      </c>
      <c r="D5662" s="18"/>
      <c r="E5662" s="17" t="s">
        <v>6459</v>
      </c>
      <c r="F5662" s="17" t="s">
        <v>139</v>
      </c>
      <c r="G5662" s="18"/>
      <c r="H5662" s="18"/>
    </row>
    <row r="5663" spans="1:8" ht="13.2">
      <c r="A5663" s="19" t="str">
        <f>HYPERLINK("https://www.hackerrank.com/contests/101hack22/challenges/sum-of-all-distances","HACKR sum-of-all-distances")</f>
        <v>HACKR sum-of-all-distances</v>
      </c>
      <c r="B5663" s="38" t="s">
        <v>6480</v>
      </c>
      <c r="C5663" s="17">
        <v>6</v>
      </c>
      <c r="D5663" s="26" t="str">
        <f>HYPERLINK("https://github.com/gs15120/CompetitveProgrammingDirectories/blob/master/Hackerrank/HACKR%20sum-of-all-distances","Sol")</f>
        <v>Sol</v>
      </c>
      <c r="E5663" s="17" t="s">
        <v>6459</v>
      </c>
      <c r="F5663" s="17" t="s">
        <v>201</v>
      </c>
      <c r="G5663" s="18"/>
      <c r="H5663" s="18"/>
    </row>
    <row r="5664" spans="1:8" ht="13.2">
      <c r="A5664" s="19" t="str">
        <f>HYPERLINK("http://codeforces.com/contest/533/problem/B","CF533-D1-B")</f>
        <v>CF533-D1-B</v>
      </c>
      <c r="B5664" s="20" t="s">
        <v>6485</v>
      </c>
      <c r="C5664" s="21">
        <v>6</v>
      </c>
      <c r="D5664" s="18"/>
      <c r="E5664" s="17" t="s">
        <v>6459</v>
      </c>
      <c r="F5664" s="17" t="s">
        <v>242</v>
      </c>
      <c r="G5664" s="18"/>
      <c r="H5664" s="18"/>
    </row>
    <row r="5665" spans="1:8" ht="13.2">
      <c r="A5665" s="19" t="str">
        <f>HYPERLINK("https://codeforces.com/contest/1241/problem/E","CF1241-D2-E")</f>
        <v>CF1241-D2-E</v>
      </c>
      <c r="B5665" s="15" t="s">
        <v>6458</v>
      </c>
      <c r="C5665" s="17">
        <v>6</v>
      </c>
      <c r="D5665" s="18"/>
      <c r="E5665" s="17" t="s">
        <v>6459</v>
      </c>
      <c r="F5665" s="17"/>
      <c r="G5665" s="18"/>
      <c r="H5665" s="18"/>
    </row>
    <row r="5666" spans="1:8" ht="13.2">
      <c r="A5666" s="15" t="s">
        <v>6486</v>
      </c>
      <c r="B5666" s="30" t="s">
        <v>6458</v>
      </c>
      <c r="C5666" s="24">
        <v>6</v>
      </c>
      <c r="D5666" s="18"/>
      <c r="E5666" s="17" t="s">
        <v>6459</v>
      </c>
      <c r="F5666" s="17"/>
      <c r="G5666" s="18"/>
      <c r="H5666" s="18"/>
    </row>
    <row r="5667" spans="1:8" ht="13.2">
      <c r="A5667" s="19" t="str">
        <f>HYPERLINK("http://codeforces.com/gym/101889/problem/G","CF101889-GYM-G")</f>
        <v>CF101889-GYM-G</v>
      </c>
      <c r="B5667" s="20" t="s">
        <v>6480</v>
      </c>
      <c r="C5667" s="21">
        <v>6</v>
      </c>
      <c r="D5667" s="26" t="str">
        <f>HYPERLINK("https://github.com/OmarHashim/Competitive-Programming/blob/master/CodeForces/CF101889-GYM-G.cpp","Sol")</f>
        <v>Sol</v>
      </c>
      <c r="E5667" s="17" t="s">
        <v>6459</v>
      </c>
      <c r="F5667" s="17"/>
      <c r="G5667" s="18"/>
      <c r="H5667" s="18"/>
    </row>
    <row r="5668" spans="1:8" ht="13.2">
      <c r="A5668" s="15" t="s">
        <v>6487</v>
      </c>
      <c r="B5668" s="29" t="s">
        <v>6488</v>
      </c>
      <c r="C5668" s="17">
        <v>5.75</v>
      </c>
      <c r="D5668" s="26" t="str">
        <f>HYPERLINK("https://github.com/mostafa-saad/MyCompetitiveProgramming/blob/master/UVA/UVA_10859.txt","Sol - must read")</f>
        <v>Sol - must read</v>
      </c>
      <c r="E5668" s="17" t="s">
        <v>6459</v>
      </c>
      <c r="F5668" s="17" t="s">
        <v>154</v>
      </c>
      <c r="G5668" s="18"/>
      <c r="H5668" s="18"/>
    </row>
    <row r="5669" spans="1:8" ht="13.2">
      <c r="A5669" s="19" t="str">
        <f>HYPERLINK("http://codeforces.com/problemset/problem/461/B", "CF461-D1-B")</f>
        <v>CF461-D1-B</v>
      </c>
      <c r="B5669" s="15" t="s">
        <v>6458</v>
      </c>
      <c r="C5669" s="17">
        <v>5.75</v>
      </c>
      <c r="D5669" s="18"/>
      <c r="E5669" s="17" t="s">
        <v>6459</v>
      </c>
      <c r="F5669" s="17" t="s">
        <v>139</v>
      </c>
      <c r="G5669" s="18"/>
      <c r="H5669" s="18"/>
    </row>
    <row r="5670" spans="1:8" ht="13.2">
      <c r="A5670" s="19" t="str">
        <f>HYPERLINK("https://codeforces.com/contest/1156/problem/E", "CF1156-D12-E")</f>
        <v>CF1156-D12-E</v>
      </c>
      <c r="B5670" s="15" t="s">
        <v>6489</v>
      </c>
      <c r="C5670" s="17">
        <v>5.75</v>
      </c>
      <c r="D5670" s="18"/>
      <c r="E5670" s="17" t="s">
        <v>6459</v>
      </c>
      <c r="F5670" s="17" t="s">
        <v>139</v>
      </c>
      <c r="G5670" s="18"/>
      <c r="H5670" s="18"/>
    </row>
    <row r="5671" spans="1:8" ht="13.2">
      <c r="A5671" s="15" t="s">
        <v>6490</v>
      </c>
      <c r="B5671" s="15" t="s">
        <v>6491</v>
      </c>
      <c r="C5671" s="17">
        <v>5.75</v>
      </c>
      <c r="D5671" s="18"/>
      <c r="E5671" s="17" t="s">
        <v>6459</v>
      </c>
      <c r="F5671" s="17"/>
      <c r="G5671" s="18"/>
      <c r="H5671" s="18"/>
    </row>
    <row r="5672" spans="1:8" ht="13.2">
      <c r="A5672" s="19" t="str">
        <f>HYPERLINK("http://codeforces.com/contest/337/problem/D","CF337-D2-D")</f>
        <v>CF337-D2-D</v>
      </c>
      <c r="B5672" s="29" t="s">
        <v>6492</v>
      </c>
      <c r="C5672" s="17">
        <v>5.5</v>
      </c>
      <c r="D5672" s="26" t="str">
        <f>HYPERLINK("http://codeforces.com/contest/337/submission/38413425","Sol")</f>
        <v>Sol</v>
      </c>
      <c r="E5672" s="17" t="s">
        <v>6459</v>
      </c>
      <c r="F5672" s="17" t="s">
        <v>154</v>
      </c>
      <c r="G5672" s="18"/>
      <c r="H5672" s="18"/>
    </row>
    <row r="5673" spans="1:8" ht="13.2">
      <c r="A5673" s="15" t="s">
        <v>6493</v>
      </c>
      <c r="B5673" s="30" t="s">
        <v>6494</v>
      </c>
      <c r="C5673" s="24">
        <v>5.5</v>
      </c>
      <c r="D5673" s="26" t="str">
        <f>HYPERLINK("https://github.com/mostafa-saad/MyCompetitiveProgramming/blob/master/UVA/UVA_1218.txt","Sol")</f>
        <v>Sol</v>
      </c>
      <c r="E5673" s="17" t="s">
        <v>6459</v>
      </c>
      <c r="F5673" s="17" t="s">
        <v>196</v>
      </c>
      <c r="G5673" s="18"/>
      <c r="H5673" s="18"/>
    </row>
    <row r="5674" spans="1:8" ht="13.2">
      <c r="A5674" s="15" t="s">
        <v>6495</v>
      </c>
      <c r="B5674" s="15" t="s">
        <v>6458</v>
      </c>
      <c r="C5674" s="17">
        <v>5.5</v>
      </c>
      <c r="D5674" s="26" t="str">
        <f>HYPERLINK("https://github.com/adarshkr532/CompetitiveProgramming/blob/master/LiveArchive/6631.cpp", "Sol")</f>
        <v>Sol</v>
      </c>
      <c r="E5674" s="17" t="s">
        <v>6459</v>
      </c>
      <c r="F5674" s="17" t="s">
        <v>139</v>
      </c>
      <c r="G5674" s="18"/>
      <c r="H5674" s="18"/>
    </row>
    <row r="5675" spans="1:8" ht="13.2">
      <c r="A5675" s="19" t="str">
        <f>HYPERLINK("https://www.spoj.com/problems/VOCV/","SOPJ VOCV")</f>
        <v>SOPJ VOCV</v>
      </c>
      <c r="B5675" s="15" t="s">
        <v>6458</v>
      </c>
      <c r="C5675" s="17">
        <v>5.5</v>
      </c>
      <c r="D5675" s="18"/>
      <c r="E5675" s="17" t="s">
        <v>6459</v>
      </c>
      <c r="F5675" s="17" t="s">
        <v>139</v>
      </c>
      <c r="G5675" s="18"/>
      <c r="H5675" s="18"/>
    </row>
    <row r="5676" spans="1:8" ht="13.2">
      <c r="A5676" s="15" t="s">
        <v>6496</v>
      </c>
      <c r="B5676" s="20" t="s">
        <v>6497</v>
      </c>
      <c r="C5676" s="21">
        <v>5.5</v>
      </c>
      <c r="D5676" s="26" t="str">
        <f>HYPERLINK("https://github.com/aviroop123/CompetitiveProgramming/blob/master/CodeChef/CODECHEF%20TREE02.cpp","Sol")</f>
        <v>Sol</v>
      </c>
      <c r="E5676" s="17" t="s">
        <v>6459</v>
      </c>
      <c r="F5676" s="17" t="s">
        <v>139</v>
      </c>
      <c r="G5676" s="18"/>
      <c r="H5676" s="18"/>
    </row>
    <row r="5677" spans="1:8" ht="13.2">
      <c r="A5677" s="19" t="str">
        <f>HYPERLINK("https://codeforces.com/contest/1084/problem/D","CF1084-D2-D")</f>
        <v>CF1084-D2-D</v>
      </c>
      <c r="B5677" s="20" t="s">
        <v>6498</v>
      </c>
      <c r="C5677" s="17">
        <v>5.5</v>
      </c>
      <c r="D5677" s="18"/>
      <c r="E5677" s="17" t="s">
        <v>6459</v>
      </c>
      <c r="F5677" s="17" t="s">
        <v>201</v>
      </c>
      <c r="G5677" s="18"/>
      <c r="H5677" s="18"/>
    </row>
    <row r="5678" spans="1:8" ht="13.2">
      <c r="A5678" s="19" t="str">
        <f>HYPERLINK("http://codeforces.com/contest/814/problem/D","CF814-D2-D")</f>
        <v>CF814-D2-D</v>
      </c>
      <c r="B5678" s="29" t="s">
        <v>6499</v>
      </c>
      <c r="C5678" s="17">
        <v>5</v>
      </c>
      <c r="D5678" s="18"/>
      <c r="E5678" s="17" t="s">
        <v>6459</v>
      </c>
      <c r="F5678" s="17" t="s">
        <v>196</v>
      </c>
      <c r="G5678" s="18"/>
      <c r="H5678" s="18"/>
    </row>
    <row r="5679" spans="1:8" ht="13.2">
      <c r="A5679" s="19" t="str">
        <f>HYPERLINK("https://codeforces.com/contest/1101/problem/D","CF1101-D12-D")</f>
        <v>CF1101-D12-D</v>
      </c>
      <c r="B5679" s="15" t="s">
        <v>6500</v>
      </c>
      <c r="C5679" s="17">
        <v>5</v>
      </c>
      <c r="D5679" s="18"/>
      <c r="E5679" s="17" t="s">
        <v>6459</v>
      </c>
      <c r="F5679" s="17" t="s">
        <v>139</v>
      </c>
      <c r="G5679" s="18"/>
      <c r="H5679" s="18"/>
    </row>
    <row r="5680" spans="1:8" ht="13.2">
      <c r="A5680" s="19" t="str">
        <f>HYPERLINK("http://codeforces.com/contest/161/problem/D","CF161-D12-D")</f>
        <v>CF161-D12-D</v>
      </c>
      <c r="B5680" s="15" t="s">
        <v>6501</v>
      </c>
      <c r="C5680" s="17">
        <v>5</v>
      </c>
      <c r="D5680" s="18"/>
      <c r="E5680" s="17" t="s">
        <v>6459</v>
      </c>
      <c r="F5680" s="17" t="s">
        <v>613</v>
      </c>
      <c r="G5680" s="18"/>
      <c r="H5680" s="18"/>
    </row>
    <row r="5681" spans="1:8" ht="13.2">
      <c r="A5681" s="15" t="s">
        <v>6502</v>
      </c>
      <c r="B5681" s="29" t="s">
        <v>6503</v>
      </c>
      <c r="C5681" s="24">
        <v>5</v>
      </c>
      <c r="D5681" s="26" t="str">
        <f>HYPERLINK("https://github.com/mostafa-saad/MyCompetitiveProgramming/blob/master/Timus/Timus_1362.txt","Sol")</f>
        <v>Sol</v>
      </c>
      <c r="E5681" s="17" t="s">
        <v>6459</v>
      </c>
      <c r="F5681" s="17" t="s">
        <v>201</v>
      </c>
      <c r="G5681" s="18"/>
      <c r="H5681" s="18"/>
    </row>
    <row r="5682" spans="1:8" ht="13.2">
      <c r="A5682" s="19" t="str">
        <f>HYPERLINK("http://codeforces.com/contest/743/problem/D","CF743-D2-D")</f>
        <v>CF743-D2-D</v>
      </c>
      <c r="B5682" s="29" t="s">
        <v>6458</v>
      </c>
      <c r="C5682" s="17">
        <v>5</v>
      </c>
      <c r="D5682" s="18"/>
      <c r="E5682" s="17" t="s">
        <v>6459</v>
      </c>
      <c r="F5682" s="17" t="s">
        <v>242</v>
      </c>
      <c r="G5682" s="18"/>
      <c r="H5682" s="18"/>
    </row>
    <row r="5683" spans="1:8" ht="13.2">
      <c r="A5683" s="19" t="str">
        <f>HYPERLINK("https://csacademy.com/contest/fii-code-2019-round-1/task/Sugarel-in-Love/","CSA-FiiCode1-D")</f>
        <v>CSA-FiiCode1-D</v>
      </c>
      <c r="B5683" s="15" t="s">
        <v>6458</v>
      </c>
      <c r="C5683" s="17">
        <v>5</v>
      </c>
      <c r="D5683" s="18"/>
      <c r="E5683" s="17" t="s">
        <v>6459</v>
      </c>
      <c r="F5683" s="17"/>
      <c r="G5683" s="18"/>
      <c r="H5683" s="18"/>
    </row>
    <row r="5684" spans="1:8" ht="13.2">
      <c r="A5684" s="19" t="str">
        <f>HYPERLINK("http://www.spoj.com/problems/PT07X/","SPOJ PT07X")</f>
        <v>SPOJ PT07X</v>
      </c>
      <c r="B5684" s="29" t="s">
        <v>6458</v>
      </c>
      <c r="C5684" s="17">
        <v>5</v>
      </c>
      <c r="D5684" s="26" t="str">
        <f>HYPERLINK("https://github.com/abdullaAshraf/Problem-Solving/blob/master/SPOJ/PT07X.cpp","Sol")</f>
        <v>Sol</v>
      </c>
      <c r="E5684" s="17" t="s">
        <v>6459</v>
      </c>
      <c r="F5684" s="17"/>
      <c r="G5684" s="18"/>
      <c r="H5684" s="18"/>
    </row>
    <row r="5685" spans="1:8" ht="13.2">
      <c r="A5685" s="19" t="str">
        <f>HYPERLINK("https://codeforces.com/contest/1087/problem/E","CF1087-D2-E")</f>
        <v>CF1087-D2-E</v>
      </c>
      <c r="B5685" s="15" t="s">
        <v>6504</v>
      </c>
      <c r="C5685" s="17">
        <v>7</v>
      </c>
      <c r="D5685" s="26" t="str">
        <f>HYPERLINK("https://github.com/pranavjangir/CompetitiveProgramming/blob/master/CodeForces/CF1086-D1-C.cpp","Sol")</f>
        <v>Sol</v>
      </c>
      <c r="E5685" s="17" t="s">
        <v>6505</v>
      </c>
      <c r="F5685" s="17" t="s">
        <v>139</v>
      </c>
      <c r="G5685" s="18"/>
      <c r="H5685" s="18"/>
    </row>
    <row r="5686" spans="1:8" ht="13.2">
      <c r="A5686" s="19" t="str">
        <f>HYPERLINK("http://codeforces.com/contest/444/problem/D","CF444-D1-D")</f>
        <v>CF444-D1-D</v>
      </c>
      <c r="B5686" s="15" t="s">
        <v>6506</v>
      </c>
      <c r="C5686" s="24">
        <v>6.5</v>
      </c>
      <c r="D5686" s="18"/>
      <c r="E5686" s="17" t="s">
        <v>6505</v>
      </c>
      <c r="F5686" s="17" t="s">
        <v>139</v>
      </c>
      <c r="G5686" s="18"/>
      <c r="H5686" s="18"/>
    </row>
    <row r="5687" spans="1:8" ht="13.2">
      <c r="A5687" s="19" t="str">
        <f>HYPERLINK("https://codeforces.com/contest/1113/problem/D","CF1113-D2-D")</f>
        <v>CF1113-D2-D</v>
      </c>
      <c r="B5687" s="20" t="s">
        <v>6507</v>
      </c>
      <c r="C5687" s="21">
        <v>5.5</v>
      </c>
      <c r="D5687" s="18"/>
      <c r="E5687" s="17" t="s">
        <v>6505</v>
      </c>
      <c r="F5687" s="17" t="s">
        <v>139</v>
      </c>
      <c r="G5687" s="18"/>
      <c r="H5687" s="18"/>
    </row>
    <row r="5688" spans="1:8" ht="13.2">
      <c r="A5688" s="19" t="str">
        <f>HYPERLINK("https://codeforces.com/contest/1282/problem/D","CF1282-D2-D")</f>
        <v>CF1282-D2-D</v>
      </c>
      <c r="B5688" s="20" t="s">
        <v>6508</v>
      </c>
      <c r="C5688" s="21">
        <v>5</v>
      </c>
      <c r="D5688" s="18"/>
      <c r="E5688" s="17" t="s">
        <v>6505</v>
      </c>
      <c r="F5688" s="17"/>
      <c r="G5688" s="18"/>
      <c r="H5688" s="18"/>
    </row>
    <row r="5689" spans="1:8" ht="13.2">
      <c r="A5689" s="19" t="str">
        <f>HYPERLINK("https://codeforces.com/problemset/problem/514/C", "CF514-D2-C")</f>
        <v>CF514-D2-C</v>
      </c>
      <c r="B5689" s="15" t="s">
        <v>6509</v>
      </c>
      <c r="C5689" s="17">
        <v>4.5</v>
      </c>
      <c r="D5689" s="18"/>
      <c r="E5689" s="17" t="s">
        <v>6505</v>
      </c>
      <c r="F5689" s="17" t="s">
        <v>201</v>
      </c>
      <c r="G5689" s="18"/>
      <c r="H5689" s="18"/>
    </row>
    <row r="5690" spans="1:8" ht="13.2">
      <c r="A5690" s="19" t="str">
        <f>HYPERLINK("http://codeforces.com/contest/438/problem/E","CF438-D1-E")</f>
        <v>CF438-D1-E</v>
      </c>
      <c r="B5690" s="15" t="s">
        <v>6510</v>
      </c>
      <c r="C5690" s="17">
        <v>9</v>
      </c>
      <c r="D5690" s="26" t="str">
        <f>HYPERLINK("http://codeforces.com/contest/438/submission/34078438","Sol")</f>
        <v>Sol</v>
      </c>
      <c r="E5690" s="17" t="s">
        <v>6511</v>
      </c>
      <c r="F5690" s="17"/>
      <c r="G5690" s="18"/>
      <c r="H5690" s="18"/>
    </row>
    <row r="5691" spans="1:8" ht="13.2">
      <c r="A5691" s="15" t="s">
        <v>6512</v>
      </c>
      <c r="B5691" s="20" t="s">
        <v>6513</v>
      </c>
      <c r="C5691" s="21">
        <v>8.5</v>
      </c>
      <c r="D5691" s="26" t="str">
        <f>HYPERLINK("https://github.com/mostafa-saad/MyCompetitiveProgramming/blob/master/CodeChef/CODECHEF-SERSUM.txt","Sol")</f>
        <v>Sol</v>
      </c>
      <c r="E5691" s="17" t="s">
        <v>6511</v>
      </c>
      <c r="F5691" s="17"/>
      <c r="G5691" s="18"/>
      <c r="H5691" s="18"/>
    </row>
    <row r="5692" spans="1:8" ht="13.2">
      <c r="A5692" s="19" t="str">
        <f>HYPERLINK("https://www.codechef.com/problems/COUNTARI","CODECHEF COUNTARI")</f>
        <v>CODECHEF COUNTARI</v>
      </c>
      <c r="B5692" s="18" t="s">
        <v>6514</v>
      </c>
      <c r="C5692" s="17">
        <v>7.5</v>
      </c>
      <c r="D5692" s="18"/>
      <c r="E5692" s="17" t="s">
        <v>6511</v>
      </c>
      <c r="F5692" s="17"/>
      <c r="G5692" s="18"/>
      <c r="H5692" s="18"/>
    </row>
    <row r="5693" spans="1:8" ht="13.2">
      <c r="A5693" s="19" t="str">
        <f>HYPERLINK("http://codeforces.com/contest/286/problem/E","CF286-D1-E")</f>
        <v>CF286-D1-E</v>
      </c>
      <c r="B5693" s="15" t="s">
        <v>6515</v>
      </c>
      <c r="C5693" s="24">
        <v>7.25</v>
      </c>
      <c r="D5693" s="18"/>
      <c r="E5693" s="17" t="s">
        <v>6511</v>
      </c>
      <c r="F5693" s="17" t="s">
        <v>139</v>
      </c>
      <c r="G5693" s="18"/>
      <c r="H5693" s="18"/>
    </row>
    <row r="5694" spans="1:8" ht="13.2">
      <c r="A5694" s="19" t="str">
        <f>HYPERLINK("https://www.codechef.com/JULY18A/problems/PFRUIT","CODECHEF PFRUIT")</f>
        <v>CODECHEF PFRUIT</v>
      </c>
      <c r="B5694" s="20" t="s">
        <v>6516</v>
      </c>
      <c r="C5694" s="17">
        <v>7</v>
      </c>
      <c r="D5694" s="26" t="str">
        <f>HYPERLINK("https://github.com/aviroop123/CompetitiveProgramming/blob/master/CodeChef/CODECHEF%20PFRUIT.cpp","Sol")</f>
        <v>Sol</v>
      </c>
      <c r="E5694" s="17" t="s">
        <v>6511</v>
      </c>
      <c r="F5694" s="17" t="s">
        <v>173</v>
      </c>
      <c r="G5694" s="18"/>
      <c r="H5694" s="18"/>
    </row>
    <row r="5695" spans="1:8" ht="13.2">
      <c r="A5695" s="19" t="str">
        <f>HYPERLINK("https://www.codechef.com/INQU2018/problems/IMGOD","CODECHEF IMGOD")</f>
        <v>CODECHEF IMGOD</v>
      </c>
      <c r="B5695" s="20" t="s">
        <v>6517</v>
      </c>
      <c r="C5695" s="21">
        <v>7</v>
      </c>
      <c r="D5695" s="26" t="str">
        <f>HYPERLINK("https://github.com/aviroop123/CompetitiveProgramming/blob/master/CodeChef/CODECHEF%20IMGOD.cpp","Sol")</f>
        <v>Sol</v>
      </c>
      <c r="E5695" s="17" t="s">
        <v>6511</v>
      </c>
      <c r="F5695" s="17" t="s">
        <v>139</v>
      </c>
      <c r="G5695" s="18"/>
      <c r="H5695" s="18"/>
    </row>
    <row r="5696" spans="1:8" ht="13.2">
      <c r="A5696" s="19" t="str">
        <f>HYPERLINK("http://codeforces.com/contest/528/problem/D","CF528-D1-D")</f>
        <v>CF528-D1-D</v>
      </c>
      <c r="B5696" s="15" t="s">
        <v>6518</v>
      </c>
      <c r="C5696" s="24">
        <v>7</v>
      </c>
      <c r="D5696" s="18"/>
      <c r="E5696" s="17" t="s">
        <v>6511</v>
      </c>
      <c r="F5696" s="17" t="s">
        <v>139</v>
      </c>
      <c r="G5696" s="18"/>
      <c r="H5696" s="18"/>
    </row>
    <row r="5697" spans="1:8" ht="13.2">
      <c r="A5697" s="19" t="str">
        <f>HYPERLINK("http://codeforces.com/contest/1096/problem/G","CF1096-D2-G")</f>
        <v>CF1096-D2-G</v>
      </c>
      <c r="B5697" s="15" t="s">
        <v>6519</v>
      </c>
      <c r="C5697" s="17">
        <v>7</v>
      </c>
      <c r="D5697" s="18"/>
      <c r="E5697" s="17" t="s">
        <v>6511</v>
      </c>
      <c r="F5697" s="17"/>
      <c r="G5697" s="18"/>
      <c r="H5697" s="18"/>
    </row>
    <row r="5698" spans="1:8" ht="13.2">
      <c r="A5698" s="15" t="s">
        <v>6520</v>
      </c>
      <c r="B5698" s="16" t="s">
        <v>6521</v>
      </c>
      <c r="C5698" s="17">
        <v>7</v>
      </c>
      <c r="D5698" s="18"/>
      <c r="E5698" s="17" t="s">
        <v>6511</v>
      </c>
      <c r="F5698" s="17"/>
      <c r="G5698" s="18"/>
      <c r="H5698" s="18"/>
    </row>
    <row r="5699" spans="1:8" ht="13.2">
      <c r="A5699" s="19" t="str">
        <f>HYPERLINK("https://codeforces.com/contest/1218/problem/D", "CF1218-D12-D")</f>
        <v>CF1218-D12-D</v>
      </c>
      <c r="B5699" s="49" t="s">
        <v>6522</v>
      </c>
      <c r="C5699" s="50">
        <v>6.8</v>
      </c>
      <c r="D5699" s="18"/>
      <c r="E5699" s="17" t="s">
        <v>6511</v>
      </c>
      <c r="F5699" s="17" t="s">
        <v>139</v>
      </c>
      <c r="G5699" s="18"/>
      <c r="H5699" s="18"/>
    </row>
    <row r="5700" spans="1:8" ht="13.2">
      <c r="A5700" s="19" t="str">
        <f>HYPERLINK("https://www.codechef.com/SEPT19A/problems/PSUM","CODECHEF PSUM")</f>
        <v>CODECHEF PSUM</v>
      </c>
      <c r="B5700" s="15" t="s">
        <v>6523</v>
      </c>
      <c r="C5700" s="17">
        <v>6.75</v>
      </c>
      <c r="D5700" s="18"/>
      <c r="E5700" s="17" t="s">
        <v>6511</v>
      </c>
      <c r="F5700" s="17" t="s">
        <v>139</v>
      </c>
      <c r="G5700" s="18"/>
      <c r="H5700" s="18"/>
    </row>
    <row r="5701" spans="1:8" ht="13.2">
      <c r="A5701" s="19" t="str">
        <f>HYPERLINK("https://www.codechef.com/problems/DOTIT","CODECHEF DOTIT")</f>
        <v>CODECHEF DOTIT</v>
      </c>
      <c r="B5701" s="15" t="s">
        <v>6524</v>
      </c>
      <c r="C5701" s="17">
        <v>6.75</v>
      </c>
      <c r="D5701" s="18"/>
      <c r="E5701" s="17" t="s">
        <v>6511</v>
      </c>
      <c r="F5701" s="17"/>
      <c r="G5701" s="18"/>
      <c r="H5701" s="18"/>
    </row>
    <row r="5702" spans="1:8" ht="13.2">
      <c r="A5702" s="19" t="str">
        <f>HYPERLINK("http://codeforces.com/contest/993/problem/E", "CF993-D1-E")</f>
        <v>CF993-D1-E</v>
      </c>
      <c r="B5702" s="20" t="s">
        <v>6525</v>
      </c>
      <c r="C5702" s="21">
        <v>6.5</v>
      </c>
      <c r="D5702" s="26" t="str">
        <f>HYPERLINK("http://codeforces.com/contest/993/submission/43802408","Browse others solutions if new to fft/nnt")</f>
        <v>Browse others solutions if new to fft/nnt</v>
      </c>
      <c r="E5702" s="17" t="s">
        <v>6511</v>
      </c>
      <c r="F5702" s="17" t="s">
        <v>154</v>
      </c>
      <c r="G5702" s="18"/>
      <c r="H5702" s="18"/>
    </row>
    <row r="5703" spans="1:8" ht="13.2">
      <c r="A5703" s="19" t="str">
        <f>HYPERLINK("https://www.codechef.com/MAY19A/problems/TREDEG","CODECHEF TREDEG")</f>
        <v>CODECHEF TREDEG</v>
      </c>
      <c r="B5703" s="23" t="s">
        <v>6515</v>
      </c>
      <c r="C5703" s="17">
        <v>6.5</v>
      </c>
      <c r="D5703" s="18"/>
      <c r="E5703" s="17" t="s">
        <v>6511</v>
      </c>
      <c r="F5703" s="17" t="s">
        <v>201</v>
      </c>
      <c r="G5703" s="18"/>
      <c r="H5703" s="18"/>
    </row>
    <row r="5704" spans="1:8" ht="13.2">
      <c r="A5704" s="19" t="str">
        <f>HYPERLINK("https://codeforces.com/contest/1218/problem/E", "CF1218-D12-E")</f>
        <v>CF1218-D12-E</v>
      </c>
      <c r="B5704" s="49" t="s">
        <v>6526</v>
      </c>
      <c r="C5704" s="50">
        <v>6</v>
      </c>
      <c r="D5704" s="18"/>
      <c r="E5704" s="17" t="s">
        <v>6511</v>
      </c>
      <c r="F5704" s="17" t="s">
        <v>139</v>
      </c>
      <c r="G5704" s="18"/>
      <c r="H5704" s="18"/>
    </row>
    <row r="5705" spans="1:8" ht="13.2">
      <c r="A5705" s="19" t="str">
        <f>HYPERLINK("https://codeforces.com/problemset/problem/632/E","CF632-D12-E")</f>
        <v>CF632-D12-E</v>
      </c>
      <c r="B5705" s="15" t="s">
        <v>6527</v>
      </c>
      <c r="C5705" s="17">
        <v>6</v>
      </c>
      <c r="D5705" s="18"/>
      <c r="E5705" s="17" t="s">
        <v>6511</v>
      </c>
      <c r="F5705" s="17"/>
      <c r="G5705" s="18"/>
      <c r="H5705" s="18"/>
    </row>
    <row r="5706" spans="1:8" ht="13.2">
      <c r="A5706" s="19" t="str">
        <f>HYPERLINK("https://www.spoj.com/problems/POLYMUL/","SPOJ POLYMUL")</f>
        <v>SPOJ POLYMUL</v>
      </c>
      <c r="B5706" s="15" t="s">
        <v>6527</v>
      </c>
      <c r="C5706" s="17">
        <v>4</v>
      </c>
      <c r="D5706" s="18"/>
      <c r="E5706" s="17" t="s">
        <v>6511</v>
      </c>
      <c r="F5706" s="17"/>
      <c r="G5706" s="18"/>
      <c r="H5706" s="18"/>
    </row>
    <row r="5707" spans="1:8" ht="13.2">
      <c r="A5707" s="19" t="str">
        <f>HYPERLINK("https://www.codechef.com/problems/HAMILG", "CODECHEF HAMILG")</f>
        <v>CODECHEF HAMILG</v>
      </c>
      <c r="B5707" s="15" t="s">
        <v>6528</v>
      </c>
      <c r="C5707" s="17">
        <v>8.5</v>
      </c>
      <c r="D5707" s="18"/>
      <c r="E5707" s="17" t="s">
        <v>6529</v>
      </c>
      <c r="F5707" s="17"/>
      <c r="G5707" s="18"/>
      <c r="H5707" s="18"/>
    </row>
    <row r="5708" spans="1:8" ht="13.2">
      <c r="A5708" s="19" t="str">
        <f>HYPERLINK("https://codeforces.com/contest/1089", "CF1089-D12-B")</f>
        <v>CF1089-D12-B</v>
      </c>
      <c r="B5708" s="15" t="s">
        <v>6530</v>
      </c>
      <c r="C5708" s="17">
        <v>8.25</v>
      </c>
      <c r="D5708" s="18"/>
      <c r="E5708" s="17" t="s">
        <v>6529</v>
      </c>
      <c r="F5708" s="17"/>
      <c r="G5708" s="18"/>
      <c r="H5708" s="18"/>
    </row>
    <row r="5709" spans="1:8" ht="13.2">
      <c r="A5709" s="19" t="str">
        <f>HYPERLINK("http://uoj.ac/problem/171", "UOJ 171")</f>
        <v>UOJ 171</v>
      </c>
      <c r="B5709" s="15" t="s">
        <v>6531</v>
      </c>
      <c r="C5709" s="17">
        <v>7.5</v>
      </c>
      <c r="D5709" s="26" t="str">
        <f>HYPERLINK("https://github.com/taow-com-prog/problemsolving/blob/master/general_matching/UOJ%20171.cpp","Sol")</f>
        <v>Sol</v>
      </c>
      <c r="E5709" s="17" t="s">
        <v>6529</v>
      </c>
      <c r="F5709" s="17"/>
      <c r="G5709" s="18"/>
      <c r="H5709" s="18"/>
    </row>
    <row r="5710" spans="1:8" ht="13.2">
      <c r="A5710" s="15" t="s">
        <v>6532</v>
      </c>
      <c r="B5710" s="15" t="s">
        <v>6533</v>
      </c>
      <c r="C5710" s="17">
        <v>6</v>
      </c>
      <c r="D5710" s="18"/>
      <c r="E5710" s="17" t="s">
        <v>6529</v>
      </c>
      <c r="F5710" s="17"/>
      <c r="G5710" s="18"/>
      <c r="H5710" s="18"/>
    </row>
    <row r="5711" spans="1:8" ht="13.2">
      <c r="A5711" s="19" t="str">
        <f>HYPERLINK("http://acm.timus.ru/problem.aspx?space=1&amp;num=1099", "TIMUS 1099")</f>
        <v>TIMUS 1099</v>
      </c>
      <c r="B5711" s="15" t="s">
        <v>6534</v>
      </c>
      <c r="C5711" s="17">
        <v>6</v>
      </c>
      <c r="D5711" s="26" t="str">
        <f>HYPERLINK("https://github.com/BoleynSu/CompetitiveProgramming/blob/master/archives/problemset/acm.timus.ru/1099.cpp","Sol")</f>
        <v>Sol</v>
      </c>
      <c r="E5711" s="17" t="s">
        <v>6529</v>
      </c>
      <c r="F5711" s="17"/>
      <c r="G5711" s="18"/>
      <c r="H5711" s="18"/>
    </row>
    <row r="5712" spans="1:8" ht="13.2">
      <c r="A5712" s="15" t="s">
        <v>6535</v>
      </c>
      <c r="B5712" s="15" t="s">
        <v>6536</v>
      </c>
      <c r="C5712" s="17">
        <v>6</v>
      </c>
      <c r="D5712" s="18"/>
      <c r="E5712" s="17" t="s">
        <v>6529</v>
      </c>
      <c r="F5712" s="17"/>
      <c r="G5712" s="18"/>
      <c r="H5712" s="18"/>
    </row>
  </sheetData>
  <hyperlinks>
    <hyperlink ref="D12" r:id="rId1" xr:uid="{00000000-0004-0000-0100-000000000000}"/>
    <hyperlink ref="A2260" r:id="rId2" xr:uid="{00000000-0004-0000-0100-000001000000}"/>
    <hyperlink ref="A3020" r:id="rId3" xr:uid="{00000000-0004-0000-0100-000002000000}"/>
    <hyperlink ref="A3025" r:id="rId4" xr:uid="{00000000-0004-0000-0100-000003000000}"/>
    <hyperlink ref="A5119" r:id="rId5" xr:uid="{00000000-0004-0000-0100-000004000000}"/>
    <hyperlink ref="A5120" r:id="rId6" xr:uid="{00000000-0004-0000-0100-000005000000}"/>
    <hyperlink ref="A5121" r:id="rId7" xr:uid="{00000000-0004-0000-0100-000006000000}"/>
    <hyperlink ref="A5122" r:id="rId8" xr:uid="{00000000-0004-0000-0100-000007000000}"/>
    <hyperlink ref="A5123" r:id="rId9" xr:uid="{00000000-0004-0000-0100-000008000000}"/>
  </hyperlinks>
  <pageMargins left="0.7" right="0.7" top="0.75" bottom="0.75" header="0.3" footer="0.3"/>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5713"/>
  <sheetViews>
    <sheetView zoomScale="163" workbookViewId="0">
      <pane xSplit="1" ySplit="1" topLeftCell="B2" activePane="bottomRight" state="frozen"/>
      <selection pane="topRight" activeCell="B1" sqref="B1"/>
      <selection pane="bottomLeft" activeCell="A2" sqref="A2"/>
      <selection pane="bottomRight" activeCell="I5709" sqref="I5709"/>
    </sheetView>
  </sheetViews>
  <sheetFormatPr defaultColWidth="12.6640625" defaultRowHeight="15.75" customHeight="1"/>
  <cols>
    <col min="1" max="1" width="30.88671875" customWidth="1"/>
    <col min="2" max="2" width="66.109375" customWidth="1"/>
    <col min="3" max="3" width="6.77734375" customWidth="1"/>
    <col min="4" max="4" width="7.77734375" customWidth="1"/>
    <col min="5" max="5" width="15.21875" customWidth="1"/>
    <col min="6" max="6" width="14.77734375" customWidth="1"/>
    <col min="7" max="7" width="17.21875" customWidth="1"/>
    <col min="8" max="8" width="14" customWidth="1"/>
  </cols>
  <sheetData>
    <row r="1" spans="1:8" ht="13.2">
      <c r="A1" s="12" t="s">
        <v>6537</v>
      </c>
      <c r="B1" s="12" t="s">
        <v>116</v>
      </c>
      <c r="C1" s="12" t="s">
        <v>117</v>
      </c>
      <c r="D1" s="12" t="s">
        <v>118</v>
      </c>
      <c r="E1" s="13" t="s">
        <v>119</v>
      </c>
      <c r="F1" s="14" t="s">
        <v>120</v>
      </c>
      <c r="G1" s="14" t="s">
        <v>121</v>
      </c>
      <c r="H1" s="14" t="s">
        <v>122</v>
      </c>
    </row>
    <row r="2" spans="1:8" ht="13.2">
      <c r="A2" s="19" t="str">
        <f>HYPERLINK("http://codeforces.com/contest/377/problem/E","CF377-D1-E")</f>
        <v>CF377-D1-E</v>
      </c>
      <c r="B2" s="15" t="s">
        <v>6361</v>
      </c>
      <c r="C2" s="17">
        <v>9.5</v>
      </c>
      <c r="D2" s="18"/>
      <c r="E2" s="17" t="s">
        <v>6362</v>
      </c>
      <c r="F2" s="17"/>
      <c r="G2" s="18"/>
      <c r="H2" s="18"/>
    </row>
    <row r="3" spans="1:8" ht="13.2">
      <c r="A3" s="19" t="str">
        <f>HYPERLINK("https://www.hackerrank.com/challenges/polita-sets","HACKR polita-sets")</f>
        <v>HACKR polita-sets</v>
      </c>
      <c r="B3" s="29" t="s">
        <v>1908</v>
      </c>
      <c r="C3" s="17">
        <v>9.5</v>
      </c>
      <c r="D3" s="18"/>
      <c r="E3" s="17" t="s">
        <v>1909</v>
      </c>
      <c r="F3" s="17"/>
      <c r="G3" s="18"/>
      <c r="H3" s="18"/>
    </row>
    <row r="4" spans="1:8" ht="13.2">
      <c r="A4" s="15" t="s">
        <v>2151</v>
      </c>
      <c r="B4" s="18" t="s">
        <v>2152</v>
      </c>
      <c r="C4" s="17">
        <v>9.5</v>
      </c>
      <c r="D4" s="18"/>
      <c r="E4" s="17" t="s">
        <v>2153</v>
      </c>
      <c r="F4" s="17"/>
      <c r="G4" s="18"/>
      <c r="H4" s="18"/>
    </row>
    <row r="5" spans="1:8" ht="13.2">
      <c r="A5" s="19" t="str">
        <f>HYPERLINK("https://www.codechef.com/problems/KNIGHT01","CODECHEF KNIGHT01")</f>
        <v>CODECHEF KNIGHT01</v>
      </c>
      <c r="B5" s="28" t="s">
        <v>2466</v>
      </c>
      <c r="C5" s="24">
        <v>9.5</v>
      </c>
      <c r="D5" s="18"/>
      <c r="E5" s="17" t="s">
        <v>2467</v>
      </c>
      <c r="F5" s="17"/>
      <c r="G5" s="18"/>
      <c r="H5" s="18"/>
    </row>
    <row r="6" spans="1:8" ht="13.2">
      <c r="A6" s="19" t="str">
        <f>HYPERLINK("https://www.codechef.com/problems/LAMQUGAM","CODECHEF LAMQUGAM")</f>
        <v>CODECHEF LAMQUGAM</v>
      </c>
      <c r="B6" s="28" t="s">
        <v>2505</v>
      </c>
      <c r="C6" s="24">
        <v>9.5</v>
      </c>
      <c r="D6" s="18"/>
      <c r="E6" s="17" t="s">
        <v>2506</v>
      </c>
      <c r="F6" s="17"/>
      <c r="G6" s="18"/>
      <c r="H6" s="18"/>
    </row>
    <row r="7" spans="1:8" ht="13.2">
      <c r="A7" s="15" t="s">
        <v>3212</v>
      </c>
      <c r="B7" s="16" t="s">
        <v>3213</v>
      </c>
      <c r="C7" s="17">
        <v>9.5</v>
      </c>
      <c r="D7" s="18"/>
      <c r="E7" s="17" t="s">
        <v>3214</v>
      </c>
      <c r="F7" s="17"/>
      <c r="G7" s="18"/>
      <c r="H7" s="18"/>
    </row>
    <row r="8" spans="1:8" ht="13.2">
      <c r="A8" s="19" t="str">
        <f>HYPERLINK("https://www.codechef.com/problems/ANUBTT","CODECHEF ANUBTT")</f>
        <v>CODECHEF ANUBTT</v>
      </c>
      <c r="B8" s="29" t="s">
        <v>4059</v>
      </c>
      <c r="C8" s="24">
        <v>9.5</v>
      </c>
      <c r="D8" s="18"/>
      <c r="E8" s="17" t="s">
        <v>4060</v>
      </c>
      <c r="F8" s="17"/>
      <c r="G8" s="18"/>
      <c r="H8" s="18"/>
    </row>
    <row r="9" spans="1:8" ht="13.2">
      <c r="A9" s="19" t="str">
        <f>HYPERLINK("https://www.codechef.com/problems/CAKE2AM","CODECHEF CAKE2AM")</f>
        <v>CODECHEF CAKE2AM</v>
      </c>
      <c r="B9" s="28" t="s">
        <v>4059</v>
      </c>
      <c r="C9" s="24">
        <v>9.5</v>
      </c>
      <c r="D9" s="18"/>
      <c r="E9" s="17" t="s">
        <v>4060</v>
      </c>
      <c r="F9" s="17"/>
      <c r="G9" s="18"/>
      <c r="H9" s="18"/>
    </row>
    <row r="10" spans="1:8" ht="15" customHeight="1">
      <c r="A10" s="19" t="str">
        <f>HYPERLINK("https://www.codechef.com/problems/ORDERAAM","CODECHEF ORDERAAM")</f>
        <v>CODECHEF ORDERAAM</v>
      </c>
      <c r="B10" s="28" t="s">
        <v>4059</v>
      </c>
      <c r="C10" s="24">
        <v>9.5</v>
      </c>
      <c r="D10" s="18"/>
      <c r="E10" s="17" t="s">
        <v>4060</v>
      </c>
      <c r="F10" s="17"/>
      <c r="G10" s="18"/>
      <c r="H10" s="18"/>
    </row>
    <row r="11" spans="1:8" ht="13.2">
      <c r="A11" s="15" t="s">
        <v>4061</v>
      </c>
      <c r="B11" s="18" t="s">
        <v>4062</v>
      </c>
      <c r="C11" s="17">
        <v>9.5</v>
      </c>
      <c r="D11" s="18"/>
      <c r="E11" s="17" t="s">
        <v>4060</v>
      </c>
      <c r="F11" s="17"/>
      <c r="G11" s="18"/>
      <c r="H11" s="18"/>
    </row>
    <row r="12" spans="1:8" ht="13.2">
      <c r="A12" s="19" t="str">
        <f>HYPERLINK("http://codeforces.com/contest/113/problem/E","CF113-D1-E")</f>
        <v>CF113-D1-E</v>
      </c>
      <c r="B12" s="30" t="s">
        <v>4957</v>
      </c>
      <c r="C12" s="24">
        <v>9.5</v>
      </c>
      <c r="D12" s="18"/>
      <c r="E12" s="17" t="s">
        <v>4958</v>
      </c>
      <c r="F12" s="17"/>
      <c r="G12" s="18"/>
      <c r="H12" s="18"/>
    </row>
    <row r="13" spans="1:8" ht="13.2">
      <c r="A13" s="19" t="str">
        <f>HYPERLINK("https://www.hackerrank.com/challenges/irresponsible-numbers","HACKR irresponsible-numbers")</f>
        <v>HACKR irresponsible-numbers</v>
      </c>
      <c r="B13" s="29" t="s">
        <v>5523</v>
      </c>
      <c r="C13" s="17">
        <v>9.5</v>
      </c>
      <c r="D13" s="18"/>
      <c r="E13" s="17" t="s">
        <v>5524</v>
      </c>
      <c r="F13" s="17"/>
      <c r="G13" s="18"/>
      <c r="H13" s="18"/>
    </row>
    <row r="14" spans="1:8" ht="13.2">
      <c r="A14" s="19" t="str">
        <f>HYPERLINK("http://codeforces.com/contest/145/problem/D","CF145-D1-D")</f>
        <v>CF145-D1-D</v>
      </c>
      <c r="B14" s="15" t="s">
        <v>4959</v>
      </c>
      <c r="C14" s="24">
        <v>9</v>
      </c>
      <c r="D14" s="18"/>
      <c r="E14" s="17" t="s">
        <v>4958</v>
      </c>
      <c r="F14" s="17" t="s">
        <v>173</v>
      </c>
      <c r="G14" s="18"/>
      <c r="H14" s="18"/>
    </row>
    <row r="15" spans="1:8" ht="13.2">
      <c r="A15" s="19" t="str">
        <f>HYPERLINK("http://codeforces.com/contest/698/problem/F","CF698-D1-F")</f>
        <v>CF698-D1-F</v>
      </c>
      <c r="B15" s="15" t="s">
        <v>4960</v>
      </c>
      <c r="C15" s="24">
        <v>9</v>
      </c>
      <c r="D15" s="18"/>
      <c r="E15" s="17" t="s">
        <v>4958</v>
      </c>
      <c r="F15" s="17" t="s">
        <v>173</v>
      </c>
      <c r="G15" s="18"/>
      <c r="H15" s="18"/>
    </row>
    <row r="16" spans="1:8" ht="13.2">
      <c r="A16" s="15" t="s">
        <v>123</v>
      </c>
      <c r="B16" s="16" t="s">
        <v>124</v>
      </c>
      <c r="C16" s="17">
        <v>9</v>
      </c>
      <c r="D16" s="18"/>
      <c r="E16" s="17" t="s">
        <v>125</v>
      </c>
      <c r="F16" s="17"/>
      <c r="G16" s="18"/>
      <c r="H16" s="18"/>
    </row>
    <row r="17" spans="1:8" ht="13.2">
      <c r="A17" s="15" t="s">
        <v>126</v>
      </c>
      <c r="B17" s="16" t="s">
        <v>124</v>
      </c>
      <c r="C17" s="17">
        <v>9</v>
      </c>
      <c r="D17" s="18"/>
      <c r="E17" s="17" t="s">
        <v>125</v>
      </c>
      <c r="F17" s="17"/>
      <c r="G17" s="18"/>
      <c r="H17" s="18"/>
    </row>
    <row r="18" spans="1:8" ht="13.2">
      <c r="A18" s="19" t="str">
        <f>HYPERLINK("http://acm.zju.edu.cn/onlinejudge/showProblem.do?problemCode=3213","ZOJ 3213")</f>
        <v>ZOJ 3213</v>
      </c>
      <c r="B18" s="29" t="s">
        <v>6156</v>
      </c>
      <c r="C18" s="17">
        <v>9</v>
      </c>
      <c r="D18" s="18"/>
      <c r="E18" s="17" t="s">
        <v>6157</v>
      </c>
      <c r="F18" s="17"/>
      <c r="G18" s="18"/>
      <c r="H18" s="18"/>
    </row>
    <row r="19" spans="1:8" ht="13.2">
      <c r="A19" s="19" t="str">
        <f>HYPERLINK("https://www.hackerrank.com/challenges/mathematical-expectation","HACKR mathematical-expectation")</f>
        <v>HACKR mathematical-expectation</v>
      </c>
      <c r="B19" s="28" t="s">
        <v>6274</v>
      </c>
      <c r="C19" s="17">
        <v>9</v>
      </c>
      <c r="D19" s="18"/>
      <c r="E19" s="17" t="s">
        <v>6275</v>
      </c>
      <c r="F19" s="17"/>
      <c r="G19" s="18"/>
      <c r="H19" s="18"/>
    </row>
    <row r="20" spans="1:8" ht="13.2">
      <c r="A20" s="19" t="str">
        <f>HYPERLINK("https://www.codechef.com/problems/IDOLS","CODECHEF IDOLS")</f>
        <v>CODECHEF IDOLS</v>
      </c>
      <c r="B20" s="30" t="s">
        <v>1017</v>
      </c>
      <c r="C20" s="24">
        <v>9</v>
      </c>
      <c r="D20" s="18"/>
      <c r="E20" s="17" t="s">
        <v>1018</v>
      </c>
      <c r="F20" s="17"/>
      <c r="G20" s="18"/>
      <c r="H20" s="18"/>
    </row>
    <row r="21" spans="1:8" ht="13.2">
      <c r="A21" s="19" t="str">
        <f>HYPERLINK("https://www.codechef.com/problems/MUPDO","CODECHEF MUPDO")</f>
        <v>CODECHEF MUPDO</v>
      </c>
      <c r="B21" s="15" t="s">
        <v>1019</v>
      </c>
      <c r="C21" s="24">
        <v>9</v>
      </c>
      <c r="D21" s="18"/>
      <c r="E21" s="17" t="s">
        <v>1018</v>
      </c>
      <c r="F21" s="17"/>
      <c r="G21" s="18"/>
      <c r="H21" s="18"/>
    </row>
    <row r="22" spans="1:8" ht="13.2">
      <c r="A22" s="19" t="str">
        <f>HYPERLINK("http://codeforces.com/contest/1037/problem/H","CF1037-D12-H")</f>
        <v>CF1037-D12-H</v>
      </c>
      <c r="B22" s="20" t="s">
        <v>1020</v>
      </c>
      <c r="C22" s="21">
        <v>9</v>
      </c>
      <c r="D22" s="18"/>
      <c r="E22" s="17" t="s">
        <v>1018</v>
      </c>
      <c r="F22" s="17"/>
      <c r="G22" s="18"/>
      <c r="H22" s="18"/>
    </row>
    <row r="23" spans="1:8" ht="13.2">
      <c r="A23" s="19" t="str">
        <f>HYPERLINK("http://codeforces.com/contest/438/problem/E","CF438-D1-E")</f>
        <v>CF438-D1-E</v>
      </c>
      <c r="B23" s="15" t="s">
        <v>6510</v>
      </c>
      <c r="C23" s="17">
        <v>9</v>
      </c>
      <c r="D23" s="26" t="str">
        <f>HYPERLINK("http://codeforces.com/contest/438/submission/34078438","Sol")</f>
        <v>Sol</v>
      </c>
      <c r="E23" s="17" t="s">
        <v>6511</v>
      </c>
      <c r="F23" s="17"/>
      <c r="G23" s="18"/>
      <c r="H23" s="18"/>
    </row>
    <row r="24" spans="1:8" ht="13.2">
      <c r="A24" s="15" t="s">
        <v>330</v>
      </c>
      <c r="B24" s="18" t="s">
        <v>331</v>
      </c>
      <c r="C24" s="17">
        <v>9</v>
      </c>
      <c r="D24" s="18"/>
      <c r="E24" s="17" t="s">
        <v>332</v>
      </c>
      <c r="F24" s="17"/>
      <c r="G24" s="18"/>
      <c r="H24" s="18"/>
    </row>
    <row r="25" spans="1:8" ht="17.25" customHeight="1">
      <c r="A25" s="19" t="str">
        <f>HYPERLINK("https://www.hackerrank.com/challenges/digit-products","HACKR digit-products")</f>
        <v>HACKR digit-products</v>
      </c>
      <c r="B25" s="29" t="s">
        <v>1910</v>
      </c>
      <c r="C25" s="17">
        <v>9</v>
      </c>
      <c r="D25" s="18"/>
      <c r="E25" s="17" t="s">
        <v>1909</v>
      </c>
      <c r="F25" s="17"/>
      <c r="G25" s="18"/>
      <c r="H25" s="18"/>
    </row>
    <row r="26" spans="1:8" ht="13.2">
      <c r="A26" s="19" t="str">
        <f>HYPERLINK("https://www.hackerrank.com/challenges/colorful-polygon","HACKR colorful-polygon")</f>
        <v>HACKR colorful-polygon</v>
      </c>
      <c r="B26" s="28" t="s">
        <v>2073</v>
      </c>
      <c r="C26" s="17">
        <v>9</v>
      </c>
      <c r="D26" s="18"/>
      <c r="E26" s="17" t="s">
        <v>2074</v>
      </c>
      <c r="F26" s="17"/>
      <c r="G26" s="18"/>
      <c r="H26" s="18"/>
    </row>
    <row r="27" spans="1:8" ht="13.2">
      <c r="A27" s="15" t="s">
        <v>2075</v>
      </c>
      <c r="B27" s="18" t="s">
        <v>2073</v>
      </c>
      <c r="C27" s="17">
        <v>9</v>
      </c>
      <c r="D27" s="18"/>
      <c r="E27" s="17" t="s">
        <v>2074</v>
      </c>
      <c r="F27" s="17"/>
      <c r="G27" s="18"/>
      <c r="H27" s="18"/>
    </row>
    <row r="28" spans="1:8" ht="13.2">
      <c r="A28" s="19" t="str">
        <f>HYPERLINK("https://www.codechef.com/problems/G3","CODECHEF G3")</f>
        <v>CODECHEF G3</v>
      </c>
      <c r="B28" s="28" t="s">
        <v>2468</v>
      </c>
      <c r="C28" s="24">
        <v>9</v>
      </c>
      <c r="D28" s="18"/>
      <c r="E28" s="17" t="s">
        <v>2467</v>
      </c>
      <c r="F28" s="17"/>
      <c r="G28" s="18"/>
      <c r="H28" s="18"/>
    </row>
    <row r="29" spans="1:8" ht="13.2">
      <c r="A29" s="19" t="str">
        <f>HYPERLINK("https://www.codechef.com/problems/GTH","CODECHEF GTH")</f>
        <v>CODECHEF GTH</v>
      </c>
      <c r="B29" s="28" t="s">
        <v>2468</v>
      </c>
      <c r="C29" s="24">
        <v>9</v>
      </c>
      <c r="D29" s="18"/>
      <c r="E29" s="17" t="s">
        <v>2467</v>
      </c>
      <c r="F29" s="17"/>
      <c r="G29" s="18"/>
      <c r="H29" s="18"/>
    </row>
    <row r="30" spans="1:8" ht="13.2">
      <c r="A30" s="19" t="str">
        <f>HYPERLINK("http://codeforces.com/gym/100379/","CF100379-GYM-G")</f>
        <v>CF100379-GYM-G</v>
      </c>
      <c r="B30" s="28" t="s">
        <v>2505</v>
      </c>
      <c r="C30" s="24">
        <v>9</v>
      </c>
      <c r="D30" s="18"/>
      <c r="E30" s="17" t="s">
        <v>2506</v>
      </c>
      <c r="F30" s="17"/>
      <c r="G30" s="18"/>
      <c r="H30" s="18"/>
    </row>
    <row r="31" spans="1:8" ht="13.2">
      <c r="A31" s="19" t="str">
        <f>HYPERLINK("http://codeforces.com/contest/98/problem/C","CF98-D1-C")</f>
        <v>CF98-D1-C</v>
      </c>
      <c r="B31" s="15" t="s">
        <v>2509</v>
      </c>
      <c r="C31" s="17">
        <v>9</v>
      </c>
      <c r="D31" s="18"/>
      <c r="E31" s="17" t="s">
        <v>2510</v>
      </c>
      <c r="F31" s="17"/>
      <c r="G31" s="18"/>
      <c r="H31" s="18"/>
    </row>
    <row r="32" spans="1:8" ht="13.2">
      <c r="A32" s="19" t="str">
        <f>HYPERLINK("https://www.hackerrank.com/challenges/hard-homework","HACKR hard-homework")</f>
        <v>HACKR hard-homework</v>
      </c>
      <c r="B32" s="38" t="s">
        <v>2511</v>
      </c>
      <c r="C32" s="17">
        <v>9</v>
      </c>
      <c r="D32" s="18"/>
      <c r="E32" s="17" t="s">
        <v>2510</v>
      </c>
      <c r="F32" s="17"/>
      <c r="G32" s="18"/>
      <c r="H32" s="18"/>
    </row>
    <row r="33" spans="1:8" ht="13.2">
      <c r="A33" s="19" t="str">
        <f>HYPERLINK("https://www.hackerrank.com/challenges/n-letter","HACKR n-letter")</f>
        <v>HACKR n-letter</v>
      </c>
      <c r="B33" s="38" t="s">
        <v>2512</v>
      </c>
      <c r="C33" s="17">
        <v>9</v>
      </c>
      <c r="D33" s="18"/>
      <c r="E33" s="17" t="s">
        <v>2510</v>
      </c>
      <c r="F33" s="17"/>
      <c r="G33" s="18"/>
      <c r="H33" s="18"/>
    </row>
    <row r="34" spans="1:8" ht="13.2">
      <c r="A34" s="15" t="s">
        <v>2796</v>
      </c>
      <c r="B34" s="16" t="s">
        <v>2797</v>
      </c>
      <c r="C34" s="17">
        <v>9</v>
      </c>
      <c r="D34" s="18"/>
      <c r="E34" s="17" t="s">
        <v>2798</v>
      </c>
      <c r="F34" s="17"/>
      <c r="G34" s="18"/>
      <c r="H34" s="18"/>
    </row>
    <row r="35" spans="1:8" ht="13.2">
      <c r="A35" s="19" t="str">
        <f>HYPERLINK("https://www.hackerrank.com/challenges/elastic-rope","HACKR elastic-rope")</f>
        <v>HACKR elastic-rope</v>
      </c>
      <c r="B35" s="30" t="s">
        <v>3064</v>
      </c>
      <c r="C35" s="24">
        <v>9</v>
      </c>
      <c r="D35" s="18"/>
      <c r="E35" s="17" t="s">
        <v>3065</v>
      </c>
      <c r="F35" s="17"/>
      <c r="G35" s="18"/>
      <c r="H35" s="18"/>
    </row>
    <row r="36" spans="1:8" ht="13.2">
      <c r="A36" s="15" t="s">
        <v>3138</v>
      </c>
      <c r="B36" s="16" t="s">
        <v>3139</v>
      </c>
      <c r="C36" s="17">
        <v>9</v>
      </c>
      <c r="D36" s="18"/>
      <c r="E36" s="17" t="s">
        <v>3140</v>
      </c>
      <c r="F36" s="17"/>
      <c r="G36" s="18"/>
      <c r="H36" s="18"/>
    </row>
    <row r="37" spans="1:8" ht="13.2">
      <c r="A37" s="15" t="s">
        <v>3141</v>
      </c>
      <c r="B37" s="16" t="s">
        <v>3139</v>
      </c>
      <c r="C37" s="17">
        <v>9</v>
      </c>
      <c r="D37" s="18"/>
      <c r="E37" s="17" t="s">
        <v>3140</v>
      </c>
      <c r="F37" s="17"/>
      <c r="G37" s="18"/>
      <c r="H37" s="18"/>
    </row>
    <row r="38" spans="1:8" ht="13.2">
      <c r="A38" s="15" t="s">
        <v>3255</v>
      </c>
      <c r="B38" s="16" t="s">
        <v>3256</v>
      </c>
      <c r="C38" s="17">
        <v>9</v>
      </c>
      <c r="D38" s="18"/>
      <c r="E38" s="17" t="s">
        <v>3257</v>
      </c>
      <c r="F38" s="17"/>
      <c r="G38" s="18"/>
      <c r="H38" s="18"/>
    </row>
    <row r="39" spans="1:8" ht="13.2">
      <c r="A39" s="15" t="s">
        <v>3258</v>
      </c>
      <c r="B39" s="29" t="s">
        <v>3259</v>
      </c>
      <c r="C39" s="17">
        <v>9</v>
      </c>
      <c r="D39" s="18"/>
      <c r="E39" s="17" t="s">
        <v>3257</v>
      </c>
      <c r="F39" s="17"/>
      <c r="G39" s="18"/>
      <c r="H39" s="18"/>
    </row>
    <row r="40" spans="1:8" ht="13.2">
      <c r="A40" s="15" t="s">
        <v>3465</v>
      </c>
      <c r="B40" s="16" t="s">
        <v>3466</v>
      </c>
      <c r="C40" s="17">
        <v>9</v>
      </c>
      <c r="D40" s="18"/>
      <c r="E40" s="17" t="s">
        <v>3467</v>
      </c>
      <c r="F40" s="17"/>
      <c r="G40" s="18"/>
      <c r="H40" s="18"/>
    </row>
    <row r="41" spans="1:8" ht="13.2">
      <c r="A41" s="15" t="s">
        <v>4063</v>
      </c>
      <c r="B41" s="56" t="s">
        <v>4064</v>
      </c>
      <c r="C41" s="57">
        <v>9</v>
      </c>
      <c r="D41" s="18"/>
      <c r="E41" s="57" t="s">
        <v>4060</v>
      </c>
      <c r="F41" s="17"/>
      <c r="G41" s="18"/>
      <c r="H41" s="18"/>
    </row>
    <row r="42" spans="1:8" ht="13.2">
      <c r="A42" s="15" t="s">
        <v>4529</v>
      </c>
      <c r="B42" s="20" t="s">
        <v>4530</v>
      </c>
      <c r="C42" s="21">
        <v>9</v>
      </c>
      <c r="D42" s="18"/>
      <c r="E42" s="17" t="s">
        <v>4531</v>
      </c>
      <c r="F42" s="17"/>
      <c r="G42" s="18"/>
      <c r="H42" s="18"/>
    </row>
    <row r="43" spans="1:8" ht="13.2">
      <c r="A43" s="15" t="s">
        <v>4532</v>
      </c>
      <c r="B43" s="39" t="s">
        <v>4530</v>
      </c>
      <c r="C43" s="40">
        <v>9</v>
      </c>
      <c r="D43" s="18"/>
      <c r="E43" s="17" t="s">
        <v>4531</v>
      </c>
      <c r="F43" s="17"/>
      <c r="G43" s="18"/>
      <c r="H43" s="18"/>
    </row>
    <row r="44" spans="1:8" ht="13.2">
      <c r="A44" s="15" t="s">
        <v>4533</v>
      </c>
      <c r="B44" s="16" t="s">
        <v>4534</v>
      </c>
      <c r="C44" s="17">
        <v>9</v>
      </c>
      <c r="D44" s="18"/>
      <c r="E44" s="17" t="s">
        <v>4531</v>
      </c>
      <c r="F44" s="17"/>
      <c r="G44" s="18"/>
      <c r="H44" s="18"/>
    </row>
    <row r="45" spans="1:8" ht="13.2">
      <c r="A45" s="15" t="s">
        <v>739</v>
      </c>
      <c r="B45" s="16" t="s">
        <v>740</v>
      </c>
      <c r="C45" s="17">
        <v>9</v>
      </c>
      <c r="D45" s="18"/>
      <c r="E45" s="17" t="s">
        <v>741</v>
      </c>
      <c r="F45" s="17"/>
      <c r="G45" s="18"/>
      <c r="H45" s="18"/>
    </row>
    <row r="46" spans="1:8" ht="13.2">
      <c r="A46" s="19" t="str">
        <f>HYPERLINK("https://www.hackerrank.com/challenges/value-of-all-permutations","HACKR value-of-all-permutations")</f>
        <v>HACKR value-of-all-permutations</v>
      </c>
      <c r="B46" s="29" t="s">
        <v>4961</v>
      </c>
      <c r="C46" s="17">
        <v>9</v>
      </c>
      <c r="D46" s="18"/>
      <c r="E46" s="17" t="s">
        <v>4958</v>
      </c>
      <c r="F46" s="17"/>
      <c r="G46" s="18"/>
      <c r="H46" s="18"/>
    </row>
    <row r="47" spans="1:8" ht="13.2">
      <c r="A47" s="19" t="str">
        <f>HYPERLINK("https://www.hackerrank.com/challenges/alien-flowers","HACKR alien-flowers")</f>
        <v>HACKR alien-flowers</v>
      </c>
      <c r="B47" s="29" t="s">
        <v>5525</v>
      </c>
      <c r="C47" s="17">
        <v>9</v>
      </c>
      <c r="D47" s="18"/>
      <c r="E47" s="17" t="s">
        <v>5524</v>
      </c>
      <c r="F47" s="17"/>
      <c r="G47" s="18"/>
      <c r="H47" s="18"/>
    </row>
    <row r="48" spans="1:8" ht="13.2">
      <c r="A48" s="19" t="str">
        <f>HYPERLINK("https://www.hackerrank.com/challenges/div-and-span","HACKR div-and-span")</f>
        <v>HACKR div-and-span</v>
      </c>
      <c r="B48" s="29" t="s">
        <v>5526</v>
      </c>
      <c r="C48" s="17">
        <v>9</v>
      </c>
      <c r="D48" s="18"/>
      <c r="E48" s="17" t="s">
        <v>5524</v>
      </c>
      <c r="F48" s="17"/>
      <c r="G48" s="18"/>
      <c r="H48" s="18"/>
    </row>
    <row r="49" spans="1:8" ht="13.2">
      <c r="A49" s="19" t="str">
        <f>HYPERLINK("https://www.hackerrank.com/challenges/ichigo-and-revenge","HACKR ichigo-and-revenge")</f>
        <v>HACKR ichigo-and-revenge</v>
      </c>
      <c r="B49" s="29" t="s">
        <v>5527</v>
      </c>
      <c r="C49" s="17">
        <v>9</v>
      </c>
      <c r="D49" s="18"/>
      <c r="E49" s="17" t="s">
        <v>5524</v>
      </c>
      <c r="F49" s="17"/>
      <c r="G49" s="18"/>
      <c r="H49" s="18"/>
    </row>
    <row r="50" spans="1:8" ht="13.2">
      <c r="A50" s="15" t="s">
        <v>127</v>
      </c>
      <c r="B50" s="16" t="s">
        <v>124</v>
      </c>
      <c r="C50" s="17">
        <v>8.75</v>
      </c>
      <c r="D50" s="18"/>
      <c r="E50" s="17" t="s">
        <v>125</v>
      </c>
      <c r="F50" s="17"/>
      <c r="G50" s="18"/>
      <c r="H50" s="18"/>
    </row>
    <row r="51" spans="1:8" ht="13.2">
      <c r="A51" s="19" t="str">
        <f>HYPERLINK("https://www.hackerrank.com/challenges/assignment","HACKR assignment")</f>
        <v>HACKR assignment</v>
      </c>
      <c r="B51" s="29" t="s">
        <v>6276</v>
      </c>
      <c r="C51" s="17">
        <v>8.75</v>
      </c>
      <c r="D51" s="18"/>
      <c r="E51" s="17" t="s">
        <v>6275</v>
      </c>
      <c r="F51" s="17"/>
      <c r="G51" s="18"/>
      <c r="H51" s="18"/>
    </row>
    <row r="52" spans="1:8" ht="13.2">
      <c r="A52" s="15" t="s">
        <v>2513</v>
      </c>
      <c r="B52" s="16" t="s">
        <v>2514</v>
      </c>
      <c r="C52" s="17">
        <v>8.75</v>
      </c>
      <c r="D52" s="18"/>
      <c r="E52" s="17" t="s">
        <v>2510</v>
      </c>
      <c r="F52" s="17"/>
      <c r="G52" s="18"/>
      <c r="H52" s="18"/>
    </row>
    <row r="53" spans="1:8" ht="13.2">
      <c r="A53" s="19" t="str">
        <f>HYPERLINK("https://csacademy.com/contest/round-70/task/squared-ends/","CSA70-E")</f>
        <v>CSA70-E</v>
      </c>
      <c r="B53" s="37" t="s">
        <v>1021</v>
      </c>
      <c r="C53" s="17">
        <v>8.5</v>
      </c>
      <c r="D53" s="18"/>
      <c r="E53" s="17" t="s">
        <v>1018</v>
      </c>
      <c r="F53" s="17" t="s">
        <v>173</v>
      </c>
      <c r="G53" s="18"/>
      <c r="H53" s="18"/>
    </row>
    <row r="54" spans="1:8" ht="13.2">
      <c r="A54" s="19" t="str">
        <f>HYPERLINK("https://codeforces.com/gym/100829","CF100829-GYM-A")</f>
        <v>CF100829-GYM-A</v>
      </c>
      <c r="B54" s="15" t="s">
        <v>6363</v>
      </c>
      <c r="C54" s="17">
        <v>8.5</v>
      </c>
      <c r="D54" s="26" t="str">
        <f>HYPERLINK("https://contest.felk.cvut.cz/15prg/solved/CTU_OPEN_2015_SOLUTIONS.pdf","Editorials")</f>
        <v>Editorials</v>
      </c>
      <c r="E54" s="17" t="s">
        <v>6362</v>
      </c>
      <c r="F54" s="17" t="s">
        <v>139</v>
      </c>
      <c r="G54" s="18"/>
      <c r="H54" s="18"/>
    </row>
    <row r="55" spans="1:8" ht="13.2">
      <c r="A55" s="19" t="str">
        <f>HYPERLINK("http://codeforces.com/contest/704/problem/D","CF704-D1-D")</f>
        <v>CF704-D1-D</v>
      </c>
      <c r="B55" s="15" t="s">
        <v>4065</v>
      </c>
      <c r="C55" s="24">
        <v>8.5</v>
      </c>
      <c r="D55" s="18"/>
      <c r="E55" s="17" t="s">
        <v>4060</v>
      </c>
      <c r="F55" s="17" t="s">
        <v>139</v>
      </c>
      <c r="G55" s="18"/>
      <c r="H55" s="18"/>
    </row>
    <row r="56" spans="1:8" ht="13.2">
      <c r="A56" s="15" t="s">
        <v>5344</v>
      </c>
      <c r="B56" s="28" t="s">
        <v>5345</v>
      </c>
      <c r="C56" s="24">
        <v>8.5</v>
      </c>
      <c r="D56" s="18"/>
      <c r="E56" s="17" t="s">
        <v>5346</v>
      </c>
      <c r="F56" s="17" t="s">
        <v>139</v>
      </c>
      <c r="G56" s="18"/>
      <c r="H56" s="18"/>
    </row>
    <row r="57" spans="1:8" ht="13.2">
      <c r="A57" s="19" t="str">
        <f>HYPERLINK("https://www.codechef.com/problems/ANKINTER","CODECHEF ANKINTER")</f>
        <v>CODECHEF ANKINTER</v>
      </c>
      <c r="B57" s="29" t="s">
        <v>742</v>
      </c>
      <c r="C57" s="17">
        <v>8.5</v>
      </c>
      <c r="D57" s="18"/>
      <c r="E57" s="17" t="s">
        <v>741</v>
      </c>
      <c r="F57" s="17" t="s">
        <v>201</v>
      </c>
      <c r="G57" s="18"/>
      <c r="H57" s="18"/>
    </row>
    <row r="58" spans="1:8" ht="13.2">
      <c r="A58" s="19" t="str">
        <f>HYPERLINK("https://csacademy.com/contest/beta-round-4/task/soldiers/    ","CSA4-F")</f>
        <v>CSA4-F</v>
      </c>
      <c r="B58" s="15" t="s">
        <v>124</v>
      </c>
      <c r="C58" s="17">
        <v>8.5</v>
      </c>
      <c r="D58" s="18"/>
      <c r="E58" s="17" t="s">
        <v>125</v>
      </c>
      <c r="F58" s="17"/>
      <c r="G58" s="18"/>
      <c r="H58" s="18"/>
    </row>
    <row r="59" spans="1:8" ht="13.2">
      <c r="A59" s="15" t="s">
        <v>128</v>
      </c>
      <c r="B59" s="16" t="s">
        <v>124</v>
      </c>
      <c r="C59" s="17">
        <v>8.5</v>
      </c>
      <c r="D59" s="18"/>
      <c r="E59" s="17" t="s">
        <v>125</v>
      </c>
      <c r="F59" s="17"/>
      <c r="G59" s="18"/>
      <c r="H59" s="18"/>
    </row>
    <row r="60" spans="1:8" ht="13.2">
      <c r="A60" s="15" t="s">
        <v>129</v>
      </c>
      <c r="B60" s="16" t="s">
        <v>124</v>
      </c>
      <c r="C60" s="17">
        <v>8.5</v>
      </c>
      <c r="D60" s="18"/>
      <c r="E60" s="17" t="s">
        <v>125</v>
      </c>
      <c r="F60" s="17"/>
      <c r="G60" s="18"/>
      <c r="H60" s="18"/>
    </row>
    <row r="61" spans="1:8" ht="13.2">
      <c r="A61" s="15" t="s">
        <v>130</v>
      </c>
      <c r="B61" s="16" t="s">
        <v>124</v>
      </c>
      <c r="C61" s="17">
        <v>8.5</v>
      </c>
      <c r="D61" s="18"/>
      <c r="E61" s="17" t="s">
        <v>125</v>
      </c>
      <c r="F61" s="17"/>
      <c r="G61" s="18"/>
      <c r="H61" s="18"/>
    </row>
    <row r="62" spans="1:8" ht="13.2">
      <c r="A62" s="15" t="s">
        <v>131</v>
      </c>
      <c r="B62" s="16" t="s">
        <v>124</v>
      </c>
      <c r="C62" s="17">
        <v>8.5</v>
      </c>
      <c r="D62" s="18"/>
      <c r="E62" s="17" t="s">
        <v>125</v>
      </c>
      <c r="F62" s="17"/>
      <c r="G62" s="18"/>
      <c r="H62" s="18"/>
    </row>
    <row r="63" spans="1:8" ht="13.2">
      <c r="A63" s="15" t="s">
        <v>132</v>
      </c>
      <c r="B63" s="18" t="s">
        <v>133</v>
      </c>
      <c r="C63" s="17">
        <v>8.5</v>
      </c>
      <c r="D63" s="18"/>
      <c r="E63" s="17" t="s">
        <v>125</v>
      </c>
      <c r="F63" s="17"/>
      <c r="G63" s="18"/>
      <c r="H63" s="18"/>
    </row>
    <row r="64" spans="1:8" ht="13.2">
      <c r="A64" s="15" t="s">
        <v>134</v>
      </c>
      <c r="B64" s="16" t="s">
        <v>135</v>
      </c>
      <c r="C64" s="17">
        <v>8.5</v>
      </c>
      <c r="D64" s="18"/>
      <c r="E64" s="17" t="s">
        <v>125</v>
      </c>
      <c r="F64" s="17"/>
      <c r="G64" s="18"/>
      <c r="H64" s="18"/>
    </row>
    <row r="65" spans="1:8" ht="13.2">
      <c r="A65" s="19" t="str">
        <f>HYPERLINK("https://hanoi18.kattis.com/problems/hanoi18.bipartitebattle","kattis hanoi18.bipartitebattle")</f>
        <v>kattis hanoi18.bipartitebattle</v>
      </c>
      <c r="B65" s="20" t="s">
        <v>136</v>
      </c>
      <c r="C65" s="21">
        <v>8.5</v>
      </c>
      <c r="D65" s="26" t="str">
        <f>HYPERLINK("https://github.com/nya-nya-meow/CompetitiveProgramming/blob/master/Kattis/hanoi18.bipartitebattle.cpp","Sol")</f>
        <v>Sol</v>
      </c>
      <c r="E65" s="17" t="s">
        <v>125</v>
      </c>
      <c r="F65" s="17"/>
      <c r="G65" s="18"/>
      <c r="H65" s="18"/>
    </row>
    <row r="66" spans="1:8" ht="13.2">
      <c r="A66" s="15" t="s">
        <v>6203</v>
      </c>
      <c r="B66" s="28" t="s">
        <v>6204</v>
      </c>
      <c r="C66" s="24">
        <v>8.5</v>
      </c>
      <c r="D66" s="18"/>
      <c r="E66" s="17" t="s">
        <v>6205</v>
      </c>
      <c r="F66" s="17"/>
      <c r="G66" s="18"/>
      <c r="H66" s="18"/>
    </row>
    <row r="67" spans="1:8" ht="13.2">
      <c r="A67" s="19" t="str">
        <f>HYPERLINK("https://www.hackerrank.com/challenges/random","HACKR random")</f>
        <v>HACKR random</v>
      </c>
      <c r="B67" s="29" t="s">
        <v>6276</v>
      </c>
      <c r="C67" s="17">
        <v>8.5</v>
      </c>
      <c r="D67" s="18"/>
      <c r="E67" s="17" t="s">
        <v>6275</v>
      </c>
      <c r="F67" s="17"/>
      <c r="G67" s="18"/>
      <c r="H67" s="18"/>
    </row>
    <row r="68" spans="1:8" ht="13.2">
      <c r="A68" s="19" t="str">
        <f>HYPERLINK("http://codeforces.com/contest/447/problem/E","CF447-D2-E")</f>
        <v>CF447-D2-E</v>
      </c>
      <c r="B68" s="32" t="s">
        <v>1017</v>
      </c>
      <c r="C68" s="17">
        <v>8.5</v>
      </c>
      <c r="D68" s="18"/>
      <c r="E68" s="17" t="s">
        <v>1018</v>
      </c>
      <c r="F68" s="17"/>
      <c r="G68" s="18"/>
      <c r="H68" s="18"/>
    </row>
    <row r="69" spans="1:8" ht="13.2">
      <c r="A69" s="19" t="str">
        <f>HYPERLINK("http://codeforces.com/contest/101/problem/E","CF101-D1-E")</f>
        <v>CF101-D1-E</v>
      </c>
      <c r="B69" s="15" t="s">
        <v>6429</v>
      </c>
      <c r="C69" s="24">
        <v>8.5</v>
      </c>
      <c r="D69" s="18"/>
      <c r="E69" s="17" t="s">
        <v>6430</v>
      </c>
      <c r="F69" s="17"/>
      <c r="G69" s="18"/>
      <c r="H69" s="18"/>
    </row>
    <row r="70" spans="1:8" ht="13.2">
      <c r="A70" s="15" t="s">
        <v>6512</v>
      </c>
      <c r="B70" s="20" t="s">
        <v>6513</v>
      </c>
      <c r="C70" s="21">
        <v>8.5</v>
      </c>
      <c r="D70" s="26" t="str">
        <f>HYPERLINK("https://github.com/mostafa-saad/MyCompetitiveProgramming/blob/master/CodeChef/CODECHEF-SERSUM.txt","Sol")</f>
        <v>Sol</v>
      </c>
      <c r="E70" s="17" t="s">
        <v>6511</v>
      </c>
      <c r="F70" s="17"/>
      <c r="G70" s="18"/>
      <c r="H70" s="18"/>
    </row>
    <row r="71" spans="1:8" ht="13.2">
      <c r="A71" s="19" t="str">
        <f>HYPERLINK("https://www.codechef.com/problems/HAMILG", "CODECHEF HAMILG")</f>
        <v>CODECHEF HAMILG</v>
      </c>
      <c r="B71" s="15" t="s">
        <v>6528</v>
      </c>
      <c r="C71" s="17">
        <v>8.5</v>
      </c>
      <c r="D71" s="18"/>
      <c r="E71" s="17" t="s">
        <v>6529</v>
      </c>
      <c r="F71" s="17"/>
      <c r="G71" s="18"/>
      <c r="H71" s="18"/>
    </row>
    <row r="72" spans="1:8" ht="13.2">
      <c r="A72" s="15" t="s">
        <v>1221</v>
      </c>
      <c r="B72" s="28" t="s">
        <v>1222</v>
      </c>
      <c r="C72" s="24">
        <v>8.5</v>
      </c>
      <c r="D72" s="18"/>
      <c r="E72" s="24" t="s">
        <v>1223</v>
      </c>
      <c r="F72" s="17"/>
      <c r="G72" s="18"/>
      <c r="H72" s="18"/>
    </row>
    <row r="73" spans="1:8" ht="13.2">
      <c r="A73" s="15" t="s">
        <v>1224</v>
      </c>
      <c r="B73" s="28" t="s">
        <v>1222</v>
      </c>
      <c r="C73" s="24">
        <v>8.5</v>
      </c>
      <c r="D73" s="18"/>
      <c r="E73" s="24" t="s">
        <v>1223</v>
      </c>
      <c r="F73" s="17"/>
      <c r="G73" s="18"/>
      <c r="H73" s="18"/>
    </row>
    <row r="74" spans="1:8" ht="13.2">
      <c r="A74" s="15" t="s">
        <v>333</v>
      </c>
      <c r="B74" s="29" t="s">
        <v>334</v>
      </c>
      <c r="C74" s="24">
        <v>8.5</v>
      </c>
      <c r="D74" s="26" t="str">
        <f>HYPERLINK("https://apps.topcoder.com/forums/?module=Thread&amp;threadID=686244&amp;start=0&amp;mc=8","TC Forum")</f>
        <v>TC Forum</v>
      </c>
      <c r="E74" s="17" t="s">
        <v>332</v>
      </c>
      <c r="F74" s="17"/>
      <c r="G74" s="18"/>
      <c r="H74" s="18"/>
    </row>
    <row r="75" spans="1:8" ht="13.2">
      <c r="A75" s="19" t="str">
        <f>HYPERLINK("https://agc002.contest.atcoder.jp/tasks/agc002_f","AtCoder002-AGC-F")</f>
        <v>AtCoder002-AGC-F</v>
      </c>
      <c r="B75" s="15" t="s">
        <v>1911</v>
      </c>
      <c r="C75" s="17">
        <v>8.5</v>
      </c>
      <c r="D75" s="18"/>
      <c r="E75" s="17" t="s">
        <v>1909</v>
      </c>
      <c r="F75" s="17"/>
      <c r="G75" s="18"/>
      <c r="H75" s="18"/>
    </row>
    <row r="76" spans="1:8" ht="13.2">
      <c r="A76" s="15" t="s">
        <v>501</v>
      </c>
      <c r="B76" s="16" t="s">
        <v>502</v>
      </c>
      <c r="C76" s="17">
        <v>8.5</v>
      </c>
      <c r="D76" s="18"/>
      <c r="E76" s="17" t="s">
        <v>503</v>
      </c>
      <c r="F76" s="17"/>
      <c r="G76" s="18"/>
      <c r="H76" s="18"/>
    </row>
    <row r="77" spans="1:8" ht="13.2">
      <c r="A77" s="15" t="s">
        <v>504</v>
      </c>
      <c r="B77" s="16" t="s">
        <v>505</v>
      </c>
      <c r="C77" s="17">
        <v>8.5</v>
      </c>
      <c r="D77" s="18"/>
      <c r="E77" s="17" t="s">
        <v>503</v>
      </c>
      <c r="F77" s="17"/>
      <c r="G77" s="18"/>
      <c r="H77" s="18"/>
    </row>
    <row r="78" spans="1:8" ht="13.2">
      <c r="A78" s="15" t="s">
        <v>506</v>
      </c>
      <c r="B78" s="16" t="s">
        <v>507</v>
      </c>
      <c r="C78" s="17">
        <v>8.5</v>
      </c>
      <c r="D78" s="18"/>
      <c r="E78" s="17" t="s">
        <v>503</v>
      </c>
      <c r="F78" s="17"/>
      <c r="G78" s="18"/>
      <c r="H78" s="18"/>
    </row>
    <row r="79" spans="1:8" ht="13.2">
      <c r="A79" s="19" t="str">
        <f>HYPERLINK("https://www.hackerrank.com/challenges/bear-and-dancing","HACKR bear-and-dancing")</f>
        <v>HACKR bear-and-dancing</v>
      </c>
      <c r="B79" s="37" t="s">
        <v>2073</v>
      </c>
      <c r="C79" s="17">
        <v>8.5</v>
      </c>
      <c r="D79" s="18"/>
      <c r="E79" s="17" t="s">
        <v>2074</v>
      </c>
      <c r="F79" s="17"/>
      <c r="G79" s="18"/>
      <c r="H79" s="18"/>
    </row>
    <row r="80" spans="1:8" ht="13.2">
      <c r="A80" s="19" t="str">
        <f>HYPERLINK("http://codeforces.com/contest/138/problem/D","CF138-D1-D")</f>
        <v>CF138-D1-D</v>
      </c>
      <c r="B80" s="29" t="s">
        <v>2076</v>
      </c>
      <c r="C80" s="17">
        <v>8.5</v>
      </c>
      <c r="D80" s="18"/>
      <c r="E80" s="17" t="s">
        <v>2074</v>
      </c>
      <c r="F80" s="17"/>
      <c r="G80" s="18"/>
      <c r="H80" s="18"/>
    </row>
    <row r="81" spans="1:8" ht="13.2">
      <c r="A81" s="19" t="str">
        <f>HYPERLINK("http://codeforces.com/contest/183/problem/D","CF183-D12-D")</f>
        <v>CF183-D12-D</v>
      </c>
      <c r="B81" s="29" t="s">
        <v>2077</v>
      </c>
      <c r="C81" s="17">
        <v>8.5</v>
      </c>
      <c r="D81" s="18"/>
      <c r="E81" s="17" t="s">
        <v>2074</v>
      </c>
      <c r="F81" s="17"/>
      <c r="G81" s="18"/>
      <c r="H81" s="18"/>
    </row>
    <row r="82" spans="1:8" ht="13.2">
      <c r="A82" s="19" t="str">
        <f>HYPERLINK("https://www.codechef.com/problems/WPLAY","CODECHEF WPLAY")</f>
        <v>CODECHEF WPLAY</v>
      </c>
      <c r="B82" s="28" t="s">
        <v>2468</v>
      </c>
      <c r="C82" s="24">
        <v>8.5</v>
      </c>
      <c r="D82" s="18"/>
      <c r="E82" s="17" t="s">
        <v>2467</v>
      </c>
      <c r="F82" s="17"/>
      <c r="G82" s="18"/>
      <c r="H82" s="18"/>
    </row>
    <row r="83" spans="1:8" ht="13.2">
      <c r="A83" s="15" t="s">
        <v>2469</v>
      </c>
      <c r="B83" s="28" t="s">
        <v>2470</v>
      </c>
      <c r="C83" s="24">
        <v>8.5</v>
      </c>
      <c r="D83" s="18"/>
      <c r="E83" s="17" t="s">
        <v>2467</v>
      </c>
      <c r="F83" s="17"/>
      <c r="G83" s="18"/>
      <c r="H83" s="18"/>
    </row>
    <row r="84" spans="1:8" ht="13.2">
      <c r="A84" s="15" t="s">
        <v>2515</v>
      </c>
      <c r="B84" s="20" t="s">
        <v>2509</v>
      </c>
      <c r="C84" s="21">
        <v>8.5</v>
      </c>
      <c r="D84" s="18"/>
      <c r="E84" s="17" t="s">
        <v>2510</v>
      </c>
      <c r="F84" s="17"/>
      <c r="G84" s="18"/>
      <c r="H84" s="18"/>
    </row>
    <row r="85" spans="1:8" ht="13.2">
      <c r="A85" s="15" t="s">
        <v>2516</v>
      </c>
      <c r="B85" s="28" t="s">
        <v>2509</v>
      </c>
      <c r="C85" s="24">
        <v>8.5</v>
      </c>
      <c r="D85" s="18"/>
      <c r="E85" s="17" t="s">
        <v>2510</v>
      </c>
      <c r="F85" s="17"/>
      <c r="G85" s="18"/>
      <c r="H85" s="18"/>
    </row>
    <row r="86" spans="1:8" ht="13.2">
      <c r="A86" s="15" t="s">
        <v>2517</v>
      </c>
      <c r="B86" s="16" t="s">
        <v>2518</v>
      </c>
      <c r="C86" s="17">
        <v>8.5</v>
      </c>
      <c r="D86" s="18"/>
      <c r="E86" s="17" t="s">
        <v>2510</v>
      </c>
      <c r="F86" s="17"/>
      <c r="G86" s="18"/>
      <c r="H86" s="18"/>
    </row>
    <row r="87" spans="1:8" ht="13.2">
      <c r="A87" s="15" t="s">
        <v>2520</v>
      </c>
      <c r="B87" s="16" t="s">
        <v>2521</v>
      </c>
      <c r="C87" s="17">
        <v>8.5</v>
      </c>
      <c r="D87" s="18"/>
      <c r="E87" s="17" t="s">
        <v>2510</v>
      </c>
      <c r="F87" s="17"/>
      <c r="G87" s="18"/>
      <c r="H87" s="18"/>
    </row>
    <row r="88" spans="1:8" ht="13.2">
      <c r="A88" s="19" t="str">
        <f>HYPERLINK("https://www.hackerrank.com/challenges/count-triangles","HACKR count-triangles")</f>
        <v>HACKR count-triangles</v>
      </c>
      <c r="B88" s="38" t="s">
        <v>2522</v>
      </c>
      <c r="C88" s="17">
        <v>8.5</v>
      </c>
      <c r="D88" s="18"/>
      <c r="E88" s="17" t="s">
        <v>2510</v>
      </c>
      <c r="F88" s="17"/>
      <c r="G88" s="18"/>
      <c r="H88" s="18"/>
    </row>
    <row r="89" spans="1:8" ht="13.2">
      <c r="A89" s="15" t="s">
        <v>2799</v>
      </c>
      <c r="B89" s="30" t="s">
        <v>2800</v>
      </c>
      <c r="C89" s="17">
        <v>8.5</v>
      </c>
      <c r="D89" s="18"/>
      <c r="E89" s="24" t="s">
        <v>2798</v>
      </c>
      <c r="F89" s="17"/>
      <c r="G89" s="18"/>
      <c r="H89" s="18"/>
    </row>
    <row r="90" spans="1:8" ht="13.2">
      <c r="A90" s="15" t="s">
        <v>2863</v>
      </c>
      <c r="B90" s="16" t="s">
        <v>2864</v>
      </c>
      <c r="C90" s="17">
        <v>8.5</v>
      </c>
      <c r="D90" s="18"/>
      <c r="E90" s="17" t="s">
        <v>2865</v>
      </c>
      <c r="F90" s="17"/>
      <c r="G90" s="18"/>
      <c r="H90" s="18"/>
    </row>
    <row r="91" spans="1:8" ht="13.2">
      <c r="A91" s="15" t="s">
        <v>2866</v>
      </c>
      <c r="B91" s="29" t="s">
        <v>2867</v>
      </c>
      <c r="C91" s="24">
        <v>8.5</v>
      </c>
      <c r="D91" s="18"/>
      <c r="E91" s="17" t="s">
        <v>2865</v>
      </c>
      <c r="F91" s="17"/>
      <c r="G91" s="18"/>
      <c r="H91" s="18"/>
    </row>
    <row r="92" spans="1:8" ht="13.2">
      <c r="A92" s="15" t="s">
        <v>2946</v>
      </c>
      <c r="B92" s="16" t="s">
        <v>2947</v>
      </c>
      <c r="C92" s="17">
        <v>8.5</v>
      </c>
      <c r="D92" s="18"/>
      <c r="E92" s="17" t="s">
        <v>2948</v>
      </c>
      <c r="F92" s="17"/>
      <c r="G92" s="18"/>
      <c r="H92" s="18"/>
    </row>
    <row r="93" spans="1:8" ht="13.2">
      <c r="A93" s="15" t="s">
        <v>2949</v>
      </c>
      <c r="B93" s="27" t="s">
        <v>2950</v>
      </c>
      <c r="C93" s="17">
        <v>8.5</v>
      </c>
      <c r="D93" s="18"/>
      <c r="E93" s="17" t="s">
        <v>2948</v>
      </c>
      <c r="F93" s="17"/>
      <c r="G93" s="18"/>
      <c r="H93" s="18"/>
    </row>
    <row r="94" spans="1:8" ht="13.2">
      <c r="A94" s="15" t="s">
        <v>2951</v>
      </c>
      <c r="B94" s="16" t="s">
        <v>2952</v>
      </c>
      <c r="C94" s="17">
        <v>8.5</v>
      </c>
      <c r="D94" s="18"/>
      <c r="E94" s="17" t="s">
        <v>2948</v>
      </c>
      <c r="F94" s="17"/>
      <c r="G94" s="18"/>
      <c r="H94" s="18"/>
    </row>
    <row r="95" spans="1:8" ht="13.2">
      <c r="A95" s="15" t="s">
        <v>2953</v>
      </c>
      <c r="B95" s="16" t="s">
        <v>2954</v>
      </c>
      <c r="C95" s="17">
        <v>8.5</v>
      </c>
      <c r="D95" s="18"/>
      <c r="E95" s="17" t="s">
        <v>2948</v>
      </c>
      <c r="F95" s="17"/>
      <c r="G95" s="18"/>
      <c r="H95" s="18"/>
    </row>
    <row r="96" spans="1:8" ht="13.2">
      <c r="A96" s="15" t="s">
        <v>3142</v>
      </c>
      <c r="B96" s="16" t="s">
        <v>3143</v>
      </c>
      <c r="C96" s="17">
        <v>8.5</v>
      </c>
      <c r="D96" s="18"/>
      <c r="E96" s="17" t="s">
        <v>3140</v>
      </c>
      <c r="F96" s="17"/>
      <c r="G96" s="18"/>
      <c r="H96" s="18"/>
    </row>
    <row r="97" spans="1:8" ht="13.2">
      <c r="A97" s="15" t="s">
        <v>3144</v>
      </c>
      <c r="B97" s="16" t="s">
        <v>3145</v>
      </c>
      <c r="C97" s="17">
        <v>8.5</v>
      </c>
      <c r="D97" s="18"/>
      <c r="E97" s="17" t="s">
        <v>3140</v>
      </c>
      <c r="F97" s="17"/>
      <c r="G97" s="18"/>
      <c r="H97" s="18"/>
    </row>
    <row r="98" spans="1:8" ht="13.2">
      <c r="A98" s="15" t="s">
        <v>3215</v>
      </c>
      <c r="B98" s="16" t="s">
        <v>3216</v>
      </c>
      <c r="C98" s="17">
        <v>8.5</v>
      </c>
      <c r="D98" s="18"/>
      <c r="E98" s="17" t="s">
        <v>3214</v>
      </c>
      <c r="F98" s="17"/>
      <c r="G98" s="18"/>
      <c r="H98" s="18"/>
    </row>
    <row r="99" spans="1:8" ht="13.2">
      <c r="A99" s="19" t="str">
        <f>HYPERLINK("http://codeforces.com/contest/528/problem/C","CF528-D1-C")</f>
        <v>CF528-D1-C</v>
      </c>
      <c r="B99" s="29" t="s">
        <v>3260</v>
      </c>
      <c r="C99" s="17">
        <v>8.5</v>
      </c>
      <c r="D99" s="18"/>
      <c r="E99" s="17" t="s">
        <v>3257</v>
      </c>
      <c r="F99" s="17"/>
      <c r="G99" s="18"/>
      <c r="H99" s="18"/>
    </row>
    <row r="100" spans="1:8" ht="13.2">
      <c r="A100" s="19" t="str">
        <f>HYPERLINK("https://agc001.contest.atcoder.jp/tasks/agc001_f","AtCoder001-AGC-F")</f>
        <v>AtCoder001-AGC-F</v>
      </c>
      <c r="B100" s="15" t="s">
        <v>3261</v>
      </c>
      <c r="C100" s="17">
        <v>8.5</v>
      </c>
      <c r="D100" s="18"/>
      <c r="E100" s="17" t="s">
        <v>3257</v>
      </c>
      <c r="F100" s="17"/>
      <c r="G100" s="18"/>
      <c r="H100" s="18"/>
    </row>
    <row r="101" spans="1:8" ht="13.2">
      <c r="A101" s="15" t="s">
        <v>3437</v>
      </c>
      <c r="B101" s="15" t="s">
        <v>3438</v>
      </c>
      <c r="C101" s="17">
        <v>8.5</v>
      </c>
      <c r="D101" s="18"/>
      <c r="E101" s="17" t="s">
        <v>3439</v>
      </c>
      <c r="F101" s="17"/>
      <c r="G101" s="18"/>
      <c r="H101" s="18"/>
    </row>
    <row r="102" spans="1:8" ht="13.2">
      <c r="A102" s="15" t="s">
        <v>3440</v>
      </c>
      <c r="B102" s="18" t="s">
        <v>3441</v>
      </c>
      <c r="C102" s="17">
        <v>8.5</v>
      </c>
      <c r="D102" s="18"/>
      <c r="E102" s="17" t="s">
        <v>3439</v>
      </c>
      <c r="F102" s="17"/>
      <c r="G102" s="18"/>
      <c r="H102" s="18"/>
    </row>
    <row r="103" spans="1:8" ht="13.2">
      <c r="A103" s="15" t="s">
        <v>3648</v>
      </c>
      <c r="B103" s="16" t="s">
        <v>3649</v>
      </c>
      <c r="C103" s="17">
        <v>8.5</v>
      </c>
      <c r="D103" s="18"/>
      <c r="E103" s="17" t="s">
        <v>3650</v>
      </c>
      <c r="F103" s="17"/>
      <c r="G103" s="18"/>
      <c r="H103" s="18"/>
    </row>
    <row r="104" spans="1:8" ht="13.2">
      <c r="A104" s="15" t="s">
        <v>3651</v>
      </c>
      <c r="B104" s="16" t="s">
        <v>3649</v>
      </c>
      <c r="C104" s="17">
        <v>8.5</v>
      </c>
      <c r="D104" s="18"/>
      <c r="E104" s="17" t="s">
        <v>3650</v>
      </c>
      <c r="F104" s="17"/>
      <c r="G104" s="18"/>
      <c r="H104" s="18"/>
    </row>
    <row r="105" spans="1:8" ht="13.2">
      <c r="A105" s="15" t="s">
        <v>3652</v>
      </c>
      <c r="B105" s="16" t="s">
        <v>3649</v>
      </c>
      <c r="C105" s="17">
        <v>8.5</v>
      </c>
      <c r="D105" s="18"/>
      <c r="E105" s="17" t="s">
        <v>3650</v>
      </c>
      <c r="F105" s="17"/>
      <c r="G105" s="18"/>
      <c r="H105" s="18"/>
    </row>
    <row r="106" spans="1:8" ht="13.2">
      <c r="A106" s="15" t="s">
        <v>3653</v>
      </c>
      <c r="B106" s="16" t="s">
        <v>3654</v>
      </c>
      <c r="C106" s="17">
        <v>8.5</v>
      </c>
      <c r="D106" s="18"/>
      <c r="E106" s="17" t="s">
        <v>3650</v>
      </c>
      <c r="F106" s="17"/>
      <c r="G106" s="18"/>
      <c r="H106" s="18"/>
    </row>
    <row r="107" spans="1:8" ht="13.2">
      <c r="A107" s="15" t="s">
        <v>3782</v>
      </c>
      <c r="B107" s="16" t="s">
        <v>3783</v>
      </c>
      <c r="C107" s="17">
        <v>8.5</v>
      </c>
      <c r="D107" s="18"/>
      <c r="E107" s="17" t="s">
        <v>3784</v>
      </c>
      <c r="F107" s="17"/>
      <c r="G107" s="18"/>
      <c r="H107" s="18"/>
    </row>
    <row r="108" spans="1:8" ht="13.2">
      <c r="A108" s="15" t="s">
        <v>3785</v>
      </c>
      <c r="B108" s="16" t="s">
        <v>3786</v>
      </c>
      <c r="C108" s="17">
        <v>8.5</v>
      </c>
      <c r="D108" s="18"/>
      <c r="E108" s="17" t="s">
        <v>3784</v>
      </c>
      <c r="F108" s="17"/>
      <c r="G108" s="18"/>
      <c r="H108" s="18"/>
    </row>
    <row r="109" spans="1:8" ht="13.2">
      <c r="A109" s="15" t="s">
        <v>3787</v>
      </c>
      <c r="B109" s="16" t="s">
        <v>3788</v>
      </c>
      <c r="C109" s="17">
        <v>8.5</v>
      </c>
      <c r="D109" s="26" t="str">
        <f>HYPERLINK("https://apps.topcoder.com/forums/?module=Thread&amp;threadID=662332&amp;start=0&amp;mc=17","TC forum")</f>
        <v>TC forum</v>
      </c>
      <c r="E109" s="17" t="s">
        <v>3784</v>
      </c>
      <c r="F109" s="17"/>
      <c r="G109" s="18"/>
      <c r="H109" s="18"/>
    </row>
    <row r="110" spans="1:8" ht="13.2">
      <c r="A110" s="15" t="s">
        <v>3881</v>
      </c>
      <c r="B110" s="16" t="s">
        <v>3882</v>
      </c>
      <c r="C110" s="17">
        <v>8.5</v>
      </c>
      <c r="D110" s="18"/>
      <c r="E110" s="17" t="s">
        <v>3883</v>
      </c>
      <c r="F110" s="17"/>
      <c r="G110" s="18"/>
      <c r="H110" s="18"/>
    </row>
    <row r="111" spans="1:8" ht="13.2">
      <c r="A111" s="19" t="str">
        <f>HYPERLINK("https://www.codechef.com/problems/PARADE","CODECHEF PARADE")</f>
        <v>CODECHEF PARADE</v>
      </c>
      <c r="B111" s="28" t="s">
        <v>4059</v>
      </c>
      <c r="C111" s="24">
        <v>8.5</v>
      </c>
      <c r="D111" s="18"/>
      <c r="E111" s="17" t="s">
        <v>4060</v>
      </c>
      <c r="F111" s="17"/>
      <c r="G111" s="18"/>
      <c r="H111" s="18"/>
    </row>
    <row r="112" spans="1:8" ht="13.2">
      <c r="A112" s="19" t="str">
        <f>HYPERLINK("https://www.codechef.com/problems/LONGART","CODECHEF LONGART")</f>
        <v>CODECHEF LONGART</v>
      </c>
      <c r="B112" s="28" t="s">
        <v>4066</v>
      </c>
      <c r="C112" s="24">
        <v>8.5</v>
      </c>
      <c r="D112" s="18"/>
      <c r="E112" s="17" t="s">
        <v>4060</v>
      </c>
      <c r="F112" s="17"/>
      <c r="G112" s="18"/>
      <c r="H112" s="18"/>
    </row>
    <row r="113" spans="1:8" ht="13.2">
      <c r="A113" s="15" t="s">
        <v>4067</v>
      </c>
      <c r="B113" s="16" t="s">
        <v>4068</v>
      </c>
      <c r="C113" s="17">
        <v>8.5</v>
      </c>
      <c r="D113" s="18"/>
      <c r="E113" s="17" t="s">
        <v>4060</v>
      </c>
      <c r="F113" s="17"/>
      <c r="G113" s="18"/>
      <c r="H113" s="18"/>
    </row>
    <row r="114" spans="1:8" ht="13.2">
      <c r="A114" s="15" t="s">
        <v>4510</v>
      </c>
      <c r="B114" s="28" t="s">
        <v>4511</v>
      </c>
      <c r="C114" s="24">
        <v>8.5</v>
      </c>
      <c r="D114" s="18"/>
      <c r="E114" s="17" t="s">
        <v>4512</v>
      </c>
      <c r="F114" s="17"/>
      <c r="G114" s="18"/>
      <c r="H114" s="18"/>
    </row>
    <row r="115" spans="1:8" ht="13.2">
      <c r="A115" s="19" t="str">
        <f>HYPERLINK("https://agc003.contest.atcoder.jp/tasks/agc003_f","AtCoder003-AGC-F")</f>
        <v>AtCoder003-AGC-F</v>
      </c>
      <c r="B115" s="15" t="s">
        <v>4535</v>
      </c>
      <c r="C115" s="17">
        <v>8.5</v>
      </c>
      <c r="D115" s="18"/>
      <c r="E115" s="17" t="s">
        <v>4531</v>
      </c>
      <c r="F115" s="17"/>
      <c r="G115" s="18"/>
      <c r="H115" s="18"/>
    </row>
    <row r="116" spans="1:8" ht="13.2">
      <c r="A116" s="19" t="str">
        <f>HYPERLINK("https://agc005.contest.atcoder.jp/tasks/agc005_f","AtCoder005-AGC-F")</f>
        <v>AtCoder005-AGC-F</v>
      </c>
      <c r="B116" s="15" t="s">
        <v>4536</v>
      </c>
      <c r="C116" s="17">
        <v>8.5</v>
      </c>
      <c r="D116" s="18"/>
      <c r="E116" s="17" t="s">
        <v>4531</v>
      </c>
      <c r="F116" s="17"/>
      <c r="G116" s="18"/>
      <c r="H116" s="18"/>
    </row>
    <row r="117" spans="1:8" ht="13.2">
      <c r="A117" s="15" t="s">
        <v>4537</v>
      </c>
      <c r="B117" s="34" t="s">
        <v>4538</v>
      </c>
      <c r="C117" s="31">
        <v>8.5</v>
      </c>
      <c r="D117" s="18"/>
      <c r="E117" s="17" t="s">
        <v>4531</v>
      </c>
      <c r="F117" s="17"/>
      <c r="G117" s="18"/>
      <c r="H117" s="18"/>
    </row>
    <row r="118" spans="1:8" ht="13.2">
      <c r="A118" s="19" t="str">
        <f>HYPERLINK("https://www.hackerrank.com/challenges/tile-painting-revisited","HACKR tile-painting-revisited")</f>
        <v>HACKR tile-painting-revisited</v>
      </c>
      <c r="B118" s="29" t="s">
        <v>4960</v>
      </c>
      <c r="C118" s="17">
        <v>8.5</v>
      </c>
      <c r="D118" s="18"/>
      <c r="E118" s="17" t="s">
        <v>4958</v>
      </c>
      <c r="F118" s="17"/>
      <c r="G118" s="18"/>
      <c r="H118" s="18"/>
    </row>
    <row r="119" spans="1:8" ht="13.2">
      <c r="A119" s="15" t="s">
        <v>5132</v>
      </c>
      <c r="B119" s="39" t="s">
        <v>5133</v>
      </c>
      <c r="C119" s="40">
        <v>8.5</v>
      </c>
      <c r="D119" s="18"/>
      <c r="E119" s="17" t="s">
        <v>5134</v>
      </c>
      <c r="F119" s="17"/>
      <c r="G119" s="18"/>
      <c r="H119" s="18"/>
    </row>
    <row r="120" spans="1:8" ht="13.2">
      <c r="A120" s="19" t="str">
        <f>HYPERLINK("http://codeforces.com/contest/227/problem/E","CF227-D2-E")</f>
        <v>CF227-D2-E</v>
      </c>
      <c r="B120" s="29" t="s">
        <v>5245</v>
      </c>
      <c r="C120" s="24">
        <v>8.5</v>
      </c>
      <c r="D120" s="18"/>
      <c r="E120" s="17" t="s">
        <v>5246</v>
      </c>
      <c r="F120" s="17"/>
      <c r="G120" s="18"/>
      <c r="H120" s="18"/>
    </row>
    <row r="121" spans="1:8" ht="13.2">
      <c r="A121" s="15" t="s">
        <v>5308</v>
      </c>
      <c r="B121" s="16" t="s">
        <v>5309</v>
      </c>
      <c r="C121" s="17">
        <v>8.5</v>
      </c>
      <c r="D121" s="18"/>
      <c r="E121" s="17" t="s">
        <v>5310</v>
      </c>
      <c r="F121" s="17"/>
      <c r="G121" s="18"/>
      <c r="H121" s="18"/>
    </row>
    <row r="122" spans="1:8" ht="13.2">
      <c r="A122" s="15" t="s">
        <v>5311</v>
      </c>
      <c r="B122" s="16" t="s">
        <v>5309</v>
      </c>
      <c r="C122" s="17">
        <v>8.5</v>
      </c>
      <c r="D122" s="18"/>
      <c r="E122" s="17" t="s">
        <v>5310</v>
      </c>
      <c r="F122" s="17"/>
      <c r="G122" s="18"/>
      <c r="H122" s="18"/>
    </row>
    <row r="123" spans="1:8" ht="13.2">
      <c r="A123" s="15" t="s">
        <v>5312</v>
      </c>
      <c r="B123" s="30" t="s">
        <v>5309</v>
      </c>
      <c r="C123" s="24">
        <v>8.5</v>
      </c>
      <c r="D123" s="18"/>
      <c r="E123" s="17" t="s">
        <v>5310</v>
      </c>
      <c r="F123" s="17"/>
      <c r="G123" s="18"/>
      <c r="H123" s="18"/>
    </row>
    <row r="124" spans="1:8" ht="13.2">
      <c r="A124" s="19" t="str">
        <f>HYPERLINK("https://www.hackerrank.com/challenges/james-tree","HACKR james-tree")</f>
        <v>HACKR james-tree</v>
      </c>
      <c r="B124" s="29" t="s">
        <v>5347</v>
      </c>
      <c r="C124" s="17">
        <v>8.5</v>
      </c>
      <c r="D124" s="18"/>
      <c r="E124" s="17" t="s">
        <v>5346</v>
      </c>
      <c r="F124" s="17"/>
      <c r="G124" s="18"/>
      <c r="H124" s="18"/>
    </row>
    <row r="125" spans="1:8" ht="13.2">
      <c r="A125" s="15" t="s">
        <v>5412</v>
      </c>
      <c r="B125" s="28" t="s">
        <v>5413</v>
      </c>
      <c r="C125" s="24">
        <v>8.5</v>
      </c>
      <c r="D125" s="26" t="str">
        <f>HYPERLINK("https://ncpc.idi.ntnu.no/ncpc2008/","Sol analysis")</f>
        <v>Sol analysis</v>
      </c>
      <c r="E125" s="17" t="s">
        <v>5414</v>
      </c>
      <c r="F125" s="17"/>
      <c r="G125" s="18"/>
      <c r="H125" s="18"/>
    </row>
    <row r="126" spans="1:8" ht="13.2">
      <c r="A126" s="19" t="str">
        <f>HYPERLINK("https://www.hackerrank.com/challenges/count-fox-sequences","HACKR count-fox-sequences")</f>
        <v>HACKR count-fox-sequences</v>
      </c>
      <c r="B126" s="29" t="s">
        <v>5527</v>
      </c>
      <c r="C126" s="17">
        <v>8.5</v>
      </c>
      <c r="D126" s="18"/>
      <c r="E126" s="17" t="s">
        <v>5524</v>
      </c>
      <c r="F126" s="17"/>
      <c r="G126" s="18"/>
      <c r="H126" s="18"/>
    </row>
    <row r="127" spans="1:8" ht="13.2">
      <c r="A127" s="19" t="str">
        <f>HYPERLINK("https://www.hackerrank.com/challenges/longest-increasing-subsequence-arrays","HACKR longest-increasing-subsequence-arrays")</f>
        <v>HACKR longest-increasing-subsequence-arrays</v>
      </c>
      <c r="B127" s="29" t="s">
        <v>5527</v>
      </c>
      <c r="C127" s="17">
        <v>8.5</v>
      </c>
      <c r="D127" s="18"/>
      <c r="E127" s="17" t="s">
        <v>5524</v>
      </c>
      <c r="F127" s="17"/>
      <c r="G127" s="18"/>
      <c r="H127" s="18"/>
    </row>
    <row r="128" spans="1:8" ht="13.2">
      <c r="A128" s="19" t="str">
        <f>HYPERLINK("https://www.hackerrank.com/challenges/manasa-and-combinatorics","HACKR manasa-and-combinatorics")</f>
        <v>HACKR manasa-and-combinatorics</v>
      </c>
      <c r="B128" s="29" t="s">
        <v>5527</v>
      </c>
      <c r="C128" s="17">
        <v>8.5</v>
      </c>
      <c r="D128" s="18"/>
      <c r="E128" s="17" t="s">
        <v>5524</v>
      </c>
      <c r="F128" s="17"/>
      <c r="G128" s="18"/>
      <c r="H128" s="18"/>
    </row>
    <row r="129" spans="1:8" ht="13.2">
      <c r="A129" s="15" t="s">
        <v>5624</v>
      </c>
      <c r="B129" s="18" t="s">
        <v>5625</v>
      </c>
      <c r="C129" s="17">
        <v>8.5</v>
      </c>
      <c r="D129" s="18"/>
      <c r="E129" s="17" t="s">
        <v>5626</v>
      </c>
      <c r="F129" s="17"/>
      <c r="G129" s="18"/>
      <c r="H129" s="18"/>
    </row>
    <row r="130" spans="1:8" ht="13.2">
      <c r="A130" s="15" t="s">
        <v>4142</v>
      </c>
      <c r="B130" s="15" t="s">
        <v>4143</v>
      </c>
      <c r="C130" s="17">
        <v>8.25</v>
      </c>
      <c r="D130" s="26" t="str">
        <f>HYPERLINK("https://github.com/mostafa-saad/MyCompetitiveProgramming/blob/master/Timus/TIMUS_2038.txt","Sol")</f>
        <v>Sol</v>
      </c>
      <c r="E130" s="17" t="s">
        <v>4144</v>
      </c>
      <c r="F130" s="17" t="s">
        <v>154</v>
      </c>
      <c r="G130" s="18"/>
      <c r="H130" s="18"/>
    </row>
    <row r="131" spans="1:8" ht="13.2">
      <c r="A131" s="15" t="s">
        <v>137</v>
      </c>
      <c r="B131" s="16" t="s">
        <v>124</v>
      </c>
      <c r="C131" s="17">
        <v>8.25</v>
      </c>
      <c r="D131" s="18"/>
      <c r="E131" s="17" t="s">
        <v>125</v>
      </c>
      <c r="F131" s="17"/>
      <c r="G131" s="18"/>
      <c r="H131" s="18"/>
    </row>
    <row r="132" spans="1:8" ht="13.2">
      <c r="A132" s="19" t="str">
        <f>HYPERLINK("https://codeforces.com/contest/1089", "CF1089-D12-B")</f>
        <v>CF1089-D12-B</v>
      </c>
      <c r="B132" s="15" t="s">
        <v>6530</v>
      </c>
      <c r="C132" s="17">
        <v>8.25</v>
      </c>
      <c r="D132" s="18"/>
      <c r="E132" s="17" t="s">
        <v>6529</v>
      </c>
      <c r="F132" s="17"/>
      <c r="G132" s="18"/>
      <c r="H132" s="18"/>
    </row>
    <row r="133" spans="1:8" ht="13.2">
      <c r="A133" s="19" t="str">
        <f>HYPERLINK("https://www.codechef.com/problems/MATCH","CODECHEF MATCH")</f>
        <v>CODECHEF MATCH</v>
      </c>
      <c r="B133" s="18" t="s">
        <v>4145</v>
      </c>
      <c r="C133" s="17">
        <v>8.25</v>
      </c>
      <c r="D133" s="18"/>
      <c r="E133" s="17" t="s">
        <v>4144</v>
      </c>
      <c r="F133" s="17"/>
      <c r="G133" s="18"/>
      <c r="H133" s="18"/>
    </row>
    <row r="134" spans="1:8" ht="13.2">
      <c r="A134" s="15" t="s">
        <v>4273</v>
      </c>
      <c r="B134" s="16" t="s">
        <v>4274</v>
      </c>
      <c r="C134" s="17">
        <v>8.25</v>
      </c>
      <c r="D134" s="18"/>
      <c r="E134" s="17" t="s">
        <v>4275</v>
      </c>
      <c r="F134" s="17"/>
      <c r="G134" s="18"/>
      <c r="H134" s="18"/>
    </row>
    <row r="135" spans="1:8" ht="13.2">
      <c r="A135" s="15" t="s">
        <v>803</v>
      </c>
      <c r="B135" s="16" t="s">
        <v>804</v>
      </c>
      <c r="C135" s="17">
        <v>8.25</v>
      </c>
      <c r="D135" s="18"/>
      <c r="E135" s="17" t="s">
        <v>805</v>
      </c>
      <c r="F135" s="17"/>
      <c r="G135" s="18"/>
      <c r="H135" s="18"/>
    </row>
    <row r="136" spans="1:8" ht="13.2">
      <c r="A136" s="15" t="s">
        <v>2801</v>
      </c>
      <c r="B136" s="16" t="s">
        <v>2802</v>
      </c>
      <c r="C136" s="17">
        <v>8.1</v>
      </c>
      <c r="D136" s="18"/>
      <c r="E136" s="17" t="s">
        <v>2798</v>
      </c>
      <c r="F136" s="17"/>
      <c r="G136" s="18"/>
      <c r="H136" s="18"/>
    </row>
    <row r="137" spans="1:8" ht="13.2">
      <c r="A137" s="19" t="str">
        <f>HYPERLINK("http://codeforces.com/contest/739/problem/E","CF739-D1-E")</f>
        <v>CF739-D1-E</v>
      </c>
      <c r="B137" s="15" t="s">
        <v>6431</v>
      </c>
      <c r="C137" s="53">
        <v>8</v>
      </c>
      <c r="D137" s="26" t="str">
        <f>HYPERLINK("http://codeforces.com/blog/entry/49691","Nice Read")</f>
        <v>Nice Read</v>
      </c>
      <c r="E137" s="17" t="s">
        <v>6430</v>
      </c>
      <c r="F137" s="17" t="s">
        <v>173</v>
      </c>
      <c r="G137" s="18"/>
      <c r="H137" s="18"/>
    </row>
    <row r="138" spans="1:8" ht="13.2">
      <c r="A138" s="19" t="str">
        <f>HYPERLINK("http://codeforces.com/problemset/problem/1034/D", "CF1034-D1-D")</f>
        <v>CF1034-D1-D</v>
      </c>
      <c r="B138" s="20" t="s">
        <v>574</v>
      </c>
      <c r="C138" s="21">
        <v>8</v>
      </c>
      <c r="D138" s="18"/>
      <c r="E138" s="17" t="s">
        <v>575</v>
      </c>
      <c r="F138" s="17" t="s">
        <v>173</v>
      </c>
      <c r="G138" s="18"/>
      <c r="H138" s="18"/>
    </row>
    <row r="139" spans="1:8" ht="13.2">
      <c r="A139" s="15" t="s">
        <v>3655</v>
      </c>
      <c r="B139" s="15" t="s">
        <v>3649</v>
      </c>
      <c r="C139" s="17">
        <v>8</v>
      </c>
      <c r="D139" s="18" t="s">
        <v>3656</v>
      </c>
      <c r="E139" s="17" t="s">
        <v>3650</v>
      </c>
      <c r="F139" s="17" t="s">
        <v>173</v>
      </c>
      <c r="G139" s="18"/>
      <c r="H139" s="18"/>
    </row>
    <row r="140" spans="1:8" ht="13.2">
      <c r="A140" s="19" t="str">
        <f>HYPERLINK("http://codeforces.com/problemset/problem/1063/F", "CF1063-D1-F")</f>
        <v>CF1063-D1-F</v>
      </c>
      <c r="B140" s="23" t="s">
        <v>5793</v>
      </c>
      <c r="C140" s="17">
        <v>8</v>
      </c>
      <c r="D140" s="18"/>
      <c r="E140" s="17" t="s">
        <v>5794</v>
      </c>
      <c r="F140" s="17" t="s">
        <v>154</v>
      </c>
      <c r="G140" s="18"/>
      <c r="H140" s="18"/>
    </row>
    <row r="141" spans="1:8" ht="13.2">
      <c r="A141" s="15" t="s">
        <v>4069</v>
      </c>
      <c r="B141" s="20" t="s">
        <v>4059</v>
      </c>
      <c r="C141" s="21">
        <v>8</v>
      </c>
      <c r="D141" s="26" t="str">
        <f>HYPERLINK("https://github.com/swapnil119/CompetitiveProgramming/blob/master/CompetitiveProgramming/Codeforces/CF101873-GYM-F.cpp","Dol")</f>
        <v>Dol</v>
      </c>
      <c r="E141" s="17" t="s">
        <v>4060</v>
      </c>
      <c r="F141" s="17" t="s">
        <v>154</v>
      </c>
      <c r="G141" s="18"/>
      <c r="H141" s="18"/>
    </row>
    <row r="142" spans="1:8" ht="13.2">
      <c r="A142" s="15" t="s">
        <v>4962</v>
      </c>
      <c r="B142" s="30" t="s">
        <v>4963</v>
      </c>
      <c r="C142" s="24">
        <v>8</v>
      </c>
      <c r="D142" s="26" t="str">
        <f>HYPERLINK("https://github.com/swapnil119/CompetitiveProgramming/blob/master/CompetitiveProgramming/Topcoder/SRM472-D1-500.cpp","Sol")</f>
        <v>Sol</v>
      </c>
      <c r="E142" s="17" t="s">
        <v>4958</v>
      </c>
      <c r="F142" s="17" t="s">
        <v>154</v>
      </c>
      <c r="G142" s="18"/>
      <c r="H142" s="18"/>
    </row>
    <row r="143" spans="1:8" ht="13.2">
      <c r="A143" s="19" t="str">
        <f>HYPERLINK("https://codeforces.com/contest/1097/problem/E", "CF1097-D12-E")</f>
        <v>CF1097-D12-E</v>
      </c>
      <c r="B143" s="15" t="s">
        <v>138</v>
      </c>
      <c r="C143" s="21">
        <v>8</v>
      </c>
      <c r="D143" s="18"/>
      <c r="E143" s="17" t="s">
        <v>125</v>
      </c>
      <c r="F143" s="17" t="s">
        <v>139</v>
      </c>
      <c r="G143" s="18"/>
      <c r="H143" s="18"/>
    </row>
    <row r="144" spans="1:8" ht="13.2">
      <c r="A144" s="19" t="str">
        <f>HYPERLINK("https://codeforces.com/contest/1070/problem/L","CF1070-D12-L")</f>
        <v>CF1070-D12-L</v>
      </c>
      <c r="B144" s="15" t="s">
        <v>140</v>
      </c>
      <c r="C144" s="17">
        <v>8</v>
      </c>
      <c r="D144" s="18"/>
      <c r="E144" s="17" t="s">
        <v>125</v>
      </c>
      <c r="F144" s="17" t="s">
        <v>139</v>
      </c>
      <c r="G144" s="18"/>
      <c r="H144" s="18"/>
    </row>
    <row r="145" spans="1:8" ht="13.2">
      <c r="A145" s="19" t="str">
        <f>HYPERLINK("http://codeforces.com/contest/653/problem/F","CF653-D12-F")</f>
        <v>CF653-D12-F</v>
      </c>
      <c r="B145" s="15" t="s">
        <v>5795</v>
      </c>
      <c r="C145" s="24">
        <v>8</v>
      </c>
      <c r="D145" s="18"/>
      <c r="E145" s="17" t="s">
        <v>5794</v>
      </c>
      <c r="F145" s="17" t="s">
        <v>139</v>
      </c>
      <c r="G145" s="18"/>
      <c r="H145" s="18"/>
    </row>
    <row r="146" spans="1:8" ht="13.2">
      <c r="A146" s="19" t="str">
        <f>HYPERLINK("http://codeforces.com/contest/132/problem/E","CF132-D1-E")</f>
        <v>CF132-D1-E</v>
      </c>
      <c r="B146" s="15" t="s">
        <v>6245</v>
      </c>
      <c r="C146" s="24">
        <v>8</v>
      </c>
      <c r="D146" s="18"/>
      <c r="E146" s="17" t="s">
        <v>6246</v>
      </c>
      <c r="F146" s="17" t="s">
        <v>139</v>
      </c>
      <c r="G146" s="18"/>
      <c r="H146" s="18"/>
    </row>
    <row r="147" spans="1:8" ht="13.2">
      <c r="A147" s="19" t="str">
        <f>HYPERLINK("https://codeforces.com/problemset/problem/1060/G", "CF1060-D12-G")</f>
        <v>CF1060-D12-G</v>
      </c>
      <c r="B147" s="23" t="s">
        <v>1017</v>
      </c>
      <c r="C147" s="17">
        <v>8</v>
      </c>
      <c r="D147" s="18"/>
      <c r="E147" s="17" t="s">
        <v>1018</v>
      </c>
      <c r="F147" s="17" t="s">
        <v>139</v>
      </c>
      <c r="G147" s="18"/>
      <c r="H147" s="18"/>
    </row>
    <row r="148" spans="1:8" ht="13.2">
      <c r="A148" s="19" t="str">
        <f>HYPERLINK("https://codeforces.com/problemset/problem/1083/D", "CF1083-D1-D")</f>
        <v>CF1083-D1-D</v>
      </c>
      <c r="B148" s="15" t="s">
        <v>1017</v>
      </c>
      <c r="C148" s="17">
        <v>8</v>
      </c>
      <c r="D148" s="18"/>
      <c r="E148" s="17" t="s">
        <v>1018</v>
      </c>
      <c r="F148" s="17" t="s">
        <v>139</v>
      </c>
      <c r="G148" s="18"/>
      <c r="H148" s="18"/>
    </row>
    <row r="149" spans="1:8" ht="13.2">
      <c r="A149" s="19" t="str">
        <f>HYPERLINK("https://www.hackerrank.com/contests/hourrank-31/challenges/basketball-tournament-1/", "HACKR basketball-tournament-1")</f>
        <v>HACKR basketball-tournament-1</v>
      </c>
      <c r="B149" s="15" t="s">
        <v>1022</v>
      </c>
      <c r="C149" s="17">
        <v>8</v>
      </c>
      <c r="D149" s="18"/>
      <c r="E149" s="17" t="s">
        <v>1018</v>
      </c>
      <c r="F149" s="17" t="s">
        <v>139</v>
      </c>
      <c r="G149" s="18"/>
      <c r="H149" s="18"/>
    </row>
    <row r="150" spans="1:8" ht="13.2">
      <c r="A150" s="19" t="str">
        <f>HYPERLINK("http://codeforces.com/contest/280/problem/D","CF280-D1-D")</f>
        <v>CF280-D1-D</v>
      </c>
      <c r="B150" s="15" t="s">
        <v>1023</v>
      </c>
      <c r="C150" s="24">
        <v>8</v>
      </c>
      <c r="D150" s="18"/>
      <c r="E150" s="17" t="s">
        <v>1018</v>
      </c>
      <c r="F150" s="17" t="s">
        <v>139</v>
      </c>
      <c r="G150" s="18"/>
      <c r="H150" s="18"/>
    </row>
    <row r="151" spans="1:8" ht="13.2">
      <c r="A151" s="19" t="str">
        <f>HYPERLINK("http://codeforces.com/contest/735/problem/E","CF735-D2-E")</f>
        <v>CF735-D2-E</v>
      </c>
      <c r="B151" s="15" t="s">
        <v>6458</v>
      </c>
      <c r="C151" s="24">
        <v>8</v>
      </c>
      <c r="D151" s="18"/>
      <c r="E151" s="17" t="s">
        <v>6459</v>
      </c>
      <c r="F151" s="17" t="s">
        <v>139</v>
      </c>
      <c r="G151" s="18"/>
      <c r="H151" s="18"/>
    </row>
    <row r="152" spans="1:8" ht="13.2">
      <c r="A152" s="19" t="str">
        <f>HYPERLINK("http://codeforces.com/contest/382/problem/E","CF382-D2-E")</f>
        <v>CF382-D2-E</v>
      </c>
      <c r="B152" s="15" t="s">
        <v>1988</v>
      </c>
      <c r="C152" s="24">
        <v>8</v>
      </c>
      <c r="D152" s="18"/>
      <c r="E152" s="17" t="s">
        <v>1989</v>
      </c>
      <c r="F152" s="17" t="s">
        <v>139</v>
      </c>
      <c r="G152" s="18"/>
      <c r="H152" s="18"/>
    </row>
    <row r="153" spans="1:8" ht="13.2">
      <c r="A153" s="19" t="str">
        <f>HYPERLINK("http://codeforces.com/contest/698/problem/C","CF698-D1-C")</f>
        <v>CF698-D1-C</v>
      </c>
      <c r="B153" s="15" t="s">
        <v>2025</v>
      </c>
      <c r="C153" s="24">
        <v>8</v>
      </c>
      <c r="D153" s="18"/>
      <c r="E153" s="17" t="s">
        <v>2026</v>
      </c>
      <c r="F153" s="17" t="s">
        <v>139</v>
      </c>
      <c r="G153" s="18"/>
      <c r="H153" s="18"/>
    </row>
    <row r="154" spans="1:8" ht="13.2">
      <c r="A154" s="19" t="str">
        <f>HYPERLINK("http://codeforces.com/problemset/problem/1054/G", "CF1054-D12-G")</f>
        <v>CF1054-D12-G</v>
      </c>
      <c r="B154" s="20" t="s">
        <v>2154</v>
      </c>
      <c r="C154" s="21">
        <v>8</v>
      </c>
      <c r="D154" s="18"/>
      <c r="E154" s="17" t="s">
        <v>2153</v>
      </c>
      <c r="F154" s="17" t="s">
        <v>139</v>
      </c>
      <c r="G154" s="18"/>
      <c r="H154" s="18"/>
    </row>
    <row r="155" spans="1:8" ht="13.2">
      <c r="A155" s="19" t="str">
        <f>HYPERLINK("http://codeforces.com/contest/420/problem/E","CF420-D1-E")</f>
        <v>CF420-D1-E</v>
      </c>
      <c r="B155" s="20" t="s">
        <v>2509</v>
      </c>
      <c r="C155" s="17">
        <v>8</v>
      </c>
      <c r="D155" s="18"/>
      <c r="E155" s="17" t="s">
        <v>2510</v>
      </c>
      <c r="F155" s="17" t="s">
        <v>139</v>
      </c>
      <c r="G155" s="18"/>
      <c r="H155" s="18"/>
    </row>
    <row r="156" spans="1:8" ht="13.2">
      <c r="A156" s="19" t="str">
        <f>HYPERLINK("https://codeforces.com/contest/995/problem/E","CF995-D1-E")</f>
        <v>CF995-D1-E</v>
      </c>
      <c r="B156" s="15" t="s">
        <v>3262</v>
      </c>
      <c r="C156" s="17">
        <v>8</v>
      </c>
      <c r="D156" s="18"/>
      <c r="E156" s="17" t="s">
        <v>3257</v>
      </c>
      <c r="F156" s="17" t="s">
        <v>139</v>
      </c>
      <c r="G156" s="18"/>
      <c r="H156" s="18"/>
    </row>
    <row r="157" spans="1:8" ht="13.2">
      <c r="A157" s="19" t="str">
        <f>HYPERLINK("http://codeforces.com/contest/444/problem/E","CF444-D1-E")</f>
        <v>CF444-D1-E</v>
      </c>
      <c r="B157" s="15" t="s">
        <v>3884</v>
      </c>
      <c r="C157" s="24">
        <v>8</v>
      </c>
      <c r="D157" s="18"/>
      <c r="E157" s="17" t="s">
        <v>3883</v>
      </c>
      <c r="F157" s="17" t="s">
        <v>139</v>
      </c>
      <c r="G157" s="18"/>
      <c r="H157" s="18"/>
    </row>
    <row r="158" spans="1:8" ht="13.2">
      <c r="A158" s="19" t="str">
        <f>HYPERLINK("http://codeforces.com/contest/547/problem/D","CF547-D1-D")</f>
        <v>CF547-D1-D</v>
      </c>
      <c r="B158" s="15" t="s">
        <v>3954</v>
      </c>
      <c r="C158" s="24">
        <v>8</v>
      </c>
      <c r="D158" s="18"/>
      <c r="E158" s="17" t="s">
        <v>3955</v>
      </c>
      <c r="F158" s="17" t="s">
        <v>139</v>
      </c>
      <c r="G158" s="18"/>
      <c r="H158" s="18"/>
    </row>
    <row r="159" spans="1:8" ht="13.2">
      <c r="A159" s="15" t="s">
        <v>4146</v>
      </c>
      <c r="B159" s="15" t="s">
        <v>4147</v>
      </c>
      <c r="C159" s="17">
        <v>8</v>
      </c>
      <c r="D159" s="26" t="str">
        <f>HYPERLINK("https://icpc.camp/new-meta/Topcoder%E4%B8%93%E9%A2%98#alienskislopes-srm687-hard","Some Editorial")</f>
        <v>Some Editorial</v>
      </c>
      <c r="E159" s="17" t="s">
        <v>4144</v>
      </c>
      <c r="F159" s="17" t="s">
        <v>139</v>
      </c>
      <c r="G159" s="18"/>
      <c r="H159" s="18"/>
    </row>
    <row r="160" spans="1:8" ht="13.2">
      <c r="A160" s="19" t="str">
        <f>HYPERLINK("http://codeforces.com/gym/101666/problem/E","CF101666-Gym-E")</f>
        <v>CF101666-Gym-E</v>
      </c>
      <c r="B160" s="20" t="s">
        <v>4148</v>
      </c>
      <c r="C160" s="21">
        <v>8</v>
      </c>
      <c r="D160" s="26" t="str">
        <f>HYPERLINK("https://github.com/swapnil119/CompetitiveProgramming/blob/master/CompetitiveProgramming/Codeforces/CF101666-GYM-E.cpp","Sol")</f>
        <v>Sol</v>
      </c>
      <c r="E160" s="17" t="s">
        <v>4144</v>
      </c>
      <c r="F160" s="17" t="s">
        <v>139</v>
      </c>
      <c r="G160" s="18"/>
      <c r="H160" s="18"/>
    </row>
    <row r="161" spans="1:8" ht="13.2">
      <c r="A161" s="19" t="str">
        <f>HYPERLINK("http://codeforces.com/contest/433/problem/E","CF433-D2-E")</f>
        <v>CF433-D2-E</v>
      </c>
      <c r="B161" s="15" t="s">
        <v>5760</v>
      </c>
      <c r="C161" s="24">
        <v>8</v>
      </c>
      <c r="D161" s="18"/>
      <c r="E161" s="17" t="s">
        <v>5761</v>
      </c>
      <c r="F161" s="17" t="s">
        <v>201</v>
      </c>
      <c r="G161" s="18"/>
      <c r="H161" s="18"/>
    </row>
    <row r="162" spans="1:8" ht="13.2">
      <c r="A162" s="19" t="str">
        <f>HYPERLINK("http://codeforces.com/contest/464/problem/E","CF464-D1-E")</f>
        <v>CF464-D1-E</v>
      </c>
      <c r="B162" s="15" t="s">
        <v>1024</v>
      </c>
      <c r="C162" s="24">
        <v>8</v>
      </c>
      <c r="D162" s="18"/>
      <c r="E162" s="17" t="s">
        <v>1018</v>
      </c>
      <c r="F162" s="17" t="s">
        <v>201</v>
      </c>
      <c r="G162" s="18"/>
      <c r="H162" s="18"/>
    </row>
    <row r="163" spans="1:8" ht="13.2">
      <c r="A163" s="15" t="s">
        <v>1025</v>
      </c>
      <c r="B163" s="15" t="s">
        <v>1026</v>
      </c>
      <c r="C163" s="17">
        <v>8</v>
      </c>
      <c r="D163" s="18"/>
      <c r="E163" s="17" t="s">
        <v>1018</v>
      </c>
      <c r="F163" s="17" t="s">
        <v>201</v>
      </c>
      <c r="G163" s="18"/>
      <c r="H163" s="18"/>
    </row>
    <row r="164" spans="1:8" ht="13.2">
      <c r="A164" s="19" t="str">
        <f>HYPERLINK("https://codeforces.com/contest/995/problem/F","CF995-D1-F")</f>
        <v>CF995-D1-F</v>
      </c>
      <c r="B164" s="15" t="s">
        <v>6460</v>
      </c>
      <c r="C164" s="21">
        <v>8</v>
      </c>
      <c r="D164" s="18"/>
      <c r="E164" s="17" t="s">
        <v>6459</v>
      </c>
      <c r="F164" s="17" t="s">
        <v>201</v>
      </c>
      <c r="G164" s="18"/>
      <c r="H164" s="18"/>
    </row>
    <row r="165" spans="1:8" ht="13.2">
      <c r="A165" s="15" t="s">
        <v>141</v>
      </c>
      <c r="B165" s="16" t="s">
        <v>124</v>
      </c>
      <c r="C165" s="17">
        <v>8</v>
      </c>
      <c r="D165" s="18"/>
      <c r="E165" s="17" t="s">
        <v>125</v>
      </c>
      <c r="F165" s="17"/>
      <c r="G165" s="18"/>
      <c r="H165" s="18"/>
    </row>
    <row r="166" spans="1:8" ht="13.2">
      <c r="A166" s="15" t="s">
        <v>142</v>
      </c>
      <c r="B166" s="16" t="s">
        <v>143</v>
      </c>
      <c r="C166" s="17">
        <v>8</v>
      </c>
      <c r="D166" s="18"/>
      <c r="E166" s="17" t="s">
        <v>125</v>
      </c>
      <c r="F166" s="17"/>
      <c r="G166" s="18"/>
      <c r="H166" s="18"/>
    </row>
    <row r="167" spans="1:8" ht="13.2">
      <c r="A167" s="19" t="str">
        <f>HYPERLINK("https://csacademy.com/contest/round-47/task/max-snake/ ","CS47-F")</f>
        <v>CS47-F</v>
      </c>
      <c r="B167" s="15" t="s">
        <v>144</v>
      </c>
      <c r="C167" s="17">
        <v>8</v>
      </c>
      <c r="D167" s="18"/>
      <c r="E167" s="17" t="s">
        <v>125</v>
      </c>
      <c r="F167" s="17"/>
      <c r="G167" s="18"/>
      <c r="H167" s="18"/>
    </row>
    <row r="168" spans="1:8" ht="13.2">
      <c r="A168" s="15" t="s">
        <v>145</v>
      </c>
      <c r="B168" s="16" t="s">
        <v>146</v>
      </c>
      <c r="C168" s="17">
        <v>8</v>
      </c>
      <c r="D168" s="18"/>
      <c r="E168" s="17" t="s">
        <v>125</v>
      </c>
      <c r="F168" s="17"/>
      <c r="G168" s="18"/>
      <c r="H168" s="18"/>
    </row>
    <row r="169" spans="1:8" ht="13.2">
      <c r="A169" s="19" t="str">
        <f>HYPERLINK("https://csacademy.com/contest/beta-round-1/task/two_progressions/     ","CSA1-G")</f>
        <v>CSA1-G</v>
      </c>
      <c r="B169" s="15" t="s">
        <v>147</v>
      </c>
      <c r="C169" s="17">
        <v>8</v>
      </c>
      <c r="D169" s="18"/>
      <c r="E169" s="17" t="s">
        <v>125</v>
      </c>
      <c r="F169" s="17"/>
      <c r="G169" s="18"/>
      <c r="H169" s="18"/>
    </row>
    <row r="170" spans="1:8" ht="13.2">
      <c r="A170" s="15" t="s">
        <v>148</v>
      </c>
      <c r="B170" s="18" t="s">
        <v>149</v>
      </c>
      <c r="C170" s="17">
        <v>8</v>
      </c>
      <c r="D170" s="18"/>
      <c r="E170" s="17" t="s">
        <v>125</v>
      </c>
      <c r="F170" s="17"/>
      <c r="G170" s="18"/>
      <c r="H170" s="18"/>
    </row>
    <row r="171" spans="1:8" ht="13.2">
      <c r="A171" s="15" t="s">
        <v>150</v>
      </c>
      <c r="B171" s="16" t="s">
        <v>151</v>
      </c>
      <c r="C171" s="17">
        <v>8</v>
      </c>
      <c r="D171" s="18"/>
      <c r="E171" s="17" t="s">
        <v>125</v>
      </c>
      <c r="F171" s="17"/>
      <c r="G171" s="18"/>
      <c r="H171" s="18"/>
    </row>
    <row r="172" spans="1:8" ht="13.2">
      <c r="A172" s="19" t="str">
        <f>HYPERLINK("https://codeforces.com/contest/930/problem/D","CF930-D1-D")</f>
        <v>CF930-D1-D</v>
      </c>
      <c r="B172" s="15" t="s">
        <v>152</v>
      </c>
      <c r="C172" s="21">
        <v>8</v>
      </c>
      <c r="D172" s="18"/>
      <c r="E172" s="17" t="s">
        <v>125</v>
      </c>
      <c r="F172" s="17"/>
      <c r="G172" s="18"/>
      <c r="H172" s="18"/>
    </row>
    <row r="173" spans="1:8" ht="13.2">
      <c r="A173" s="15" t="s">
        <v>5762</v>
      </c>
      <c r="B173" s="29" t="s">
        <v>5763</v>
      </c>
      <c r="C173" s="54">
        <v>8</v>
      </c>
      <c r="D173" s="18"/>
      <c r="E173" s="17" t="s">
        <v>5761</v>
      </c>
      <c r="F173" s="17"/>
      <c r="G173" s="18"/>
      <c r="H173" s="18"/>
    </row>
    <row r="174" spans="1:8" ht="15" customHeight="1">
      <c r="A174" s="19" t="str">
        <f>HYPERLINK("http://codeforces.com/gym/101889/problem/M","CF101889-GYM-M")</f>
        <v>CF101889-GYM-M</v>
      </c>
      <c r="B174" s="20" t="s">
        <v>5796</v>
      </c>
      <c r="C174" s="21">
        <v>8</v>
      </c>
      <c r="D174" s="26" t="str">
        <f>HYPERLINK("https://github.com/OmarHashim/Competitive-Programming/blob/master/CodeForces/CF101889-GYM-M.cpp","Sol")</f>
        <v>Sol</v>
      </c>
      <c r="E174" s="17" t="s">
        <v>5794</v>
      </c>
      <c r="F174" s="17"/>
      <c r="G174" s="18"/>
      <c r="H174" s="18"/>
    </row>
    <row r="175" spans="1:8" ht="13.2">
      <c r="A175" s="15" t="s">
        <v>5797</v>
      </c>
      <c r="B175" s="28" t="s">
        <v>5796</v>
      </c>
      <c r="C175" s="17">
        <v>8</v>
      </c>
      <c r="D175" s="18"/>
      <c r="E175" s="17" t="s">
        <v>5794</v>
      </c>
      <c r="F175" s="17"/>
      <c r="G175" s="18"/>
      <c r="H175" s="18"/>
    </row>
    <row r="176" spans="1:8" ht="13.2">
      <c r="A176" s="15" t="s">
        <v>5798</v>
      </c>
      <c r="B176" s="30" t="s">
        <v>5799</v>
      </c>
      <c r="C176" s="17">
        <v>8</v>
      </c>
      <c r="D176" s="26" t="str">
        <f>HYPERLINK("https://codeforces.com/blog/entry/15532","Author ?")</f>
        <v>Author ?</v>
      </c>
      <c r="E176" s="17" t="s">
        <v>5794</v>
      </c>
      <c r="F176" s="17"/>
      <c r="G176" s="18"/>
      <c r="H176" s="18"/>
    </row>
    <row r="177" spans="1:8" ht="13.2">
      <c r="A177" s="19" t="str">
        <f>HYPERLINK("http://codeforces.com/contest/235/problem/C","CF235-D1-C")</f>
        <v>CF235-D1-C</v>
      </c>
      <c r="B177" s="29" t="s">
        <v>5800</v>
      </c>
      <c r="C177" s="17">
        <v>8</v>
      </c>
      <c r="D177" s="18"/>
      <c r="E177" s="17" t="s">
        <v>5794</v>
      </c>
      <c r="F177" s="17"/>
      <c r="G177" s="18"/>
      <c r="H177" s="18"/>
    </row>
    <row r="178" spans="1:8" ht="13.2">
      <c r="A178" s="19" t="str">
        <f>HYPERLINK("https://www.codechef.com/problems/DIFTRIP","CODECHEF DIFTRIP")</f>
        <v>CODECHEF DIFTRIP</v>
      </c>
      <c r="B178" s="18" t="s">
        <v>5801</v>
      </c>
      <c r="C178" s="17">
        <v>8</v>
      </c>
      <c r="D178" s="18"/>
      <c r="E178" s="17" t="s">
        <v>5794</v>
      </c>
      <c r="F178" s="17"/>
      <c r="G178" s="18"/>
      <c r="H178" s="18"/>
    </row>
    <row r="179" spans="1:8" ht="13.2">
      <c r="A179" s="15" t="s">
        <v>6247</v>
      </c>
      <c r="B179" s="16" t="s">
        <v>6248</v>
      </c>
      <c r="C179" s="24">
        <v>8</v>
      </c>
      <c r="D179" s="18"/>
      <c r="E179" s="17" t="s">
        <v>6246</v>
      </c>
      <c r="F179" s="17"/>
      <c r="G179" s="18"/>
      <c r="H179" s="18"/>
    </row>
    <row r="180" spans="1:8" ht="13.2">
      <c r="A180" s="19" t="str">
        <f>HYPERLINK("https://www.hackerrank.com/challenges/rirb","HACKR rirb")</f>
        <v>HACKR rirb</v>
      </c>
      <c r="B180" s="29" t="s">
        <v>6276</v>
      </c>
      <c r="C180" s="17">
        <v>8</v>
      </c>
      <c r="D180" s="18"/>
      <c r="E180" s="17" t="s">
        <v>6275</v>
      </c>
      <c r="F180" s="17"/>
      <c r="G180" s="18"/>
      <c r="H180" s="18"/>
    </row>
    <row r="181" spans="1:8" ht="13.2">
      <c r="A181" s="15" t="s">
        <v>6309</v>
      </c>
      <c r="B181" s="20" t="s">
        <v>6310</v>
      </c>
      <c r="C181" s="21">
        <v>8</v>
      </c>
      <c r="D181" s="18"/>
      <c r="E181" s="17" t="s">
        <v>6311</v>
      </c>
      <c r="F181" s="17"/>
      <c r="G181" s="18"/>
      <c r="H181" s="18"/>
    </row>
    <row r="182" spans="1:8" ht="13.2">
      <c r="A182" s="19" t="str">
        <f>HYPERLINK("http://codeforces.com/contest/487/problem/E","CF487-D1-E")</f>
        <v>CF487-D1-E</v>
      </c>
      <c r="B182" s="15" t="s">
        <v>6312</v>
      </c>
      <c r="C182" s="24">
        <v>8</v>
      </c>
      <c r="D182" s="18"/>
      <c r="E182" s="17" t="s">
        <v>6311</v>
      </c>
      <c r="F182" s="17"/>
      <c r="G182" s="18"/>
      <c r="H182" s="18"/>
    </row>
    <row r="183" spans="1:8" ht="13.2">
      <c r="A183" s="19" t="str">
        <f>HYPERLINK("http://codeforces.com/contest/348/problem/E","CF348-D1-E")</f>
        <v>CF348-D1-E</v>
      </c>
      <c r="B183" s="15" t="s">
        <v>6313</v>
      </c>
      <c r="C183" s="24">
        <v>8</v>
      </c>
      <c r="D183" s="18"/>
      <c r="E183" s="17" t="s">
        <v>6311</v>
      </c>
      <c r="F183" s="17"/>
      <c r="G183" s="18"/>
      <c r="H183" s="18"/>
    </row>
    <row r="184" spans="1:8" ht="13.2">
      <c r="A184" s="19" t="str">
        <f>HYPERLINK("http://www.codechef.com/problems/DGCD","CODECHEF DGCD")</f>
        <v>CODECHEF DGCD</v>
      </c>
      <c r="B184" s="29" t="s">
        <v>6314</v>
      </c>
      <c r="C184" s="40">
        <v>8</v>
      </c>
      <c r="D184" s="18"/>
      <c r="E184" s="17" t="s">
        <v>6311</v>
      </c>
      <c r="F184" s="17"/>
      <c r="G184" s="18"/>
      <c r="H184" s="18"/>
    </row>
    <row r="185" spans="1:8" ht="13.2">
      <c r="A185" s="19" t="str">
        <f>HYPERLINK("https://www.codechef.com/problems/QTREE6","CODECHEF QTREE6")</f>
        <v>CODECHEF QTREE6</v>
      </c>
      <c r="B185" s="29" t="s">
        <v>6315</v>
      </c>
      <c r="C185" s="24">
        <v>8</v>
      </c>
      <c r="D185" s="18"/>
      <c r="E185" s="17" t="s">
        <v>6311</v>
      </c>
      <c r="F185" s="17"/>
      <c r="G185" s="18"/>
      <c r="H185" s="18"/>
    </row>
    <row r="186" spans="1:8" ht="13.2">
      <c r="A186" s="19" t="str">
        <f>HYPERLINK("https://codeforces.com/contest/1017/problem/G","CF1017-D12-G")</f>
        <v>CF1017-D12-G</v>
      </c>
      <c r="B186" s="15" t="s">
        <v>6316</v>
      </c>
      <c r="C186" s="17">
        <v>8</v>
      </c>
      <c r="D186" s="18"/>
      <c r="E186" s="17" t="s">
        <v>6311</v>
      </c>
      <c r="F186" s="17"/>
      <c r="G186" s="18"/>
      <c r="H186" s="18"/>
    </row>
    <row r="187" spans="1:8" ht="13.2">
      <c r="A187" s="19" t="str">
        <f>HYPERLINK("http://codeforces.com/problemset/problem/660/F","CF660-D12-F")</f>
        <v>CF660-D12-F</v>
      </c>
      <c r="B187" s="15" t="s">
        <v>6361</v>
      </c>
      <c r="C187" s="17">
        <v>8</v>
      </c>
      <c r="D187" s="18"/>
      <c r="E187" s="17" t="s">
        <v>6362</v>
      </c>
      <c r="F187" s="17"/>
      <c r="G187" s="18"/>
      <c r="H187" s="18"/>
    </row>
    <row r="188" spans="1:8" ht="13.2">
      <c r="A188" s="19" t="str">
        <f>HYPERLINK("https://www.codechef.com/problems/JUMP","CODECHEF JUMP")</f>
        <v>CODECHEF JUMP</v>
      </c>
      <c r="B188" s="15" t="s">
        <v>6361</v>
      </c>
      <c r="C188" s="24">
        <v>8</v>
      </c>
      <c r="D188" s="18"/>
      <c r="E188" s="17" t="s">
        <v>6362</v>
      </c>
      <c r="F188" s="17"/>
      <c r="G188" s="18"/>
      <c r="H188" s="18"/>
    </row>
    <row r="189" spans="1:8" ht="13.2">
      <c r="A189" s="15" t="s">
        <v>6364</v>
      </c>
      <c r="B189" s="15" t="s">
        <v>6365</v>
      </c>
      <c r="C189" s="17">
        <v>8</v>
      </c>
      <c r="D189" s="18"/>
      <c r="E189" s="17" t="s">
        <v>6362</v>
      </c>
      <c r="F189" s="17"/>
      <c r="G189" s="18"/>
      <c r="H189" s="18"/>
    </row>
    <row r="190" spans="1:8" ht="13.2">
      <c r="A190" s="19" t="str">
        <f>HYPERLINK("https://www.hackerrank.com/challenges/geometry-queries","HACKR geometry-queries")</f>
        <v>HACKR geometry-queries</v>
      </c>
      <c r="B190" s="15" t="s">
        <v>6366</v>
      </c>
      <c r="C190" s="17">
        <v>8</v>
      </c>
      <c r="D190" s="18"/>
      <c r="E190" s="17" t="s">
        <v>6362</v>
      </c>
      <c r="F190" s="17"/>
      <c r="G190" s="18"/>
      <c r="H190" s="18"/>
    </row>
    <row r="191" spans="1:8" ht="13.2">
      <c r="A191" s="19" t="str">
        <f>HYPERLINK("http://codeforces.com/problemset/gymProblem/101055/B","CF101055-GYM-B")</f>
        <v>CF101055-GYM-B</v>
      </c>
      <c r="B191" s="38" t="s">
        <v>1017</v>
      </c>
      <c r="C191" s="17">
        <v>8</v>
      </c>
      <c r="D191" s="18"/>
      <c r="E191" s="17" t="s">
        <v>1018</v>
      </c>
      <c r="F191" s="17"/>
      <c r="G191" s="18"/>
      <c r="H191" s="18"/>
    </row>
    <row r="192" spans="1:8" ht="13.2">
      <c r="A192" s="19" t="str">
        <f>HYPERLINK("http://codeforces.com/contest/220/problem/E","CF220-D1-E")</f>
        <v>CF220-D1-E</v>
      </c>
      <c r="B192" s="29" t="s">
        <v>1027</v>
      </c>
      <c r="C192" s="17">
        <v>8</v>
      </c>
      <c r="D192" s="18"/>
      <c r="E192" s="17" t="s">
        <v>1018</v>
      </c>
      <c r="F192" s="17"/>
      <c r="G192" s="18"/>
      <c r="H192" s="18"/>
    </row>
    <row r="193" spans="1:8" ht="13.2">
      <c r="A193" s="15" t="s">
        <v>1028</v>
      </c>
      <c r="B193" s="28" t="s">
        <v>1029</v>
      </c>
      <c r="C193" s="17">
        <v>8</v>
      </c>
      <c r="D193" s="18"/>
      <c r="E193" s="17" t="s">
        <v>1018</v>
      </c>
      <c r="F193" s="17"/>
      <c r="G193" s="18"/>
      <c r="H193" s="18"/>
    </row>
    <row r="194" spans="1:8" ht="13.2">
      <c r="A194" s="19" t="str">
        <f>HYPERLINK("http://codeforces.com/contest/260/problem/E","CF260-D2-E")</f>
        <v>CF260-D2-E</v>
      </c>
      <c r="B194" s="15" t="s">
        <v>1030</v>
      </c>
      <c r="C194" s="24">
        <v>8</v>
      </c>
      <c r="D194" s="18"/>
      <c r="E194" s="17" t="s">
        <v>1018</v>
      </c>
      <c r="F194" s="17"/>
      <c r="G194" s="18"/>
      <c r="H194" s="18"/>
    </row>
    <row r="195" spans="1:8" ht="13.2">
      <c r="A195" s="19" t="str">
        <f>HYPERLINK("https://www.codechef.com/problems/DISTNUM2","CODECHEF DISTNUM2")</f>
        <v>CODECHEF DISTNUM2</v>
      </c>
      <c r="B195" s="37" t="s">
        <v>1031</v>
      </c>
      <c r="C195" s="24">
        <v>8</v>
      </c>
      <c r="D195" s="18"/>
      <c r="E195" s="17" t="s">
        <v>1018</v>
      </c>
      <c r="F195" s="17"/>
      <c r="G195" s="18"/>
      <c r="H195" s="18"/>
    </row>
    <row r="196" spans="1:8" ht="13.2">
      <c r="A196" s="19" t="str">
        <f>HYPERLINK("https://www.codechef.com/problems/STR_FUNC","CODECHEF STR_FUNC")</f>
        <v>CODECHEF STR_FUNC</v>
      </c>
      <c r="B196" s="15" t="s">
        <v>6440</v>
      </c>
      <c r="C196" s="17">
        <v>8</v>
      </c>
      <c r="D196" s="18"/>
      <c r="E196" s="17" t="s">
        <v>6441</v>
      </c>
      <c r="F196" s="17"/>
      <c r="G196" s="18"/>
      <c r="H196" s="18"/>
    </row>
    <row r="197" spans="1:8" ht="13.2">
      <c r="A197" s="19" t="str">
        <f>HYPERLINK("https://www.codechef.com/problems/TIMETRAV","CODECHEF TIMETRAV")</f>
        <v>CODECHEF TIMETRAV</v>
      </c>
      <c r="B197" s="15" t="s">
        <v>6440</v>
      </c>
      <c r="C197" s="17">
        <v>8</v>
      </c>
      <c r="D197" s="18"/>
      <c r="E197" s="17" t="s">
        <v>6441</v>
      </c>
      <c r="F197" s="17"/>
      <c r="G197" s="18"/>
      <c r="H197" s="18"/>
    </row>
    <row r="198" spans="1:8" ht="13.2">
      <c r="A198" s="19" t="str">
        <f>HYPERLINK("https://icpcarchive.ecs.baylor.edu/index.php?option=com_onlinejudge&amp;Itemid=8&amp;category=635&amp;page=show_problem&amp;problem=4997","LiveArchive 6985")</f>
        <v>LiveArchive 6985</v>
      </c>
      <c r="B198" s="15" t="s">
        <v>6440</v>
      </c>
      <c r="C198" s="17">
        <v>8</v>
      </c>
      <c r="D198" s="18"/>
      <c r="E198" s="17" t="s">
        <v>6441</v>
      </c>
      <c r="F198" s="17"/>
      <c r="G198" s="18"/>
      <c r="H198" s="18"/>
    </row>
    <row r="199" spans="1:8" ht="13.2">
      <c r="A199" s="19" t="str">
        <f>HYPERLINK("https://www.codechef.com/problems/CSS","CODECHEF CSS")</f>
        <v>CODECHEF CSS</v>
      </c>
      <c r="B199" s="15" t="s">
        <v>6442</v>
      </c>
      <c r="C199" s="17">
        <v>8</v>
      </c>
      <c r="D199" s="18"/>
      <c r="E199" s="17" t="s">
        <v>6441</v>
      </c>
      <c r="F199" s="17"/>
      <c r="G199" s="18"/>
      <c r="H199" s="18"/>
    </row>
    <row r="200" spans="1:8" ht="13.2">
      <c r="A200" s="19" t="str">
        <f>HYPERLINK("http://codeforces.com/contest/261/problem/E","CF261-D1-E")</f>
        <v>CF261-D1-E</v>
      </c>
      <c r="B200" s="15" t="s">
        <v>1336</v>
      </c>
      <c r="C200" s="24">
        <v>8</v>
      </c>
      <c r="D200" s="18"/>
      <c r="E200" s="17" t="s">
        <v>1337</v>
      </c>
      <c r="F200" s="17"/>
      <c r="G200" s="18"/>
      <c r="H200" s="18"/>
    </row>
    <row r="201" spans="1:8" ht="13.2">
      <c r="A201" s="19" t="str">
        <f>HYPERLINK("http://codeforces.com/contest/797/problem/F","CF797-D12-F")</f>
        <v>CF797-D12-F</v>
      </c>
      <c r="B201" s="15" t="s">
        <v>1338</v>
      </c>
      <c r="C201" s="17">
        <v>8</v>
      </c>
      <c r="D201" s="26" t="str">
        <f>HYPERLINK("https://github.com/mostafa-saad/MyCompetitiveProgramming/blob/master/Codeforces/CF797-D12-F.txt","Sol")</f>
        <v>Sol</v>
      </c>
      <c r="E201" s="17" t="s">
        <v>1337</v>
      </c>
      <c r="F201" s="17"/>
      <c r="G201" s="18"/>
      <c r="H201" s="18"/>
    </row>
    <row r="202" spans="1:8" ht="13.2">
      <c r="A202" s="19" t="str">
        <f>HYPERLINK("https://uva.onlinejudge.org/index.php?option=com_onlinejudge&amp;Itemid=8&amp;page=show_problem&amp;problem=4159","UVA 1413")</f>
        <v>UVA 1413</v>
      </c>
      <c r="B202" s="30" t="s">
        <v>1690</v>
      </c>
      <c r="C202" s="17">
        <v>8</v>
      </c>
      <c r="D202" s="18"/>
      <c r="E202" s="17" t="s">
        <v>1691</v>
      </c>
      <c r="F202" s="17"/>
      <c r="G202" s="18"/>
      <c r="H202" s="18"/>
    </row>
    <row r="203" spans="1:8" ht="13.2">
      <c r="A203" s="15" t="s">
        <v>335</v>
      </c>
      <c r="B203" s="38" t="s">
        <v>336</v>
      </c>
      <c r="C203" s="17">
        <v>8</v>
      </c>
      <c r="D203" s="18"/>
      <c r="E203" s="17" t="s">
        <v>332</v>
      </c>
      <c r="F203" s="17"/>
      <c r="G203" s="18"/>
      <c r="H203" s="18"/>
    </row>
    <row r="204" spans="1:8" ht="13.2">
      <c r="A204" s="15" t="s">
        <v>337</v>
      </c>
      <c r="B204" s="16" t="s">
        <v>338</v>
      </c>
      <c r="C204" s="17">
        <v>8</v>
      </c>
      <c r="D204" s="18"/>
      <c r="E204" s="17" t="s">
        <v>332</v>
      </c>
      <c r="F204" s="17"/>
      <c r="G204" s="18"/>
      <c r="H204" s="18"/>
    </row>
    <row r="205" spans="1:8" ht="13.2">
      <c r="A205" s="19" t="str">
        <f>HYPERLINK("http://codeforces.com/contest/249/problem/C","CF249-D1-C")</f>
        <v>CF249-D1-C</v>
      </c>
      <c r="B205" s="29" t="s">
        <v>2025</v>
      </c>
      <c r="C205" s="17">
        <v>8</v>
      </c>
      <c r="D205" s="18"/>
      <c r="E205" s="17" t="s">
        <v>2026</v>
      </c>
      <c r="F205" s="17"/>
      <c r="G205" s="18"/>
      <c r="H205" s="18"/>
    </row>
    <row r="206" spans="1:8" ht="13.2">
      <c r="A206" s="19" t="str">
        <f>HYPERLINK("http://codeforces.com/contest/175/problem/D","CF175-D12-D")</f>
        <v>CF175-D12-D</v>
      </c>
      <c r="B206" s="29" t="s">
        <v>2027</v>
      </c>
      <c r="C206" s="17">
        <v>8</v>
      </c>
      <c r="D206" s="18"/>
      <c r="E206" s="17" t="s">
        <v>2026</v>
      </c>
      <c r="F206" s="17"/>
      <c r="G206" s="18"/>
      <c r="H206" s="18"/>
    </row>
    <row r="207" spans="1:8" ht="13.2">
      <c r="A207" s="15" t="s">
        <v>2155</v>
      </c>
      <c r="B207" s="34" t="s">
        <v>2156</v>
      </c>
      <c r="C207" s="33">
        <v>8</v>
      </c>
      <c r="D207" s="18"/>
      <c r="E207" s="17" t="s">
        <v>2153</v>
      </c>
      <c r="F207" s="17"/>
      <c r="G207" s="18"/>
      <c r="H207" s="18"/>
    </row>
    <row r="208" spans="1:8" ht="13.2">
      <c r="A208" s="19" t="str">
        <f>HYPERLINK("https://www.codechef.com/problems/ASTRGAME","CODECHEF ASTRGAME")</f>
        <v>CODECHEF ASTRGAME</v>
      </c>
      <c r="B208" s="28" t="s">
        <v>2468</v>
      </c>
      <c r="C208" s="24">
        <v>8</v>
      </c>
      <c r="D208" s="18"/>
      <c r="E208" s="17" t="s">
        <v>2467</v>
      </c>
      <c r="F208" s="17"/>
      <c r="G208" s="18"/>
      <c r="H208" s="18"/>
    </row>
    <row r="209" spans="1:8" ht="13.2">
      <c r="A209" s="19" t="str">
        <f>HYPERLINK("https://www.codechef.com/problems/BIGPIZA","CODECHEF BIGPIZA")</f>
        <v>CODECHEF BIGPIZA</v>
      </c>
      <c r="B209" s="28" t="s">
        <v>2468</v>
      </c>
      <c r="C209" s="24">
        <v>8</v>
      </c>
      <c r="D209" s="18"/>
      <c r="E209" s="17" t="s">
        <v>2467</v>
      </c>
      <c r="F209" s="17"/>
      <c r="G209" s="18"/>
      <c r="H209" s="18"/>
    </row>
    <row r="210" spans="1:8" ht="13.2">
      <c r="A210" s="19" t="str">
        <f>HYPERLINK("https://www.codechef.com/problems/CHEFBRO","CODECHEF CHEFBRO")</f>
        <v>CODECHEF CHEFBRO</v>
      </c>
      <c r="B210" s="28" t="s">
        <v>2468</v>
      </c>
      <c r="C210" s="24">
        <v>8</v>
      </c>
      <c r="D210" s="18"/>
      <c r="E210" s="17" t="s">
        <v>2467</v>
      </c>
      <c r="F210" s="17"/>
      <c r="G210" s="18"/>
      <c r="H210" s="18"/>
    </row>
    <row r="211" spans="1:8" ht="13.2">
      <c r="A211" s="19" t="str">
        <f>HYPERLINK("https://www.codechef.com/problems/TUZGMBR","CODECHEF TUZGMBR")</f>
        <v>CODECHEF TUZGMBR</v>
      </c>
      <c r="B211" s="28" t="s">
        <v>2468</v>
      </c>
      <c r="C211" s="24">
        <v>8</v>
      </c>
      <c r="D211" s="18"/>
      <c r="E211" s="17" t="s">
        <v>2467</v>
      </c>
      <c r="F211" s="17"/>
      <c r="G211" s="18"/>
      <c r="H211" s="18"/>
    </row>
    <row r="212" spans="1:8" ht="13.2">
      <c r="A212" s="19" t="str">
        <f>HYPERLINK("https://coj.uci.cu/24h/problem.xhtml?pid=1822&amp;lang=en","COJ 1822")</f>
        <v>COJ 1822</v>
      </c>
      <c r="B212" s="28" t="s">
        <v>2471</v>
      </c>
      <c r="C212" s="24">
        <v>8</v>
      </c>
      <c r="D212" s="18"/>
      <c r="E212" s="17" t="s">
        <v>2467</v>
      </c>
      <c r="F212" s="17"/>
      <c r="G212" s="18"/>
      <c r="H212" s="18"/>
    </row>
    <row r="213" spans="1:8" ht="13.2">
      <c r="A213" s="19" t="str">
        <f>HYPERLINK("http://codeforces.com/contest/213/problem/D","CF213-D1-D")</f>
        <v>CF213-D1-D</v>
      </c>
      <c r="B213" s="29" t="s">
        <v>2509</v>
      </c>
      <c r="C213" s="17">
        <v>8</v>
      </c>
      <c r="D213" s="18"/>
      <c r="E213" s="17" t="s">
        <v>2510</v>
      </c>
      <c r="F213" s="17"/>
      <c r="G213" s="18"/>
      <c r="H213" s="18"/>
    </row>
    <row r="214" spans="1:8" ht="13.2">
      <c r="A214" s="15" t="s">
        <v>2523</v>
      </c>
      <c r="B214" s="28" t="s">
        <v>2509</v>
      </c>
      <c r="C214" s="17">
        <v>8</v>
      </c>
      <c r="D214" s="18"/>
      <c r="E214" s="17" t="s">
        <v>2510</v>
      </c>
      <c r="F214" s="17"/>
      <c r="G214" s="18"/>
      <c r="H214" s="18"/>
    </row>
    <row r="215" spans="1:8" ht="13.2">
      <c r="A215" s="15" t="s">
        <v>2524</v>
      </c>
      <c r="B215" s="16" t="s">
        <v>2525</v>
      </c>
      <c r="C215" s="17">
        <v>8</v>
      </c>
      <c r="D215" s="18"/>
      <c r="E215" s="17" t="s">
        <v>2510</v>
      </c>
      <c r="F215" s="17"/>
      <c r="G215" s="18"/>
      <c r="H215" s="18"/>
    </row>
    <row r="216" spans="1:8" ht="13.2">
      <c r="A216" s="19" t="str">
        <f>HYPERLINK("http://codeforces.com/contest/442/problem/E","CF442-D1-E")</f>
        <v>CF442-D1-E</v>
      </c>
      <c r="B216" s="15" t="s">
        <v>2803</v>
      </c>
      <c r="C216" s="17">
        <v>8</v>
      </c>
      <c r="D216" s="18"/>
      <c r="E216" s="17" t="s">
        <v>2798</v>
      </c>
      <c r="F216" s="17"/>
      <c r="G216" s="18"/>
      <c r="H216" s="18"/>
    </row>
    <row r="217" spans="1:8" ht="13.2">
      <c r="A217" s="19" t="str">
        <f>HYPERLINK("https://www.codechef.com/problems/ARMYOFME","CodeChef ARMYOFME")</f>
        <v>CodeChef ARMYOFME</v>
      </c>
      <c r="B217" s="15" t="s">
        <v>576</v>
      </c>
      <c r="C217" s="17">
        <v>8</v>
      </c>
      <c r="D217" s="18"/>
      <c r="E217" s="17" t="s">
        <v>575</v>
      </c>
      <c r="F217" s="17"/>
      <c r="G217" s="18"/>
      <c r="H217" s="18"/>
    </row>
    <row r="218" spans="1:8" ht="13.2">
      <c r="A218" s="15" t="s">
        <v>2955</v>
      </c>
      <c r="B218" s="30" t="s">
        <v>2956</v>
      </c>
      <c r="C218" s="17">
        <v>8</v>
      </c>
      <c r="D218" s="26" t="str">
        <f>HYPERLINK("http://acm.student.cs.uwaterloo.ca/~acm00/080615/data/E.cc","Sol at")</f>
        <v>Sol at</v>
      </c>
      <c r="E218" s="17" t="s">
        <v>2948</v>
      </c>
      <c r="F218" s="17"/>
      <c r="G218" s="18"/>
      <c r="H218" s="18"/>
    </row>
    <row r="219" spans="1:8" ht="13.2">
      <c r="A219" s="15" t="s">
        <v>2957</v>
      </c>
      <c r="B219" s="16" t="s">
        <v>2958</v>
      </c>
      <c r="C219" s="17">
        <v>8</v>
      </c>
      <c r="D219" s="18"/>
      <c r="E219" s="17" t="s">
        <v>2948</v>
      </c>
      <c r="F219" s="17"/>
      <c r="G219" s="18"/>
      <c r="H219" s="18"/>
    </row>
    <row r="220" spans="1:8" ht="13.2">
      <c r="A220" s="19" t="str">
        <f>HYPERLINK("https://www.hackerrank.com/challenges/best-sum","HACKR best-sum")</f>
        <v>HACKR best-sum</v>
      </c>
      <c r="B220" s="29" t="s">
        <v>3066</v>
      </c>
      <c r="C220" s="24">
        <v>8</v>
      </c>
      <c r="D220" s="18"/>
      <c r="E220" s="17" t="s">
        <v>3065</v>
      </c>
      <c r="F220" s="17"/>
      <c r="G220" s="18"/>
      <c r="H220" s="18"/>
    </row>
    <row r="221" spans="1:8" ht="13.2">
      <c r="A221" s="19" t="str">
        <f>HYPERLINK("http://codeforces.com/gym/101982","CF101982-gym-M")</f>
        <v>CF101982-gym-M</v>
      </c>
      <c r="B221" s="15" t="s">
        <v>3067</v>
      </c>
      <c r="C221" s="17">
        <v>8</v>
      </c>
      <c r="D221" s="26" t="str">
        <f>HYPERLINK("http://codeforces.com/blog/entry/63070","Notes")</f>
        <v>Notes</v>
      </c>
      <c r="E221" s="17" t="s">
        <v>3065</v>
      </c>
      <c r="F221" s="17"/>
      <c r="G221" s="18"/>
      <c r="H221" s="18"/>
    </row>
    <row r="222" spans="1:8" ht="13.2">
      <c r="A222" s="15" t="s">
        <v>3068</v>
      </c>
      <c r="B222" s="16" t="s">
        <v>3069</v>
      </c>
      <c r="C222" s="17">
        <v>8</v>
      </c>
      <c r="D222" s="26" t="str">
        <f>HYPERLINK("http://blog.csdn.net/fuxey/article/details/50410233","Web sol")</f>
        <v>Web sol</v>
      </c>
      <c r="E222" s="17" t="s">
        <v>3065</v>
      </c>
      <c r="F222" s="17"/>
      <c r="G222" s="18"/>
      <c r="H222" s="18"/>
    </row>
    <row r="223" spans="1:8" ht="13.2">
      <c r="A223" s="15" t="s">
        <v>3070</v>
      </c>
      <c r="B223" s="30" t="s">
        <v>3071</v>
      </c>
      <c r="C223" s="24">
        <v>8</v>
      </c>
      <c r="D223" s="18"/>
      <c r="E223" s="24" t="s">
        <v>3065</v>
      </c>
      <c r="F223" s="17"/>
      <c r="G223" s="18"/>
      <c r="H223" s="18"/>
    </row>
    <row r="224" spans="1:8" ht="13.2">
      <c r="A224" s="15" t="s">
        <v>3217</v>
      </c>
      <c r="B224" s="28" t="s">
        <v>3218</v>
      </c>
      <c r="C224" s="24">
        <v>8</v>
      </c>
      <c r="D224" s="18"/>
      <c r="E224" s="17" t="s">
        <v>3214</v>
      </c>
      <c r="F224" s="17"/>
      <c r="G224" s="18"/>
      <c r="H224" s="18"/>
    </row>
    <row r="225" spans="1:8" ht="13.2">
      <c r="A225" s="15" t="s">
        <v>3219</v>
      </c>
      <c r="B225" s="39" t="s">
        <v>3220</v>
      </c>
      <c r="C225" s="40">
        <v>8</v>
      </c>
      <c r="D225" s="18"/>
      <c r="E225" s="17" t="s">
        <v>3214</v>
      </c>
      <c r="F225" s="17"/>
      <c r="G225" s="18"/>
      <c r="H225" s="18"/>
    </row>
    <row r="226" spans="1:8" ht="13.2">
      <c r="A226" s="19" t="str">
        <f>HYPERLINK("http://codeforces.com/contest/641/problem/G","CF641-D12-G")</f>
        <v>CF641-D12-G</v>
      </c>
      <c r="B226" s="38" t="s">
        <v>3256</v>
      </c>
      <c r="C226" s="17">
        <v>8</v>
      </c>
      <c r="D226" s="18"/>
      <c r="E226" s="17" t="s">
        <v>3257</v>
      </c>
      <c r="F226" s="17"/>
      <c r="G226" s="18"/>
      <c r="H226" s="18"/>
    </row>
    <row r="227" spans="1:8" ht="13.2">
      <c r="A227" s="19" t="str">
        <f>HYPERLINK("https://csacademy.com/contest/round-21/task/catch-the-thief/    ","CSA21-H")</f>
        <v>CSA21-H</v>
      </c>
      <c r="B227" s="15" t="s">
        <v>3263</v>
      </c>
      <c r="C227" s="17">
        <v>8</v>
      </c>
      <c r="D227" s="18"/>
      <c r="E227" s="17" t="s">
        <v>3257</v>
      </c>
      <c r="F227" s="17"/>
      <c r="G227" s="18"/>
      <c r="H227" s="18"/>
    </row>
    <row r="228" spans="1:8" ht="13.2">
      <c r="A228" s="19" t="str">
        <f>HYPERLINK("http://codeforces.com/contest/724/problem/G","CF724-D12-G")</f>
        <v>CF724-D12-G</v>
      </c>
      <c r="B228" s="15" t="s">
        <v>3264</v>
      </c>
      <c r="C228" s="24">
        <v>8</v>
      </c>
      <c r="D228" s="18"/>
      <c r="E228" s="17" t="s">
        <v>3257</v>
      </c>
      <c r="F228" s="17"/>
      <c r="G228" s="18"/>
      <c r="H228" s="18"/>
    </row>
    <row r="229" spans="1:8" ht="13.2">
      <c r="A229" s="15" t="s">
        <v>3468</v>
      </c>
      <c r="B229" s="30" t="s">
        <v>3469</v>
      </c>
      <c r="C229" s="24">
        <v>8</v>
      </c>
      <c r="D229" s="18"/>
      <c r="E229" s="17" t="s">
        <v>3467</v>
      </c>
      <c r="F229" s="17"/>
      <c r="G229" s="18"/>
      <c r="H229" s="18"/>
    </row>
    <row r="230" spans="1:8" ht="13.2">
      <c r="A230" s="19" t="str">
        <f>HYPERLINK("http://codeforces.com/contest/430/problem/E","CF430-D2-E")</f>
        <v>CF430-D2-E</v>
      </c>
      <c r="B230" s="29" t="s">
        <v>3657</v>
      </c>
      <c r="C230" s="17">
        <v>8</v>
      </c>
      <c r="D230" s="18"/>
      <c r="E230" s="17" t="s">
        <v>3650</v>
      </c>
      <c r="F230" s="17"/>
      <c r="G230" s="18"/>
      <c r="H230" s="18"/>
    </row>
    <row r="231" spans="1:8" ht="13.2">
      <c r="A231" s="19" t="str">
        <f>HYPERLINK("http://codeforces.com/contest/671/problem/D","CF671-D1-D")</f>
        <v>CF671-D1-D</v>
      </c>
      <c r="B231" s="15" t="s">
        <v>3658</v>
      </c>
      <c r="C231" s="24">
        <v>8</v>
      </c>
      <c r="D231" s="18"/>
      <c r="E231" s="17" t="s">
        <v>3650</v>
      </c>
      <c r="F231" s="17"/>
      <c r="G231" s="18"/>
      <c r="H231" s="18"/>
    </row>
    <row r="232" spans="1:8" ht="13.2">
      <c r="A232" s="15" t="s">
        <v>3789</v>
      </c>
      <c r="B232" s="16" t="s">
        <v>3790</v>
      </c>
      <c r="C232" s="17">
        <v>8</v>
      </c>
      <c r="D232" s="18"/>
      <c r="E232" s="17" t="s">
        <v>3784</v>
      </c>
      <c r="F232" s="17"/>
      <c r="G232" s="18"/>
      <c r="H232" s="18"/>
    </row>
    <row r="233" spans="1:8" ht="13.2">
      <c r="A233" s="19" t="str">
        <f>HYPERLINK("http://codeforces.com/contest/36/problem/E","CF36-D12-E")</f>
        <v>CF36-D12-E</v>
      </c>
      <c r="B233" s="29" t="s">
        <v>3885</v>
      </c>
      <c r="C233" s="17">
        <v>8</v>
      </c>
      <c r="D233" s="18"/>
      <c r="E233" s="17" t="s">
        <v>3883</v>
      </c>
      <c r="F233" s="17"/>
      <c r="G233" s="18"/>
      <c r="H233" s="18"/>
    </row>
    <row r="234" spans="1:8" ht="13.2">
      <c r="A234" s="15" t="s">
        <v>3996</v>
      </c>
      <c r="B234" s="41" t="s">
        <v>3997</v>
      </c>
      <c r="C234" s="17">
        <v>8</v>
      </c>
      <c r="D234" s="18"/>
      <c r="E234" s="17" t="s">
        <v>3998</v>
      </c>
      <c r="F234" s="17"/>
      <c r="G234" s="18"/>
      <c r="H234" s="18"/>
    </row>
    <row r="235" spans="1:8" ht="13.2">
      <c r="A235" s="19" t="str">
        <f>HYPERLINK("http://codeforces.com/gym/101606/problem/K","CF101606-GYM-K")</f>
        <v>CF101606-GYM-K</v>
      </c>
      <c r="B235" s="20" t="s">
        <v>4070</v>
      </c>
      <c r="C235" s="21">
        <v>8</v>
      </c>
      <c r="D235" s="26" t="str">
        <f>HYPERLINK("https://github.com/OmarHashim/Competitive-Programming/blob/master/CodeForces/CF101606-GYM-K","Sol")</f>
        <v>Sol</v>
      </c>
      <c r="E235" s="17" t="s">
        <v>4060</v>
      </c>
      <c r="F235" s="17"/>
      <c r="G235" s="18"/>
      <c r="H235" s="18"/>
    </row>
    <row r="236" spans="1:8" ht="13.2">
      <c r="A236" s="19" t="str">
        <f>HYPERLINK("http://codeforces.com/contest/708/problem/D","CF708-D1-D")</f>
        <v>CF708-D1-D</v>
      </c>
      <c r="B236" s="29" t="s">
        <v>4071</v>
      </c>
      <c r="C236" s="17">
        <v>8</v>
      </c>
      <c r="D236" s="26" t="str">
        <f>HYPERLINK("http://codeforces.com/contest/708/submission/35136300","Walid Simplex")</f>
        <v>Walid Simplex</v>
      </c>
      <c r="E236" s="17" t="s">
        <v>4060</v>
      </c>
      <c r="F236" s="17"/>
      <c r="G236" s="18"/>
      <c r="H236" s="18"/>
    </row>
    <row r="237" spans="1:8" ht="13.2">
      <c r="A237" s="15" t="s">
        <v>4072</v>
      </c>
      <c r="B237" s="39" t="s">
        <v>4073</v>
      </c>
      <c r="C237" s="24">
        <v>8</v>
      </c>
      <c r="D237" s="18"/>
      <c r="E237" s="17" t="s">
        <v>4060</v>
      </c>
      <c r="F237" s="17"/>
      <c r="G237" s="18"/>
      <c r="H237" s="18"/>
    </row>
    <row r="238" spans="1:8" ht="13.2">
      <c r="A238" s="19" t="str">
        <f>HYPERLINK("http://codeforces.com/contest/78/problem/E","CF78-D2-E")</f>
        <v>CF78-D2-E</v>
      </c>
      <c r="B238" s="29" t="s">
        <v>4149</v>
      </c>
      <c r="C238" s="17">
        <v>8</v>
      </c>
      <c r="D238" s="18"/>
      <c r="E238" s="17" t="s">
        <v>4144</v>
      </c>
      <c r="F238" s="17"/>
      <c r="G238" s="18"/>
      <c r="H238" s="18"/>
    </row>
    <row r="239" spans="1:8" ht="13.2">
      <c r="A239" s="15" t="s">
        <v>4150</v>
      </c>
      <c r="B239" s="16" t="s">
        <v>4149</v>
      </c>
      <c r="C239" s="17">
        <v>8</v>
      </c>
      <c r="D239" s="18"/>
      <c r="E239" s="17" t="s">
        <v>4144</v>
      </c>
      <c r="F239" s="17"/>
      <c r="G239" s="18"/>
      <c r="H239" s="18"/>
    </row>
    <row r="240" spans="1:8" ht="13.2">
      <c r="A240" s="19" t="str">
        <f>HYPERLINK("https://community.topcoder.com/stat?c=problem_statement&amp;pm=1931&amp;rd=4709","TC(RookAttack)")</f>
        <v>TC(RookAttack)</v>
      </c>
      <c r="B240" s="28" t="s">
        <v>4149</v>
      </c>
      <c r="C240" s="24">
        <v>8</v>
      </c>
      <c r="D240" s="18"/>
      <c r="E240" s="24" t="s">
        <v>4144</v>
      </c>
      <c r="F240" s="17"/>
      <c r="G240" s="18"/>
      <c r="H240" s="18"/>
    </row>
    <row r="241" spans="1:8" ht="13.2">
      <c r="A241" s="19" t="str">
        <f>HYPERLINK("http://codeforces.com/contest/499/problem/E","CF499-D2-E")</f>
        <v>CF499-D2-E</v>
      </c>
      <c r="B241" s="29" t="s">
        <v>4151</v>
      </c>
      <c r="C241" s="24">
        <v>8</v>
      </c>
      <c r="D241" s="18"/>
      <c r="E241" s="17" t="s">
        <v>4144</v>
      </c>
      <c r="F241" s="17"/>
      <c r="G241" s="18"/>
      <c r="H241" s="18"/>
    </row>
    <row r="242" spans="1:8" ht="13.2">
      <c r="A242" s="19" t="str">
        <f>HYPERLINK("https://www.codechef.com/problems/TWOCOMP","CODECHEF TWOCOMP")</f>
        <v>CODECHEF TWOCOMP</v>
      </c>
      <c r="B242" s="18" t="s">
        <v>4152</v>
      </c>
      <c r="C242" s="17">
        <v>8</v>
      </c>
      <c r="D242" s="18"/>
      <c r="E242" s="17" t="s">
        <v>4144</v>
      </c>
      <c r="F242" s="17"/>
      <c r="G242" s="18"/>
      <c r="H242" s="18"/>
    </row>
    <row r="243" spans="1:8" ht="13.2">
      <c r="A243" s="15" t="s">
        <v>4236</v>
      </c>
      <c r="B243" s="30" t="s">
        <v>4237</v>
      </c>
      <c r="C243" s="17">
        <v>8</v>
      </c>
      <c r="D243" s="18"/>
      <c r="E243" s="17" t="s">
        <v>4238</v>
      </c>
      <c r="F243" s="17"/>
      <c r="G243" s="18"/>
      <c r="H243" s="18"/>
    </row>
    <row r="244" spans="1:8" ht="13.2">
      <c r="A244" s="15" t="s">
        <v>4239</v>
      </c>
      <c r="B244" s="18" t="s">
        <v>4240</v>
      </c>
      <c r="C244" s="17">
        <v>8</v>
      </c>
      <c r="D244" s="18"/>
      <c r="E244" s="17" t="s">
        <v>4238</v>
      </c>
      <c r="F244" s="17"/>
      <c r="G244" s="18"/>
      <c r="H244" s="18"/>
    </row>
    <row r="245" spans="1:8" ht="13.2">
      <c r="A245" s="15" t="s">
        <v>717</v>
      </c>
      <c r="B245" s="28" t="s">
        <v>718</v>
      </c>
      <c r="C245" s="24">
        <v>8</v>
      </c>
      <c r="D245" s="18"/>
      <c r="E245" s="17" t="s">
        <v>719</v>
      </c>
      <c r="F245" s="17"/>
      <c r="G245" s="18"/>
      <c r="H245" s="18"/>
    </row>
    <row r="246" spans="1:8" ht="13.2">
      <c r="A246" s="19" t="str">
        <f>HYPERLINK("http://codeforces.com/contest/240/problem/E","CF240-D1-E")</f>
        <v>CF240-D1-E</v>
      </c>
      <c r="B246" s="15" t="s">
        <v>4276</v>
      </c>
      <c r="C246" s="24">
        <v>8</v>
      </c>
      <c r="D246" s="26" t="str">
        <f>HYPERLINK("https://codeforces.com/blog/entry/5531?#comment-108144","One way to solve")</f>
        <v>One way to solve</v>
      </c>
      <c r="E246" s="17" t="s">
        <v>4275</v>
      </c>
      <c r="F246" s="17"/>
      <c r="G246" s="18"/>
      <c r="H246" s="18"/>
    </row>
    <row r="247" spans="1:8" ht="13.2">
      <c r="A247" s="15" t="s">
        <v>4502</v>
      </c>
      <c r="B247" s="30" t="s">
        <v>4503</v>
      </c>
      <c r="C247" s="17">
        <v>8</v>
      </c>
      <c r="D247" s="18"/>
      <c r="E247" s="17" t="s">
        <v>4504</v>
      </c>
      <c r="F247" s="17"/>
      <c r="G247" s="18"/>
      <c r="H247" s="18"/>
    </row>
    <row r="248" spans="1:8" ht="13.2">
      <c r="A248" s="15" t="s">
        <v>4513</v>
      </c>
      <c r="B248" s="43" t="s">
        <v>4514</v>
      </c>
      <c r="C248" s="24">
        <v>8</v>
      </c>
      <c r="D248" s="18"/>
      <c r="E248" s="17" t="s">
        <v>4512</v>
      </c>
      <c r="F248" s="17"/>
      <c r="G248" s="18"/>
      <c r="H248" s="18"/>
    </row>
    <row r="249" spans="1:8" ht="13.2">
      <c r="A249" s="19" t="str">
        <f>HYPERLINK("http://codeforces.com/contest/548/problem/C","CF548-D2-C")</f>
        <v>CF548-D2-C</v>
      </c>
      <c r="B249" s="29" t="s">
        <v>4530</v>
      </c>
      <c r="C249" s="17">
        <v>8</v>
      </c>
      <c r="D249" s="18"/>
      <c r="E249" s="17" t="s">
        <v>4531</v>
      </c>
      <c r="F249" s="17"/>
      <c r="G249" s="18"/>
      <c r="H249" s="18"/>
    </row>
    <row r="250" spans="1:8" ht="13.2">
      <c r="A250" s="19" t="str">
        <f>HYPERLINK("http://codeforces.com/contest/360/problem/D","CF360-D1-D")</f>
        <v>CF360-D1-D</v>
      </c>
      <c r="B250" s="15" t="s">
        <v>4539</v>
      </c>
      <c r="C250" s="24">
        <v>8</v>
      </c>
      <c r="D250" s="18"/>
      <c r="E250" s="17" t="s">
        <v>4531</v>
      </c>
      <c r="F250" s="17"/>
      <c r="G250" s="18"/>
      <c r="H250" s="18"/>
    </row>
    <row r="251" spans="1:8" ht="13.2">
      <c r="A251" s="15" t="s">
        <v>4540</v>
      </c>
      <c r="B251" s="34" t="s">
        <v>4541</v>
      </c>
      <c r="C251" s="31">
        <v>8</v>
      </c>
      <c r="D251" s="18"/>
      <c r="E251" s="17" t="s">
        <v>4531</v>
      </c>
      <c r="F251" s="17"/>
      <c r="G251" s="18"/>
      <c r="H251" s="18"/>
    </row>
    <row r="252" spans="1:8" ht="13.2">
      <c r="A252" s="15" t="s">
        <v>743</v>
      </c>
      <c r="B252" s="18" t="s">
        <v>740</v>
      </c>
      <c r="C252" s="17">
        <v>8</v>
      </c>
      <c r="D252" s="18"/>
      <c r="E252" s="17" t="s">
        <v>741</v>
      </c>
      <c r="F252" s="17"/>
      <c r="G252" s="18"/>
      <c r="H252" s="18"/>
    </row>
    <row r="253" spans="1:8" ht="13.2">
      <c r="A253" s="15" t="s">
        <v>744</v>
      </c>
      <c r="B253" s="18" t="s">
        <v>745</v>
      </c>
      <c r="C253" s="17">
        <v>8</v>
      </c>
      <c r="D253" s="18"/>
      <c r="E253" s="17" t="s">
        <v>741</v>
      </c>
      <c r="F253" s="17"/>
      <c r="G253" s="18"/>
      <c r="H253" s="18"/>
    </row>
    <row r="254" spans="1:8" ht="13.2">
      <c r="A254" s="19" t="str">
        <f>HYPERLINK("http://codeforces.com/contest/415/problem/E","CF415-D2-E")</f>
        <v>CF415-D2-E</v>
      </c>
      <c r="B254" s="29" t="s">
        <v>746</v>
      </c>
      <c r="C254" s="17">
        <v>8</v>
      </c>
      <c r="D254" s="18"/>
      <c r="E254" s="17" t="s">
        <v>741</v>
      </c>
      <c r="F254" s="17"/>
      <c r="G254" s="18"/>
      <c r="H254" s="18"/>
    </row>
    <row r="255" spans="1:8" ht="13.2">
      <c r="A255" s="19" t="str">
        <f>HYPERLINK("http://codeforces.com/contest/114/problem/E","CF114-D2-E")</f>
        <v>CF114-D2-E</v>
      </c>
      <c r="B255" s="29" t="s">
        <v>4808</v>
      </c>
      <c r="C255" s="24">
        <v>8</v>
      </c>
      <c r="D255" s="18"/>
      <c r="E255" s="24" t="s">
        <v>4809</v>
      </c>
      <c r="F255" s="17"/>
      <c r="G255" s="18"/>
      <c r="H255" s="18"/>
    </row>
    <row r="256" spans="1:8" ht="13.2">
      <c r="A256" s="19" t="str">
        <f>HYPERLINK("http://codeforces.com/contest/586/problem/E","CF586-D2-E")</f>
        <v>CF586-D2-E</v>
      </c>
      <c r="B256" s="29" t="s">
        <v>4808</v>
      </c>
      <c r="C256" s="17">
        <v>8</v>
      </c>
      <c r="D256" s="18"/>
      <c r="E256" s="17" t="s">
        <v>4809</v>
      </c>
      <c r="F256" s="17"/>
      <c r="G256" s="18"/>
      <c r="H256" s="18"/>
    </row>
    <row r="257" spans="1:8" ht="13.2">
      <c r="A257" s="15" t="s">
        <v>4891</v>
      </c>
      <c r="B257" s="28" t="s">
        <v>4892</v>
      </c>
      <c r="C257" s="24">
        <v>8</v>
      </c>
      <c r="D257" s="18"/>
      <c r="E257" s="17" t="s">
        <v>4893</v>
      </c>
      <c r="F257" s="17"/>
      <c r="G257" s="18"/>
      <c r="H257" s="18"/>
    </row>
    <row r="258" spans="1:8" ht="13.2">
      <c r="A258" s="19" t="str">
        <f>HYPERLINK("http://codeforces.com/contest/224/problem/E","CF224-D2-E")</f>
        <v>CF224-D2-E</v>
      </c>
      <c r="B258" s="29" t="s">
        <v>4964</v>
      </c>
      <c r="C258" s="24">
        <v>8</v>
      </c>
      <c r="D258" s="18"/>
      <c r="E258" s="17" t="s">
        <v>4958</v>
      </c>
      <c r="F258" s="17"/>
      <c r="G258" s="18"/>
      <c r="H258" s="18"/>
    </row>
    <row r="259" spans="1:8" ht="13.2">
      <c r="A259" s="15" t="s">
        <v>5041</v>
      </c>
      <c r="B259" s="28" t="s">
        <v>5042</v>
      </c>
      <c r="C259" s="24">
        <v>8</v>
      </c>
      <c r="D259" s="18"/>
      <c r="E259" s="17" t="s">
        <v>5043</v>
      </c>
      <c r="F259" s="17"/>
      <c r="G259" s="18"/>
      <c r="H259" s="18"/>
    </row>
    <row r="260" spans="1:8" ht="13.2">
      <c r="A260" s="15" t="s">
        <v>5073</v>
      </c>
      <c r="B260" s="30" t="s">
        <v>5074</v>
      </c>
      <c r="C260" s="17">
        <v>8</v>
      </c>
      <c r="D260" s="18"/>
      <c r="E260" s="17" t="s">
        <v>5075</v>
      </c>
      <c r="F260" s="17"/>
      <c r="G260" s="18"/>
      <c r="H260" s="18"/>
    </row>
    <row r="261" spans="1:8" ht="13.2">
      <c r="A261" s="15" t="s">
        <v>5247</v>
      </c>
      <c r="B261" s="28" t="s">
        <v>5248</v>
      </c>
      <c r="C261" s="17">
        <v>8</v>
      </c>
      <c r="D261" s="18"/>
      <c r="E261" s="17" t="s">
        <v>5246</v>
      </c>
      <c r="F261" s="17"/>
      <c r="G261" s="18"/>
      <c r="H261" s="18"/>
    </row>
    <row r="262" spans="1:8" ht="13.2">
      <c r="A262" s="19" t="str">
        <f>HYPERLINK("http://codeforces.com/contest/121/problem/D","CF121-D1-D")</f>
        <v>CF121-D1-D</v>
      </c>
      <c r="B262" s="29" t="s">
        <v>806</v>
      </c>
      <c r="C262" s="17">
        <v>8</v>
      </c>
      <c r="D262" s="18"/>
      <c r="E262" s="17" t="s">
        <v>805</v>
      </c>
      <c r="F262" s="17"/>
      <c r="G262" s="18"/>
      <c r="H262" s="18"/>
    </row>
    <row r="263" spans="1:8" ht="13.2">
      <c r="A263" s="15" t="s">
        <v>5313</v>
      </c>
      <c r="B263" s="29" t="s">
        <v>5314</v>
      </c>
      <c r="C263" s="17">
        <v>8</v>
      </c>
      <c r="D263" s="18"/>
      <c r="E263" s="17" t="s">
        <v>5310</v>
      </c>
      <c r="F263" s="17"/>
      <c r="G263" s="18"/>
      <c r="H263" s="18"/>
    </row>
    <row r="264" spans="1:8" ht="13.2">
      <c r="A264" s="19" t="str">
        <f>HYPERLINK("http://codeforces.com/contest/113/problem/D","CF113-D1-D")</f>
        <v>CF113-D1-D</v>
      </c>
      <c r="B264" s="29" t="s">
        <v>5315</v>
      </c>
      <c r="C264" s="17">
        <v>8</v>
      </c>
      <c r="D264" s="18"/>
      <c r="E264" s="17" t="s">
        <v>5310</v>
      </c>
      <c r="F264" s="17"/>
      <c r="G264" s="18"/>
      <c r="H264" s="18"/>
    </row>
    <row r="265" spans="1:8" ht="13.2">
      <c r="A265" s="15" t="s">
        <v>5348</v>
      </c>
      <c r="B265" s="16" t="s">
        <v>5349</v>
      </c>
      <c r="C265" s="17">
        <v>8</v>
      </c>
      <c r="D265" s="18"/>
      <c r="E265" s="17" t="s">
        <v>5346</v>
      </c>
      <c r="F265" s="17"/>
      <c r="G265" s="18"/>
      <c r="H265" s="18"/>
    </row>
    <row r="266" spans="1:8" ht="13.2">
      <c r="A266" s="15" t="s">
        <v>5350</v>
      </c>
      <c r="B266" s="34" t="s">
        <v>5349</v>
      </c>
      <c r="C266" s="33">
        <v>8</v>
      </c>
      <c r="D266" s="18"/>
      <c r="E266" s="17" t="s">
        <v>5346</v>
      </c>
      <c r="F266" s="17"/>
      <c r="G266" s="18"/>
      <c r="H266" s="18"/>
    </row>
    <row r="267" spans="1:8" ht="13.2">
      <c r="A267" s="15" t="s">
        <v>5351</v>
      </c>
      <c r="B267" s="18" t="s">
        <v>5352</v>
      </c>
      <c r="C267" s="17">
        <v>8</v>
      </c>
      <c r="D267" s="18"/>
      <c r="E267" s="17" t="s">
        <v>5346</v>
      </c>
      <c r="F267" s="17"/>
      <c r="G267" s="18"/>
      <c r="H267" s="18"/>
    </row>
    <row r="268" spans="1:8" ht="13.2">
      <c r="A268" s="15" t="s">
        <v>5528</v>
      </c>
      <c r="B268" s="15" t="s">
        <v>5529</v>
      </c>
      <c r="C268" s="17">
        <v>8</v>
      </c>
      <c r="D268" s="18"/>
      <c r="E268" s="17" t="s">
        <v>5524</v>
      </c>
      <c r="F268" s="17"/>
      <c r="G268" s="18"/>
      <c r="H268" s="18"/>
    </row>
    <row r="269" spans="1:8" ht="13.2">
      <c r="A269" s="15" t="s">
        <v>5573</v>
      </c>
      <c r="B269" s="43" t="s">
        <v>5574</v>
      </c>
      <c r="C269" s="24">
        <v>8</v>
      </c>
      <c r="D269" s="18"/>
      <c r="E269" s="17" t="s">
        <v>5575</v>
      </c>
      <c r="F269" s="17"/>
      <c r="G269" s="18"/>
      <c r="H269" s="18"/>
    </row>
    <row r="270" spans="1:8" ht="13.2">
      <c r="A270" s="15" t="s">
        <v>5614</v>
      </c>
      <c r="B270" s="15" t="s">
        <v>5615</v>
      </c>
      <c r="C270" s="17">
        <v>8</v>
      </c>
      <c r="D270" s="26" t="str">
        <f>HYPERLINK("https://www.quora.com/How-do-I-solve-the-SPOJ-question-GCDEX2-GCD-extremely-hard","Sol")</f>
        <v>Sol</v>
      </c>
      <c r="E270" s="17" t="s">
        <v>5616</v>
      </c>
      <c r="F270" s="17"/>
      <c r="G270" s="18"/>
      <c r="H270" s="18"/>
    </row>
    <row r="271" spans="1:8" ht="13.2">
      <c r="A271" s="15" t="s">
        <v>5627</v>
      </c>
      <c r="B271" s="16" t="s">
        <v>5628</v>
      </c>
      <c r="C271" s="17">
        <v>8</v>
      </c>
      <c r="D271" s="18"/>
      <c r="E271" s="17" t="s">
        <v>5626</v>
      </c>
      <c r="F271" s="17"/>
      <c r="G271" s="18"/>
      <c r="H271" s="18"/>
    </row>
    <row r="272" spans="1:8" ht="13.2">
      <c r="A272" s="19" t="str">
        <f>HYPERLINK("https://www.codechef.com/problems/RIN","CODECHEF RIN")</f>
        <v>CODECHEF RIN</v>
      </c>
      <c r="B272" s="18" t="s">
        <v>6249</v>
      </c>
      <c r="C272" s="17">
        <v>7.75</v>
      </c>
      <c r="D272" s="18"/>
      <c r="E272" s="17" t="s">
        <v>6246</v>
      </c>
      <c r="F272" s="17" t="s">
        <v>173</v>
      </c>
      <c r="G272" s="18"/>
      <c r="H272" s="18"/>
    </row>
    <row r="273" spans="1:8" ht="13.2">
      <c r="A273" s="19" t="str">
        <f>HYPERLINK("https://www.codechef.com/problems/SAFPAR", "CODECHEF SAFPAR")</f>
        <v>CODECHEF SAFPAR</v>
      </c>
      <c r="B273" s="20" t="s">
        <v>1339</v>
      </c>
      <c r="C273" s="21">
        <v>7.75</v>
      </c>
      <c r="D273" s="26" t="str">
        <f>HYPERLINK("https://github.com/tmwilliamlin168/CompetitiveProgramming/blob/master/CodeChef/SAFPAR.cpp","Sol")</f>
        <v>Sol</v>
      </c>
      <c r="E273" s="17" t="s">
        <v>1337</v>
      </c>
      <c r="F273" s="17" t="s">
        <v>173</v>
      </c>
      <c r="G273" s="18"/>
      <c r="H273" s="18"/>
    </row>
    <row r="274" spans="1:8" ht="13.2">
      <c r="A274" s="19" t="str">
        <f>HYPERLINK("http://codeforces.com/problemset/problem/1037/G", "CF1037-D12-G")</f>
        <v>CF1037-D12-G</v>
      </c>
      <c r="B274" s="20" t="s">
        <v>2472</v>
      </c>
      <c r="C274" s="21">
        <v>7.75</v>
      </c>
      <c r="D274" s="26" t="str">
        <f>HYPERLINK("https://github.com/tmwilliamlin168/CompetitiveProgramming/blob/master/CodeForces/CF1037-D12-G.cpp", "Sol")</f>
        <v>Sol</v>
      </c>
      <c r="E274" s="17" t="s">
        <v>2467</v>
      </c>
      <c r="F274" s="17" t="s">
        <v>173</v>
      </c>
      <c r="G274" s="18"/>
      <c r="H274" s="18"/>
    </row>
    <row r="275" spans="1:8" ht="13.2">
      <c r="A275" s="15" t="s">
        <v>4515</v>
      </c>
      <c r="B275" s="16" t="s">
        <v>4516</v>
      </c>
      <c r="C275" s="17">
        <v>7.75</v>
      </c>
      <c r="D275" s="18"/>
      <c r="E275" s="17" t="s">
        <v>4512</v>
      </c>
      <c r="F275" s="17" t="s">
        <v>173</v>
      </c>
      <c r="G275" s="18"/>
      <c r="H275" s="18"/>
    </row>
    <row r="276" spans="1:8" ht="13.2">
      <c r="A276" s="19" t="str">
        <f>HYPERLINK("https://codeforces.com/problemset/problem/1179/E", "CF1179-D1-E")</f>
        <v>CF1179-D1-E</v>
      </c>
      <c r="B276" s="23" t="s">
        <v>153</v>
      </c>
      <c r="C276" s="24">
        <v>7.75</v>
      </c>
      <c r="D276" s="18"/>
      <c r="E276" s="25" t="s">
        <v>125</v>
      </c>
      <c r="F276" s="17" t="s">
        <v>154</v>
      </c>
      <c r="G276" s="18"/>
      <c r="H276" s="18"/>
    </row>
    <row r="277" spans="1:8" ht="13.2">
      <c r="A277" s="19" t="str">
        <f>HYPERLINK("http://codeforces.com/contest/360/problem/E","CF360-D1-E")</f>
        <v>CF360-D1-E</v>
      </c>
      <c r="B277" s="15" t="s">
        <v>3791</v>
      </c>
      <c r="C277" s="24">
        <v>7.75</v>
      </c>
      <c r="D277" s="18" t="s">
        <v>3792</v>
      </c>
      <c r="E277" s="17" t="s">
        <v>3784</v>
      </c>
      <c r="F277" s="17" t="s">
        <v>154</v>
      </c>
      <c r="G277" s="18"/>
      <c r="H277" s="18"/>
    </row>
    <row r="278" spans="1:8" ht="13.2">
      <c r="A278" s="19" t="str">
        <f>HYPERLINK("http://codeforces.com/contest/283/problem/E","CF283-D1-E")</f>
        <v>CF283-D1-E</v>
      </c>
      <c r="B278" s="15" t="s">
        <v>1032</v>
      </c>
      <c r="C278" s="24">
        <v>7.75</v>
      </c>
      <c r="D278" s="18"/>
      <c r="E278" s="17" t="s">
        <v>1018</v>
      </c>
      <c r="F278" s="17" t="s">
        <v>139</v>
      </c>
      <c r="G278" s="18"/>
      <c r="H278" s="18"/>
    </row>
    <row r="279" spans="1:8" ht="13.2">
      <c r="A279" s="19" t="str">
        <f>HYPERLINK("https://codeforces.com/contest/1172/problem/F", "CF1172-D1-F")</f>
        <v>CF1172-D1-F</v>
      </c>
      <c r="B279" s="15" t="s">
        <v>1033</v>
      </c>
      <c r="C279" s="17">
        <v>7.75</v>
      </c>
      <c r="D279" s="18"/>
      <c r="E279" s="17" t="s">
        <v>1018</v>
      </c>
      <c r="F279" s="17" t="s">
        <v>139</v>
      </c>
      <c r="G279" s="18"/>
      <c r="H279" s="18"/>
    </row>
    <row r="280" spans="1:8" ht="13.2">
      <c r="A280" s="19" t="str">
        <f>HYPERLINK("https://agc005.contest.atcoder.jp/tasks/agc005_e","AtCoder005-AGC-E")</f>
        <v>AtCoder005-AGC-E</v>
      </c>
      <c r="B280" s="15" t="s">
        <v>2393</v>
      </c>
      <c r="C280" s="17">
        <v>7.75</v>
      </c>
      <c r="D280" s="18"/>
      <c r="E280" s="17" t="s">
        <v>2394</v>
      </c>
      <c r="F280" s="17" t="s">
        <v>139</v>
      </c>
      <c r="G280" s="18"/>
      <c r="H280" s="18"/>
    </row>
    <row r="281" spans="1:8" ht="13.2">
      <c r="A281" s="19" t="str">
        <f>HYPERLINK("http://codeforces.com/contest/513/problem/F2","CF513-D12-F2")</f>
        <v>CF513-D12-F2</v>
      </c>
      <c r="B281" s="15" t="s">
        <v>4059</v>
      </c>
      <c r="C281" s="24">
        <v>7.75</v>
      </c>
      <c r="D281" s="18"/>
      <c r="E281" s="17" t="s">
        <v>4060</v>
      </c>
      <c r="F281" s="17" t="s">
        <v>139</v>
      </c>
      <c r="G281" s="18"/>
      <c r="H281" s="18"/>
    </row>
    <row r="282" spans="1:8" ht="13.2">
      <c r="A282" s="15" t="s">
        <v>747</v>
      </c>
      <c r="B282" s="16" t="s">
        <v>748</v>
      </c>
      <c r="C282" s="17">
        <v>7.75</v>
      </c>
      <c r="D282" s="18"/>
      <c r="E282" s="17" t="s">
        <v>741</v>
      </c>
      <c r="F282" s="17" t="s">
        <v>139</v>
      </c>
      <c r="G282" s="18"/>
      <c r="H282" s="18"/>
    </row>
    <row r="283" spans="1:8" ht="13.2">
      <c r="A283" s="19" t="str">
        <f>HYPERLINK("https://codeforces.com/contest/1205/problem/E", "CF1205-D1-E")</f>
        <v>CF1205-D1-E</v>
      </c>
      <c r="B283" s="20" t="s">
        <v>4964</v>
      </c>
      <c r="C283" s="21">
        <v>7.75</v>
      </c>
      <c r="D283" s="18"/>
      <c r="E283" s="17" t="s">
        <v>4958</v>
      </c>
      <c r="F283" s="17" t="s">
        <v>139</v>
      </c>
      <c r="G283" s="18"/>
      <c r="H283" s="18"/>
    </row>
    <row r="284" spans="1:8" ht="13.2">
      <c r="A284" s="19" t="str">
        <f>HYPERLINK("https://codeforces.com/contest/1208/problem/G", "CF1208-D12-G")</f>
        <v>CF1208-D12-G</v>
      </c>
      <c r="B284" s="15" t="s">
        <v>5576</v>
      </c>
      <c r="C284" s="17">
        <v>7.75</v>
      </c>
      <c r="D284" s="18"/>
      <c r="E284" s="17" t="s">
        <v>5575</v>
      </c>
      <c r="F284" s="17" t="s">
        <v>139</v>
      </c>
      <c r="G284" s="18"/>
      <c r="H284" s="18"/>
    </row>
    <row r="285" spans="1:8" ht="13.2">
      <c r="A285" s="19" t="str">
        <f>HYPERLINK("https://csacademy.com/contest/round-58/task/binary-swaps/statement/    ","CSA58-G")</f>
        <v>CSA58-G</v>
      </c>
      <c r="B285" s="15" t="s">
        <v>124</v>
      </c>
      <c r="C285" s="17">
        <v>7.75</v>
      </c>
      <c r="D285" s="18"/>
      <c r="E285" s="17" t="s">
        <v>125</v>
      </c>
      <c r="F285" s="17"/>
      <c r="G285" s="18"/>
      <c r="H285" s="18"/>
    </row>
    <row r="286" spans="1:8" ht="13.2">
      <c r="A286" s="19" t="str">
        <f>HYPERLINK("http://codeforces.com/contest/253/problem/E","CF253-D2-E")</f>
        <v>CF253-D2-E</v>
      </c>
      <c r="B286" s="29" t="s">
        <v>5957</v>
      </c>
      <c r="C286" s="17">
        <v>7.75</v>
      </c>
      <c r="D286" s="18"/>
      <c r="E286" s="17" t="s">
        <v>5958</v>
      </c>
      <c r="F286" s="17"/>
      <c r="G286" s="18"/>
      <c r="H286" s="18"/>
    </row>
    <row r="287" spans="1:8" ht="13.2">
      <c r="A287" s="19" t="str">
        <f>HYPERLINK("http://codeforces.com/contest/529/problem/C","CF529-D1-C")</f>
        <v>CF529-D1-C</v>
      </c>
      <c r="B287" s="29" t="s">
        <v>1017</v>
      </c>
      <c r="C287" s="17">
        <v>7.75</v>
      </c>
      <c r="D287" s="18"/>
      <c r="E287" s="17" t="s">
        <v>1018</v>
      </c>
      <c r="F287" s="17"/>
      <c r="G287" s="18"/>
      <c r="H287" s="18"/>
    </row>
    <row r="288" spans="1:8" ht="13.2">
      <c r="A288" s="15" t="s">
        <v>1340</v>
      </c>
      <c r="B288" s="30" t="s">
        <v>1341</v>
      </c>
      <c r="C288" s="40">
        <v>7.75</v>
      </c>
      <c r="D288" s="18"/>
      <c r="E288" s="17" t="s">
        <v>1337</v>
      </c>
      <c r="F288" s="17"/>
      <c r="G288" s="18"/>
      <c r="H288" s="18"/>
    </row>
    <row r="289" spans="1:8" ht="13.2">
      <c r="A289" s="15" t="s">
        <v>339</v>
      </c>
      <c r="B289" s="34" t="s">
        <v>340</v>
      </c>
      <c r="C289" s="17">
        <v>7.75</v>
      </c>
      <c r="D289" s="26" t="str">
        <f>HYPERLINK("https://github.com/HeartBlue/CompetitiveProgramming/blob/master/Topcoder/SRM500-D1-500%20FractalPicture.cpp","SolToMe")</f>
        <v>SolToMe</v>
      </c>
      <c r="E289" s="17" t="s">
        <v>332</v>
      </c>
      <c r="F289" s="17"/>
      <c r="G289" s="18"/>
      <c r="H289" s="18"/>
    </row>
    <row r="290" spans="1:8" ht="13.2">
      <c r="A290" s="19" t="str">
        <f>HYPERLINK("http://codeforces.com/contest/97/problem/A","CF97-D12-A")</f>
        <v>CF97-D12-A</v>
      </c>
      <c r="B290" s="29" t="s">
        <v>341</v>
      </c>
      <c r="C290" s="17">
        <v>7.75</v>
      </c>
      <c r="D290" s="18"/>
      <c r="E290" s="17" t="s">
        <v>332</v>
      </c>
      <c r="F290" s="17"/>
      <c r="G290" s="18"/>
      <c r="H290" s="18"/>
    </row>
    <row r="291" spans="1:8" ht="13.2">
      <c r="A291" s="19" t="str">
        <f>HYPERLINK("http://codeforces.com/contest/249/problem/B","CF249-D1-B")</f>
        <v>CF249-D1-B</v>
      </c>
      <c r="B291" s="29" t="s">
        <v>2157</v>
      </c>
      <c r="C291" s="17">
        <v>7.75</v>
      </c>
      <c r="D291" s="18"/>
      <c r="E291" s="17" t="s">
        <v>2153</v>
      </c>
      <c r="F291" s="17"/>
      <c r="G291" s="18"/>
      <c r="H291" s="18"/>
    </row>
    <row r="292" spans="1:8" ht="13.2">
      <c r="A292" s="19" t="str">
        <f>HYPERLINK("http://codeforces.com/contest/46/problem/G","CF46-D12-G")</f>
        <v>CF46-D12-G</v>
      </c>
      <c r="B292" s="29" t="s">
        <v>2509</v>
      </c>
      <c r="C292" s="17">
        <v>7.75</v>
      </c>
      <c r="D292" s="18"/>
      <c r="E292" s="17" t="s">
        <v>2510</v>
      </c>
      <c r="F292" s="17"/>
      <c r="G292" s="18"/>
      <c r="H292" s="18"/>
    </row>
    <row r="293" spans="1:8" ht="13.2">
      <c r="A293" s="19" t="str">
        <f>HYPERLINK("http://codeforces.com/contest/67/problem/E","CF67-D12-E")</f>
        <v>CF67-D12-E</v>
      </c>
      <c r="B293" s="29" t="s">
        <v>2509</v>
      </c>
      <c r="C293" s="17">
        <v>7.75</v>
      </c>
      <c r="D293" s="18"/>
      <c r="E293" s="17" t="s">
        <v>2510</v>
      </c>
      <c r="F293" s="17"/>
      <c r="G293" s="18"/>
      <c r="H293" s="18"/>
    </row>
    <row r="294" spans="1:8" ht="13.2">
      <c r="A294" s="19" t="str">
        <f>HYPERLINK("http://codeforces.com/contest/82/problem/E","CF82-D12-E")</f>
        <v>CF82-D12-E</v>
      </c>
      <c r="B294" s="29" t="s">
        <v>2509</v>
      </c>
      <c r="C294" s="17">
        <v>7.75</v>
      </c>
      <c r="D294" s="18"/>
      <c r="E294" s="17" t="s">
        <v>2510</v>
      </c>
      <c r="F294" s="17"/>
      <c r="G294" s="18"/>
      <c r="H294" s="18"/>
    </row>
    <row r="295" spans="1:8" ht="13.2">
      <c r="A295" s="19" t="str">
        <f>HYPERLINK("http://codeforces.com/contest/30/problem/D","CF30-D12-D")</f>
        <v>CF30-D12-D</v>
      </c>
      <c r="B295" s="29" t="s">
        <v>2526</v>
      </c>
      <c r="C295" s="17">
        <v>7.75</v>
      </c>
      <c r="D295" s="18"/>
      <c r="E295" s="17" t="s">
        <v>2510</v>
      </c>
      <c r="F295" s="17"/>
      <c r="G295" s="18"/>
      <c r="H295" s="18"/>
    </row>
    <row r="296" spans="1:8" ht="13.2">
      <c r="A296" s="15" t="s">
        <v>2868</v>
      </c>
      <c r="B296" s="28" t="s">
        <v>2869</v>
      </c>
      <c r="C296" s="17">
        <v>7.75</v>
      </c>
      <c r="D296" s="18"/>
      <c r="E296" s="24" t="s">
        <v>2865</v>
      </c>
      <c r="F296" s="17"/>
      <c r="G296" s="18"/>
      <c r="H296" s="18"/>
    </row>
    <row r="297" spans="1:8" ht="13.2">
      <c r="A297" s="15" t="s">
        <v>2870</v>
      </c>
      <c r="B297" s="28" t="s">
        <v>2871</v>
      </c>
      <c r="C297" s="17">
        <v>7.75</v>
      </c>
      <c r="D297" s="18"/>
      <c r="E297" s="24" t="s">
        <v>2865</v>
      </c>
      <c r="F297" s="17"/>
      <c r="G297" s="18"/>
      <c r="H297" s="18"/>
    </row>
    <row r="298" spans="1:8" ht="13.2">
      <c r="A298" s="19" t="str">
        <f>HYPERLINK("http://codeforces.com/contest/89/problem/D","CF89-D1-D")</f>
        <v>CF89-D1-D</v>
      </c>
      <c r="B298" s="29" t="s">
        <v>3221</v>
      </c>
      <c r="C298" s="17">
        <v>7.75</v>
      </c>
      <c r="D298" s="18"/>
      <c r="E298" s="17" t="s">
        <v>3214</v>
      </c>
      <c r="F298" s="17"/>
      <c r="G298" s="18"/>
      <c r="H298" s="18"/>
    </row>
    <row r="299" spans="1:8" ht="13.2">
      <c r="A299" s="15" t="s">
        <v>3222</v>
      </c>
      <c r="B299" s="16" t="s">
        <v>3221</v>
      </c>
      <c r="C299" s="17">
        <v>7.75</v>
      </c>
      <c r="D299" s="18"/>
      <c r="E299" s="17" t="s">
        <v>3214</v>
      </c>
      <c r="F299" s="17"/>
      <c r="G299" s="18"/>
      <c r="H299" s="18"/>
    </row>
    <row r="300" spans="1:8" ht="13.2">
      <c r="A300" s="19" t="str">
        <f>HYPERLINK("http://codeforces.com/gym/101968","CF101968-gym-E")</f>
        <v>CF101968-gym-E</v>
      </c>
      <c r="B300" s="15" t="s">
        <v>3265</v>
      </c>
      <c r="C300" s="17">
        <v>7.75</v>
      </c>
      <c r="D300" s="26" t="str">
        <f>HYPERLINK("http://codeforces.com/blog/entry/62832","Sol")</f>
        <v>Sol</v>
      </c>
      <c r="E300" s="17" t="s">
        <v>3257</v>
      </c>
      <c r="F300" s="17"/>
      <c r="G300" s="18"/>
      <c r="H300" s="18"/>
    </row>
    <row r="301" spans="1:8" ht="13.2">
      <c r="A301" s="19" t="str">
        <f>HYPERLINK("https://agc010.contest.atcoder.jp/tasks/agc010_e","AtCoder010-AGC-E")</f>
        <v>AtCoder010-AGC-E</v>
      </c>
      <c r="B301" s="15" t="s">
        <v>3266</v>
      </c>
      <c r="C301" s="17">
        <v>7.75</v>
      </c>
      <c r="D301" s="18"/>
      <c r="E301" s="17" t="s">
        <v>3257</v>
      </c>
      <c r="F301" s="17"/>
      <c r="G301" s="18"/>
      <c r="H301" s="18"/>
    </row>
    <row r="302" spans="1:8" ht="13.2">
      <c r="A302" s="15" t="s">
        <v>3267</v>
      </c>
      <c r="B302" s="28" t="s">
        <v>3268</v>
      </c>
      <c r="C302" s="24">
        <v>7.75</v>
      </c>
      <c r="D302" s="26" t="str">
        <f>HYPERLINK("https://github.com/mostafa-saad/MyCompetitiveProgramming/blob/master/SPOJ/SPOJ_QTREE4.txt","Sol")</f>
        <v>Sol</v>
      </c>
      <c r="E302" s="17" t="s">
        <v>3257</v>
      </c>
      <c r="F302" s="17"/>
      <c r="G302" s="18"/>
      <c r="H302" s="18"/>
    </row>
    <row r="303" spans="1:8" ht="13.2">
      <c r="A303" s="19" t="str">
        <f>HYPERLINK("https://agc004.contest.atcoder.jp/tasks/agc004_f","AtCoder004-AGC-F")</f>
        <v>AtCoder004-AGC-F</v>
      </c>
      <c r="B303" s="15" t="s">
        <v>3269</v>
      </c>
      <c r="C303" s="17">
        <v>7.75</v>
      </c>
      <c r="D303" s="18"/>
      <c r="E303" s="17" t="s">
        <v>3257</v>
      </c>
      <c r="F303" s="17"/>
      <c r="G303" s="18"/>
      <c r="H303" s="18"/>
    </row>
    <row r="304" spans="1:8" ht="13.2">
      <c r="A304" s="15" t="s">
        <v>3442</v>
      </c>
      <c r="B304" s="29" t="s">
        <v>3443</v>
      </c>
      <c r="C304" s="17">
        <v>7.75</v>
      </c>
      <c r="D304" s="18"/>
      <c r="E304" s="17" t="s">
        <v>3439</v>
      </c>
      <c r="F304" s="17"/>
      <c r="G304" s="18"/>
      <c r="H304" s="18"/>
    </row>
    <row r="305" spans="1:8" ht="13.2">
      <c r="A305" s="19" t="str">
        <f>HYPERLINK("http://codeforces.com/contest/29/problem/E","CF29-D2-E")</f>
        <v>CF29-D2-E</v>
      </c>
      <c r="B305" s="29" t="s">
        <v>3466</v>
      </c>
      <c r="C305" s="17">
        <v>7.75</v>
      </c>
      <c r="D305" s="18"/>
      <c r="E305" s="17" t="s">
        <v>3467</v>
      </c>
      <c r="F305" s="17"/>
      <c r="G305" s="18"/>
      <c r="H305" s="18"/>
    </row>
    <row r="306" spans="1:8" ht="13.2">
      <c r="A306" s="19" t="str">
        <f>HYPERLINK("http://codeforces.com/contest/591/problem/E","CF591-D2-E")</f>
        <v>CF591-D2-E</v>
      </c>
      <c r="B306" s="29" t="s">
        <v>3466</v>
      </c>
      <c r="C306" s="17">
        <v>7.75</v>
      </c>
      <c r="D306" s="18"/>
      <c r="E306" s="17" t="s">
        <v>3467</v>
      </c>
      <c r="F306" s="17"/>
      <c r="G306" s="18"/>
      <c r="H306" s="18"/>
    </row>
    <row r="307" spans="1:8" ht="13.2">
      <c r="A307" s="15" t="s">
        <v>3793</v>
      </c>
      <c r="B307" s="28" t="s">
        <v>3794</v>
      </c>
      <c r="C307" s="17">
        <v>7.75</v>
      </c>
      <c r="D307" s="18"/>
      <c r="E307" s="24" t="s">
        <v>3784</v>
      </c>
      <c r="F307" s="17"/>
      <c r="G307" s="18"/>
      <c r="H307" s="18"/>
    </row>
    <row r="308" spans="1:8" ht="13.2">
      <c r="A308" s="19" t="str">
        <f>HYPERLINK("http://codeforces.com/contest/512/problem/C","CF512-D1-C")</f>
        <v>CF512-D1-C</v>
      </c>
      <c r="B308" s="29" t="s">
        <v>4149</v>
      </c>
      <c r="C308" s="24">
        <v>7.75</v>
      </c>
      <c r="D308" s="18"/>
      <c r="E308" s="17" t="s">
        <v>4144</v>
      </c>
      <c r="F308" s="17"/>
      <c r="G308" s="18"/>
      <c r="H308" s="18"/>
    </row>
    <row r="309" spans="1:8" ht="13.2">
      <c r="A309" s="15" t="s">
        <v>4421</v>
      </c>
      <c r="B309" s="29" t="s">
        <v>4422</v>
      </c>
      <c r="C309" s="17">
        <v>7.75</v>
      </c>
      <c r="D309" s="18"/>
      <c r="E309" s="17" t="s">
        <v>4423</v>
      </c>
      <c r="F309" s="17"/>
      <c r="G309" s="18"/>
      <c r="H309" s="18"/>
    </row>
    <row r="310" spans="1:8" ht="13.2">
      <c r="A310" s="15" t="s">
        <v>4517</v>
      </c>
      <c r="B310" s="29" t="s">
        <v>4518</v>
      </c>
      <c r="C310" s="17">
        <v>7.75</v>
      </c>
      <c r="D310" s="18"/>
      <c r="E310" s="17" t="s">
        <v>4512</v>
      </c>
      <c r="F310" s="17"/>
      <c r="G310" s="18"/>
      <c r="H310" s="18"/>
    </row>
    <row r="311" spans="1:8" ht="13.2">
      <c r="A311" s="19" t="str">
        <f>HYPERLINK("http://codeforces.com/contest/73/problem/E","CF73-D12-E")</f>
        <v>CF73-D12-E</v>
      </c>
      <c r="B311" s="29" t="s">
        <v>4530</v>
      </c>
      <c r="C311" s="17">
        <v>7.75</v>
      </c>
      <c r="D311" s="18"/>
      <c r="E311" s="17" t="s">
        <v>4531</v>
      </c>
      <c r="F311" s="17"/>
      <c r="G311" s="18"/>
      <c r="H311" s="18"/>
    </row>
    <row r="312" spans="1:8" ht="13.2">
      <c r="A312" s="19" t="str">
        <f>HYPERLINK("http://codeforces.com/contest/101/problem/D","CF101-D1-D")</f>
        <v>CF101-D1-D</v>
      </c>
      <c r="B312" s="29" t="s">
        <v>5353</v>
      </c>
      <c r="C312" s="17">
        <v>7.75</v>
      </c>
      <c r="D312" s="18"/>
      <c r="E312" s="17" t="s">
        <v>5346</v>
      </c>
      <c r="F312" s="17"/>
      <c r="G312" s="18"/>
      <c r="H312" s="18"/>
    </row>
    <row r="313" spans="1:8" ht="13.2">
      <c r="A313" s="15" t="s">
        <v>5415</v>
      </c>
      <c r="B313" s="28" t="s">
        <v>5416</v>
      </c>
      <c r="C313" s="24">
        <v>7.75</v>
      </c>
      <c r="D313" s="18"/>
      <c r="E313" s="24" t="s">
        <v>5414</v>
      </c>
      <c r="F313" s="17"/>
      <c r="G313" s="18"/>
      <c r="H313" s="18"/>
    </row>
    <row r="314" spans="1:8" ht="13.2">
      <c r="A314" s="19" t="str">
        <f>HYPERLINK("https://agc011.contest.atcoder.jp/tasks/agc011_e","AtCoder011-AGC-E")</f>
        <v>AtCoder011-AGC-E</v>
      </c>
      <c r="B314" s="15" t="s">
        <v>4542</v>
      </c>
      <c r="C314" s="17">
        <v>7.6</v>
      </c>
      <c r="D314" s="18"/>
      <c r="E314" s="17" t="s">
        <v>4531</v>
      </c>
      <c r="F314" s="17" t="s">
        <v>139</v>
      </c>
      <c r="G314" s="18"/>
      <c r="H314" s="18"/>
    </row>
    <row r="315" spans="1:8" ht="13.2">
      <c r="A315" s="19" t="str">
        <f>HYPERLINK("https://agc013.contest.atcoder.jp/tasks/agc013_e","AtCoder013-AGC-E")</f>
        <v>AtCoder013-AGC-E</v>
      </c>
      <c r="B315" s="15" t="s">
        <v>1912</v>
      </c>
      <c r="C315" s="17">
        <v>7.6</v>
      </c>
      <c r="D315" s="18"/>
      <c r="E315" s="17" t="s">
        <v>1909</v>
      </c>
      <c r="F315" s="17"/>
      <c r="G315" s="18"/>
      <c r="H315" s="18"/>
    </row>
    <row r="316" spans="1:8" ht="13.2">
      <c r="A316" s="15" t="s">
        <v>4153</v>
      </c>
      <c r="B316" s="16" t="s">
        <v>4149</v>
      </c>
      <c r="C316" s="17">
        <v>7.6</v>
      </c>
      <c r="D316" s="18"/>
      <c r="E316" s="17" t="s">
        <v>4144</v>
      </c>
      <c r="F316" s="17"/>
      <c r="G316" s="18"/>
      <c r="H316" s="18"/>
    </row>
    <row r="317" spans="1:8" ht="13.2">
      <c r="A317" s="15" t="s">
        <v>6277</v>
      </c>
      <c r="B317" s="30" t="s">
        <v>6276</v>
      </c>
      <c r="C317" s="24">
        <v>7.5</v>
      </c>
      <c r="D317" s="26" t="str">
        <f>HYPERLINK("https://github.com/mostafa-saad/MyCompetitiveProgramming/blob/master/TopCoder/SRM526.5-D1-500.txt","Sol")</f>
        <v>Sol</v>
      </c>
      <c r="E317" s="17" t="s">
        <v>6275</v>
      </c>
      <c r="F317" s="17" t="s">
        <v>173</v>
      </c>
      <c r="G317" s="18"/>
      <c r="H317" s="18"/>
    </row>
    <row r="318" spans="1:8" ht="13.2">
      <c r="A318" s="19" t="str">
        <f>HYPERLINK("http://codeforces.com/contest/704/problem/B","CF704-D1-B")</f>
        <v>CF704-D1-B</v>
      </c>
      <c r="B318" s="15" t="s">
        <v>6425</v>
      </c>
      <c r="C318" s="24">
        <v>7.5</v>
      </c>
      <c r="D318" s="18"/>
      <c r="E318" s="17" t="s">
        <v>6426</v>
      </c>
      <c r="F318" s="17" t="s">
        <v>173</v>
      </c>
      <c r="G318" s="18"/>
      <c r="H318" s="18"/>
    </row>
    <row r="319" spans="1:8" ht="13.2">
      <c r="A319" s="19" t="str">
        <f>HYPERLINK("http://codeforces.com/contest/674/problem/C","CF674-D12-C")</f>
        <v>CF674-D12-C</v>
      </c>
      <c r="B319" s="15" t="s">
        <v>6432</v>
      </c>
      <c r="C319" s="17">
        <v>7.5</v>
      </c>
      <c r="D319" s="26" t="str">
        <f>HYPERLINK("http://codeforces.com/blog/entry/46693","Find O(nlogk) sol")</f>
        <v>Find O(nlogk) sol</v>
      </c>
      <c r="E319" s="17" t="s">
        <v>6430</v>
      </c>
      <c r="F319" s="17" t="s">
        <v>173</v>
      </c>
      <c r="G319" s="18"/>
      <c r="H319" s="18"/>
    </row>
    <row r="320" spans="1:8" ht="13.2">
      <c r="A320" s="19" t="str">
        <f>HYPERLINK("https://www.hackerrank.com/challenges/demidenko-farmer","HACKR demidenko-farmer")</f>
        <v>HACKR demidenko-farmer</v>
      </c>
      <c r="B320" s="29" t="s">
        <v>1342</v>
      </c>
      <c r="C320" s="17">
        <v>7.5</v>
      </c>
      <c r="D320" s="18"/>
      <c r="E320" s="17" t="s">
        <v>1337</v>
      </c>
      <c r="F320" s="17" t="s">
        <v>173</v>
      </c>
      <c r="G320" s="18"/>
      <c r="H320" s="18"/>
    </row>
    <row r="321" spans="1:8" ht="13.2">
      <c r="A321" s="19" t="str">
        <f>HYPERLINK("https://www.codechef.com/problems/TREEBAL","CODECHEF TREEBAL")</f>
        <v>CODECHEF TREEBAL</v>
      </c>
      <c r="B321" s="15" t="s">
        <v>1343</v>
      </c>
      <c r="C321" s="17">
        <v>7.5</v>
      </c>
      <c r="D321" s="26" t="str">
        <f>HYPERLINK("https://codeforces.com/blog/entry/47821","Editorial")</f>
        <v>Editorial</v>
      </c>
      <c r="E321" s="17" t="s">
        <v>1337</v>
      </c>
      <c r="F321" s="17" t="s">
        <v>173</v>
      </c>
      <c r="G321" s="18"/>
      <c r="H321" s="18"/>
    </row>
    <row r="322" spans="1:8" ht="13.2">
      <c r="A322" s="15" t="s">
        <v>3223</v>
      </c>
      <c r="B322" s="41" t="s">
        <v>3224</v>
      </c>
      <c r="C322" s="17">
        <v>7.5</v>
      </c>
      <c r="D322" s="18"/>
      <c r="E322" s="17" t="s">
        <v>3214</v>
      </c>
      <c r="F322" s="17" t="s">
        <v>173</v>
      </c>
      <c r="G322" s="18"/>
      <c r="H322" s="18"/>
    </row>
    <row r="323" spans="1:8" ht="13.2">
      <c r="A323" s="19" t="str">
        <f>HYPERLINK("https://csacademy.com/contest/round-82/task/water-supply/", "CSA82-E")</f>
        <v>CSA82-E</v>
      </c>
      <c r="B323" s="23" t="s">
        <v>4277</v>
      </c>
      <c r="C323" s="17">
        <v>7.5</v>
      </c>
      <c r="D323" s="26" t="str">
        <f>HYPERLINK("https://github.com/tmwilliamlin168/CompetitiveProgramming/blob/master/CSAcademy/82-E.java","Sol")</f>
        <v>Sol</v>
      </c>
      <c r="E323" s="17" t="s">
        <v>4275</v>
      </c>
      <c r="F323" s="17" t="s">
        <v>173</v>
      </c>
      <c r="G323" s="18"/>
      <c r="H323" s="18"/>
    </row>
    <row r="324" spans="1:8" ht="13.2">
      <c r="A324" s="15" t="s">
        <v>4873</v>
      </c>
      <c r="B324" s="28" t="s">
        <v>4874</v>
      </c>
      <c r="C324" s="24">
        <v>7.5</v>
      </c>
      <c r="D324" s="18"/>
      <c r="E324" s="17" t="s">
        <v>4875</v>
      </c>
      <c r="F324" s="17" t="s">
        <v>173</v>
      </c>
      <c r="G324" s="18"/>
      <c r="H324" s="18"/>
    </row>
    <row r="325" spans="1:8" ht="13.2">
      <c r="A325" s="19" t="str">
        <f>HYPERLINK("https://www.codechef.com/problems/C2","CODECHEF C2")</f>
        <v>CODECHEF C2</v>
      </c>
      <c r="B325" s="18" t="s">
        <v>4894</v>
      </c>
      <c r="C325" s="17">
        <v>7.5</v>
      </c>
      <c r="D325" s="18"/>
      <c r="E325" s="17" t="s">
        <v>4893</v>
      </c>
      <c r="F325" s="17" t="s">
        <v>173</v>
      </c>
      <c r="G325" s="18"/>
      <c r="H325" s="18"/>
    </row>
    <row r="326" spans="1:8" ht="13.2">
      <c r="A326" s="19" t="str">
        <f>HYPERLINK("http://codeforces.com/problemset/problem/1063/E", "CF1063-D1-E")</f>
        <v>CF1063-D1-E</v>
      </c>
      <c r="B326" s="20" t="s">
        <v>138</v>
      </c>
      <c r="C326" s="21">
        <v>7.5</v>
      </c>
      <c r="D326" s="18"/>
      <c r="E326" s="17" t="s">
        <v>125</v>
      </c>
      <c r="F326" s="17" t="s">
        <v>154</v>
      </c>
      <c r="G326" s="18"/>
      <c r="H326" s="18"/>
    </row>
    <row r="327" spans="1:8" ht="13.2">
      <c r="A327" s="19" t="str">
        <f>HYPERLINK("https://www.hackerrank.com/contests/w38/challenges/neighborhood-queries", "HACKR neighborhood-queries")</f>
        <v>HACKR neighborhood-queries</v>
      </c>
      <c r="B327" s="20" t="s">
        <v>6344</v>
      </c>
      <c r="C327" s="21">
        <v>7.5</v>
      </c>
      <c r="D327" s="26" t="str">
        <f>HYPERLINK("https://github.com/mostafa-saad/MyCompetitiveProgramming/blob/master/HACKERRANK/HACKR-neighborhood-queries.txt", "Sol")</f>
        <v>Sol</v>
      </c>
      <c r="E327" s="17" t="s">
        <v>6345</v>
      </c>
      <c r="F327" s="17" t="s">
        <v>154</v>
      </c>
      <c r="G327" s="18"/>
      <c r="H327" s="18"/>
    </row>
    <row r="328" spans="1:8" ht="13.2">
      <c r="A328" s="19" t="str">
        <f>HYPERLINK("https://codeforces.com/contest/896/problem/E","CF896-D1-E")</f>
        <v>CF896-D1-E</v>
      </c>
      <c r="B328" s="15" t="s">
        <v>6396</v>
      </c>
      <c r="C328" s="17">
        <v>7.5</v>
      </c>
      <c r="D328" s="18"/>
      <c r="E328" s="17" t="s">
        <v>6397</v>
      </c>
      <c r="F328" s="17" t="s">
        <v>154</v>
      </c>
      <c r="G328" s="18"/>
      <c r="H328" s="18"/>
    </row>
    <row r="329" spans="1:8" ht="13.2">
      <c r="A329" s="19" t="str">
        <f>HYPERLINK("http://codeforces.com/problemset/problem/1044/F", "CF1044-D12-F")</f>
        <v>CF1044-D12-F</v>
      </c>
      <c r="B329" s="15" t="s">
        <v>1017</v>
      </c>
      <c r="C329" s="17">
        <v>7.5</v>
      </c>
      <c r="D329" s="18"/>
      <c r="E329" s="17" t="s">
        <v>1018</v>
      </c>
      <c r="F329" s="17" t="s">
        <v>154</v>
      </c>
      <c r="G329" s="18"/>
      <c r="H329" s="18"/>
    </row>
    <row r="330" spans="1:8" ht="13.2">
      <c r="A330" s="19" t="str">
        <f>HYPERLINK("http://codeforces.com/contest/763/problem/E","CF763-D1-E")</f>
        <v>CF763-D1-E</v>
      </c>
      <c r="B330" s="15" t="s">
        <v>1017</v>
      </c>
      <c r="C330" s="17">
        <v>7.5</v>
      </c>
      <c r="D330" s="18"/>
      <c r="E330" s="17" t="s">
        <v>1018</v>
      </c>
      <c r="F330" s="17" t="s">
        <v>154</v>
      </c>
      <c r="G330" s="18"/>
      <c r="H330" s="18"/>
    </row>
    <row r="331" spans="1:8" ht="13.2">
      <c r="A331" s="19" t="str">
        <f>HYPERLINK("http://codeforces.com/contest/868/problem/E","CF868-D12-E")</f>
        <v>CF868-D12-E</v>
      </c>
      <c r="B331" s="15" t="s">
        <v>6461</v>
      </c>
      <c r="C331" s="17">
        <v>7.5</v>
      </c>
      <c r="D331" s="18"/>
      <c r="E331" s="17" t="s">
        <v>6459</v>
      </c>
      <c r="F331" s="17" t="s">
        <v>154</v>
      </c>
      <c r="G331" s="18"/>
      <c r="H331" s="18"/>
    </row>
    <row r="332" spans="1:8" ht="13.8">
      <c r="A332" s="15" t="s">
        <v>1225</v>
      </c>
      <c r="B332" s="44" t="s">
        <v>1222</v>
      </c>
      <c r="C332" s="17">
        <v>7.5</v>
      </c>
      <c r="D332" s="18"/>
      <c r="E332" s="17" t="s">
        <v>1223</v>
      </c>
      <c r="F332" s="17" t="s">
        <v>154</v>
      </c>
      <c r="G332" s="18"/>
      <c r="H332" s="18"/>
    </row>
    <row r="333" spans="1:8" ht="13.2">
      <c r="A333" s="15" t="s">
        <v>1344</v>
      </c>
      <c r="B333" s="23" t="s">
        <v>1345</v>
      </c>
      <c r="C333" s="17">
        <v>7.5</v>
      </c>
      <c r="D333" s="26" t="str">
        <f>HYPERLINK("http://www.voidcn.com/article/p-ryedcrjb-bko.html","Sol")</f>
        <v>Sol</v>
      </c>
      <c r="E333" s="17" t="s">
        <v>1337</v>
      </c>
      <c r="F333" s="17" t="s">
        <v>154</v>
      </c>
      <c r="G333" s="18"/>
      <c r="H333" s="18"/>
    </row>
    <row r="334" spans="1:8" ht="13.2">
      <c r="A334" s="19" t="str">
        <f>HYPERLINK("http://codeforces.com/contest/388/problem/D","CF388-D1-D")</f>
        <v>CF388-D1-D</v>
      </c>
      <c r="B334" s="15" t="s">
        <v>1346</v>
      </c>
      <c r="C334" s="24">
        <v>7.5</v>
      </c>
      <c r="D334" s="18"/>
      <c r="E334" s="17" t="s">
        <v>1337</v>
      </c>
      <c r="F334" s="17" t="s">
        <v>154</v>
      </c>
      <c r="G334" s="18"/>
      <c r="H334" s="18"/>
    </row>
    <row r="335" spans="1:8" ht="13.2">
      <c r="A335" s="19" t="str">
        <f>HYPERLINK("https://www.hackerrank.com/contests/codeagon/challenges/quadruple-counting/problem","HACKER quadruple-counting")</f>
        <v>HACKER quadruple-counting</v>
      </c>
      <c r="B335" s="20" t="s">
        <v>1347</v>
      </c>
      <c r="C335" s="21">
        <v>7.5</v>
      </c>
      <c r="D335" s="18"/>
      <c r="E335" s="17" t="s">
        <v>1337</v>
      </c>
      <c r="F335" s="17" t="s">
        <v>154</v>
      </c>
      <c r="G335" s="18"/>
      <c r="H335" s="18"/>
    </row>
    <row r="336" spans="1:8" ht="13.2">
      <c r="A336" s="19" t="str">
        <f>HYPERLINK("http://codeforces.com/contest/24/problem/D","CF24-D12-D")</f>
        <v>CF24-D12-D</v>
      </c>
      <c r="B336" s="41" t="s">
        <v>1692</v>
      </c>
      <c r="C336" s="17">
        <v>7.5</v>
      </c>
      <c r="D336" s="18"/>
      <c r="E336" s="17" t="s">
        <v>1691</v>
      </c>
      <c r="F336" s="17" t="s">
        <v>154</v>
      </c>
      <c r="G336" s="18"/>
      <c r="H336" s="18"/>
    </row>
    <row r="337" spans="1:8" ht="13.2">
      <c r="A337" s="19" t="str">
        <f>HYPERLINK("https://codeforces.com/problemset/problem/1034/C", "CF1034-D1-C")</f>
        <v>CF1034-D1-C</v>
      </c>
      <c r="B337" s="20" t="s">
        <v>1913</v>
      </c>
      <c r="C337" s="21">
        <v>7.5</v>
      </c>
      <c r="D337" s="18"/>
      <c r="E337" s="17" t="s">
        <v>1909</v>
      </c>
      <c r="F337" s="17" t="s">
        <v>154</v>
      </c>
      <c r="G337" s="18"/>
      <c r="H337" s="18"/>
    </row>
    <row r="338" spans="1:8" ht="13.2">
      <c r="A338" s="19" t="str">
        <f>HYPERLINK("https://agc009.contest.atcoder.jp/tasks/agc009_e","AtCoder009-AGC-E")</f>
        <v>AtCoder009-AGC-E</v>
      </c>
      <c r="B338" s="15" t="s">
        <v>1914</v>
      </c>
      <c r="C338" s="17">
        <v>7.5</v>
      </c>
      <c r="D338" s="18"/>
      <c r="E338" s="17" t="s">
        <v>1909</v>
      </c>
      <c r="F338" s="17" t="s">
        <v>154</v>
      </c>
      <c r="G338" s="18"/>
      <c r="H338" s="18"/>
    </row>
    <row r="339" spans="1:8" ht="13.2">
      <c r="A339" s="15" t="s">
        <v>3146</v>
      </c>
      <c r="B339" s="28" t="s">
        <v>3147</v>
      </c>
      <c r="C339" s="24">
        <v>7.5</v>
      </c>
      <c r="D339" s="26" t="str">
        <f>HYPERLINK("https://github.com/DrSchwad/CompetitiveProgramming/blob/master/SPOJ/SPOJ%20VCIRCLES.cpp","Sol")</f>
        <v>Sol</v>
      </c>
      <c r="E339" s="17" t="s">
        <v>3140</v>
      </c>
      <c r="F339" s="17" t="s">
        <v>154</v>
      </c>
      <c r="G339" s="18"/>
      <c r="H339" s="18"/>
    </row>
    <row r="340" spans="1:8" ht="13.2">
      <c r="A340" s="19" t="str">
        <f>HYPERLINK("https://onlinejudge.org/index.php?option=onlinejudge&amp;Itemid=8&amp;page=show_problem&amp;problem=5169","UVA 13246")</f>
        <v>UVA 13246</v>
      </c>
      <c r="B340" s="15" t="s">
        <v>3956</v>
      </c>
      <c r="C340" s="17">
        <v>7.5</v>
      </c>
      <c r="D340" s="18"/>
      <c r="E340" s="17" t="s">
        <v>3955</v>
      </c>
      <c r="F340" s="17" t="s">
        <v>154</v>
      </c>
      <c r="G340" s="18"/>
      <c r="H340" s="18"/>
    </row>
    <row r="341" spans="1:8" ht="13.2">
      <c r="A341" s="19" t="str">
        <f>HYPERLINK("http://codeforces.com/problemset/problem/1012/E", "CF1012-D1-E")</f>
        <v>CF1012-D1-E</v>
      </c>
      <c r="B341" s="20" t="s">
        <v>3957</v>
      </c>
      <c r="C341" s="21">
        <v>7.5</v>
      </c>
      <c r="D341" s="18"/>
      <c r="E341" s="17" t="s">
        <v>3955</v>
      </c>
      <c r="F341" s="17" t="s">
        <v>154</v>
      </c>
      <c r="G341" s="18"/>
      <c r="H341" s="18"/>
    </row>
    <row r="342" spans="1:8" ht="13.2">
      <c r="A342" s="19" t="str">
        <f>HYPERLINK("http://codeforces.com/contest/802/problem/N","CF802-D12-N")</f>
        <v>CF802-D12-N</v>
      </c>
      <c r="B342" s="18" t="s">
        <v>4241</v>
      </c>
      <c r="C342" s="24">
        <v>7.5</v>
      </c>
      <c r="D342" s="26" t="str">
        <f>HYPERLINK("http://codeforces.com/blog/entry/51600","Study Dotorya's Comment")</f>
        <v>Study Dotorya's Comment</v>
      </c>
      <c r="E342" s="17" t="s">
        <v>4238</v>
      </c>
      <c r="F342" s="17" t="s">
        <v>154</v>
      </c>
      <c r="G342" s="18"/>
      <c r="H342" s="18"/>
    </row>
    <row r="343" spans="1:8" ht="13.2">
      <c r="A343" s="15" t="s">
        <v>2804</v>
      </c>
      <c r="B343" s="28" t="s">
        <v>2805</v>
      </c>
      <c r="C343" s="24">
        <v>7.5</v>
      </c>
      <c r="D343" s="26" t="str">
        <f>HYPERLINK("https://github.com/arvindr9/CompetitiveProgramming/blob/master/UVA/UVA%20313.cpp","Sol")</f>
        <v>Sol</v>
      </c>
      <c r="E343" s="17" t="s">
        <v>2798</v>
      </c>
      <c r="F343" s="17" t="s">
        <v>1164</v>
      </c>
      <c r="G343" s="18"/>
      <c r="H343" s="18"/>
    </row>
    <row r="344" spans="1:8" ht="13.2">
      <c r="A344" s="19" t="str">
        <f>HYPERLINK("https://agc003.contest.atcoder.jp/tasks/agc003_e","AtCoder003-AGC-E")</f>
        <v>AtCoder003-AGC-E</v>
      </c>
      <c r="B344" s="15" t="s">
        <v>155</v>
      </c>
      <c r="C344" s="17">
        <v>7.5</v>
      </c>
      <c r="D344" s="18"/>
      <c r="E344" s="17" t="s">
        <v>125</v>
      </c>
      <c r="F344" s="17" t="s">
        <v>139</v>
      </c>
      <c r="G344" s="18"/>
      <c r="H344" s="18"/>
    </row>
    <row r="345" spans="1:8" ht="13.2">
      <c r="A345" s="19" t="str">
        <f>HYPERLINK("https://agc006.contest.atcoder.jp/tasks/agc006_e","AtCoder006-AGC-E")</f>
        <v>AtCoder006-AGC-E</v>
      </c>
      <c r="B345" s="15" t="s">
        <v>156</v>
      </c>
      <c r="C345" s="17">
        <v>7.5</v>
      </c>
      <c r="D345" s="18"/>
      <c r="E345" s="17" t="s">
        <v>125</v>
      </c>
      <c r="F345" s="17" t="s">
        <v>139</v>
      </c>
      <c r="G345" s="18"/>
      <c r="H345" s="18"/>
    </row>
    <row r="346" spans="1:8" ht="13.2">
      <c r="A346" s="19" t="str">
        <f>HYPERLINK("http://codeforces.com/gym/101889","CF101889-gym-L")</f>
        <v>CF101889-gym-L</v>
      </c>
      <c r="B346" s="15" t="s">
        <v>157</v>
      </c>
      <c r="C346" s="17">
        <v>7.5</v>
      </c>
      <c r="D346" s="18"/>
      <c r="E346" s="17" t="s">
        <v>125</v>
      </c>
      <c r="F346" s="17" t="s">
        <v>139</v>
      </c>
      <c r="G346" s="18"/>
      <c r="H346" s="18"/>
    </row>
    <row r="347" spans="1:8" ht="13.2">
      <c r="A347" s="19" t="str">
        <f>HYPERLINK("https://codeforces.com/problemset/problem/1172/E", "CF1172-D1-E")</f>
        <v>CF1172-D1-E</v>
      </c>
      <c r="B347" s="15" t="s">
        <v>5873</v>
      </c>
      <c r="C347" s="17">
        <v>7.5</v>
      </c>
      <c r="D347" s="18"/>
      <c r="E347" s="17" t="s">
        <v>5874</v>
      </c>
      <c r="F347" s="17" t="s">
        <v>139</v>
      </c>
      <c r="G347" s="18"/>
      <c r="H347" s="18"/>
    </row>
    <row r="348" spans="1:8" ht="13.2">
      <c r="A348" s="19" t="str">
        <f>HYPERLINK("https://code.google.com/codejam/contest/32008/dashboard#s=p3","CODEJAM 08-AMERSemifinal-D")</f>
        <v>CODEJAM 08-AMERSemifinal-D</v>
      </c>
      <c r="B348" s="29" t="s">
        <v>6158</v>
      </c>
      <c r="C348" s="17">
        <v>7.5</v>
      </c>
      <c r="D348" s="18"/>
      <c r="E348" s="17" t="s">
        <v>6157</v>
      </c>
      <c r="F348" s="17" t="s">
        <v>139</v>
      </c>
      <c r="G348" s="18"/>
      <c r="H348" s="18"/>
    </row>
    <row r="349" spans="1:8" ht="13.2">
      <c r="A349" s="19" t="str">
        <f>HYPERLINK("https://codeforces.com/problemset/problem/1007/D", "CF1007-D1-D")</f>
        <v>CF1007-D1-D</v>
      </c>
      <c r="B349" s="15" t="s">
        <v>6317</v>
      </c>
      <c r="C349" s="17">
        <v>7.5</v>
      </c>
      <c r="D349" s="18"/>
      <c r="E349" s="17" t="s">
        <v>6311</v>
      </c>
      <c r="F349" s="17" t="s">
        <v>139</v>
      </c>
      <c r="G349" s="18"/>
      <c r="H349" s="18"/>
    </row>
    <row r="350" spans="1:8" ht="13.2">
      <c r="A350" s="19" t="str">
        <f>HYPERLINK("https://codeforces.com/problemset/problem/1083/F", "CF1083-D1-F")</f>
        <v>CF1083-D1-F</v>
      </c>
      <c r="B350" s="15" t="s">
        <v>6398</v>
      </c>
      <c r="C350" s="17">
        <v>7.5</v>
      </c>
      <c r="D350" s="18"/>
      <c r="E350" s="17" t="s">
        <v>6397</v>
      </c>
      <c r="F350" s="17" t="s">
        <v>139</v>
      </c>
      <c r="G350" s="18"/>
      <c r="H350" s="18"/>
    </row>
    <row r="351" spans="1:8" ht="13.2">
      <c r="A351" s="19" t="str">
        <f>HYPERLINK("https://codeforces.com/contest/1279/problem/F","CF1279-D12-F")</f>
        <v>CF1279-D12-F</v>
      </c>
      <c r="B351" s="15" t="s">
        <v>6416</v>
      </c>
      <c r="C351" s="17">
        <v>7.5</v>
      </c>
      <c r="D351" s="18"/>
      <c r="E351" s="17" t="s">
        <v>6417</v>
      </c>
      <c r="F351" s="17" t="s">
        <v>139</v>
      </c>
      <c r="G351" s="18"/>
      <c r="H351" s="18"/>
    </row>
    <row r="352" spans="1:8" ht="13.2">
      <c r="A352" s="19" t="str">
        <f>HYPERLINK("https://codeforces.com/problemset/problem/1084/F","CF1084-D2-F")</f>
        <v>CF1084-D2-F</v>
      </c>
      <c r="B352" s="15" t="s">
        <v>1034</v>
      </c>
      <c r="C352" s="17">
        <v>7.5</v>
      </c>
      <c r="D352" s="18"/>
      <c r="E352" s="17" t="s">
        <v>1018</v>
      </c>
      <c r="F352" s="17" t="s">
        <v>139</v>
      </c>
      <c r="G352" s="18"/>
      <c r="H352" s="18"/>
    </row>
    <row r="353" spans="1:8" ht="13.2">
      <c r="A353" s="19" t="str">
        <f>HYPERLINK("https://codeforces.com/contest/1179/problem/D","CF1179-D1-D")</f>
        <v>CF1179-D1-D</v>
      </c>
      <c r="B353" s="15" t="s">
        <v>6458</v>
      </c>
      <c r="C353" s="17">
        <v>7.5</v>
      </c>
      <c r="D353" s="18"/>
      <c r="E353" s="17" t="s">
        <v>6459</v>
      </c>
      <c r="F353" s="17" t="s">
        <v>139</v>
      </c>
      <c r="G353" s="18"/>
      <c r="H353" s="18"/>
    </row>
    <row r="354" spans="1:8" ht="13.2">
      <c r="A354" s="19" t="str">
        <f>HYPERLINK("http://codeforces.com/contest/23/problem/E","CF23-D12-E")</f>
        <v>CF23-D12-E</v>
      </c>
      <c r="B354" s="15" t="s">
        <v>6462</v>
      </c>
      <c r="C354" s="24">
        <v>7.5</v>
      </c>
      <c r="D354" s="18"/>
      <c r="E354" s="17" t="s">
        <v>6459</v>
      </c>
      <c r="F354" s="17" t="s">
        <v>139</v>
      </c>
      <c r="G354" s="18"/>
      <c r="H354" s="18"/>
    </row>
    <row r="355" spans="1:8" ht="13.2">
      <c r="A355" s="19" t="str">
        <f>HYPERLINK("https://codeforces.com/contest/1280/problem/D","CF1280-D1-D")</f>
        <v>CF1280-D1-D</v>
      </c>
      <c r="B355" s="20" t="s">
        <v>6463</v>
      </c>
      <c r="C355" s="21">
        <v>7.5</v>
      </c>
      <c r="D355" s="18"/>
      <c r="E355" s="17" t="s">
        <v>6459</v>
      </c>
      <c r="F355" s="17" t="s">
        <v>139</v>
      </c>
      <c r="G355" s="18"/>
      <c r="H355" s="18"/>
    </row>
    <row r="356" spans="1:8" ht="13.2">
      <c r="A356" s="19" t="str">
        <f>HYPERLINK("https://codeforces.com/contest/1266/problem/F","CF1266-D12-F")</f>
        <v>CF1266-D12-F</v>
      </c>
      <c r="B356" s="20" t="s">
        <v>6464</v>
      </c>
      <c r="C356" s="21">
        <v>7.5</v>
      </c>
      <c r="D356" s="18"/>
      <c r="E356" s="17" t="s">
        <v>6459</v>
      </c>
      <c r="F356" s="17" t="s">
        <v>139</v>
      </c>
      <c r="G356" s="18"/>
      <c r="H356" s="18"/>
    </row>
    <row r="357" spans="1:8" ht="13.2">
      <c r="A357" s="19" t="str">
        <f>HYPERLINK("https://www.hackerrank.com/contests/codeagon/challenges/julia-and-operational-summation","HACKER julia-and-operational-summation")</f>
        <v>HACKER julia-and-operational-summation</v>
      </c>
      <c r="B357" s="20" t="s">
        <v>1348</v>
      </c>
      <c r="C357" s="21">
        <v>7.5</v>
      </c>
      <c r="D357" s="18"/>
      <c r="E357" s="17" t="s">
        <v>1337</v>
      </c>
      <c r="F357" s="17" t="s">
        <v>139</v>
      </c>
      <c r="G357" s="18"/>
      <c r="H357" s="18"/>
    </row>
    <row r="358" spans="1:8" ht="13.2">
      <c r="A358" s="15" t="s">
        <v>1349</v>
      </c>
      <c r="B358" s="29" t="s">
        <v>1350</v>
      </c>
      <c r="C358" s="17">
        <v>7.5</v>
      </c>
      <c r="D358" s="18"/>
      <c r="E358" s="17" t="s">
        <v>1337</v>
      </c>
      <c r="F358" s="17" t="s">
        <v>139</v>
      </c>
      <c r="G358" s="18"/>
      <c r="H358" s="18"/>
    </row>
    <row r="359" spans="1:8" ht="13.2">
      <c r="A359" s="19" t="str">
        <f>HYPERLINK("https://agc007.contest.atcoder.jp/tasks/agc007_e","AtCoder007-AGC-E")</f>
        <v>AtCoder007-AGC-E</v>
      </c>
      <c r="B359" s="15" t="s">
        <v>1351</v>
      </c>
      <c r="C359" s="17">
        <v>7.5</v>
      </c>
      <c r="D359" s="18"/>
      <c r="E359" s="17" t="s">
        <v>1337</v>
      </c>
      <c r="F359" s="17" t="s">
        <v>139</v>
      </c>
      <c r="G359" s="18"/>
      <c r="H359" s="18"/>
    </row>
    <row r="360" spans="1:8" ht="13.2">
      <c r="A360" s="19" t="str">
        <f>HYPERLINK("https://codeforces.com/contest/1103/problem/D", "CF1103-D1-D")</f>
        <v>CF1103-D1-D</v>
      </c>
      <c r="B360" s="20" t="s">
        <v>1352</v>
      </c>
      <c r="C360" s="17">
        <v>7.5</v>
      </c>
      <c r="D360" s="18"/>
      <c r="E360" s="17" t="s">
        <v>1337</v>
      </c>
      <c r="F360" s="17" t="s">
        <v>139</v>
      </c>
      <c r="G360" s="18"/>
      <c r="H360" s="18"/>
    </row>
    <row r="361" spans="1:8" ht="13.2">
      <c r="A361" s="19" t="str">
        <f>HYPERLINK("https://codeforces.com/problemset/problem/354/E","CF354-D1-E")</f>
        <v>CF354-D1-E</v>
      </c>
      <c r="B361" s="37" t="s">
        <v>1353</v>
      </c>
      <c r="C361" s="24">
        <v>7.5</v>
      </c>
      <c r="D361" s="18"/>
      <c r="E361" s="25" t="s">
        <v>1337</v>
      </c>
      <c r="F361" s="17" t="s">
        <v>139</v>
      </c>
      <c r="G361" s="18"/>
      <c r="H361" s="18"/>
    </row>
    <row r="362" spans="1:8" ht="13.2">
      <c r="A362" s="19" t="str">
        <f>HYPERLINK("https://codeforces.com/contest/518/problem/F","CF518-D2-F")</f>
        <v>CF518-D2-F</v>
      </c>
      <c r="B362" s="20" t="s">
        <v>1354</v>
      </c>
      <c r="C362" s="21">
        <v>7.5</v>
      </c>
      <c r="D362" s="18"/>
      <c r="E362" s="17" t="s">
        <v>1337</v>
      </c>
      <c r="F362" s="17" t="s">
        <v>139</v>
      </c>
      <c r="G362" s="18"/>
      <c r="H362" s="18"/>
    </row>
    <row r="363" spans="1:8" ht="13.2">
      <c r="A363" s="19" t="str">
        <f>HYPERLINK("https://agc004.contest.atcoder.jp/tasks/agc004_e","AtCoder004-AGC-E")</f>
        <v>AtCoder004-AGC-E</v>
      </c>
      <c r="B363" s="15" t="s">
        <v>1715</v>
      </c>
      <c r="C363" s="17">
        <v>7.5</v>
      </c>
      <c r="D363" s="18"/>
      <c r="E363" s="17" t="s">
        <v>1716</v>
      </c>
      <c r="F363" s="17" t="s">
        <v>139</v>
      </c>
      <c r="G363" s="18"/>
      <c r="H363" s="18"/>
    </row>
    <row r="364" spans="1:8" ht="13.2">
      <c r="A364" s="15" t="s">
        <v>1749</v>
      </c>
      <c r="B364" s="16" t="s">
        <v>1750</v>
      </c>
      <c r="C364" s="17">
        <v>7.5</v>
      </c>
      <c r="D364" s="18"/>
      <c r="E364" s="17" t="s">
        <v>1751</v>
      </c>
      <c r="F364" s="17" t="s">
        <v>139</v>
      </c>
      <c r="G364" s="18"/>
      <c r="H364" s="18"/>
    </row>
    <row r="365" spans="1:8" ht="13.2">
      <c r="A365" s="19" t="str">
        <f>HYPERLINK("http://codeforces.com/gym/101915/problem/E","CF101915-Gym-E")</f>
        <v>CF101915-Gym-E</v>
      </c>
      <c r="B365" s="20" t="s">
        <v>1818</v>
      </c>
      <c r="C365" s="21">
        <v>7.5</v>
      </c>
      <c r="D365" s="26" t="str">
        <f>HYPERLINK("https://github.com/swapnil119/CompetitiveProgramming/blob/master/CompetitiveProgramming/Codeforces/CF101915-GYM-E.cpp","Sol")</f>
        <v>Sol</v>
      </c>
      <c r="E365" s="17" t="s">
        <v>1819</v>
      </c>
      <c r="F365" s="17" t="s">
        <v>139</v>
      </c>
      <c r="G365" s="18"/>
      <c r="H365" s="18"/>
    </row>
    <row r="366" spans="1:8" ht="13.2">
      <c r="A366" s="19" t="str">
        <f>HYPERLINK("http://codeforces.com/contest/662/problem/C","CF662-D12-C")</f>
        <v>CF662-D12-C</v>
      </c>
      <c r="B366" s="15" t="s">
        <v>1818</v>
      </c>
      <c r="C366" s="24">
        <v>7.5</v>
      </c>
      <c r="D366" s="18"/>
      <c r="E366" s="17" t="s">
        <v>1819</v>
      </c>
      <c r="F366" s="17" t="s">
        <v>139</v>
      </c>
      <c r="G366" s="18"/>
      <c r="H366" s="18"/>
    </row>
    <row r="367" spans="1:8" ht="13.2">
      <c r="A367" s="19" t="str">
        <f>HYPERLINK("http://codeforces.com/contest/1198/problem/F","CF1198-D1-F")</f>
        <v>CF1198-D1-F</v>
      </c>
      <c r="B367" s="15" t="s">
        <v>1820</v>
      </c>
      <c r="C367" s="17">
        <v>7.5</v>
      </c>
      <c r="D367" s="18"/>
      <c r="E367" s="17" t="s">
        <v>1819</v>
      </c>
      <c r="F367" s="17" t="s">
        <v>139</v>
      </c>
      <c r="G367" s="18"/>
      <c r="H367" s="18"/>
    </row>
    <row r="368" spans="1:8" ht="13.2">
      <c r="A368" s="19" t="str">
        <f>HYPERLINK("https://www.codechef.com/problems/ADIMAT", "CODECHEF ADIMAT")</f>
        <v>CODECHEF ADIMAT</v>
      </c>
      <c r="B368" s="20" t="s">
        <v>1915</v>
      </c>
      <c r="C368" s="17">
        <v>7.5</v>
      </c>
      <c r="D368" s="18"/>
      <c r="E368" s="17" t="s">
        <v>1909</v>
      </c>
      <c r="F368" s="17" t="s">
        <v>139</v>
      </c>
      <c r="G368" s="18"/>
      <c r="H368" s="18"/>
    </row>
    <row r="369" spans="1:8" ht="13.2">
      <c r="A369" s="19" t="str">
        <f>HYPERLINK("https://www.codechef.com/problems/TBGRAPH", "CODECHEF TBGRAPH")</f>
        <v>CODECHEF TBGRAPH</v>
      </c>
      <c r="B369" s="20" t="s">
        <v>1916</v>
      </c>
      <c r="C369" s="21">
        <v>7.5</v>
      </c>
      <c r="D369" s="26" t="str">
        <f>HYPERLINK("https://github.com/tmwilliamlin168/CompetitiveProgramming/blob/master/CodeChef/TBGRAPH.cpp", "Sol")</f>
        <v>Sol</v>
      </c>
      <c r="E369" s="17" t="s">
        <v>1909</v>
      </c>
      <c r="F369" s="17" t="s">
        <v>139</v>
      </c>
      <c r="G369" s="18"/>
      <c r="H369" s="18"/>
    </row>
    <row r="370" spans="1:8" ht="13.2">
      <c r="A370" s="19" t="str">
        <f>HYPERLINK("https://agc002.contest.atcoder.jp/tasks/agc002_e","AtCoder002-AGC-E")</f>
        <v>AtCoder002-AGC-E</v>
      </c>
      <c r="B370" s="15" t="s">
        <v>2395</v>
      </c>
      <c r="C370" s="17">
        <v>7.5</v>
      </c>
      <c r="D370" s="18"/>
      <c r="E370" s="17" t="s">
        <v>2394</v>
      </c>
      <c r="F370" s="17" t="s">
        <v>139</v>
      </c>
      <c r="G370" s="18"/>
      <c r="H370" s="18"/>
    </row>
    <row r="371" spans="1:8" ht="13.2">
      <c r="A371" s="19" t="str">
        <f>HYPERLINK("http://codeforces.com/problemset/problem/1071/E", "CF1071-D1-E")</f>
        <v>CF1071-D1-E</v>
      </c>
      <c r="B371" s="20" t="s">
        <v>2527</v>
      </c>
      <c r="C371" s="21">
        <v>7.5</v>
      </c>
      <c r="D371" s="18"/>
      <c r="E371" s="17" t="s">
        <v>2510</v>
      </c>
      <c r="F371" s="17" t="s">
        <v>139</v>
      </c>
      <c r="G371" s="18"/>
      <c r="H371" s="18"/>
    </row>
    <row r="372" spans="1:8" ht="13.2">
      <c r="A372" s="19" t="str">
        <f>HYPERLINK("https://www.hackerrank.com/challenges/polygons","HACKR polygons")</f>
        <v>HACKR polygons</v>
      </c>
      <c r="B372" s="41" t="s">
        <v>2959</v>
      </c>
      <c r="C372" s="17">
        <v>7.5</v>
      </c>
      <c r="D372" s="26" t="str">
        <f>HYPERLINK("https://github.com/ryuzmukhametov/CompetitiveProgramming/blob/master/hackr/HACKR%20polygons.cpp", "Sol")</f>
        <v>Sol</v>
      </c>
      <c r="E372" s="24" t="s">
        <v>2948</v>
      </c>
      <c r="F372" s="17" t="s">
        <v>139</v>
      </c>
      <c r="G372" s="18"/>
      <c r="H372" s="18"/>
    </row>
    <row r="373" spans="1:8" ht="13.2">
      <c r="A373" s="19" t="str">
        <f>HYPERLINK("http://codeforces.com/contest/297/problem/D","CF297-D1-D")</f>
        <v>CF297-D1-D</v>
      </c>
      <c r="B373" s="15" t="s">
        <v>3270</v>
      </c>
      <c r="C373" s="24">
        <v>7.5</v>
      </c>
      <c r="D373" s="18"/>
      <c r="E373" s="17" t="s">
        <v>3257</v>
      </c>
      <c r="F373" s="17" t="s">
        <v>139</v>
      </c>
      <c r="G373" s="18"/>
      <c r="H373" s="18"/>
    </row>
    <row r="374" spans="1:8" ht="13.2">
      <c r="A374" s="19" t="str">
        <f>HYPERLINK("https://codeforces.com/contest/1218/problem/H", "CF1218-D12-H")</f>
        <v>CF1218-D12-H</v>
      </c>
      <c r="B374" s="20" t="s">
        <v>3271</v>
      </c>
      <c r="C374" s="17">
        <v>7.5</v>
      </c>
      <c r="D374" s="26" t="str">
        <f>HYPERLINK("https://github.com/fiv2001/CompetitiveProgramming/blob/master/Codeforces/CF1218-H.cpp", "Sol")</f>
        <v>Sol</v>
      </c>
      <c r="E374" s="17" t="s">
        <v>3257</v>
      </c>
      <c r="F374" s="17" t="s">
        <v>139</v>
      </c>
      <c r="G374" s="18"/>
      <c r="H374" s="18"/>
    </row>
    <row r="375" spans="1:8" ht="13.2">
      <c r="A375" s="19" t="str">
        <f>HYPERLINK("https://codeforces.com/problemset/problem/1129/E", "CF1129-D1-E")</f>
        <v>CF1129-D1-E</v>
      </c>
      <c r="B375" s="20" t="s">
        <v>3272</v>
      </c>
      <c r="C375" s="21">
        <v>7.5</v>
      </c>
      <c r="D375" s="18"/>
      <c r="E375" s="17" t="s">
        <v>3257</v>
      </c>
      <c r="F375" s="17" t="s">
        <v>139</v>
      </c>
      <c r="G375" s="18"/>
      <c r="H375" s="18"/>
    </row>
    <row r="376" spans="1:8" ht="13.2">
      <c r="A376" s="19" t="str">
        <f>HYPERLINK("http://codeforces.com/problemset/problem/1031/F", "CF1031-D12-F")</f>
        <v>CF1031-D12-F</v>
      </c>
      <c r="B376" s="20" t="s">
        <v>3470</v>
      </c>
      <c r="C376" s="21">
        <v>7.5</v>
      </c>
      <c r="D376" s="18"/>
      <c r="E376" s="17" t="s">
        <v>3467</v>
      </c>
      <c r="F376" s="17" t="s">
        <v>139</v>
      </c>
      <c r="G376" s="18"/>
      <c r="H376" s="18"/>
    </row>
    <row r="377" spans="1:8" ht="13.2">
      <c r="A377" s="19" t="str">
        <f>HYPERLINK("https://codeforces.com/contest/858/problem/F","CF858-D12-F")</f>
        <v>CF858-D12-F</v>
      </c>
      <c r="B377" s="15" t="s">
        <v>3649</v>
      </c>
      <c r="C377" s="17">
        <v>7.5</v>
      </c>
      <c r="D377" s="26" t="str">
        <f>HYPERLINK("https://codeforces.com/blog/entry/68138","Reading later")</f>
        <v>Reading later</v>
      </c>
      <c r="E377" s="17" t="s">
        <v>3650</v>
      </c>
      <c r="F377" s="17" t="s">
        <v>139</v>
      </c>
      <c r="G377" s="18"/>
      <c r="H377" s="18"/>
    </row>
    <row r="378" spans="1:8" ht="13.2">
      <c r="A378" s="19" t="str">
        <f>HYPERLINK("http://codeforces.com/contest/538/problem/H","CF538-D12-H")</f>
        <v>CF538-D12-H</v>
      </c>
      <c r="B378" s="29" t="s">
        <v>4378</v>
      </c>
      <c r="C378" s="17">
        <v>7.5</v>
      </c>
      <c r="D378" s="26" t="str">
        <f>HYPERLINK("https://github.com/HeartBlue/CompetitiveProgramming/blob/master/Codeforces/CF538-D12-H%20Summer%20Dichotomy.cpp","Can do it in O(N+M) ?")</f>
        <v>Can do it in O(N+M) ?</v>
      </c>
      <c r="E378" s="17" t="s">
        <v>4379</v>
      </c>
      <c r="F378" s="17" t="s">
        <v>139</v>
      </c>
      <c r="G378" s="18"/>
      <c r="H378" s="18"/>
    </row>
    <row r="379" spans="1:8" ht="13.2">
      <c r="A379" s="15" t="s">
        <v>4519</v>
      </c>
      <c r="B379" s="43" t="s">
        <v>4520</v>
      </c>
      <c r="C379" s="24">
        <v>7.5</v>
      </c>
      <c r="D379" s="18"/>
      <c r="E379" s="17" t="s">
        <v>4512</v>
      </c>
      <c r="F379" s="17" t="s">
        <v>139</v>
      </c>
      <c r="G379" s="18"/>
      <c r="H379" s="18"/>
    </row>
    <row r="380" spans="1:8" ht="13.2">
      <c r="A380" s="19" t="str">
        <f>HYPERLINK("https://codeforces.com/contest/1086/problem/F", "CF1086-D1-F")</f>
        <v>CF1086-D1-F</v>
      </c>
      <c r="B380" s="15" t="s">
        <v>4543</v>
      </c>
      <c r="C380" s="17">
        <v>7.5</v>
      </c>
      <c r="D380" s="18"/>
      <c r="E380" s="17" t="s">
        <v>4531</v>
      </c>
      <c r="F380" s="17" t="s">
        <v>139</v>
      </c>
      <c r="G380" s="18"/>
      <c r="H380" s="18"/>
    </row>
    <row r="381" spans="1:8" ht="13.2">
      <c r="A381" s="19" t="str">
        <f>HYPERLINK("https://arc102.contest.atcoder.jp/tasks/arc102_c","AtCoder102-ARC-E")</f>
        <v>AtCoder102-ARC-E</v>
      </c>
      <c r="B381" s="20" t="s">
        <v>4964</v>
      </c>
      <c r="C381" s="21">
        <v>7.5</v>
      </c>
      <c r="D381" s="18"/>
      <c r="E381" s="17" t="s">
        <v>4958</v>
      </c>
      <c r="F381" s="17" t="s">
        <v>139</v>
      </c>
      <c r="G381" s="18"/>
      <c r="H381" s="18"/>
    </row>
    <row r="382" spans="1:8" ht="13.2">
      <c r="A382" s="19" t="str">
        <f>HYPERLINK("http://codeforces.com/contest/380/problem/D","CF380-D1-D")</f>
        <v>CF380-D1-D</v>
      </c>
      <c r="B382" s="29" t="s">
        <v>4964</v>
      </c>
      <c r="C382" s="17">
        <v>7.5</v>
      </c>
      <c r="D382" s="18"/>
      <c r="E382" s="17" t="s">
        <v>4958</v>
      </c>
      <c r="F382" s="17" t="s">
        <v>139</v>
      </c>
      <c r="G382" s="18"/>
      <c r="H382" s="18"/>
    </row>
    <row r="383" spans="1:8" ht="13.2">
      <c r="A383" s="19" t="str">
        <f>HYPERLINK("https://codeforces.com/contest/952/problem/D","CF952-D12-D")</f>
        <v>CF952-D12-D</v>
      </c>
      <c r="B383" s="20" t="s">
        <v>5349</v>
      </c>
      <c r="C383" s="21">
        <v>7.5</v>
      </c>
      <c r="D383" s="18"/>
      <c r="E383" s="17" t="s">
        <v>5346</v>
      </c>
      <c r="F383" s="17" t="s">
        <v>139</v>
      </c>
      <c r="G383" s="18"/>
      <c r="H383" s="18"/>
    </row>
    <row r="384" spans="1:8" ht="13.2">
      <c r="A384" s="19" t="str">
        <f>HYPERLINK("https://codeforces.com/gym/101908/problem/A","CF101908-GYM-A")</f>
        <v>CF101908-GYM-A</v>
      </c>
      <c r="B384" s="20" t="s">
        <v>5617</v>
      </c>
      <c r="C384" s="21">
        <v>7.5</v>
      </c>
      <c r="D384" s="26" t="str">
        <f>HYPERLINK("https://github.com/swapnil119/CompetitiveProgramming/blob/master/CompetitiveProgramming/Codeforces/CF101908-GYM-A.cpp","Sol")</f>
        <v>Sol</v>
      </c>
      <c r="E384" s="17" t="s">
        <v>5616</v>
      </c>
      <c r="F384" s="17" t="s">
        <v>139</v>
      </c>
      <c r="G384" s="18"/>
      <c r="H384" s="18"/>
    </row>
    <row r="385" spans="1:8" ht="13.2">
      <c r="A385" s="19" t="str">
        <f>HYPERLINK("https://codeforces.com/contest/1137/problem/E","CF1137-D1-E")</f>
        <v>CF1137-D1-E</v>
      </c>
      <c r="B385" s="15" t="s">
        <v>6361</v>
      </c>
      <c r="C385" s="17">
        <v>7.5</v>
      </c>
      <c r="D385" s="18"/>
      <c r="E385" s="17" t="s">
        <v>6362</v>
      </c>
      <c r="F385" s="17" t="s">
        <v>201</v>
      </c>
      <c r="G385" s="18"/>
      <c r="H385" s="18"/>
    </row>
    <row r="386" spans="1:8" ht="13.2">
      <c r="A386" s="19" t="str">
        <f>HYPERLINK("http://codeforces.com/contest/679/problem/E","CF679-D1-E")</f>
        <v>CF679-D1-E</v>
      </c>
      <c r="B386" s="23" t="s">
        <v>1035</v>
      </c>
      <c r="C386" s="24">
        <v>7.5</v>
      </c>
      <c r="D386" s="18"/>
      <c r="E386" s="17" t="s">
        <v>1018</v>
      </c>
      <c r="F386" s="17" t="s">
        <v>201</v>
      </c>
      <c r="G386" s="18"/>
      <c r="H386" s="18"/>
    </row>
    <row r="387" spans="1:8" ht="13.2">
      <c r="A387" s="19" t="str">
        <f>HYPERLINK("https://codeforces.com/contest/1109/problem/E","CF1109-D1-E")</f>
        <v>CF1109-D1-E</v>
      </c>
      <c r="B387" s="20" t="s">
        <v>1036</v>
      </c>
      <c r="C387" s="21">
        <v>7.5</v>
      </c>
      <c r="D387" s="18"/>
      <c r="E387" s="17" t="s">
        <v>1018</v>
      </c>
      <c r="F387" s="17" t="s">
        <v>201</v>
      </c>
      <c r="G387" s="18"/>
      <c r="H387" s="18"/>
    </row>
    <row r="388" spans="1:8" ht="13.2">
      <c r="A388" s="19" t="str">
        <f>HYPERLINK("http://codeforces.com/contest/204/problem/E","CF204-D1-E")</f>
        <v>CF204-D1-E</v>
      </c>
      <c r="B388" s="15" t="s">
        <v>6456</v>
      </c>
      <c r="C388" s="24">
        <v>7.5</v>
      </c>
      <c r="D388" s="18"/>
      <c r="E388" s="17" t="s">
        <v>6457</v>
      </c>
      <c r="F388" s="17" t="s">
        <v>201</v>
      </c>
      <c r="G388" s="18"/>
      <c r="H388" s="18"/>
    </row>
    <row r="389" spans="1:8" ht="13.2">
      <c r="A389" s="19" t="str">
        <f>HYPERLINK("http://codeforces.com/contest/453/problem/D","CF453-D1-D")</f>
        <v>CF453-D1-D</v>
      </c>
      <c r="B389" s="15" t="s">
        <v>1355</v>
      </c>
      <c r="C389" s="24">
        <v>7.5</v>
      </c>
      <c r="D389" s="18"/>
      <c r="E389" s="17" t="s">
        <v>1337</v>
      </c>
      <c r="F389" s="17" t="s">
        <v>201</v>
      </c>
      <c r="G389" s="18"/>
      <c r="H389" s="18"/>
    </row>
    <row r="390" spans="1:8" ht="13.2">
      <c r="A390" s="15" t="s">
        <v>1821</v>
      </c>
      <c r="B390" s="30" t="s">
        <v>1818</v>
      </c>
      <c r="C390" s="17">
        <v>7.5</v>
      </c>
      <c r="D390" s="18" t="s">
        <v>1822</v>
      </c>
      <c r="E390" s="17" t="s">
        <v>1819</v>
      </c>
      <c r="F390" s="17" t="s">
        <v>201</v>
      </c>
      <c r="G390" s="18"/>
      <c r="H390" s="18"/>
    </row>
    <row r="391" spans="1:8" ht="13.2">
      <c r="A391" s="15" t="s">
        <v>2078</v>
      </c>
      <c r="B391" s="15" t="s">
        <v>2079</v>
      </c>
      <c r="C391" s="17">
        <v>7.5</v>
      </c>
      <c r="D391" s="18"/>
      <c r="E391" s="17" t="s">
        <v>2074</v>
      </c>
      <c r="F391" s="17" t="s">
        <v>201</v>
      </c>
      <c r="G391" s="18"/>
      <c r="H391" s="18"/>
    </row>
    <row r="392" spans="1:8" ht="13.2">
      <c r="A392" s="19" t="str">
        <f>HYPERLINK("https://agc008.contest.atcoder.jp/tasks/agc008_e","AtCoder008-AGC-E")</f>
        <v>AtCoder008-AGC-E</v>
      </c>
      <c r="B392" s="15" t="s">
        <v>3273</v>
      </c>
      <c r="C392" s="17">
        <v>7.5</v>
      </c>
      <c r="D392" s="26" t="str">
        <f>HYPERLINK("https://github.com/tmwilliamlin168/CompetitiveProgramming/blob/master/AtCoder/G008-E.cpp", "Sol")</f>
        <v>Sol</v>
      </c>
      <c r="E392" s="17" t="s">
        <v>3257</v>
      </c>
      <c r="F392" s="17" t="s">
        <v>201</v>
      </c>
      <c r="G392" s="18"/>
      <c r="H392" s="18"/>
    </row>
    <row r="393" spans="1:8" ht="13.2">
      <c r="A393" s="19" t="str">
        <f>HYPERLINK("https://www.codechef.com/problems/BLOCKDRO","CODECHEF BLOCKDRO")</f>
        <v>CODECHEF BLOCKDRO</v>
      </c>
      <c r="B393" s="18" t="s">
        <v>3471</v>
      </c>
      <c r="C393" s="17">
        <v>7.5</v>
      </c>
      <c r="D393" s="18"/>
      <c r="E393" s="17" t="s">
        <v>3467</v>
      </c>
      <c r="F393" s="17" t="s">
        <v>201</v>
      </c>
      <c r="G393" s="18"/>
      <c r="H393" s="18"/>
    </row>
    <row r="394" spans="1:8" ht="13.2">
      <c r="A394" s="15" t="s">
        <v>3659</v>
      </c>
      <c r="B394" s="28" t="s">
        <v>3660</v>
      </c>
      <c r="C394" s="24">
        <v>7.5</v>
      </c>
      <c r="D394" s="18"/>
      <c r="E394" s="24" t="s">
        <v>3650</v>
      </c>
      <c r="F394" s="17" t="s">
        <v>201</v>
      </c>
      <c r="G394" s="18"/>
      <c r="H394" s="18"/>
    </row>
    <row r="395" spans="1:8" ht="13.2">
      <c r="A395" s="19" t="str">
        <f>HYPERLINK("http://codeforces.com/problemset/problem/1030/G", "CF1030-D12-G")</f>
        <v>CF1030-D12-G</v>
      </c>
      <c r="B395" s="20" t="s">
        <v>4544</v>
      </c>
      <c r="C395" s="21">
        <v>7.5</v>
      </c>
      <c r="D395" s="18" t="s">
        <v>2160</v>
      </c>
      <c r="E395" s="17" t="s">
        <v>4531</v>
      </c>
      <c r="F395" s="17" t="s">
        <v>201</v>
      </c>
      <c r="G395" s="18"/>
      <c r="H395" s="18"/>
    </row>
    <row r="396" spans="1:8" ht="13.2">
      <c r="A396" s="19" t="str">
        <f>HYPERLINK("https://codeforces.com/problemset/problem/1261/F", "CF1261-D1-F")</f>
        <v>CF1261-D1-F</v>
      </c>
      <c r="B396" s="20" t="s">
        <v>4964</v>
      </c>
      <c r="C396" s="21">
        <v>7.5</v>
      </c>
      <c r="D396" s="18"/>
      <c r="E396" s="17" t="s">
        <v>4958</v>
      </c>
      <c r="F396" s="17" t="s">
        <v>201</v>
      </c>
      <c r="G396" s="18"/>
      <c r="H396" s="18"/>
    </row>
    <row r="397" spans="1:8" ht="13.2">
      <c r="A397" s="15" t="s">
        <v>5530</v>
      </c>
      <c r="B397" s="29" t="s">
        <v>5531</v>
      </c>
      <c r="C397" s="24">
        <v>7.5</v>
      </c>
      <c r="D397" s="18"/>
      <c r="E397" s="17" t="s">
        <v>5524</v>
      </c>
      <c r="F397" s="17" t="s">
        <v>201</v>
      </c>
      <c r="G397" s="18"/>
      <c r="H397" s="18"/>
    </row>
    <row r="398" spans="1:8" ht="13.2">
      <c r="A398" s="19" t="str">
        <f>HYPERLINK("https://codeforces.com/contest/1097/problem/G","CF1097-D12-G")</f>
        <v>CF1097-D12-G</v>
      </c>
      <c r="B398" s="23" t="s">
        <v>1917</v>
      </c>
      <c r="C398" s="17">
        <v>7.5</v>
      </c>
      <c r="D398" s="18"/>
      <c r="E398" s="17" t="s">
        <v>1909</v>
      </c>
      <c r="F398" s="17" t="s">
        <v>242</v>
      </c>
      <c r="G398" s="18"/>
      <c r="H398" s="18"/>
    </row>
    <row r="399" spans="1:8" ht="13.2">
      <c r="A399" s="15" t="s">
        <v>3148</v>
      </c>
      <c r="B399" s="29" t="s">
        <v>3149</v>
      </c>
      <c r="C399" s="17">
        <v>7.5</v>
      </c>
      <c r="D399" s="26" t="str">
        <f>HYPERLINK("https://github.com/shanto86/Training/blob/master/UVA/UVA%201308.cpp","Sol")</f>
        <v>Sol</v>
      </c>
      <c r="E399" s="17" t="s">
        <v>3140</v>
      </c>
      <c r="F399" s="17" t="s">
        <v>242</v>
      </c>
      <c r="G399" s="18"/>
      <c r="H399" s="18"/>
    </row>
    <row r="400" spans="1:8" ht="13.2">
      <c r="A400" s="19" t="str">
        <f>HYPERLINK("https://www.codechef.com/problems/EST","CODECHEF EST")</f>
        <v>CODECHEF EST</v>
      </c>
      <c r="B400" s="28" t="s">
        <v>5642</v>
      </c>
      <c r="C400" s="24">
        <v>7.5</v>
      </c>
      <c r="D400" s="18"/>
      <c r="E400" s="17" t="s">
        <v>5643</v>
      </c>
      <c r="F400" s="17"/>
      <c r="G400" s="18"/>
      <c r="H400" s="18"/>
    </row>
    <row r="401" spans="1:8" ht="13.2">
      <c r="A401" s="15" t="s">
        <v>5700</v>
      </c>
      <c r="B401" s="28" t="s">
        <v>5701</v>
      </c>
      <c r="C401" s="24">
        <v>7.5</v>
      </c>
      <c r="D401" s="18"/>
      <c r="E401" s="17" t="s">
        <v>5702</v>
      </c>
      <c r="F401" s="17"/>
      <c r="G401" s="18"/>
      <c r="H401" s="18"/>
    </row>
    <row r="402" spans="1:8" ht="13.2">
      <c r="A402" s="15" t="s">
        <v>5802</v>
      </c>
      <c r="B402" s="28" t="s">
        <v>5796</v>
      </c>
      <c r="C402" s="24">
        <v>7.5</v>
      </c>
      <c r="D402" s="18"/>
      <c r="E402" s="17" t="s">
        <v>5794</v>
      </c>
      <c r="F402" s="17"/>
      <c r="G402" s="18"/>
      <c r="H402" s="18"/>
    </row>
    <row r="403" spans="1:8" ht="13.2">
      <c r="A403" s="19" t="str">
        <f>HYPERLINK("http://codeforces.com/contest/316/problem/G2","CF316-D12-G2")</f>
        <v>CF316-D12-G2</v>
      </c>
      <c r="B403" s="28" t="s">
        <v>5803</v>
      </c>
      <c r="C403" s="24">
        <v>7.5</v>
      </c>
      <c r="D403" s="18"/>
      <c r="E403" s="17" t="s">
        <v>5794</v>
      </c>
      <c r="F403" s="17"/>
      <c r="G403" s="18"/>
      <c r="H403" s="18"/>
    </row>
    <row r="404" spans="1:8" ht="13.2">
      <c r="A404" s="19" t="str">
        <f>HYPERLINK("http://codeforces.com/contest/513/problem/D2","CF513-D12-D2")</f>
        <v>CF513-D12-D2</v>
      </c>
      <c r="B404" s="15" t="s">
        <v>5959</v>
      </c>
      <c r="C404" s="24">
        <v>7.5</v>
      </c>
      <c r="D404" s="18"/>
      <c r="E404" s="17" t="s">
        <v>5958</v>
      </c>
      <c r="F404" s="17"/>
      <c r="G404" s="18"/>
      <c r="H404" s="18"/>
    </row>
    <row r="405" spans="1:8" ht="13.2">
      <c r="A405" s="15" t="s">
        <v>949</v>
      </c>
      <c r="B405" s="30" t="s">
        <v>950</v>
      </c>
      <c r="C405" s="24">
        <v>7.5</v>
      </c>
      <c r="D405" s="18"/>
      <c r="E405" s="17" t="s">
        <v>951</v>
      </c>
      <c r="F405" s="17"/>
      <c r="G405" s="18"/>
      <c r="H405" s="18"/>
    </row>
    <row r="406" spans="1:8" ht="13.2">
      <c r="A406" s="19" t="str">
        <f>HYPERLINK("http://codeforces.com/contest/372/problem/D","CF372-D1-D")</f>
        <v>CF372-D1-D</v>
      </c>
      <c r="B406" s="15" t="s">
        <v>6039</v>
      </c>
      <c r="C406" s="24">
        <v>7.5</v>
      </c>
      <c r="D406" s="18"/>
      <c r="E406" s="17" t="s">
        <v>6040</v>
      </c>
      <c r="F406" s="17"/>
      <c r="G406" s="18"/>
      <c r="H406" s="18"/>
    </row>
    <row r="407" spans="1:8" ht="13.2">
      <c r="A407" s="15" t="s">
        <v>6159</v>
      </c>
      <c r="B407" s="29" t="s">
        <v>6160</v>
      </c>
      <c r="C407" s="17">
        <v>7.5</v>
      </c>
      <c r="D407" s="26" t="str">
        <f>HYPERLINK("https://github.com/Otrebus/timus/blob/master/1519.cpp","Sol")</f>
        <v>Sol</v>
      </c>
      <c r="E407" s="17" t="s">
        <v>6157</v>
      </c>
      <c r="F407" s="17"/>
      <c r="G407" s="18"/>
      <c r="H407" s="18"/>
    </row>
    <row r="408" spans="1:8" ht="13.2">
      <c r="A408" s="15" t="s">
        <v>6250</v>
      </c>
      <c r="B408" s="38" t="s">
        <v>6248</v>
      </c>
      <c r="C408" s="17">
        <v>7.5</v>
      </c>
      <c r="D408" s="26" t="str">
        <f>HYPERLINK("https://ideone.com/F83fze","Sol")</f>
        <v>Sol</v>
      </c>
      <c r="E408" s="17" t="s">
        <v>6246</v>
      </c>
      <c r="F408" s="17"/>
      <c r="G408" s="18"/>
      <c r="H408" s="18"/>
    </row>
    <row r="409" spans="1:8" ht="13.2">
      <c r="A409" s="19" t="str">
        <f>HYPERLINK("https://ipsc.ksp.sk/2009/real/problems/l.html","IPSC09-L")</f>
        <v>IPSC09-L</v>
      </c>
      <c r="B409" s="29" t="s">
        <v>6314</v>
      </c>
      <c r="C409" s="40">
        <v>7.5</v>
      </c>
      <c r="D409" s="18"/>
      <c r="E409" s="17" t="s">
        <v>6311</v>
      </c>
      <c r="F409" s="17"/>
      <c r="G409" s="18"/>
      <c r="H409" s="18"/>
    </row>
    <row r="410" spans="1:8" ht="13.2">
      <c r="A410" s="15" t="s">
        <v>6367</v>
      </c>
      <c r="B410" s="15" t="s">
        <v>6368</v>
      </c>
      <c r="C410" s="17">
        <v>7.5</v>
      </c>
      <c r="D410" s="18"/>
      <c r="E410" s="17" t="s">
        <v>6362</v>
      </c>
      <c r="F410" s="17"/>
      <c r="G410" s="18"/>
      <c r="H410" s="18"/>
    </row>
    <row r="411" spans="1:8" ht="13.2">
      <c r="A411" s="19" t="str">
        <f>HYPERLINK("http://codeforces.com/contest/487/problem/D","CF487-D1-D")</f>
        <v>CF487-D1-D</v>
      </c>
      <c r="B411" s="15" t="s">
        <v>6399</v>
      </c>
      <c r="C411" s="24">
        <v>7.5</v>
      </c>
      <c r="D411" s="18"/>
      <c r="E411" s="17" t="s">
        <v>6397</v>
      </c>
      <c r="F411" s="17"/>
      <c r="G411" s="18"/>
      <c r="H411" s="18"/>
    </row>
    <row r="412" spans="1:8" ht="13.2">
      <c r="A412" s="19" t="str">
        <f>HYPERLINK("http://codeforces.com/contest/445/problem/E","CF445-D2-E")</f>
        <v>CF445-D2-E</v>
      </c>
      <c r="B412" s="32" t="s">
        <v>1017</v>
      </c>
      <c r="C412" s="17">
        <v>7.5</v>
      </c>
      <c r="D412" s="18"/>
      <c r="E412" s="17" t="s">
        <v>1018</v>
      </c>
      <c r="F412" s="17"/>
      <c r="G412" s="18"/>
      <c r="H412" s="18"/>
    </row>
    <row r="413" spans="1:8" ht="13.2">
      <c r="A413" s="15" t="s">
        <v>1037</v>
      </c>
      <c r="B413" s="39" t="s">
        <v>1038</v>
      </c>
      <c r="C413" s="24">
        <v>7.5</v>
      </c>
      <c r="D413" s="18"/>
      <c r="E413" s="17" t="s">
        <v>1018</v>
      </c>
      <c r="F413" s="17"/>
      <c r="G413" s="18"/>
      <c r="H413" s="18"/>
    </row>
    <row r="414" spans="1:8" ht="13.2">
      <c r="A414" s="19" t="str">
        <f>HYPERLINK("https://www.codechef.com/problems/COT5","CODECHEF COT5")</f>
        <v>CODECHEF COT5</v>
      </c>
      <c r="B414" s="18" t="s">
        <v>1039</v>
      </c>
      <c r="C414" s="17">
        <v>7.5</v>
      </c>
      <c r="D414" s="18"/>
      <c r="E414" s="17" t="s">
        <v>1018</v>
      </c>
      <c r="F414" s="17"/>
      <c r="G414" s="18"/>
      <c r="H414" s="18"/>
    </row>
    <row r="415" spans="1:8" ht="13.2">
      <c r="A415" s="19" t="str">
        <f>HYPERLINK("https://www.hackerrank.com/contests/world-codesprint-12/challenges/animal-transport","HACKR animal-transport")</f>
        <v>HACKR animal-transport</v>
      </c>
      <c r="B415" s="15" t="s">
        <v>1040</v>
      </c>
      <c r="C415" s="17">
        <v>7.5</v>
      </c>
      <c r="D415" s="18"/>
      <c r="E415" s="17" t="s">
        <v>1018</v>
      </c>
      <c r="F415" s="17"/>
      <c r="G415" s="18"/>
      <c r="H415" s="18"/>
    </row>
    <row r="416" spans="1:8" ht="13.2">
      <c r="A416" s="19" t="str">
        <f>HYPERLINK("http://codeforces.com/contest/587/problem/E","CF587-D1-E")</f>
        <v>CF587-D1-E</v>
      </c>
      <c r="B416" s="15" t="s">
        <v>1041</v>
      </c>
      <c r="C416" s="24">
        <v>7.5</v>
      </c>
      <c r="D416" s="18"/>
      <c r="E416" s="17" t="s">
        <v>1018</v>
      </c>
      <c r="F416" s="17"/>
      <c r="G416" s="18"/>
      <c r="H416" s="18"/>
    </row>
    <row r="417" spans="1:8" ht="13.2">
      <c r="A417" s="15" t="s">
        <v>1042</v>
      </c>
      <c r="B417" s="43" t="s">
        <v>1043</v>
      </c>
      <c r="C417" s="24">
        <v>7.5</v>
      </c>
      <c r="D417" s="18"/>
      <c r="E417" s="17" t="s">
        <v>1018</v>
      </c>
      <c r="F417" s="17"/>
      <c r="G417" s="18"/>
      <c r="H417" s="18"/>
    </row>
    <row r="418" spans="1:8" ht="13.2">
      <c r="A418" s="19" t="str">
        <f>HYPERLINK("https://www.codechef.com/problems/FNCS","CODECHEF FNCS")</f>
        <v>CODECHEF FNCS</v>
      </c>
      <c r="B418" s="18" t="s">
        <v>1044</v>
      </c>
      <c r="C418" s="17">
        <v>7.5</v>
      </c>
      <c r="D418" s="18"/>
      <c r="E418" s="17" t="s">
        <v>1018</v>
      </c>
      <c r="F418" s="17"/>
      <c r="G418" s="18"/>
      <c r="H418" s="18"/>
    </row>
    <row r="419" spans="1:8" ht="13.2">
      <c r="A419" s="19" t="str">
        <f>HYPERLINK("https://csacademy.com/contest/round-56/task/or-problem/","CSA56-F")</f>
        <v>CSA56-F</v>
      </c>
      <c r="B419" s="15" t="s">
        <v>6433</v>
      </c>
      <c r="C419" s="17">
        <v>7.5</v>
      </c>
      <c r="D419" s="18"/>
      <c r="E419" s="17" t="s">
        <v>6430</v>
      </c>
      <c r="F419" s="17"/>
      <c r="G419" s="18"/>
      <c r="H419" s="18"/>
    </row>
    <row r="420" spans="1:8" ht="13.2">
      <c r="A420" s="19" t="str">
        <f>HYPERLINK("https://codeforces.com/contest/800/problem/D","CF800-D12-D")</f>
        <v>CF800-D12-D</v>
      </c>
      <c r="B420" s="15" t="s">
        <v>6440</v>
      </c>
      <c r="C420" s="17">
        <v>7.5</v>
      </c>
      <c r="D420" s="18"/>
      <c r="E420" s="17" t="s">
        <v>6441</v>
      </c>
      <c r="F420" s="17"/>
      <c r="G420" s="18"/>
      <c r="H420" s="18"/>
    </row>
    <row r="421" spans="1:8" ht="13.2">
      <c r="A421" s="19" t="str">
        <f>HYPERLINK("https://www.codechef.com/problems/COUNTARI","CODECHEF COUNTARI")</f>
        <v>CODECHEF COUNTARI</v>
      </c>
      <c r="B421" s="18" t="s">
        <v>6514</v>
      </c>
      <c r="C421" s="17">
        <v>7.5</v>
      </c>
      <c r="D421" s="18"/>
      <c r="E421" s="17" t="s">
        <v>6511</v>
      </c>
      <c r="F421" s="17"/>
      <c r="G421" s="18"/>
      <c r="H421" s="18"/>
    </row>
    <row r="422" spans="1:8" ht="13.2">
      <c r="A422" s="19" t="str">
        <f>HYPERLINK("http://uoj.ac/problem/171", "UOJ 171")</f>
        <v>UOJ 171</v>
      </c>
      <c r="B422" s="15" t="s">
        <v>6531</v>
      </c>
      <c r="C422" s="17">
        <v>7.5</v>
      </c>
      <c r="D422" s="26" t="str">
        <f>HYPERLINK("https://github.com/taow-com-prog/problemsolving/blob/master/general_matching/UOJ%20171.cpp","Sol")</f>
        <v>Sol</v>
      </c>
      <c r="E422" s="17" t="s">
        <v>6529</v>
      </c>
      <c r="F422" s="17"/>
      <c r="G422" s="18"/>
      <c r="H422" s="18"/>
    </row>
    <row r="423" spans="1:8" ht="13.2">
      <c r="A423" s="15" t="s">
        <v>1226</v>
      </c>
      <c r="B423" s="28" t="s">
        <v>1222</v>
      </c>
      <c r="C423" s="24">
        <v>7.5</v>
      </c>
      <c r="D423" s="18"/>
      <c r="E423" s="24" t="s">
        <v>1223</v>
      </c>
      <c r="F423" s="17"/>
      <c r="G423" s="18"/>
      <c r="H423" s="18"/>
    </row>
    <row r="424" spans="1:8" ht="13.2">
      <c r="A424" s="15" t="s">
        <v>1227</v>
      </c>
      <c r="B424" s="28" t="s">
        <v>1222</v>
      </c>
      <c r="C424" s="24">
        <v>7.5</v>
      </c>
      <c r="D424" s="18"/>
      <c r="E424" s="24" t="s">
        <v>1223</v>
      </c>
      <c r="F424" s="17"/>
      <c r="G424" s="18"/>
      <c r="H424" s="18"/>
    </row>
    <row r="425" spans="1:8" ht="13.2">
      <c r="A425" s="19" t="str">
        <f>HYPERLINK("http://codeforces.com/contest/228/problem/C","CF228-D2-C")</f>
        <v>CF228-D2-C</v>
      </c>
      <c r="B425" s="29" t="s">
        <v>1348</v>
      </c>
      <c r="C425" s="17">
        <v>7.5</v>
      </c>
      <c r="D425" s="18"/>
      <c r="E425" s="17" t="s">
        <v>1337</v>
      </c>
      <c r="F425" s="17"/>
      <c r="G425" s="18"/>
      <c r="H425" s="18"/>
    </row>
    <row r="426" spans="1:8" ht="13.2">
      <c r="A426" s="19" t="str">
        <f>HYPERLINK("http://codeforces.com/contest/254/problem/E","CF254-D2-E")</f>
        <v>CF254-D2-E</v>
      </c>
      <c r="B426" s="29" t="s">
        <v>1348</v>
      </c>
      <c r="C426" s="17">
        <v>7.5</v>
      </c>
      <c r="D426" s="18"/>
      <c r="E426" s="17" t="s">
        <v>1337</v>
      </c>
      <c r="F426" s="17"/>
      <c r="G426" s="18"/>
      <c r="H426" s="18"/>
    </row>
    <row r="427" spans="1:8" ht="13.2">
      <c r="A427" s="19" t="str">
        <f>HYPERLINK("http://codeforces.com/contest/526/problem/E","CF526-D12-E")</f>
        <v>CF526-D12-E</v>
      </c>
      <c r="B427" s="29" t="s">
        <v>1348</v>
      </c>
      <c r="C427" s="17">
        <v>7.5</v>
      </c>
      <c r="D427" s="18"/>
      <c r="E427" s="17" t="s">
        <v>1337</v>
      </c>
      <c r="F427" s="17"/>
      <c r="G427" s="18"/>
      <c r="H427" s="18"/>
    </row>
    <row r="428" spans="1:8" ht="13.2">
      <c r="A428" s="15" t="s">
        <v>1356</v>
      </c>
      <c r="B428" s="30" t="s">
        <v>1348</v>
      </c>
      <c r="C428" s="24">
        <v>7.5</v>
      </c>
      <c r="D428" s="18"/>
      <c r="E428" s="17" t="s">
        <v>1337</v>
      </c>
      <c r="F428" s="17"/>
      <c r="G428" s="18"/>
      <c r="H428" s="18"/>
    </row>
    <row r="429" spans="1:8" ht="13.2">
      <c r="A429" s="19" t="str">
        <f>HYPERLINK("http://codeforces.com/contest/438/problem/C","CF438-D1-C")</f>
        <v>CF438-D1-C</v>
      </c>
      <c r="B429" s="29" t="s">
        <v>1357</v>
      </c>
      <c r="C429" s="17">
        <v>7.5</v>
      </c>
      <c r="D429" s="18"/>
      <c r="E429" s="17" t="s">
        <v>1337</v>
      </c>
      <c r="F429" s="17"/>
      <c r="G429" s="18"/>
      <c r="H429" s="18"/>
    </row>
    <row r="430" spans="1:8" ht="13.2">
      <c r="A430" s="19" t="str">
        <f>HYPERLINK("http://codeforces.com/contest/353/problem/E","CF353-D2-E")</f>
        <v>CF353-D2-E</v>
      </c>
      <c r="B430" s="29" t="s">
        <v>1358</v>
      </c>
      <c r="C430" s="17">
        <v>7.5</v>
      </c>
      <c r="D430" s="18"/>
      <c r="E430" s="17" t="s">
        <v>1337</v>
      </c>
      <c r="F430" s="17"/>
      <c r="G430" s="18"/>
      <c r="H430" s="18"/>
    </row>
    <row r="431" spans="1:8" ht="13.2">
      <c r="A431" s="19" t="str">
        <f>HYPERLINK("http://codeforces.com/contest/316/problem/D3","CF316-D12-D3")</f>
        <v>CF316-D12-D3</v>
      </c>
      <c r="B431" s="29" t="s">
        <v>1346</v>
      </c>
      <c r="C431" s="17">
        <v>7.5</v>
      </c>
      <c r="D431" s="18"/>
      <c r="E431" s="17" t="s">
        <v>1337</v>
      </c>
      <c r="F431" s="17"/>
      <c r="G431" s="18"/>
      <c r="H431" s="18"/>
    </row>
    <row r="432" spans="1:8" ht="13.2">
      <c r="A432" s="19" t="str">
        <f>HYPERLINK("http://codeforces.com/contest/57/problem/D","CF57-D12-D")</f>
        <v>CF57-D12-D</v>
      </c>
      <c r="B432" s="29" t="s">
        <v>1346</v>
      </c>
      <c r="C432" s="17">
        <v>7.5</v>
      </c>
      <c r="D432" s="18"/>
      <c r="E432" s="17" t="s">
        <v>1337</v>
      </c>
      <c r="F432" s="17"/>
      <c r="G432" s="18"/>
      <c r="H432" s="18"/>
    </row>
    <row r="433" spans="1:8" ht="13.2">
      <c r="A433" s="19" t="str">
        <f>HYPERLINK("https://www.acmicpc.net/problem/5962","USACO 11feb-GenericCowProtests")</f>
        <v>USACO 11feb-GenericCowProtests</v>
      </c>
      <c r="B433" s="37" t="s">
        <v>1359</v>
      </c>
      <c r="C433" s="17">
        <v>7.5</v>
      </c>
      <c r="D433" s="26" t="str">
        <f>HYPERLINK("http://algorithms-live.blogspot.com/2017/02/episode-9-solution-bags.html","Sol - also analysis from USACO site")</f>
        <v>Sol - also analysis from USACO site</v>
      </c>
      <c r="E433" s="17" t="s">
        <v>1337</v>
      </c>
      <c r="F433" s="17"/>
      <c r="G433" s="18"/>
      <c r="H433" s="18"/>
    </row>
    <row r="434" spans="1:8" ht="13.2">
      <c r="A434" s="15" t="s">
        <v>1693</v>
      </c>
      <c r="B434" s="30" t="s">
        <v>1694</v>
      </c>
      <c r="C434" s="24">
        <v>7.5</v>
      </c>
      <c r="D434" s="18"/>
      <c r="E434" s="17" t="s">
        <v>1691</v>
      </c>
      <c r="F434" s="17"/>
      <c r="G434" s="18"/>
      <c r="H434" s="18"/>
    </row>
    <row r="435" spans="1:8" ht="13.2">
      <c r="A435" s="15" t="s">
        <v>342</v>
      </c>
      <c r="B435" s="16" t="s">
        <v>343</v>
      </c>
      <c r="C435" s="17">
        <v>7.5</v>
      </c>
      <c r="D435" s="18"/>
      <c r="E435" s="17" t="s">
        <v>332</v>
      </c>
      <c r="F435" s="17"/>
      <c r="G435" s="18"/>
      <c r="H435" s="18"/>
    </row>
    <row r="436" spans="1:8" ht="13.2">
      <c r="A436" s="15" t="s">
        <v>344</v>
      </c>
      <c r="B436" s="34" t="s">
        <v>338</v>
      </c>
      <c r="C436" s="31">
        <v>7.5</v>
      </c>
      <c r="D436" s="18"/>
      <c r="E436" s="17" t="s">
        <v>332</v>
      </c>
      <c r="F436" s="17"/>
      <c r="G436" s="18"/>
      <c r="H436" s="18"/>
    </row>
    <row r="437" spans="1:8" ht="13.2">
      <c r="A437" s="15" t="s">
        <v>1791</v>
      </c>
      <c r="B437" s="30" t="s">
        <v>1792</v>
      </c>
      <c r="C437" s="24">
        <v>7.5</v>
      </c>
      <c r="D437" s="18"/>
      <c r="E437" s="17" t="s">
        <v>1793</v>
      </c>
      <c r="F437" s="17"/>
      <c r="G437" s="18"/>
      <c r="H437" s="18"/>
    </row>
    <row r="438" spans="1:8" ht="13.2">
      <c r="A438" s="19" t="str">
        <f>HYPERLINK("http://codeforces.com/contest/747/problem/F","CF747-D2-F")</f>
        <v>CF747-D2-F</v>
      </c>
      <c r="B438" s="15" t="s">
        <v>1913</v>
      </c>
      <c r="C438" s="24">
        <v>7.5</v>
      </c>
      <c r="D438" s="18"/>
      <c r="E438" s="17" t="s">
        <v>1909</v>
      </c>
      <c r="F438" s="17"/>
      <c r="G438" s="18"/>
      <c r="H438" s="18"/>
    </row>
    <row r="439" spans="1:8" ht="13.2">
      <c r="A439" s="15" t="s">
        <v>1918</v>
      </c>
      <c r="B439" s="28" t="s">
        <v>1913</v>
      </c>
      <c r="C439" s="24">
        <v>7.5</v>
      </c>
      <c r="D439" s="18"/>
      <c r="E439" s="17" t="s">
        <v>1909</v>
      </c>
      <c r="F439" s="17"/>
      <c r="G439" s="18"/>
      <c r="H439" s="18"/>
    </row>
    <row r="440" spans="1:8" ht="13.2">
      <c r="A440" s="15" t="s">
        <v>1919</v>
      </c>
      <c r="B440" s="28" t="s">
        <v>1913</v>
      </c>
      <c r="C440" s="24">
        <v>7.5</v>
      </c>
      <c r="D440" s="18"/>
      <c r="E440" s="17" t="s">
        <v>1909</v>
      </c>
      <c r="F440" s="17"/>
      <c r="G440" s="18"/>
      <c r="H440" s="18"/>
    </row>
    <row r="441" spans="1:8" ht="13.2">
      <c r="A441" s="15" t="s">
        <v>2028</v>
      </c>
      <c r="B441" s="28" t="s">
        <v>2025</v>
      </c>
      <c r="C441" s="24">
        <v>7.5</v>
      </c>
      <c r="D441" s="18"/>
      <c r="E441" s="17" t="s">
        <v>2026</v>
      </c>
      <c r="F441" s="17"/>
      <c r="G441" s="18"/>
      <c r="H441" s="18"/>
    </row>
    <row r="442" spans="1:8" ht="13.2">
      <c r="A442" s="19" t="str">
        <f>HYPERLINK("http://codeforces.com/problemset/problem/1012/D", "CF1012-D1-D")</f>
        <v>CF1012-D1-D</v>
      </c>
      <c r="B442" s="20" t="s">
        <v>2158</v>
      </c>
      <c r="C442" s="21">
        <v>7.5</v>
      </c>
      <c r="D442" s="18"/>
      <c r="E442" s="17" t="s">
        <v>2153</v>
      </c>
      <c r="F442" s="17"/>
      <c r="G442" s="18"/>
      <c r="H442" s="18"/>
    </row>
    <row r="443" spans="1:8" ht="13.2">
      <c r="A443" s="19" t="str">
        <f>HYPERLINK("http://codeforces.com/contest/154/problem/D","CF154-D1-D")</f>
        <v>CF154-D1-D</v>
      </c>
      <c r="B443" s="29" t="s">
        <v>2396</v>
      </c>
      <c r="C443" s="17">
        <v>7.5</v>
      </c>
      <c r="D443" s="18"/>
      <c r="E443" s="17" t="s">
        <v>2394</v>
      </c>
      <c r="F443" s="17"/>
      <c r="G443" s="18"/>
      <c r="H443" s="18"/>
    </row>
    <row r="444" spans="1:8" ht="13.2">
      <c r="A444" s="19" t="str">
        <f>HYPERLINK("https://ipsc.ksp.sk/2010/real/problems/k.html","IPSC10-K")</f>
        <v>IPSC10-K</v>
      </c>
      <c r="B444" s="28" t="s">
        <v>2441</v>
      </c>
      <c r="C444" s="24">
        <v>7.5</v>
      </c>
      <c r="D444" s="26" t="str">
        <f>HYPERLINK("https://ipsc.ksp.sk/2010/real/solutions/booklet.pdf","Sol")</f>
        <v>Sol</v>
      </c>
      <c r="E444" s="17" t="s">
        <v>2442</v>
      </c>
      <c r="F444" s="17"/>
      <c r="G444" s="18"/>
      <c r="H444" s="18"/>
    </row>
    <row r="445" spans="1:8" ht="13.2">
      <c r="A445" s="19" t="str">
        <f>HYPERLINK("http://codeforces.com/contest/55/problem/E","CF55-D12-E")</f>
        <v>CF55-D12-E</v>
      </c>
      <c r="B445" s="29" t="s">
        <v>2509</v>
      </c>
      <c r="C445" s="17">
        <v>7.5</v>
      </c>
      <c r="D445" s="18"/>
      <c r="E445" s="17" t="s">
        <v>2510</v>
      </c>
      <c r="F445" s="17"/>
      <c r="G445" s="18"/>
      <c r="H445" s="18"/>
    </row>
    <row r="446" spans="1:8" ht="13.2">
      <c r="A446" s="19" t="str">
        <f>HYPERLINK("http://codeforces.com/contest/13/problem/D","CF13-D12-D")</f>
        <v>CF13-D12-D</v>
      </c>
      <c r="B446" s="29" t="s">
        <v>2528</v>
      </c>
      <c r="C446" s="24">
        <v>7.5</v>
      </c>
      <c r="D446" s="18"/>
      <c r="E446" s="24" t="s">
        <v>2510</v>
      </c>
      <c r="F446" s="17"/>
      <c r="G446" s="18"/>
      <c r="H446" s="18"/>
    </row>
    <row r="447" spans="1:8" ht="13.2">
      <c r="A447" s="19" t="str">
        <f>HYPERLINK("http://codeforces.com/contest/62/problem/C","CF62-D12-C")</f>
        <v>CF62-D12-C</v>
      </c>
      <c r="B447" s="29" t="s">
        <v>2529</v>
      </c>
      <c r="C447" s="17">
        <v>7.5</v>
      </c>
      <c r="D447" s="18"/>
      <c r="E447" s="17" t="s">
        <v>2510</v>
      </c>
      <c r="F447" s="17"/>
      <c r="G447" s="18"/>
      <c r="H447" s="18"/>
    </row>
    <row r="448" spans="1:8" ht="13.2">
      <c r="A448" s="19" t="str">
        <f>HYPERLINK("http://codeforces.com/contest/249/problem/A","CF249-D1-A")</f>
        <v>CF249-D1-A</v>
      </c>
      <c r="B448" s="29" t="s">
        <v>2872</v>
      </c>
      <c r="C448" s="17">
        <v>7.5</v>
      </c>
      <c r="D448" s="18"/>
      <c r="E448" s="17" t="s">
        <v>2865</v>
      </c>
      <c r="F448" s="17"/>
      <c r="G448" s="18"/>
      <c r="H448" s="18"/>
    </row>
    <row r="449" spans="1:8" ht="13.2">
      <c r="A449" s="15" t="s">
        <v>2873</v>
      </c>
      <c r="B449" s="30" t="s">
        <v>2874</v>
      </c>
      <c r="C449" s="24">
        <v>7.5</v>
      </c>
      <c r="D449" s="18"/>
      <c r="E449" s="24" t="s">
        <v>2865</v>
      </c>
      <c r="F449" s="17"/>
      <c r="G449" s="18"/>
      <c r="H449" s="18"/>
    </row>
    <row r="450" spans="1:8" ht="13.2">
      <c r="A450" s="15" t="s">
        <v>2875</v>
      </c>
      <c r="B450" s="16" t="s">
        <v>2876</v>
      </c>
      <c r="C450" s="17">
        <v>7.5</v>
      </c>
      <c r="D450" s="18"/>
      <c r="E450" s="17" t="s">
        <v>2865</v>
      </c>
      <c r="F450" s="17"/>
      <c r="G450" s="18"/>
      <c r="H450" s="18"/>
    </row>
    <row r="451" spans="1:8" ht="13.2">
      <c r="A451" s="15" t="s">
        <v>2960</v>
      </c>
      <c r="B451" s="30" t="s">
        <v>2961</v>
      </c>
      <c r="C451" s="24">
        <v>7.5</v>
      </c>
      <c r="D451" s="18"/>
      <c r="E451" s="24" t="s">
        <v>2948</v>
      </c>
      <c r="F451" s="17"/>
      <c r="G451" s="18"/>
      <c r="H451" s="18"/>
    </row>
    <row r="452" spans="1:8" ht="13.2">
      <c r="A452" s="15" t="s">
        <v>2962</v>
      </c>
      <c r="B452" s="16" t="s">
        <v>2963</v>
      </c>
      <c r="C452" s="17">
        <v>7.5</v>
      </c>
      <c r="D452" s="18"/>
      <c r="E452" s="17" t="s">
        <v>2948</v>
      </c>
      <c r="F452" s="17"/>
      <c r="G452" s="18"/>
      <c r="H452" s="18"/>
    </row>
    <row r="453" spans="1:8" ht="13.2">
      <c r="A453" s="15" t="s">
        <v>3039</v>
      </c>
      <c r="B453" s="28" t="s">
        <v>3040</v>
      </c>
      <c r="C453" s="24">
        <v>7.5</v>
      </c>
      <c r="D453" s="26" t="str">
        <f>HYPERLINK("http://home.ustc.edu.cn/~lyishuai/code/acm/%B4%FA%C2%EB%B2%D6%BF%E2/bookcodes/ch4/la3890.cpp","Other sol at - ~= LIVEARCHIVE 3890")</f>
        <v>Other sol at - ~= LIVEARCHIVE 3890</v>
      </c>
      <c r="E453" s="17" t="s">
        <v>3041</v>
      </c>
      <c r="F453" s="17"/>
      <c r="G453" s="18"/>
      <c r="H453" s="18"/>
    </row>
    <row r="454" spans="1:8" ht="13.2">
      <c r="A454" s="15" t="s">
        <v>3150</v>
      </c>
      <c r="B454" s="18" t="s">
        <v>3139</v>
      </c>
      <c r="C454" s="17">
        <v>7.5</v>
      </c>
      <c r="D454" s="18"/>
      <c r="E454" s="17" t="s">
        <v>3140</v>
      </c>
      <c r="F454" s="17"/>
      <c r="G454" s="18"/>
      <c r="H454" s="18"/>
    </row>
    <row r="455" spans="1:8" ht="13.2">
      <c r="A455" s="15" t="s">
        <v>3151</v>
      </c>
      <c r="B455" s="18" t="s">
        <v>3139</v>
      </c>
      <c r="C455" s="17">
        <v>7.5</v>
      </c>
      <c r="D455" s="18"/>
      <c r="E455" s="17" t="s">
        <v>3140</v>
      </c>
      <c r="F455" s="17"/>
      <c r="G455" s="18"/>
      <c r="H455" s="18"/>
    </row>
    <row r="456" spans="1:8" ht="13.2">
      <c r="A456" s="15" t="s">
        <v>3152</v>
      </c>
      <c r="B456" s="16" t="s">
        <v>3153</v>
      </c>
      <c r="C456" s="17">
        <v>7.5</v>
      </c>
      <c r="D456" s="18"/>
      <c r="E456" s="17" t="s">
        <v>3140</v>
      </c>
      <c r="F456" s="17"/>
      <c r="G456" s="18"/>
      <c r="H456" s="18"/>
    </row>
    <row r="457" spans="1:8" ht="13.2">
      <c r="A457" s="19" t="str">
        <f>HYPERLINK("http://codeforces.com/contest/35/problem/E","CF35-D2-E")</f>
        <v>CF35-D2-E</v>
      </c>
      <c r="B457" s="29" t="s">
        <v>3154</v>
      </c>
      <c r="C457" s="17">
        <v>7.5</v>
      </c>
      <c r="D457" s="18"/>
      <c r="E457" s="17" t="s">
        <v>3140</v>
      </c>
      <c r="F457" s="17"/>
      <c r="G457" s="18"/>
      <c r="H457" s="18"/>
    </row>
    <row r="458" spans="1:8" ht="13.2">
      <c r="A458" s="19" t="str">
        <f>HYPERLINK("http://codeforces.com/gym/101669/problem/L","CF101669-GYM-L")</f>
        <v>CF101669-GYM-L</v>
      </c>
      <c r="B458" s="20" t="s">
        <v>3256</v>
      </c>
      <c r="C458" s="21">
        <v>7.5</v>
      </c>
      <c r="D458" s="26" t="str">
        <f>HYPERLINK("https://github.com/swapnil119/CompetitiveProgramming/blob/master/CompetitiveProgramming/Codeforces/CF101669-GYM-L.cpp","Sol")</f>
        <v>Sol</v>
      </c>
      <c r="E458" s="17" t="s">
        <v>3257</v>
      </c>
      <c r="F458" s="17"/>
      <c r="G458" s="18"/>
      <c r="H458" s="18"/>
    </row>
    <row r="459" spans="1:8" ht="13.2">
      <c r="A459" s="15" t="s">
        <v>3274</v>
      </c>
      <c r="B459" s="29" t="s">
        <v>3275</v>
      </c>
      <c r="C459" s="17">
        <v>7.5</v>
      </c>
      <c r="D459" s="18"/>
      <c r="E459" s="17" t="s">
        <v>3257</v>
      </c>
      <c r="F459" s="17"/>
      <c r="G459" s="18"/>
      <c r="H459" s="18"/>
    </row>
    <row r="460" spans="1:8" ht="13.2">
      <c r="A460" s="19" t="str">
        <f>HYPERLINK("http://codeforces.com/gym/100513/problem/L","CF100513-gym-L")</f>
        <v>CF100513-gym-L</v>
      </c>
      <c r="B460" s="18" t="s">
        <v>3276</v>
      </c>
      <c r="C460" s="17">
        <v>7.5</v>
      </c>
      <c r="D460" s="18"/>
      <c r="E460" s="17" t="s">
        <v>3257</v>
      </c>
      <c r="F460" s="17"/>
      <c r="G460" s="18"/>
      <c r="H460" s="18"/>
    </row>
    <row r="461" spans="1:8" ht="13.2">
      <c r="A461" s="19" t="str">
        <f>HYPERLINK("https://www.codechef.com/problems/GRAPHCNT","CODECHEF GRAPHCNT")</f>
        <v>CODECHEF GRAPHCNT</v>
      </c>
      <c r="B461" s="18" t="s">
        <v>3276</v>
      </c>
      <c r="C461" s="17">
        <v>7.5</v>
      </c>
      <c r="D461" s="18"/>
      <c r="E461" s="17" t="s">
        <v>3257</v>
      </c>
      <c r="F461" s="17"/>
      <c r="G461" s="18"/>
      <c r="H461" s="18"/>
    </row>
    <row r="462" spans="1:8" ht="13.2">
      <c r="A462" s="19" t="str">
        <f>HYPERLINK("http://codeforces.com/gym/101726/problem/A","CF101726-GYM-A")</f>
        <v>CF101726-GYM-A</v>
      </c>
      <c r="B462" s="15" t="s">
        <v>3277</v>
      </c>
      <c r="C462" s="17">
        <v>7.5</v>
      </c>
      <c r="D462" s="26" t="str">
        <f>HYPERLINK("https://github.com/MedoN11/CompetitiveProgramming/blob/master/CodeForces/CFGYM-101726-A.cpp","Sol")</f>
        <v>Sol</v>
      </c>
      <c r="E462" s="17" t="s">
        <v>3257</v>
      </c>
      <c r="F462" s="17"/>
      <c r="G462" s="18"/>
      <c r="H462" s="18"/>
    </row>
    <row r="463" spans="1:8" ht="13.2">
      <c r="A463" s="15" t="s">
        <v>3278</v>
      </c>
      <c r="B463" s="29" t="s">
        <v>3279</v>
      </c>
      <c r="C463" s="17">
        <v>7.5</v>
      </c>
      <c r="D463" s="18"/>
      <c r="E463" s="17" t="s">
        <v>3257</v>
      </c>
      <c r="F463" s="17"/>
      <c r="G463" s="18"/>
      <c r="H463" s="18"/>
    </row>
    <row r="464" spans="1:8" ht="13.2">
      <c r="A464" s="19" t="s">
        <v>3444</v>
      </c>
      <c r="B464" s="29" t="s">
        <v>3443</v>
      </c>
      <c r="C464" s="24">
        <v>7.5</v>
      </c>
      <c r="D464" s="18" t="s">
        <v>2519</v>
      </c>
      <c r="E464" s="17" t="s">
        <v>3439</v>
      </c>
      <c r="F464" s="17"/>
      <c r="G464" s="18"/>
      <c r="H464" s="18"/>
    </row>
    <row r="465" spans="1:8" ht="13.2">
      <c r="A465" s="15" t="s">
        <v>3472</v>
      </c>
      <c r="B465" s="48" t="s">
        <v>3466</v>
      </c>
      <c r="C465" s="31">
        <v>7.5</v>
      </c>
      <c r="D465" s="18"/>
      <c r="E465" s="17" t="s">
        <v>3467</v>
      </c>
      <c r="F465" s="17"/>
      <c r="G465" s="18"/>
      <c r="H465" s="18"/>
    </row>
    <row r="466" spans="1:8" ht="13.2">
      <c r="A466" s="19" t="str">
        <f>HYPERLINK("http://codeforces.com/contest/406/problem/C","CF406-D1-C")</f>
        <v>CF406-D1-C</v>
      </c>
      <c r="B466" s="29" t="s">
        <v>3649</v>
      </c>
      <c r="C466" s="17">
        <v>7.5</v>
      </c>
      <c r="D466" s="18"/>
      <c r="E466" s="17" t="s">
        <v>3650</v>
      </c>
      <c r="F466" s="17"/>
      <c r="G466" s="18"/>
      <c r="H466" s="18"/>
    </row>
    <row r="467" spans="1:8" ht="13.2">
      <c r="A467" s="19" t="str">
        <f>HYPERLINK("http://codeforces.com/contest/73/problem/D","CF73-D12-D")</f>
        <v>CF73-D12-D</v>
      </c>
      <c r="B467" s="28" t="s">
        <v>3661</v>
      </c>
      <c r="C467" s="24">
        <v>7.5</v>
      </c>
      <c r="D467" s="18"/>
      <c r="E467" s="17" t="s">
        <v>3650</v>
      </c>
      <c r="F467" s="17"/>
      <c r="G467" s="18"/>
      <c r="H467" s="18"/>
    </row>
    <row r="468" spans="1:8" ht="13.2">
      <c r="A468" s="19" t="str">
        <f>HYPERLINK("https://www.codechef.com/problems/TAPAIR","CODECHEF TAPAIR")</f>
        <v>CODECHEF TAPAIR</v>
      </c>
      <c r="B468" s="18" t="s">
        <v>3662</v>
      </c>
      <c r="C468" s="17">
        <v>7.5</v>
      </c>
      <c r="D468" s="18"/>
      <c r="E468" s="17" t="s">
        <v>3650</v>
      </c>
      <c r="F468" s="17"/>
      <c r="G468" s="18"/>
      <c r="H468" s="18"/>
    </row>
    <row r="469" spans="1:8" ht="13.2">
      <c r="A469" s="15" t="s">
        <v>3795</v>
      </c>
      <c r="B469" s="30" t="s">
        <v>3796</v>
      </c>
      <c r="C469" s="24">
        <v>7.5</v>
      </c>
      <c r="D469" s="18"/>
      <c r="E469" s="17" t="s">
        <v>3784</v>
      </c>
      <c r="F469" s="17"/>
      <c r="G469" s="18"/>
      <c r="H469" s="18"/>
    </row>
    <row r="470" spans="1:8" ht="13.2">
      <c r="A470" s="19" t="str">
        <f>HYPERLINK("http://codeforces.com/contest/46/problem/F","CF46-D12-F")</f>
        <v>CF46-D12-F</v>
      </c>
      <c r="B470" s="29" t="s">
        <v>3886</v>
      </c>
      <c r="C470" s="17">
        <v>7.5</v>
      </c>
      <c r="D470" s="18"/>
      <c r="E470" s="17" t="s">
        <v>3883</v>
      </c>
      <c r="F470" s="17"/>
      <c r="G470" s="18"/>
      <c r="H470" s="18"/>
    </row>
    <row r="471" spans="1:8" ht="13.2">
      <c r="A471" s="19" t="str">
        <f>HYPERLINK("http://codeforces.com/gym/101656/problem/K","CF101656-GYM-K")</f>
        <v>CF101656-GYM-K</v>
      </c>
      <c r="B471" s="15" t="s">
        <v>4059</v>
      </c>
      <c r="C471" s="21">
        <v>7.5</v>
      </c>
      <c r="D471" s="26" t="str">
        <f>HYPERLINK("https://github.com/OmarHashim/Competitive-Programming/blob/master/CodeForces/CF101656-GYM-K.cpp","Sol")</f>
        <v>Sol</v>
      </c>
      <c r="E471" s="17" t="s">
        <v>4060</v>
      </c>
      <c r="F471" s="17"/>
      <c r="G471" s="18"/>
      <c r="H471" s="18"/>
    </row>
    <row r="472" spans="1:8" ht="13.2">
      <c r="A472" s="19" t="str">
        <f>HYPERLINK("https://codeforces.com/gym/101908/problem/G","CF101908-GYM-G")</f>
        <v>CF101908-GYM-G</v>
      </c>
      <c r="B472" s="20" t="s">
        <v>4074</v>
      </c>
      <c r="C472" s="21">
        <v>7.5</v>
      </c>
      <c r="D472" s="26" t="str">
        <f>HYPERLINK("https://github.com/swapnil119/CompetitiveProgramming/blob/master/CompetitiveProgramming/Codeforces/CF101908-GYM-G.cpp","Sol")</f>
        <v>Sol</v>
      </c>
      <c r="E472" s="17" t="s">
        <v>4060</v>
      </c>
      <c r="F472" s="17"/>
      <c r="G472" s="18"/>
      <c r="H472" s="18"/>
    </row>
    <row r="473" spans="1:8" ht="13.2">
      <c r="A473" s="15" t="s">
        <v>4075</v>
      </c>
      <c r="B473" s="28" t="s">
        <v>4076</v>
      </c>
      <c r="C473" s="24">
        <v>7.5</v>
      </c>
      <c r="D473" s="26" t="str">
        <f>HYPERLINK("https://github.com/MohamedNabil97/CompetitiveProgramming/blob/master/TJU/2616.cpp","Sol")</f>
        <v>Sol</v>
      </c>
      <c r="E473" s="24" t="s">
        <v>4060</v>
      </c>
      <c r="F473" s="17"/>
      <c r="G473" s="18"/>
      <c r="H473" s="18"/>
    </row>
    <row r="474" spans="1:8" ht="13.2">
      <c r="A474" s="15" t="s">
        <v>4077</v>
      </c>
      <c r="B474" s="29" t="s">
        <v>4078</v>
      </c>
      <c r="C474" s="17">
        <v>7.5</v>
      </c>
      <c r="D474" s="18"/>
      <c r="E474" s="17" t="s">
        <v>4060</v>
      </c>
      <c r="F474" s="17"/>
      <c r="G474" s="18"/>
      <c r="H474" s="18"/>
    </row>
    <row r="475" spans="1:8" ht="13.2">
      <c r="A475" s="19" t="str">
        <f>HYPERLINK("https://codeforces.com/contest/1288/problem/F","CF1288-D12-F")</f>
        <v>CF1288-D12-F</v>
      </c>
      <c r="B475" s="15" t="s">
        <v>4242</v>
      </c>
      <c r="C475" s="17">
        <v>7.5</v>
      </c>
      <c r="D475" s="18"/>
      <c r="E475" s="17" t="s">
        <v>4238</v>
      </c>
      <c r="F475" s="17"/>
      <c r="G475" s="18"/>
      <c r="H475" s="18"/>
    </row>
    <row r="476" spans="1:8" ht="13.2">
      <c r="A476" s="15" t="s">
        <v>4243</v>
      </c>
      <c r="B476" s="28" t="s">
        <v>4244</v>
      </c>
      <c r="C476" s="24">
        <v>7.5</v>
      </c>
      <c r="D476" s="18"/>
      <c r="E476" s="24" t="s">
        <v>4238</v>
      </c>
      <c r="F476" s="17"/>
      <c r="G476" s="18"/>
      <c r="H476" s="18"/>
    </row>
    <row r="477" spans="1:8" ht="13.2">
      <c r="A477" s="15" t="s">
        <v>4278</v>
      </c>
      <c r="B477" s="39" t="s">
        <v>4279</v>
      </c>
      <c r="C477" s="24">
        <v>7.5</v>
      </c>
      <c r="D477" s="18"/>
      <c r="E477" s="17" t="s">
        <v>4275</v>
      </c>
      <c r="F477" s="17"/>
      <c r="G477" s="18"/>
      <c r="H477" s="18"/>
    </row>
    <row r="478" spans="1:8" ht="13.2">
      <c r="A478" s="15" t="s">
        <v>4280</v>
      </c>
      <c r="B478" s="30" t="s">
        <v>4281</v>
      </c>
      <c r="C478" s="24">
        <v>7.5</v>
      </c>
      <c r="D478" s="18"/>
      <c r="E478" s="17" t="s">
        <v>4275</v>
      </c>
      <c r="F478" s="17"/>
      <c r="G478" s="18"/>
      <c r="H478" s="18"/>
    </row>
    <row r="479" spans="1:8" ht="13.2">
      <c r="A479" s="19" t="str">
        <f>HYPERLINK("http://codeforces.com/contest/588/problem/F","CF588-D2-F")</f>
        <v>CF588-D2-F</v>
      </c>
      <c r="B479" s="29" t="s">
        <v>4380</v>
      </c>
      <c r="C479" s="17">
        <v>7.5</v>
      </c>
      <c r="D479" s="18"/>
      <c r="E479" s="17" t="s">
        <v>4379</v>
      </c>
      <c r="F479" s="17"/>
      <c r="G479" s="18"/>
      <c r="H479" s="18"/>
    </row>
    <row r="480" spans="1:8" ht="13.2">
      <c r="A480" s="19" t="str">
        <f>HYPERLINK("https://www.codechef.com/problems/TRIPS","CODECHEF TRIPS")</f>
        <v>CODECHEF TRIPS</v>
      </c>
      <c r="B480" s="30" t="s">
        <v>4453</v>
      </c>
      <c r="C480" s="17">
        <v>7.5</v>
      </c>
      <c r="D480" s="18"/>
      <c r="E480" s="17" t="s">
        <v>4454</v>
      </c>
      <c r="F480" s="17"/>
      <c r="G480" s="18"/>
      <c r="H480" s="18"/>
    </row>
    <row r="481" spans="1:8" ht="13.2">
      <c r="A481" s="15" t="s">
        <v>4545</v>
      </c>
      <c r="B481" s="39" t="s">
        <v>4530</v>
      </c>
      <c r="C481" s="40">
        <v>7.5</v>
      </c>
      <c r="D481" s="18"/>
      <c r="E481" s="17" t="s">
        <v>4531</v>
      </c>
      <c r="F481" s="17"/>
      <c r="G481" s="18"/>
      <c r="H481" s="18"/>
    </row>
    <row r="482" spans="1:8" ht="13.2">
      <c r="A482" s="15" t="s">
        <v>4546</v>
      </c>
      <c r="B482" s="30" t="s">
        <v>4547</v>
      </c>
      <c r="C482" s="24">
        <v>7.5</v>
      </c>
      <c r="D482" s="26" t="str">
        <f>HYPERLINK("https://github.com/sggutier/CompetitiveProgramming/blob/master/UVa/1451.cpp","Sol")</f>
        <v>Sol</v>
      </c>
      <c r="E482" s="17" t="s">
        <v>4531</v>
      </c>
      <c r="F482" s="17"/>
      <c r="G482" s="18"/>
      <c r="H482" s="18"/>
    </row>
    <row r="483" spans="1:8" ht="13.2">
      <c r="A483" s="19" t="str">
        <f>HYPERLINK("https://ipsc.ksp.sk/2003/practice/problems/t.html","IPSCPrac03 -T")</f>
        <v>IPSCPrac03 -T</v>
      </c>
      <c r="B483" s="29" t="s">
        <v>4548</v>
      </c>
      <c r="C483" s="24">
        <v>7.5</v>
      </c>
      <c r="D483" s="18"/>
      <c r="E483" s="17" t="s">
        <v>4531</v>
      </c>
      <c r="F483" s="17"/>
      <c r="G483" s="18"/>
      <c r="H483" s="18"/>
    </row>
    <row r="484" spans="1:8" ht="13.2">
      <c r="A484" s="19" t="str">
        <f>HYPERLINK("https://www.hackerrank.com/challenges/randomness","HACKR randomness")</f>
        <v>HACKR randomness</v>
      </c>
      <c r="B484" s="38" t="s">
        <v>4549</v>
      </c>
      <c r="C484" s="17">
        <v>7.5</v>
      </c>
      <c r="D484" s="18"/>
      <c r="E484" s="17" t="s">
        <v>4531</v>
      </c>
      <c r="F484" s="17"/>
      <c r="G484" s="18"/>
      <c r="H484" s="18"/>
    </row>
    <row r="485" spans="1:8" ht="13.2">
      <c r="A485" s="15" t="s">
        <v>4550</v>
      </c>
      <c r="B485" s="39" t="s">
        <v>4551</v>
      </c>
      <c r="C485" s="40">
        <v>7.5</v>
      </c>
      <c r="D485" s="18"/>
      <c r="E485" s="17" t="s">
        <v>4531</v>
      </c>
      <c r="F485" s="17"/>
      <c r="G485" s="18"/>
      <c r="H485" s="18"/>
    </row>
    <row r="486" spans="1:8" ht="13.2">
      <c r="A486" s="15" t="s">
        <v>4552</v>
      </c>
      <c r="B486" s="30" t="s">
        <v>4553</v>
      </c>
      <c r="C486" s="24">
        <v>7.5</v>
      </c>
      <c r="D486" s="18"/>
      <c r="E486" s="17" t="s">
        <v>4531</v>
      </c>
      <c r="F486" s="17"/>
      <c r="G486" s="18"/>
      <c r="H486" s="18"/>
    </row>
    <row r="487" spans="1:8" ht="13.2">
      <c r="A487" s="15" t="s">
        <v>749</v>
      </c>
      <c r="B487" s="34" t="s">
        <v>750</v>
      </c>
      <c r="C487" s="31">
        <v>7.5</v>
      </c>
      <c r="D487" s="18"/>
      <c r="E487" s="17" t="s">
        <v>741</v>
      </c>
      <c r="F487" s="17"/>
      <c r="G487" s="18"/>
      <c r="H487" s="18"/>
    </row>
    <row r="488" spans="1:8" ht="13.2">
      <c r="A488" s="15" t="s">
        <v>751</v>
      </c>
      <c r="B488" s="16" t="s">
        <v>752</v>
      </c>
      <c r="C488" s="17">
        <v>7.5</v>
      </c>
      <c r="D488" s="18"/>
      <c r="E488" s="17" t="s">
        <v>741</v>
      </c>
      <c r="F488" s="17"/>
      <c r="G488" s="18"/>
      <c r="H488" s="18"/>
    </row>
    <row r="489" spans="1:8" ht="13.2">
      <c r="A489" s="15" t="s">
        <v>753</v>
      </c>
      <c r="B489" s="30" t="s">
        <v>754</v>
      </c>
      <c r="C489" s="24">
        <v>7.5</v>
      </c>
      <c r="D489" s="18"/>
      <c r="E489" s="17" t="s">
        <v>741</v>
      </c>
      <c r="F489" s="17"/>
      <c r="G489" s="18"/>
      <c r="H489" s="18"/>
    </row>
    <row r="490" spans="1:8" ht="13.2">
      <c r="A490" s="15" t="s">
        <v>755</v>
      </c>
      <c r="B490" s="34" t="s">
        <v>756</v>
      </c>
      <c r="C490" s="31">
        <v>7.5</v>
      </c>
      <c r="D490" s="18"/>
      <c r="E490" s="17" t="s">
        <v>741</v>
      </c>
      <c r="F490" s="17"/>
      <c r="G490" s="18"/>
      <c r="H490" s="18"/>
    </row>
    <row r="491" spans="1:8" ht="13.2">
      <c r="A491" s="15" t="s">
        <v>757</v>
      </c>
      <c r="B491" s="34" t="s">
        <v>758</v>
      </c>
      <c r="C491" s="31">
        <v>7.5</v>
      </c>
      <c r="D491" s="18"/>
      <c r="E491" s="17" t="s">
        <v>741</v>
      </c>
      <c r="F491" s="17"/>
      <c r="G491" s="18"/>
      <c r="H491" s="18"/>
    </row>
    <row r="492" spans="1:8" ht="13.2">
      <c r="A492" s="19" t="str">
        <f>HYPERLINK("http://codeforces.com/contest/288/problem/D","CF288-D1-D")</f>
        <v>CF288-D1-D</v>
      </c>
      <c r="B492" s="29" t="s">
        <v>4965</v>
      </c>
      <c r="C492" s="17">
        <v>7.5</v>
      </c>
      <c r="D492" s="18"/>
      <c r="E492" s="17" t="s">
        <v>4958</v>
      </c>
      <c r="F492" s="17"/>
      <c r="G492" s="18"/>
      <c r="H492" s="18"/>
    </row>
    <row r="493" spans="1:8" ht="13.2">
      <c r="A493" s="15" t="s">
        <v>5076</v>
      </c>
      <c r="B493" s="28" t="s">
        <v>5077</v>
      </c>
      <c r="C493" s="24">
        <v>7.5</v>
      </c>
      <c r="D493" s="18"/>
      <c r="E493" s="17" t="s">
        <v>5075</v>
      </c>
      <c r="F493" s="17"/>
      <c r="G493" s="18"/>
      <c r="H493" s="18"/>
    </row>
    <row r="494" spans="1:8" ht="13.2">
      <c r="A494" s="19" t="str">
        <f>HYPERLINK("http://codeforces.com/contest/338/problem/C","CF338-D1-C")</f>
        <v>CF338-D1-C</v>
      </c>
      <c r="B494" s="29" t="s">
        <v>5078</v>
      </c>
      <c r="C494" s="17">
        <v>7.5</v>
      </c>
      <c r="D494" s="18"/>
      <c r="E494" s="17" t="s">
        <v>5075</v>
      </c>
      <c r="F494" s="17"/>
      <c r="G494" s="18"/>
      <c r="H494" s="18"/>
    </row>
    <row r="495" spans="1:8" ht="13.2">
      <c r="A495" s="19" t="str">
        <f>HYPERLINK("http://codeforces.com/contest/1071/problem/D","CF1072-D2-F")</f>
        <v>CF1072-D2-F</v>
      </c>
      <c r="B495" s="20" t="s">
        <v>5079</v>
      </c>
      <c r="C495" s="21">
        <v>7.5</v>
      </c>
      <c r="D495" s="18"/>
      <c r="E495" s="17" t="s">
        <v>5075</v>
      </c>
      <c r="F495" s="17"/>
      <c r="G495" s="18"/>
      <c r="H495" s="18"/>
    </row>
    <row r="496" spans="1:8" ht="13.2">
      <c r="A496" s="19" t="str">
        <f>HYPERLINK("https://www.hackerrank.com/challenges/towers","HACKR towers")</f>
        <v>HACKR towers</v>
      </c>
      <c r="B496" s="29" t="s">
        <v>5249</v>
      </c>
      <c r="C496" s="17">
        <v>7.5</v>
      </c>
      <c r="D496" s="18"/>
      <c r="E496" s="17" t="s">
        <v>5246</v>
      </c>
      <c r="F496" s="17"/>
      <c r="G496" s="18"/>
      <c r="H496" s="18"/>
    </row>
    <row r="497" spans="1:8" ht="13.2">
      <c r="A497" s="19" t="str">
        <f>HYPERLINK("http://agc020.contest.atcoder.jp/tasks/agc020_d","AtCoder020-AGC-D")</f>
        <v>AtCoder020-AGC-D</v>
      </c>
      <c r="B497" s="15" t="s">
        <v>807</v>
      </c>
      <c r="C497" s="17">
        <v>7.5</v>
      </c>
      <c r="D497" s="18"/>
      <c r="E497" s="17" t="s">
        <v>805</v>
      </c>
      <c r="F497" s="17"/>
      <c r="G497" s="18"/>
      <c r="H497" s="18"/>
    </row>
    <row r="498" spans="1:8" ht="13.2">
      <c r="A498" s="19" t="str">
        <f>HYPERLINK("http://codeforces.com/contest/251/problem/D","CF251-D1-D")</f>
        <v>CF251-D1-D</v>
      </c>
      <c r="B498" s="15" t="s">
        <v>5309</v>
      </c>
      <c r="C498" s="24">
        <v>7.5</v>
      </c>
      <c r="D498" s="18"/>
      <c r="E498" s="17" t="s">
        <v>5310</v>
      </c>
      <c r="F498" s="17"/>
      <c r="G498" s="18"/>
      <c r="H498" s="18"/>
    </row>
    <row r="499" spans="1:8" ht="13.2">
      <c r="A499" s="15" t="s">
        <v>5354</v>
      </c>
      <c r="B499" s="29" t="s">
        <v>5355</v>
      </c>
      <c r="C499" s="24">
        <v>7.5</v>
      </c>
      <c r="D499" s="18"/>
      <c r="E499" s="17" t="s">
        <v>5346</v>
      </c>
      <c r="F499" s="17"/>
      <c r="G499" s="18"/>
      <c r="H499" s="18"/>
    </row>
    <row r="500" spans="1:8" ht="13.2">
      <c r="A500" s="15" t="s">
        <v>5417</v>
      </c>
      <c r="B500" s="29" t="s">
        <v>5418</v>
      </c>
      <c r="C500" s="17">
        <v>7.5</v>
      </c>
      <c r="D500" s="18"/>
      <c r="E500" s="17" t="s">
        <v>5414</v>
      </c>
      <c r="F500" s="17"/>
      <c r="G500" s="18"/>
      <c r="H500" s="18"/>
    </row>
    <row r="501" spans="1:8" ht="13.2">
      <c r="A501" s="19" t="str">
        <f>HYPERLINK("https://www.hackerrank.com/challenges/permutation-problem","HACKR permutation-problem")</f>
        <v>HACKR permutation-problem</v>
      </c>
      <c r="B501" s="29" t="s">
        <v>5525</v>
      </c>
      <c r="C501" s="17">
        <v>7.5</v>
      </c>
      <c r="D501" s="18"/>
      <c r="E501" s="17" t="s">
        <v>5524</v>
      </c>
      <c r="F501" s="17"/>
      <c r="G501" s="18"/>
      <c r="H501" s="18"/>
    </row>
    <row r="502" spans="1:8" ht="13.2">
      <c r="A502" s="19" t="str">
        <f>HYPERLINK("https://www.codechef.com/problems/CNTDSETS","CODECHEF CNTDSETS")</f>
        <v>CODECHEF CNTDSETS</v>
      </c>
      <c r="B502" s="18" t="s">
        <v>5577</v>
      </c>
      <c r="C502" s="17">
        <v>7.5</v>
      </c>
      <c r="D502" s="18"/>
      <c r="E502" s="17" t="s">
        <v>5575</v>
      </c>
      <c r="F502" s="17"/>
      <c r="G502" s="18"/>
      <c r="H502" s="18"/>
    </row>
    <row r="503" spans="1:8" ht="13.2">
      <c r="A503" s="19" t="str">
        <f>HYPERLINK("http://agc028.contest.atcoder.jp/tasks/agc028_d","AtCoder028-AGC-D")</f>
        <v>AtCoder028-AGC-D</v>
      </c>
      <c r="B503" s="15" t="s">
        <v>1913</v>
      </c>
      <c r="C503" s="17">
        <v>7.3</v>
      </c>
      <c r="D503" s="18"/>
      <c r="E503" s="17" t="s">
        <v>1909</v>
      </c>
      <c r="F503" s="17" t="s">
        <v>154</v>
      </c>
      <c r="G503" s="18"/>
      <c r="H503" s="18"/>
    </row>
    <row r="504" spans="1:8" ht="13.2">
      <c r="A504" s="19" t="str">
        <f>HYPERLINK("https://codeforces.com/contest/938/problem/G","CF938-D12-G")</f>
        <v>CF938-D12-G</v>
      </c>
      <c r="B504" s="15" t="s">
        <v>5316</v>
      </c>
      <c r="C504" s="17">
        <v>7.3</v>
      </c>
      <c r="D504" s="18"/>
      <c r="E504" s="17" t="s">
        <v>5310</v>
      </c>
      <c r="F504" s="17" t="s">
        <v>154</v>
      </c>
      <c r="G504" s="18"/>
      <c r="H504" s="18"/>
    </row>
    <row r="505" spans="1:8" ht="13.2">
      <c r="A505" s="15" t="s">
        <v>2397</v>
      </c>
      <c r="B505" s="43" t="s">
        <v>2398</v>
      </c>
      <c r="C505" s="24">
        <v>7.3</v>
      </c>
      <c r="D505" s="26" t="str">
        <f>HYPERLINK("https://www.topcoder.com/tc?module=Static&amp;d1=match_editorials&amp;d2=srm338","Editorial")</f>
        <v>Editorial</v>
      </c>
      <c r="E505" s="17" t="s">
        <v>2394</v>
      </c>
      <c r="F505" s="17" t="s">
        <v>139</v>
      </c>
      <c r="G505" s="18"/>
      <c r="H505" s="18"/>
    </row>
    <row r="506" spans="1:8" ht="13.2">
      <c r="A506" s="15" t="s">
        <v>2399</v>
      </c>
      <c r="B506" s="30" t="s">
        <v>2400</v>
      </c>
      <c r="C506" s="24">
        <v>7.3</v>
      </c>
      <c r="D506" s="18" t="s">
        <v>2401</v>
      </c>
      <c r="E506" s="17" t="s">
        <v>2394</v>
      </c>
      <c r="F506" s="17"/>
      <c r="G506" s="18"/>
      <c r="H506" s="18"/>
    </row>
    <row r="507" spans="1:8" ht="13.2">
      <c r="A507" s="15" t="s">
        <v>2443</v>
      </c>
      <c r="B507" s="29" t="s">
        <v>2444</v>
      </c>
      <c r="C507" s="24">
        <v>7.3</v>
      </c>
      <c r="D507" s="18"/>
      <c r="E507" s="17" t="s">
        <v>2442</v>
      </c>
      <c r="F507" s="17"/>
      <c r="G507" s="18"/>
      <c r="H507" s="18"/>
    </row>
    <row r="508" spans="1:8" ht="13.2">
      <c r="A508" s="19" t="str">
        <f>HYPERLINK("http://codeforces.com/contest/92/problem/E","CF92-D2-E")</f>
        <v>CF92-D2-E</v>
      </c>
      <c r="B508" s="15" t="s">
        <v>3887</v>
      </c>
      <c r="C508" s="24">
        <v>7.3</v>
      </c>
      <c r="D508" s="18"/>
      <c r="E508" s="17" t="s">
        <v>3883</v>
      </c>
      <c r="F508" s="17"/>
      <c r="G508" s="18"/>
      <c r="H508" s="18"/>
    </row>
    <row r="509" spans="1:8" ht="13.2">
      <c r="A509" s="19" t="str">
        <f>HYPERLINK("http://codeforces.com/contest/765/problem/F","CF765-D12-F")</f>
        <v>CF765-D12-F</v>
      </c>
      <c r="B509" s="15" t="s">
        <v>1045</v>
      </c>
      <c r="C509" s="17">
        <v>7.25</v>
      </c>
      <c r="D509" s="18"/>
      <c r="E509" s="17" t="s">
        <v>1018</v>
      </c>
      <c r="F509" s="17" t="s">
        <v>1046</v>
      </c>
      <c r="G509" s="18"/>
      <c r="H509" s="18"/>
    </row>
    <row r="510" spans="1:8" ht="13.2">
      <c r="A510" s="19" t="str">
        <f>HYPERLINK("http://codeforces.com/contest/722/problem/F","CF722-D12-F")</f>
        <v>CF722-D12-F</v>
      </c>
      <c r="B510" s="15" t="s">
        <v>1047</v>
      </c>
      <c r="C510" s="24">
        <v>7.25</v>
      </c>
      <c r="D510" s="18"/>
      <c r="E510" s="17" t="s">
        <v>1018</v>
      </c>
      <c r="F510" s="17" t="s">
        <v>173</v>
      </c>
      <c r="G510" s="18"/>
      <c r="H510" s="18"/>
    </row>
    <row r="511" spans="1:8" ht="13.2">
      <c r="A511" s="15" t="s">
        <v>6434</v>
      </c>
      <c r="B511" s="41" t="s">
        <v>6435</v>
      </c>
      <c r="C511" s="17">
        <v>7.25</v>
      </c>
      <c r="D511" s="18"/>
      <c r="E511" s="17" t="s">
        <v>6430</v>
      </c>
      <c r="F511" s="17" t="s">
        <v>173</v>
      </c>
      <c r="G511" s="18"/>
      <c r="H511" s="18"/>
    </row>
    <row r="512" spans="1:8" ht="13.2">
      <c r="A512" s="19" t="str">
        <f>HYPERLINK("https://www.codechef.com/problems/BUYING","CODECHEF BUYING")</f>
        <v>CODECHEF BUYING</v>
      </c>
      <c r="B512" s="18" t="s">
        <v>1767</v>
      </c>
      <c r="C512" s="17">
        <v>7.25</v>
      </c>
      <c r="D512" s="26" t="str">
        <f>HYPERLINK("https://github.com/shanto86/Training/blob/master/Codechef/CODECHEF%20BUYING.cpp","Sol")</f>
        <v>Sol</v>
      </c>
      <c r="E512" s="17" t="s">
        <v>1768</v>
      </c>
      <c r="F512" s="17" t="s">
        <v>173</v>
      </c>
      <c r="G512" s="18"/>
      <c r="H512" s="18"/>
    </row>
    <row r="513" spans="1:8" ht="13.2">
      <c r="A513" s="19" t="str">
        <f>HYPERLINK("http://codeforces.com/problemset/problem/79/D","CF79-D12-D")</f>
        <v>CF79-D12-D</v>
      </c>
      <c r="B513" s="15" t="s">
        <v>3280</v>
      </c>
      <c r="C513" s="17">
        <v>7.25</v>
      </c>
      <c r="D513" s="18"/>
      <c r="E513" s="17" t="s">
        <v>3257</v>
      </c>
      <c r="F513" s="17" t="s">
        <v>173</v>
      </c>
      <c r="G513" s="18"/>
      <c r="H513" s="18"/>
    </row>
    <row r="514" spans="1:8" ht="13.2">
      <c r="A514" s="19" t="str">
        <f>HYPERLINK("https://codingcompetitions.withgoogle.com/codejam/round/0000000000007707/000000000004ba29","CODEJAM 18-R3-B")</f>
        <v>CODEJAM 18-R3-B</v>
      </c>
      <c r="B514" s="20" t="s">
        <v>3281</v>
      </c>
      <c r="C514" s="17">
        <v>7.25</v>
      </c>
      <c r="D514" s="26" t="str">
        <f>HYPERLINK("https://github.com/tmwilliamlin168/CompetitiveProgramming/blob/master/GoogleCodeJam/18-R3-B.java", "Sol")</f>
        <v>Sol</v>
      </c>
      <c r="E514" s="17" t="s">
        <v>3257</v>
      </c>
      <c r="F514" s="17" t="s">
        <v>173</v>
      </c>
      <c r="G514" s="18"/>
      <c r="H514" s="18"/>
    </row>
    <row r="515" spans="1:8" ht="13.2">
      <c r="A515" s="15" t="s">
        <v>4154</v>
      </c>
      <c r="B515" s="39" t="s">
        <v>4155</v>
      </c>
      <c r="C515" s="24">
        <v>7.25</v>
      </c>
      <c r="D515" s="26" t="str">
        <f>HYPERLINK("https://github.com/mostafa-saad/MyCompetitiveProgramming/blob/master/UVA/UVA_10735.txt","Sol")</f>
        <v>Sol</v>
      </c>
      <c r="E515" s="17" t="s">
        <v>4144</v>
      </c>
      <c r="F515" s="17" t="s">
        <v>173</v>
      </c>
      <c r="G515" s="18"/>
      <c r="H515" s="18"/>
    </row>
    <row r="516" spans="1:8" ht="13.2">
      <c r="A516" s="19" t="str">
        <f>HYPERLINK("http://agc034.contest.atcoder.jp/tasks/agc034_d","AtCoder034-AGC-D")</f>
        <v>AtCoder034-AGC-D</v>
      </c>
      <c r="B516" s="15" t="s">
        <v>4245</v>
      </c>
      <c r="C516" s="17">
        <v>7.25</v>
      </c>
      <c r="D516" s="18"/>
      <c r="E516" s="17" t="s">
        <v>4238</v>
      </c>
      <c r="F516" s="17" t="s">
        <v>173</v>
      </c>
      <c r="G516" s="18"/>
      <c r="H516" s="18"/>
    </row>
    <row r="517" spans="1:8" ht="13.2">
      <c r="A517" s="19" t="str">
        <f>HYPERLINK("https://naipc17.kattis.com/problems/blazingnewtrails","kattis blazingnewtrails")</f>
        <v>kattis blazingnewtrails</v>
      </c>
      <c r="B517" s="15" t="s">
        <v>4282</v>
      </c>
      <c r="C517" s="17">
        <v>7.25</v>
      </c>
      <c r="D517" s="26" t="str">
        <f>HYPERLINK("https://github.com/taow-com-prog/problemsolving/blob/master/Kattis/kattis%20blazingnewtrails.cpp","Sol")</f>
        <v>Sol</v>
      </c>
      <c r="E517" s="17" t="s">
        <v>4275</v>
      </c>
      <c r="F517" s="17" t="s">
        <v>173</v>
      </c>
      <c r="G517" s="18"/>
      <c r="H517" s="18"/>
    </row>
    <row r="518" spans="1:8" ht="13.2">
      <c r="A518" s="19" t="str">
        <f>HYPERLINK("http://codeforces.com/contest/1023/problem/F", "CF1023-D12-F")</f>
        <v>CF1023-D12-F</v>
      </c>
      <c r="B518" s="15" t="s">
        <v>4283</v>
      </c>
      <c r="C518" s="17">
        <v>7.25</v>
      </c>
      <c r="D518" s="26" t="str">
        <f>HYPERLINK("https://github.com/tmwilliamlin168/CompetitiveProgramming/blob/master/CodeForces/1023F(2).cpp","Sol - not in editorial")</f>
        <v>Sol - not in editorial</v>
      </c>
      <c r="E518" s="17" t="s">
        <v>4275</v>
      </c>
      <c r="F518" s="17" t="s">
        <v>173</v>
      </c>
      <c r="G518" s="18"/>
      <c r="H518" s="18"/>
    </row>
    <row r="519" spans="1:8" ht="13.2">
      <c r="A519" s="19" t="str">
        <f>HYPERLINK("http://codeforces.com/contest/1008/problem/E", "CF1008-D2-E")</f>
        <v>CF1008-D2-E</v>
      </c>
      <c r="B519" s="20" t="s">
        <v>808</v>
      </c>
      <c r="C519" s="21">
        <v>7.25</v>
      </c>
      <c r="D519" s="18" t="s">
        <v>809</v>
      </c>
      <c r="E519" s="17" t="s">
        <v>805</v>
      </c>
      <c r="F519" s="17" t="s">
        <v>173</v>
      </c>
      <c r="G519" s="18"/>
      <c r="H519" s="18"/>
    </row>
    <row r="520" spans="1:8" ht="13.2">
      <c r="A520" s="19" t="str">
        <f>HYPERLINK("http://codeforces.com/contest/914/problem/F","CF914-D12-F")</f>
        <v>CF914-D12-F</v>
      </c>
      <c r="B520" s="15" t="s">
        <v>158</v>
      </c>
      <c r="C520" s="17">
        <v>7.25</v>
      </c>
      <c r="D520" s="26" t="str">
        <f>HYPERLINK("https://github.com/mostafa-saad/MyCompetitiveProgramming/blob/master/Codeforces/CF914-D12-F.txt","Sol")</f>
        <v>Sol</v>
      </c>
      <c r="E520" s="17" t="s">
        <v>125</v>
      </c>
      <c r="F520" s="17" t="s">
        <v>154</v>
      </c>
      <c r="G520" s="18"/>
      <c r="H520" s="18"/>
    </row>
    <row r="521" spans="1:8" ht="13.2">
      <c r="A521" s="19" t="str">
        <f>HYPERLINK("https://codeforces.com/contest/1081/problem/F","CF1081-D12-F")</f>
        <v>CF1081-D12-F</v>
      </c>
      <c r="B521" s="23" t="s">
        <v>159</v>
      </c>
      <c r="C521" s="17">
        <v>7.25</v>
      </c>
      <c r="D521" s="18"/>
      <c r="E521" s="17" t="s">
        <v>125</v>
      </c>
      <c r="F521" s="17" t="s">
        <v>154</v>
      </c>
      <c r="G521" s="18"/>
      <c r="H521" s="18"/>
    </row>
    <row r="522" spans="1:8" ht="13.2">
      <c r="A522" s="15" t="s">
        <v>5804</v>
      </c>
      <c r="B522" s="15" t="s">
        <v>5796</v>
      </c>
      <c r="C522" s="17">
        <v>7.25</v>
      </c>
      <c r="D522" s="18"/>
      <c r="E522" s="17" t="s">
        <v>5794</v>
      </c>
      <c r="F522" s="17" t="s">
        <v>154</v>
      </c>
      <c r="G522" s="18"/>
      <c r="H522" s="18"/>
    </row>
    <row r="523" spans="1:8" ht="13.2">
      <c r="A523" s="15" t="s">
        <v>5805</v>
      </c>
      <c r="B523" s="15" t="s">
        <v>5806</v>
      </c>
      <c r="C523" s="17">
        <v>7.25</v>
      </c>
      <c r="D523" s="18"/>
      <c r="E523" s="17" t="s">
        <v>5794</v>
      </c>
      <c r="F523" s="17" t="s">
        <v>154</v>
      </c>
      <c r="G523" s="18"/>
      <c r="H523" s="18"/>
    </row>
    <row r="524" spans="1:8" ht="13.2">
      <c r="A524" s="15" t="s">
        <v>5807</v>
      </c>
      <c r="B524" s="15" t="s">
        <v>5808</v>
      </c>
      <c r="C524" s="17">
        <v>7.25</v>
      </c>
      <c r="D524" s="18"/>
      <c r="E524" s="17" t="s">
        <v>5794</v>
      </c>
      <c r="F524" s="17" t="s">
        <v>154</v>
      </c>
      <c r="G524" s="18"/>
      <c r="H524" s="18"/>
    </row>
    <row r="525" spans="1:8" ht="13.2">
      <c r="A525" s="19" t="str">
        <f>HYPERLINK("https://www.urionlinejudge.com.br/judge/en/problems/view/1530","URI 1530")</f>
        <v>URI 1530</v>
      </c>
      <c r="B525" s="15" t="s">
        <v>5809</v>
      </c>
      <c r="C525" s="17">
        <v>7.25</v>
      </c>
      <c r="D525" s="18"/>
      <c r="E525" s="17" t="s">
        <v>5794</v>
      </c>
      <c r="F525" s="17" t="s">
        <v>154</v>
      </c>
      <c r="G525" s="18"/>
      <c r="H525" s="18"/>
    </row>
    <row r="526" spans="1:8" ht="13.2">
      <c r="A526" s="19" t="str">
        <f>HYPERLINK("https://www.codechef.com/problems/IAI","CODECHEF IAI")</f>
        <v>CODECHEF IAI</v>
      </c>
      <c r="B526" s="20" t="s">
        <v>6369</v>
      </c>
      <c r="C526" s="17">
        <v>7.25</v>
      </c>
      <c r="D526" s="18"/>
      <c r="E526" s="17" t="s">
        <v>6362</v>
      </c>
      <c r="F526" s="17" t="s">
        <v>154</v>
      </c>
      <c r="G526" s="18"/>
      <c r="H526" s="18"/>
    </row>
    <row r="527" spans="1:8" ht="13.2">
      <c r="A527" s="19" t="str">
        <f>HYPERLINK("http://codeforces.com/contest/119/problem/D","CF119-D12-D")</f>
        <v>CF119-D12-D</v>
      </c>
      <c r="B527" s="15" t="s">
        <v>6438</v>
      </c>
      <c r="C527" s="17">
        <v>7.25</v>
      </c>
      <c r="D527" s="18"/>
      <c r="E527" s="17" t="s">
        <v>6439</v>
      </c>
      <c r="F527" s="17" t="s">
        <v>154</v>
      </c>
      <c r="G527" s="18"/>
      <c r="H527" s="18"/>
    </row>
    <row r="528" spans="1:8" ht="13.2">
      <c r="A528" s="19" t="str">
        <f>HYPERLINK("https://csacademy.com/contest/round-84/task/the-sprawl/statement/", "CSA84-F")</f>
        <v>CSA84-F</v>
      </c>
      <c r="B528" s="15" t="s">
        <v>1228</v>
      </c>
      <c r="C528" s="17">
        <v>7.25</v>
      </c>
      <c r="D528" s="26" t="str">
        <f>HYPERLINK("https://github.com/tmwilliamlin168/CompetitiveProgramming/blob/master/CSAcademy/84-F.cpp", "Sol")</f>
        <v>Sol</v>
      </c>
      <c r="E528" s="17" t="s">
        <v>1223</v>
      </c>
      <c r="F528" s="17" t="s">
        <v>154</v>
      </c>
      <c r="G528" s="18"/>
      <c r="H528" s="18"/>
    </row>
    <row r="529" spans="1:8" ht="13.2">
      <c r="A529" s="15" t="s">
        <v>1360</v>
      </c>
      <c r="B529" s="15" t="s">
        <v>1361</v>
      </c>
      <c r="C529" s="17">
        <v>7.25</v>
      </c>
      <c r="D529" s="18"/>
      <c r="E529" s="17" t="s">
        <v>1337</v>
      </c>
      <c r="F529" s="17" t="s">
        <v>154</v>
      </c>
      <c r="G529" s="18"/>
      <c r="H529" s="18"/>
    </row>
    <row r="530" spans="1:8" ht="13.2">
      <c r="A530" s="19" t="str">
        <f>HYPERLINK("http://codeforces.com/contest/722/problem/E","CF722-D12-E")</f>
        <v>CF722-D12-E</v>
      </c>
      <c r="B530" s="15" t="s">
        <v>1362</v>
      </c>
      <c r="C530" s="24">
        <v>7.25</v>
      </c>
      <c r="D530" s="18"/>
      <c r="E530" s="17" t="s">
        <v>1337</v>
      </c>
      <c r="F530" s="17" t="s">
        <v>154</v>
      </c>
      <c r="G530" s="18"/>
      <c r="H530" s="18"/>
    </row>
    <row r="531" spans="1:8" ht="13.2">
      <c r="A531" s="19" t="str">
        <f>HYPERLINK("http://agc033.contest.atcoder.jp/tasks/agc033_d","AtCoder033-AGC-D")</f>
        <v>AtCoder033-AGC-D</v>
      </c>
      <c r="B531" s="15" t="s">
        <v>1363</v>
      </c>
      <c r="C531" s="17">
        <v>7.25</v>
      </c>
      <c r="D531" s="26" t="str">
        <f>HYPERLINK("https://github.com/MetalBall887/Competitive-Programming/blob/master/AtCoder/AtCoder033-AGC-D.cpp","Sol")</f>
        <v>Sol</v>
      </c>
      <c r="E531" s="17" t="s">
        <v>1337</v>
      </c>
      <c r="F531" s="17" t="s">
        <v>154</v>
      </c>
      <c r="G531" s="18"/>
      <c r="H531" s="18"/>
    </row>
    <row r="532" spans="1:8" ht="13.2">
      <c r="A532" s="19" t="str">
        <f>HYPERLINK("http://codeforces.com/contest/178/problem/F2","CF178-D12-F2")</f>
        <v>CF178-D12-F2</v>
      </c>
      <c r="B532" s="29" t="s">
        <v>1364</v>
      </c>
      <c r="C532" s="17">
        <v>7.25</v>
      </c>
      <c r="D532" s="18"/>
      <c r="E532" s="17" t="s">
        <v>1337</v>
      </c>
      <c r="F532" s="17" t="s">
        <v>154</v>
      </c>
      <c r="G532" s="18"/>
      <c r="H532" s="18"/>
    </row>
    <row r="533" spans="1:8" ht="13.2">
      <c r="A533" s="19" t="str">
        <f>HYPERLINK("https://agc001.contest.atcoder.jp/tasks/agc001_e","AtCoder001-AGC-E")</f>
        <v>AtCoder001-AGC-E</v>
      </c>
      <c r="B533" s="15" t="s">
        <v>1913</v>
      </c>
      <c r="C533" s="17">
        <v>7.25</v>
      </c>
      <c r="D533" s="18"/>
      <c r="E533" s="17" t="s">
        <v>1909</v>
      </c>
      <c r="F533" s="17" t="s">
        <v>154</v>
      </c>
      <c r="G533" s="18"/>
      <c r="H533" s="18"/>
    </row>
    <row r="534" spans="1:8" ht="13.2">
      <c r="A534" s="19" t="str">
        <f>HYPERLINK("https://www.hackerrank.com/contests/hourrank-30/challenges/diverse-strings/", "HACKR diverse-strings")</f>
        <v>HACKR diverse-strings</v>
      </c>
      <c r="B534" s="20" t="s">
        <v>2159</v>
      </c>
      <c r="C534" s="17">
        <v>7.25</v>
      </c>
      <c r="D534" s="18" t="s">
        <v>2160</v>
      </c>
      <c r="E534" s="17" t="s">
        <v>2153</v>
      </c>
      <c r="F534" s="17" t="s">
        <v>154</v>
      </c>
      <c r="G534" s="18"/>
      <c r="H534" s="18"/>
    </row>
    <row r="535" spans="1:8" ht="13.2">
      <c r="A535" s="19" t="str">
        <f>HYPERLINK("http://codeforces.com/contest/982/problem/F","CF982-D2-F")</f>
        <v>CF982-D2-F</v>
      </c>
      <c r="B535" s="20" t="s">
        <v>3663</v>
      </c>
      <c r="C535" s="21">
        <v>7.25</v>
      </c>
      <c r="D535" s="26" t="str">
        <f>HYPERLINK("https://github.com/timpostuvan/CompetitiveProgramming/blob/master/Codeforces/CF982-D2-F.cpp","Sol")</f>
        <v>Sol</v>
      </c>
      <c r="E535" s="17" t="s">
        <v>3650</v>
      </c>
      <c r="F535" s="17" t="s">
        <v>154</v>
      </c>
      <c r="G535" s="18"/>
      <c r="H535" s="18"/>
    </row>
    <row r="536" spans="1:8" ht="13.2">
      <c r="A536" s="19" t="str">
        <f>HYPERLINK("http://codeforces.com/contest/827/problem/F","CF827-D12-F")</f>
        <v>CF827-D12-F</v>
      </c>
      <c r="B536" s="15" t="s">
        <v>3791</v>
      </c>
      <c r="C536" s="17">
        <v>7.25</v>
      </c>
      <c r="D536" s="18"/>
      <c r="E536" s="17" t="s">
        <v>3784</v>
      </c>
      <c r="F536" s="17" t="s">
        <v>154</v>
      </c>
      <c r="G536" s="18"/>
      <c r="H536" s="18"/>
    </row>
    <row r="537" spans="1:8" ht="13.2">
      <c r="A537" s="19" t="str">
        <f>HYPERLINK("http://codeforces.com/contest/892/problem/E","CF892-D2-E")</f>
        <v>CF892-D2-E</v>
      </c>
      <c r="B537" s="15" t="s">
        <v>4284</v>
      </c>
      <c r="C537" s="17">
        <v>7.25</v>
      </c>
      <c r="D537" s="26" t="str">
        <f>HYPERLINK("https://codeforces.com/contest/892/submission/47343108","sol")</f>
        <v>sol</v>
      </c>
      <c r="E537" s="17" t="s">
        <v>4275</v>
      </c>
      <c r="F537" s="17" t="s">
        <v>154</v>
      </c>
      <c r="G537" s="18"/>
      <c r="H537" s="18"/>
    </row>
    <row r="538" spans="1:8" ht="13.2">
      <c r="A538" s="19" t="str">
        <f>HYPERLINK("http://codeforces.com/contest/653/problem/G","CF653-D12-G")</f>
        <v>CF653-D12-G</v>
      </c>
      <c r="B538" s="15" t="s">
        <v>4966</v>
      </c>
      <c r="C538" s="17">
        <v>7.25</v>
      </c>
      <c r="D538" s="26" t="str">
        <f>HYPERLINK("http://codeforces.com/blog/entry/43886?#comment-285657","Sol - must to read")</f>
        <v>Sol - must to read</v>
      </c>
      <c r="E538" s="17" t="s">
        <v>4958</v>
      </c>
      <c r="F538" s="17" t="s">
        <v>154</v>
      </c>
      <c r="G538" s="18"/>
      <c r="H538" s="18"/>
    </row>
    <row r="539" spans="1:8" ht="13.2">
      <c r="A539" s="19" t="str">
        <f>HYPERLINK("http://codeforces.com/contest/802/problem/I","CF802-D12-I")</f>
        <v>CF802-D12-I</v>
      </c>
      <c r="B539" s="15" t="s">
        <v>5810</v>
      </c>
      <c r="C539" s="17">
        <v>7.25</v>
      </c>
      <c r="D539" s="18"/>
      <c r="E539" s="17" t="s">
        <v>5794</v>
      </c>
      <c r="F539" s="17" t="s">
        <v>139</v>
      </c>
      <c r="G539" s="18"/>
      <c r="H539" s="18"/>
    </row>
    <row r="540" spans="1:8" ht="13.2">
      <c r="A540" s="19" t="str">
        <f>HYPERLINK("https://codeforces.com/contest/1056/problem/G","CF1056-D12-G")</f>
        <v>CF1056-D12-G</v>
      </c>
      <c r="B540" s="23" t="s">
        <v>5875</v>
      </c>
      <c r="C540" s="17">
        <v>7.25</v>
      </c>
      <c r="D540" s="26" t="str">
        <f>HYPERLINK("https://github.com/quangloc99/CompetitiveProgramming/blob/master/Codeforces/CF1056-D12-G.cpp","Sol")</f>
        <v>Sol</v>
      </c>
      <c r="E540" s="17" t="s">
        <v>5874</v>
      </c>
      <c r="F540" s="17" t="s">
        <v>139</v>
      </c>
      <c r="G540" s="18"/>
      <c r="H540" s="18"/>
    </row>
    <row r="541" spans="1:8" ht="13.2">
      <c r="A541" s="19" t="str">
        <f>HYPERLINK("https://codeforces.com/gym/101908/problem/H","CF101908-Gym-H")</f>
        <v>CF101908-Gym-H</v>
      </c>
      <c r="B541" s="15" t="s">
        <v>6318</v>
      </c>
      <c r="C541" s="21">
        <v>7.25</v>
      </c>
      <c r="D541" s="26" t="str">
        <f>HYPERLINK("https://github.com/swapnil119/CompetitiveProgramming/blob/master/CompetitiveProgramming/Codeforces/CF101908-GYM-H.cpp","Sol")</f>
        <v>Sol</v>
      </c>
      <c r="E541" s="17" t="s">
        <v>6311</v>
      </c>
      <c r="F541" s="17" t="s">
        <v>139</v>
      </c>
      <c r="G541" s="18"/>
      <c r="H541" s="18"/>
    </row>
    <row r="542" spans="1:8" ht="13.2">
      <c r="A542" s="19" t="str">
        <f>HYPERLINK("https://codeforces.com/contest/1178/problem/G","CF1178-D12-G")</f>
        <v>CF1178-D12-G</v>
      </c>
      <c r="B542" s="15" t="s">
        <v>6361</v>
      </c>
      <c r="C542" s="17">
        <v>7.25</v>
      </c>
      <c r="D542" s="18"/>
      <c r="E542" s="17" t="s">
        <v>6362</v>
      </c>
      <c r="F542" s="17" t="s">
        <v>139</v>
      </c>
      <c r="G542" s="18"/>
      <c r="H542" s="18"/>
    </row>
    <row r="543" spans="1:8" ht="13.2">
      <c r="A543" s="19" t="str">
        <f>HYPERLINK("http://codeforces.com/contest/453/problem/E","CF453-D1-E")</f>
        <v>CF453-D1-E</v>
      </c>
      <c r="B543" s="15" t="s">
        <v>1048</v>
      </c>
      <c r="C543" s="24">
        <v>7.25</v>
      </c>
      <c r="D543" s="26" t="str">
        <f>HYPERLINK("https://github.com/mostafa-saad/MyCompetitiveProgramming/blob/master/Codeforces/CF453-D1-E.txt","Sol")</f>
        <v>Sol</v>
      </c>
      <c r="E543" s="17" t="s">
        <v>1018</v>
      </c>
      <c r="F543" s="17" t="s">
        <v>139</v>
      </c>
      <c r="G543" s="18"/>
      <c r="H543" s="18"/>
    </row>
    <row r="544" spans="1:8" ht="13.2">
      <c r="A544" s="19" t="str">
        <f>HYPERLINK("http://codeforces.com/contest/484/problem/E","CF484-D1-E")</f>
        <v>CF484-D1-E</v>
      </c>
      <c r="B544" s="15" t="s">
        <v>1049</v>
      </c>
      <c r="C544" s="17">
        <v>7.25</v>
      </c>
      <c r="D544" s="18"/>
      <c r="E544" s="17" t="s">
        <v>1018</v>
      </c>
      <c r="F544" s="17" t="s">
        <v>139</v>
      </c>
      <c r="G544" s="18"/>
      <c r="H544" s="18"/>
    </row>
    <row r="545" spans="1:8" ht="13.2">
      <c r="A545" s="19" t="str">
        <f>HYPERLINK("http://codeforces.com/contest/286/problem/E","CF286-D1-E")</f>
        <v>CF286-D1-E</v>
      </c>
      <c r="B545" s="15" t="s">
        <v>6515</v>
      </c>
      <c r="C545" s="24">
        <v>7.25</v>
      </c>
      <c r="D545" s="18"/>
      <c r="E545" s="17" t="s">
        <v>6511</v>
      </c>
      <c r="F545" s="17" t="s">
        <v>139</v>
      </c>
      <c r="G545" s="18"/>
      <c r="H545" s="18"/>
    </row>
    <row r="546" spans="1:8" ht="13.2">
      <c r="A546" s="19" t="str">
        <f>HYPERLINK("https://codeforces.com/problemset/problem/1131/G", "CF1131-D2-G")</f>
        <v>CF1131-D2-G</v>
      </c>
      <c r="B546" s="20" t="s">
        <v>1365</v>
      </c>
      <c r="C546" s="21">
        <v>7.25</v>
      </c>
      <c r="D546" s="18"/>
      <c r="E546" s="17" t="s">
        <v>1337</v>
      </c>
      <c r="F546" s="17" t="s">
        <v>139</v>
      </c>
      <c r="G546" s="18"/>
      <c r="H546" s="18"/>
    </row>
    <row r="547" spans="1:8" ht="13.2">
      <c r="A547" s="19" t="str">
        <f>HYPERLINK("https://codeforces.com/problemset/problem/1147/E", "CF1147-D1-E")</f>
        <v>CF1147-D1-E</v>
      </c>
      <c r="B547" s="20" t="s">
        <v>2161</v>
      </c>
      <c r="C547" s="17">
        <v>7.25</v>
      </c>
      <c r="D547" s="18"/>
      <c r="E547" s="17" t="s">
        <v>2153</v>
      </c>
      <c r="F547" s="17" t="s">
        <v>139</v>
      </c>
      <c r="G547" s="18"/>
      <c r="H547" s="18"/>
    </row>
    <row r="548" spans="1:8" ht="13.2">
      <c r="A548" s="15" t="s">
        <v>2445</v>
      </c>
      <c r="B548" s="28" t="s">
        <v>2446</v>
      </c>
      <c r="C548" s="17">
        <v>7.25</v>
      </c>
      <c r="D548" s="26" t="str">
        <f>HYPERLINK("http://codeforces.com/blog/entry/50572?&amp;mobile=true#comment-348227","Editorial")</f>
        <v>Editorial</v>
      </c>
      <c r="E548" s="17" t="s">
        <v>2442</v>
      </c>
      <c r="F548" s="17" t="s">
        <v>139</v>
      </c>
      <c r="G548" s="18"/>
      <c r="H548" s="18"/>
    </row>
    <row r="549" spans="1:8" ht="13.2">
      <c r="A549" s="19" t="str">
        <f>HYPERLINK("https://codeforces.com/problemset/problem/1032/G","CF1079-D2-G")</f>
        <v>CF1079-D2-G</v>
      </c>
      <c r="B549" s="20" t="s">
        <v>577</v>
      </c>
      <c r="C549" s="21">
        <v>7.25</v>
      </c>
      <c r="D549" s="18"/>
      <c r="E549" s="17" t="s">
        <v>575</v>
      </c>
      <c r="F549" s="17" t="s">
        <v>139</v>
      </c>
      <c r="G549" s="18"/>
      <c r="H549" s="18"/>
    </row>
    <row r="550" spans="1:8" ht="13.2">
      <c r="A550" s="19" t="str">
        <f>HYPERLINK("https://codeforces.com/problemset/problem/1104/E","CF1104-D2-E")</f>
        <v>CF1104-D2-E</v>
      </c>
      <c r="B550" s="15" t="s">
        <v>3282</v>
      </c>
      <c r="C550" s="17">
        <v>7.25</v>
      </c>
      <c r="D550" s="18"/>
      <c r="E550" s="17" t="s">
        <v>3257</v>
      </c>
      <c r="F550" s="17" t="s">
        <v>139</v>
      </c>
      <c r="G550" s="18"/>
      <c r="H550" s="18"/>
    </row>
    <row r="551" spans="1:8" ht="13.2">
      <c r="A551" s="19" t="str">
        <f>HYPERLINK("http://agc024.contest.atcoder.jp/tasks/agc024_d","AtCoder024-AGC-D")</f>
        <v>AtCoder024-AGC-D</v>
      </c>
      <c r="B551" s="15" t="s">
        <v>3649</v>
      </c>
      <c r="C551" s="17">
        <v>7.25</v>
      </c>
      <c r="D551" s="18"/>
      <c r="E551" s="17" t="s">
        <v>3650</v>
      </c>
      <c r="F551" s="17" t="s">
        <v>139</v>
      </c>
      <c r="G551" s="18"/>
      <c r="H551" s="18"/>
    </row>
    <row r="552" spans="1:8" ht="13.2">
      <c r="A552" s="19" t="str">
        <f>HYPERLINK("http://agc018.contest.atcoder.jp/tasks/agc018_d","AtCoder018-AGC-D")</f>
        <v>AtCoder018-AGC-D</v>
      </c>
      <c r="B552" s="15" t="s">
        <v>3664</v>
      </c>
      <c r="C552" s="17">
        <v>7.25</v>
      </c>
      <c r="D552" s="18"/>
      <c r="E552" s="17" t="s">
        <v>3650</v>
      </c>
      <c r="F552" s="17" t="s">
        <v>139</v>
      </c>
      <c r="G552" s="18"/>
      <c r="H552" s="18"/>
    </row>
    <row r="553" spans="1:8" ht="13.2">
      <c r="A553" s="19" t="str">
        <f>HYPERLINK("http://codeforces.com/gym/101666","CF101666-gym-H")</f>
        <v>CF101666-gym-H</v>
      </c>
      <c r="B553" s="15" t="s">
        <v>3958</v>
      </c>
      <c r="C553" s="17">
        <v>7.25</v>
      </c>
      <c r="D553" s="18"/>
      <c r="E553" s="17" t="s">
        <v>3955</v>
      </c>
      <c r="F553" s="17" t="s">
        <v>139</v>
      </c>
      <c r="G553" s="18"/>
      <c r="H553" s="18"/>
    </row>
    <row r="554" spans="1:8" ht="13.2">
      <c r="A554" s="19" t="str">
        <f>HYPERLINK("https://codeforces.com/contest/951/problem/D","CF951-D1-D")</f>
        <v>CF951-D1-D</v>
      </c>
      <c r="B554" s="15" t="s">
        <v>4285</v>
      </c>
      <c r="C554" s="17">
        <v>7.25</v>
      </c>
      <c r="D554" s="26" t="str">
        <f>HYPERLINK("https://github.com/LeTrongDat/CompetitiveProgramming/blob/master/Codeforces/CF951-D1-D.cpp","Sol")</f>
        <v>Sol</v>
      </c>
      <c r="E554" s="17" t="s">
        <v>4275</v>
      </c>
      <c r="F554" s="17" t="s">
        <v>139</v>
      </c>
      <c r="G554" s="18"/>
      <c r="H554" s="18"/>
    </row>
    <row r="555" spans="1:8" ht="13.2">
      <c r="A555" s="19" t="str">
        <f>HYPERLINK("https://codeforces.com/gym/102032/problem/E","CF102032-GYM-E")</f>
        <v>CF102032-GYM-E</v>
      </c>
      <c r="B555" s="23" t="s">
        <v>4964</v>
      </c>
      <c r="C555" s="17">
        <v>7.25</v>
      </c>
      <c r="D555" s="26" t="str">
        <f>HYPERLINK("https://github.com/mraron/CompetitiveProgramming/blob/master/CodeForces/102032E.cpp","ASol")</f>
        <v>ASol</v>
      </c>
      <c r="E555" s="17" t="s">
        <v>4958</v>
      </c>
      <c r="F555" s="17" t="s">
        <v>139</v>
      </c>
      <c r="G555" s="18"/>
      <c r="H555" s="18"/>
    </row>
    <row r="556" spans="1:8" ht="13.2">
      <c r="A556" s="15" t="s">
        <v>4967</v>
      </c>
      <c r="B556" s="28" t="s">
        <v>4968</v>
      </c>
      <c r="C556" s="24">
        <v>7.25</v>
      </c>
      <c r="D556" s="18"/>
      <c r="E556" s="17" t="s">
        <v>4958</v>
      </c>
      <c r="F556" s="17" t="s">
        <v>139</v>
      </c>
      <c r="G556" s="18"/>
      <c r="H556" s="18"/>
    </row>
    <row r="557" spans="1:8" ht="13.2">
      <c r="A557" s="19" t="str">
        <f>HYPERLINK("http://codeforces.com/contest/111/problem/D","CF111-D1-D")</f>
        <v>CF111-D1-D</v>
      </c>
      <c r="B557" s="29" t="s">
        <v>5532</v>
      </c>
      <c r="C557" s="17">
        <v>7.25</v>
      </c>
      <c r="D557" s="18"/>
      <c r="E557" s="17" t="s">
        <v>5524</v>
      </c>
      <c r="F557" s="17" t="s">
        <v>139</v>
      </c>
      <c r="G557" s="18"/>
      <c r="H557" s="18"/>
    </row>
    <row r="558" spans="1:8" ht="13.2">
      <c r="A558" s="15" t="s">
        <v>5578</v>
      </c>
      <c r="B558" s="30" t="s">
        <v>5579</v>
      </c>
      <c r="C558" s="17">
        <v>7.25</v>
      </c>
      <c r="D558" s="26" t="str">
        <f>HYPERLINK("https://github.com/mostafa-saad/MyCompetitiveProgramming/blob/master/UVA/UVA_10837.txt","Sol")</f>
        <v>Sol</v>
      </c>
      <c r="E558" s="17" t="s">
        <v>5575</v>
      </c>
      <c r="F558" s="17" t="s">
        <v>139</v>
      </c>
      <c r="G558" s="18"/>
      <c r="H558" s="18"/>
    </row>
    <row r="559" spans="1:8" ht="13.2">
      <c r="A559" s="19" t="str">
        <f>HYPERLINK("https://vjudge.net/problem/27056","LightOJ 1348")</f>
        <v>LightOJ 1348</v>
      </c>
      <c r="B559" s="23" t="s">
        <v>1229</v>
      </c>
      <c r="C559" s="17">
        <v>7.25</v>
      </c>
      <c r="D559" s="18"/>
      <c r="E559" s="17" t="s">
        <v>1223</v>
      </c>
      <c r="F559" s="17" t="s">
        <v>201</v>
      </c>
      <c r="G559" s="18"/>
      <c r="H559" s="18"/>
    </row>
    <row r="560" spans="1:8" ht="13.2">
      <c r="A560" s="19" t="str">
        <f>HYPERLINK("http://codeforces.com/gym/101650","CF101650-gym-I")</f>
        <v>CF101650-gym-I</v>
      </c>
      <c r="B560" s="15" t="s">
        <v>3959</v>
      </c>
      <c r="C560" s="17">
        <v>7.25</v>
      </c>
      <c r="D560" s="26" t="str">
        <f>HYPERLINK("https://github.com/pranavjangir/CompetitiveProgramming/blob/master/CodeForces/CF101650-GYM-I.cpp","Sol")</f>
        <v>Sol</v>
      </c>
      <c r="E560" s="17" t="s">
        <v>3955</v>
      </c>
      <c r="F560" s="17" t="s">
        <v>201</v>
      </c>
      <c r="G560" s="18"/>
      <c r="H560" s="18"/>
    </row>
    <row r="561" spans="1:8" ht="13.2">
      <c r="A561" s="15" t="s">
        <v>4079</v>
      </c>
      <c r="B561" s="29" t="s">
        <v>4080</v>
      </c>
      <c r="C561" s="17">
        <v>7.25</v>
      </c>
      <c r="D561" s="26" t="str">
        <f>HYPERLINK("https://github.com/HeartBlue/CompetitiveProgramming/blob/master/SPOJ/SPOJ%20NWERC11D%20Piece%20it%20together.cpp","Sol")</f>
        <v>Sol</v>
      </c>
      <c r="E561" s="17" t="s">
        <v>4060</v>
      </c>
      <c r="F561" s="17" t="s">
        <v>201</v>
      </c>
      <c r="G561" s="18"/>
      <c r="H561" s="18"/>
    </row>
    <row r="562" spans="1:8" ht="13.2">
      <c r="A562" s="15" t="s">
        <v>4424</v>
      </c>
      <c r="B562" s="30" t="s">
        <v>4425</v>
      </c>
      <c r="C562" s="17">
        <v>7.25</v>
      </c>
      <c r="D562" s="18"/>
      <c r="E562" s="17" t="s">
        <v>4423</v>
      </c>
      <c r="F562" s="17" t="s">
        <v>201</v>
      </c>
      <c r="G562" s="18"/>
      <c r="H562" s="18"/>
    </row>
    <row r="563" spans="1:8" ht="13.2">
      <c r="A563" s="19" t="str">
        <f>HYPERLINK("https://codeforces.com/contest/1137/problem/D","CF1137-D1-D")</f>
        <v>CF1137-D1-D</v>
      </c>
      <c r="B563" s="15" t="s">
        <v>4554</v>
      </c>
      <c r="C563" s="17">
        <v>7.25</v>
      </c>
      <c r="D563" s="18"/>
      <c r="E563" s="17" t="s">
        <v>4531</v>
      </c>
      <c r="F563" s="17" t="s">
        <v>201</v>
      </c>
      <c r="G563" s="18"/>
      <c r="H563" s="18"/>
    </row>
    <row r="564" spans="1:8" ht="13.2">
      <c r="A564" s="15" t="s">
        <v>4555</v>
      </c>
      <c r="B564" s="15" t="s">
        <v>4556</v>
      </c>
      <c r="C564" s="17">
        <v>7.25</v>
      </c>
      <c r="D564" s="18"/>
      <c r="E564" s="17" t="s">
        <v>4531</v>
      </c>
      <c r="F564" s="17" t="s">
        <v>201</v>
      </c>
      <c r="G564" s="18"/>
      <c r="H564" s="18"/>
    </row>
    <row r="565" spans="1:8" ht="13.2">
      <c r="A565" s="19" t="str">
        <f>HYPERLINK("http://codeforces.com/gym/101064/problem/L","CF101064-GYM-L")</f>
        <v>CF101064-GYM-L</v>
      </c>
      <c r="B565" s="15" t="s">
        <v>1366</v>
      </c>
      <c r="C565" s="17">
        <v>7.25</v>
      </c>
      <c r="D565" s="18"/>
      <c r="E565" s="17" t="s">
        <v>1337</v>
      </c>
      <c r="F565" s="17" t="s">
        <v>242</v>
      </c>
      <c r="G565" s="18"/>
      <c r="H565" s="18"/>
    </row>
    <row r="566" spans="1:8" ht="13.2">
      <c r="A566" s="19" t="str">
        <f>HYPERLINK("https://codeforces.com/contest/128/problem/D","CF128-D1-D")</f>
        <v>CF128-D1-D</v>
      </c>
      <c r="B566" s="15" t="s">
        <v>124</v>
      </c>
      <c r="C566" s="17">
        <v>7.25</v>
      </c>
      <c r="D566" s="18"/>
      <c r="E566" s="17" t="s">
        <v>125</v>
      </c>
      <c r="F566" s="17"/>
      <c r="G566" s="18"/>
      <c r="H566" s="18"/>
    </row>
    <row r="567" spans="1:8" ht="13.2">
      <c r="A567" s="15" t="s">
        <v>160</v>
      </c>
      <c r="B567" s="16" t="s">
        <v>124</v>
      </c>
      <c r="C567" s="17">
        <v>7.25</v>
      </c>
      <c r="D567" s="18"/>
      <c r="E567" s="17" t="s">
        <v>125</v>
      </c>
      <c r="F567" s="17"/>
      <c r="G567" s="18"/>
      <c r="H567" s="18"/>
    </row>
    <row r="568" spans="1:8" ht="13.2">
      <c r="A568" s="15" t="s">
        <v>161</v>
      </c>
      <c r="B568" s="16" t="s">
        <v>162</v>
      </c>
      <c r="C568" s="17">
        <v>7.25</v>
      </c>
      <c r="D568" s="18"/>
      <c r="E568" s="17" t="s">
        <v>125</v>
      </c>
      <c r="F568" s="17"/>
      <c r="G568" s="18"/>
      <c r="H568" s="18"/>
    </row>
    <row r="569" spans="1:8" ht="13.2">
      <c r="A569" s="19" t="str">
        <f>HYPERLINK("https://community.topcoder.com/stat?c=problem_statement&amp;pm=7848","TC(Rafting)")</f>
        <v>TC(Rafting)</v>
      </c>
      <c r="B569" s="30" t="s">
        <v>909</v>
      </c>
      <c r="C569" s="24">
        <v>7.25</v>
      </c>
      <c r="D569" s="26" t="str">
        <f>HYPERLINK("https://www.topcoder.com/tc?module=Static&amp;d1=tournaments&amp;d2=tco07&amp;d3=algorithm&amp;d4=algoFinals","Editorial")</f>
        <v>Editorial</v>
      </c>
      <c r="E569" s="17" t="s">
        <v>910</v>
      </c>
      <c r="F569" s="17"/>
      <c r="G569" s="18"/>
      <c r="H569" s="18"/>
    </row>
    <row r="570" spans="1:8" ht="13.2">
      <c r="A570" s="15" t="s">
        <v>5703</v>
      </c>
      <c r="B570" s="28" t="s">
        <v>5704</v>
      </c>
      <c r="C570" s="17">
        <v>7.25</v>
      </c>
      <c r="D570" s="18"/>
      <c r="E570" s="17" t="s">
        <v>5702</v>
      </c>
      <c r="F570" s="17"/>
      <c r="G570" s="18"/>
      <c r="H570" s="18"/>
    </row>
    <row r="571" spans="1:8" ht="13.2">
      <c r="A571" s="15" t="s">
        <v>5764</v>
      </c>
      <c r="B571" s="29" t="s">
        <v>5763</v>
      </c>
      <c r="C571" s="24">
        <v>7.25</v>
      </c>
      <c r="D571" s="18"/>
      <c r="E571" s="17" t="s">
        <v>5761</v>
      </c>
      <c r="F571" s="17"/>
      <c r="G571" s="18"/>
      <c r="H571" s="18"/>
    </row>
    <row r="572" spans="1:8" ht="13.2">
      <c r="A572" s="15" t="s">
        <v>5765</v>
      </c>
      <c r="B572" s="28" t="s">
        <v>5763</v>
      </c>
      <c r="C572" s="24">
        <v>7.25</v>
      </c>
      <c r="D572" s="18"/>
      <c r="E572" s="17" t="s">
        <v>5761</v>
      </c>
      <c r="F572" s="17"/>
      <c r="G572" s="18"/>
      <c r="H572" s="18"/>
    </row>
    <row r="573" spans="1:8" ht="13.2">
      <c r="A573" s="15" t="s">
        <v>5811</v>
      </c>
      <c r="B573" s="15" t="s">
        <v>5812</v>
      </c>
      <c r="C573" s="17">
        <v>7.25</v>
      </c>
      <c r="D573" s="18"/>
      <c r="E573" s="17" t="s">
        <v>5794</v>
      </c>
      <c r="F573" s="17"/>
      <c r="G573" s="18"/>
      <c r="H573" s="18"/>
    </row>
    <row r="574" spans="1:8" ht="13.2">
      <c r="A574" s="15" t="s">
        <v>5813</v>
      </c>
      <c r="B574" s="29" t="s">
        <v>5814</v>
      </c>
      <c r="C574" s="24">
        <v>7.25</v>
      </c>
      <c r="D574" s="18"/>
      <c r="E574" s="17" t="s">
        <v>5794</v>
      </c>
      <c r="F574" s="17"/>
      <c r="G574" s="18"/>
      <c r="H574" s="18"/>
    </row>
    <row r="575" spans="1:8" ht="13.2">
      <c r="A575" s="15" t="s">
        <v>5815</v>
      </c>
      <c r="B575" s="29" t="s">
        <v>5816</v>
      </c>
      <c r="C575" s="24">
        <v>7.25</v>
      </c>
      <c r="D575" s="18"/>
      <c r="E575" s="17" t="s">
        <v>5794</v>
      </c>
      <c r="F575" s="17"/>
      <c r="G575" s="18"/>
      <c r="H575" s="18"/>
    </row>
    <row r="576" spans="1:8" ht="13.2">
      <c r="A576" s="15" t="s">
        <v>5876</v>
      </c>
      <c r="B576" s="29" t="s">
        <v>5877</v>
      </c>
      <c r="C576" s="24">
        <v>7.25</v>
      </c>
      <c r="D576" s="18"/>
      <c r="E576" s="17" t="s">
        <v>5874</v>
      </c>
      <c r="F576" s="17"/>
      <c r="G576" s="18"/>
      <c r="H576" s="18"/>
    </row>
    <row r="577" spans="1:8" ht="13.2">
      <c r="A577" s="19" t="str">
        <f>HYPERLINK("http://codeforces.com/problemset/problem/375/D","Codechef GERALD3")</f>
        <v>Codechef GERALD3</v>
      </c>
      <c r="B577" s="38" t="s">
        <v>5914</v>
      </c>
      <c r="C577" s="17">
        <v>7.25</v>
      </c>
      <c r="D577" s="18"/>
      <c r="E577" s="17" t="s">
        <v>5915</v>
      </c>
      <c r="F577" s="17"/>
      <c r="G577" s="18"/>
      <c r="H577" s="18"/>
    </row>
    <row r="578" spans="1:8" ht="13.2">
      <c r="A578" s="19" t="s">
        <v>5916</v>
      </c>
      <c r="B578" s="38" t="s">
        <v>5914</v>
      </c>
      <c r="C578" s="17">
        <v>7.25</v>
      </c>
      <c r="D578" s="18"/>
      <c r="E578" s="17" t="s">
        <v>5915</v>
      </c>
      <c r="F578" s="17"/>
      <c r="G578" s="18"/>
      <c r="H578" s="18"/>
    </row>
    <row r="579" spans="1:8" ht="13.2">
      <c r="A579" s="19" t="s">
        <v>5917</v>
      </c>
      <c r="B579" s="38" t="s">
        <v>5914</v>
      </c>
      <c r="C579" s="17">
        <v>7.25</v>
      </c>
      <c r="D579" s="18"/>
      <c r="E579" s="17" t="s">
        <v>5915</v>
      </c>
      <c r="F579" s="17"/>
      <c r="G579" s="18"/>
      <c r="H579" s="18"/>
    </row>
    <row r="580" spans="1:8" ht="13.2">
      <c r="A580" s="19" t="s">
        <v>5918</v>
      </c>
      <c r="B580" s="38" t="s">
        <v>5914</v>
      </c>
      <c r="C580" s="17">
        <v>7.25</v>
      </c>
      <c r="D580" s="18"/>
      <c r="E580" s="17" t="s">
        <v>5915</v>
      </c>
      <c r="F580" s="17"/>
      <c r="G580" s="18"/>
      <c r="H580" s="18"/>
    </row>
    <row r="581" spans="1:8" ht="13.2">
      <c r="A581" s="19" t="s">
        <v>5919</v>
      </c>
      <c r="B581" s="38" t="s">
        <v>5914</v>
      </c>
      <c r="C581" s="17">
        <v>7.25</v>
      </c>
      <c r="D581" s="18"/>
      <c r="E581" s="17" t="s">
        <v>5915</v>
      </c>
      <c r="F581" s="17"/>
      <c r="G581" s="18"/>
      <c r="H581" s="18"/>
    </row>
    <row r="582" spans="1:8" ht="13.2">
      <c r="A582" s="19" t="s">
        <v>5920</v>
      </c>
      <c r="B582" s="38" t="s">
        <v>5914</v>
      </c>
      <c r="C582" s="17">
        <v>7.25</v>
      </c>
      <c r="D582" s="18"/>
      <c r="E582" s="17" t="s">
        <v>5915</v>
      </c>
      <c r="F582" s="17"/>
      <c r="G582" s="18"/>
      <c r="H582" s="18"/>
    </row>
    <row r="583" spans="1:8" ht="13.2">
      <c r="A583" s="15" t="s">
        <v>5921</v>
      </c>
      <c r="B583" s="38" t="s">
        <v>5922</v>
      </c>
      <c r="C583" s="17">
        <v>7.25</v>
      </c>
      <c r="D583" s="18"/>
      <c r="E583" s="17" t="s">
        <v>5915</v>
      </c>
      <c r="F583" s="17"/>
      <c r="G583" s="18"/>
      <c r="H583" s="18"/>
    </row>
    <row r="584" spans="1:8" ht="13.2">
      <c r="A584" s="19" t="str">
        <f>HYPERLINK("https://www.codechef.com/problems/LEBOXES","CODECHEF LEBOXES")</f>
        <v>CODECHEF LEBOXES</v>
      </c>
      <c r="B584" s="18" t="s">
        <v>952</v>
      </c>
      <c r="C584" s="17">
        <v>7.25</v>
      </c>
      <c r="D584" s="18"/>
      <c r="E584" s="17" t="s">
        <v>951</v>
      </c>
      <c r="F584" s="17"/>
      <c r="G584" s="18"/>
      <c r="H584" s="18"/>
    </row>
    <row r="585" spans="1:8" ht="13.2">
      <c r="A585" s="15" t="s">
        <v>6073</v>
      </c>
      <c r="B585" s="29" t="s">
        <v>6074</v>
      </c>
      <c r="C585" s="24">
        <v>7.25</v>
      </c>
      <c r="D585" s="18"/>
      <c r="E585" s="17" t="s">
        <v>6075</v>
      </c>
      <c r="F585" s="17"/>
      <c r="G585" s="18"/>
      <c r="H585" s="18"/>
    </row>
    <row r="586" spans="1:8" ht="13.2">
      <c r="A586" s="15" t="s">
        <v>6076</v>
      </c>
      <c r="B586" s="29" t="s">
        <v>6077</v>
      </c>
      <c r="C586" s="24">
        <v>7.25</v>
      </c>
      <c r="D586" s="18"/>
      <c r="E586" s="17" t="s">
        <v>6075</v>
      </c>
      <c r="F586" s="17"/>
      <c r="G586" s="18"/>
      <c r="H586" s="18"/>
    </row>
    <row r="587" spans="1:8" ht="13.2">
      <c r="A587" s="15" t="s">
        <v>6078</v>
      </c>
      <c r="B587" s="29" t="s">
        <v>6079</v>
      </c>
      <c r="C587" s="24">
        <v>7.25</v>
      </c>
      <c r="D587" s="18"/>
      <c r="E587" s="17" t="s">
        <v>6075</v>
      </c>
      <c r="F587" s="17"/>
      <c r="G587" s="18"/>
      <c r="H587" s="18"/>
    </row>
    <row r="588" spans="1:8" ht="13.2">
      <c r="A588" s="15" t="s">
        <v>6161</v>
      </c>
      <c r="B588" s="30" t="s">
        <v>6162</v>
      </c>
      <c r="C588" s="40">
        <v>7.25</v>
      </c>
      <c r="D588" s="18"/>
      <c r="E588" s="17" t="s">
        <v>6157</v>
      </c>
      <c r="F588" s="17"/>
      <c r="G588" s="18"/>
      <c r="H588" s="18"/>
    </row>
    <row r="589" spans="1:8" ht="13.2">
      <c r="A589" s="15" t="s">
        <v>6319</v>
      </c>
      <c r="B589" s="30" t="s">
        <v>6320</v>
      </c>
      <c r="C589" s="24">
        <v>7.25</v>
      </c>
      <c r="D589" s="18"/>
      <c r="E589" s="17" t="s">
        <v>6311</v>
      </c>
      <c r="F589" s="17"/>
      <c r="G589" s="18"/>
      <c r="H589" s="18"/>
    </row>
    <row r="590" spans="1:8" ht="13.2">
      <c r="A590" s="15" t="s">
        <v>6321</v>
      </c>
      <c r="B590" s="29" t="s">
        <v>6314</v>
      </c>
      <c r="C590" s="24">
        <v>7.25</v>
      </c>
      <c r="D590" s="18"/>
      <c r="E590" s="17" t="s">
        <v>6311</v>
      </c>
      <c r="F590" s="17"/>
      <c r="G590" s="18"/>
      <c r="H590" s="18"/>
    </row>
    <row r="591" spans="1:8" ht="13.2">
      <c r="A591" s="19" t="str">
        <f>HYPERLINK("https://www.codechef.com/DEC18A/problems/CBFEAST","CODECHEF CBFEAST")</f>
        <v>CODECHEF CBFEAST</v>
      </c>
      <c r="B591" s="15" t="s">
        <v>1050</v>
      </c>
      <c r="C591" s="17">
        <v>7.25</v>
      </c>
      <c r="D591" s="18"/>
      <c r="E591" s="17" t="s">
        <v>1018</v>
      </c>
      <c r="F591" s="17"/>
      <c r="G591" s="18"/>
      <c r="H591" s="18"/>
    </row>
    <row r="592" spans="1:8" ht="13.2">
      <c r="A592" s="19" t="str">
        <f>HYPERLINK("http://agc036.contest.atcoder.jp/tasks/agc036_d","AtCoder036-AGC-D")</f>
        <v>AtCoder036-AGC-D</v>
      </c>
      <c r="B592" s="15" t="s">
        <v>1348</v>
      </c>
      <c r="C592" s="17">
        <v>7.25</v>
      </c>
      <c r="D592" s="18"/>
      <c r="E592" s="17" t="s">
        <v>1337</v>
      </c>
      <c r="F592" s="17"/>
      <c r="G592" s="18"/>
      <c r="H592" s="18"/>
    </row>
    <row r="593" spans="1:8" ht="13.2">
      <c r="A593" s="15" t="s">
        <v>1367</v>
      </c>
      <c r="B593" s="39" t="s">
        <v>1348</v>
      </c>
      <c r="C593" s="40">
        <v>7.25</v>
      </c>
      <c r="D593" s="18"/>
      <c r="E593" s="17" t="s">
        <v>1337</v>
      </c>
      <c r="F593" s="17"/>
      <c r="G593" s="18"/>
      <c r="H593" s="18"/>
    </row>
    <row r="594" spans="1:8" ht="13.2">
      <c r="A594" s="19" t="str">
        <f>HYPERLINK("http://codeforces.com/contest/979/problem/E","CF979-D2-E")</f>
        <v>CF979-D2-E</v>
      </c>
      <c r="B594" s="23" t="s">
        <v>1368</v>
      </c>
      <c r="C594" s="17">
        <v>7.25</v>
      </c>
      <c r="D594" s="26" t="str">
        <f>HYPERLINK("https://github.com/timpostuvan/CompetitiveProgramming/blob/master/Codeforces/CF979-D2-E.cpp","SolToMe")</f>
        <v>SolToMe</v>
      </c>
      <c r="E594" s="17" t="s">
        <v>1337</v>
      </c>
      <c r="F594" s="17"/>
      <c r="G594" s="18"/>
      <c r="H594" s="18"/>
    </row>
    <row r="595" spans="1:8" ht="13.2">
      <c r="A595" s="19" t="str">
        <f>HYPERLINK("http://codeforces.com/contest/477/problem/D","CF477-D1-D")</f>
        <v>CF477-D1-D</v>
      </c>
      <c r="B595" s="23" t="s">
        <v>1369</v>
      </c>
      <c r="C595" s="24">
        <v>7.25</v>
      </c>
      <c r="D595" s="18"/>
      <c r="E595" s="17" t="s">
        <v>1337</v>
      </c>
      <c r="F595" s="17"/>
      <c r="G595" s="18"/>
      <c r="H595" s="18"/>
    </row>
    <row r="596" spans="1:8" ht="13.2">
      <c r="A596" s="15" t="s">
        <v>1823</v>
      </c>
      <c r="B596" s="30" t="s">
        <v>1824</v>
      </c>
      <c r="C596" s="17">
        <v>7.25</v>
      </c>
      <c r="D596" s="18"/>
      <c r="E596" s="17" t="s">
        <v>1819</v>
      </c>
      <c r="F596" s="17"/>
      <c r="G596" s="18"/>
      <c r="H596" s="18"/>
    </row>
    <row r="597" spans="1:8" ht="13.2">
      <c r="A597" s="19" t="str">
        <f>HYPERLINK("https://agc012.contest.atcoder.jp/tasks/agc012_e","AtCoder012-AGC-E")</f>
        <v>AtCoder012-AGC-E</v>
      </c>
      <c r="B597" s="15" t="s">
        <v>1825</v>
      </c>
      <c r="C597" s="17">
        <v>7.25</v>
      </c>
      <c r="D597" s="18"/>
      <c r="E597" s="17" t="s">
        <v>1819</v>
      </c>
      <c r="F597" s="17"/>
      <c r="G597" s="18"/>
      <c r="H597" s="18"/>
    </row>
    <row r="598" spans="1:8" ht="13.2">
      <c r="A598" s="15" t="s">
        <v>1920</v>
      </c>
      <c r="B598" s="30" t="s">
        <v>1921</v>
      </c>
      <c r="C598" s="24">
        <v>7.25</v>
      </c>
      <c r="D598" s="18"/>
      <c r="E598" s="17" t="s">
        <v>1909</v>
      </c>
      <c r="F598" s="17"/>
      <c r="G598" s="18"/>
      <c r="H598" s="18"/>
    </row>
    <row r="599" spans="1:8" ht="13.2">
      <c r="A599" s="15" t="s">
        <v>1922</v>
      </c>
      <c r="B599" s="28" t="s">
        <v>1923</v>
      </c>
      <c r="C599" s="24">
        <v>7.25</v>
      </c>
      <c r="D599" s="18"/>
      <c r="E599" s="17" t="s">
        <v>1909</v>
      </c>
      <c r="F599" s="17"/>
      <c r="G599" s="18"/>
      <c r="H599" s="18"/>
    </row>
    <row r="600" spans="1:8" ht="13.2">
      <c r="A600" s="15" t="s">
        <v>2162</v>
      </c>
      <c r="B600" s="18" t="s">
        <v>2163</v>
      </c>
      <c r="C600" s="17">
        <v>7.25</v>
      </c>
      <c r="D600" s="18"/>
      <c r="E600" s="17" t="s">
        <v>2153</v>
      </c>
      <c r="F600" s="17"/>
      <c r="G600" s="18"/>
      <c r="H600" s="18"/>
    </row>
    <row r="601" spans="1:8" ht="13.2">
      <c r="A601" s="19" t="str">
        <f>HYPERLINK("http://codeforces.com/contest/42/problem/D","CF42-D12-D")</f>
        <v>CF42-D12-D</v>
      </c>
      <c r="B601" s="29" t="s">
        <v>2164</v>
      </c>
      <c r="C601" s="17">
        <v>7.25</v>
      </c>
      <c r="D601" s="18"/>
      <c r="E601" s="17" t="s">
        <v>2153</v>
      </c>
      <c r="F601" s="17"/>
      <c r="G601" s="18"/>
      <c r="H601" s="18"/>
    </row>
    <row r="602" spans="1:8" ht="13.2">
      <c r="A602" s="15" t="s">
        <v>2530</v>
      </c>
      <c r="B602" s="28" t="s">
        <v>2509</v>
      </c>
      <c r="C602" s="24">
        <v>7.25</v>
      </c>
      <c r="D602" s="18"/>
      <c r="E602" s="17" t="s">
        <v>2510</v>
      </c>
      <c r="F602" s="17"/>
      <c r="G602" s="18"/>
      <c r="H602" s="18"/>
    </row>
    <row r="603" spans="1:8" ht="13.2">
      <c r="A603" s="15" t="s">
        <v>2531</v>
      </c>
      <c r="B603" s="28" t="s">
        <v>2509</v>
      </c>
      <c r="C603" s="24">
        <v>7.25</v>
      </c>
      <c r="D603" s="18"/>
      <c r="E603" s="17" t="s">
        <v>2510</v>
      </c>
      <c r="F603" s="17"/>
      <c r="G603" s="18"/>
      <c r="H603" s="18"/>
    </row>
    <row r="604" spans="1:8" ht="13.2">
      <c r="A604" s="15" t="s">
        <v>2532</v>
      </c>
      <c r="B604" s="28" t="s">
        <v>2533</v>
      </c>
      <c r="C604" s="24">
        <v>7.25</v>
      </c>
      <c r="D604" s="18"/>
      <c r="E604" s="17" t="s">
        <v>2510</v>
      </c>
      <c r="F604" s="17"/>
      <c r="G604" s="18"/>
      <c r="H604" s="18"/>
    </row>
    <row r="605" spans="1:8" ht="13.2">
      <c r="A605" s="15" t="s">
        <v>2534</v>
      </c>
      <c r="B605" s="28" t="s">
        <v>2535</v>
      </c>
      <c r="C605" s="24">
        <v>7.25</v>
      </c>
      <c r="D605" s="18"/>
      <c r="E605" s="17" t="s">
        <v>2510</v>
      </c>
      <c r="F605" s="17"/>
      <c r="G605" s="18"/>
      <c r="H605" s="18"/>
    </row>
    <row r="606" spans="1:8" ht="13.2">
      <c r="A606" s="15" t="s">
        <v>2536</v>
      </c>
      <c r="B606" s="28" t="s">
        <v>2537</v>
      </c>
      <c r="C606" s="24">
        <v>7.25</v>
      </c>
      <c r="D606" s="18"/>
      <c r="E606" s="17" t="s">
        <v>2510</v>
      </c>
      <c r="F606" s="17"/>
      <c r="G606" s="18"/>
      <c r="H606" s="18"/>
    </row>
    <row r="607" spans="1:8" ht="13.2">
      <c r="A607" s="15" t="s">
        <v>2538</v>
      </c>
      <c r="B607" s="29" t="s">
        <v>2539</v>
      </c>
      <c r="C607" s="24">
        <v>7.25</v>
      </c>
      <c r="D607" s="18"/>
      <c r="E607" s="24" t="s">
        <v>2510</v>
      </c>
      <c r="F607" s="17"/>
      <c r="G607" s="18"/>
      <c r="H607" s="18"/>
    </row>
    <row r="608" spans="1:8" ht="13.2">
      <c r="A608" s="15" t="s">
        <v>2540</v>
      </c>
      <c r="B608" s="16" t="s">
        <v>2541</v>
      </c>
      <c r="C608" s="17">
        <v>7.25</v>
      </c>
      <c r="D608" s="18"/>
      <c r="E608" s="17" t="s">
        <v>2510</v>
      </c>
      <c r="F608" s="17"/>
      <c r="G608" s="18"/>
      <c r="H608" s="18"/>
    </row>
    <row r="609" spans="1:8" ht="13.2">
      <c r="A609" s="15" t="s">
        <v>2542</v>
      </c>
      <c r="B609" s="30" t="s">
        <v>2543</v>
      </c>
      <c r="C609" s="24">
        <v>7.25</v>
      </c>
      <c r="D609" s="18"/>
      <c r="E609" s="17" t="s">
        <v>2510</v>
      </c>
      <c r="F609" s="17"/>
      <c r="G609" s="18"/>
      <c r="H609" s="18"/>
    </row>
    <row r="610" spans="1:8" ht="13.2">
      <c r="A610" s="15" t="s">
        <v>2544</v>
      </c>
      <c r="B610" s="28" t="s">
        <v>2545</v>
      </c>
      <c r="C610" s="24">
        <v>7.25</v>
      </c>
      <c r="D610" s="26" t="str">
        <f>HYPERLINK("https://github.com/infnty/acm/blob/master/acm.uva.es/10864.c","Sol")</f>
        <v>Sol</v>
      </c>
      <c r="E610" s="17" t="s">
        <v>2510</v>
      </c>
      <c r="F610" s="17"/>
      <c r="G610" s="18"/>
      <c r="H610" s="18"/>
    </row>
    <row r="611" spans="1:8" ht="13.2">
      <c r="A611" s="15" t="s">
        <v>2546</v>
      </c>
      <c r="B611" s="29" t="s">
        <v>2547</v>
      </c>
      <c r="C611" s="24">
        <v>7.25</v>
      </c>
      <c r="D611" s="18"/>
      <c r="E611" s="17" t="s">
        <v>2510</v>
      </c>
      <c r="F611" s="17"/>
      <c r="G611" s="18"/>
      <c r="H611" s="18"/>
    </row>
    <row r="612" spans="1:8" ht="13.2">
      <c r="A612" s="15" t="s">
        <v>2548</v>
      </c>
      <c r="B612" s="30" t="s">
        <v>2549</v>
      </c>
      <c r="C612" s="24">
        <v>7.25</v>
      </c>
      <c r="D612" s="18"/>
      <c r="E612" s="17" t="s">
        <v>2510</v>
      </c>
      <c r="F612" s="17"/>
      <c r="G612" s="18"/>
      <c r="H612" s="18"/>
    </row>
    <row r="613" spans="1:8" ht="13.2">
      <c r="A613" s="15" t="s">
        <v>2806</v>
      </c>
      <c r="B613" s="30" t="s">
        <v>2800</v>
      </c>
      <c r="C613" s="24">
        <v>7.25</v>
      </c>
      <c r="D613" s="18"/>
      <c r="E613" s="17" t="s">
        <v>2798</v>
      </c>
      <c r="F613" s="17"/>
      <c r="G613" s="18"/>
      <c r="H613" s="18"/>
    </row>
    <row r="614" spans="1:8" ht="13.2">
      <c r="A614" s="15" t="s">
        <v>2807</v>
      </c>
      <c r="B614" s="30" t="s">
        <v>2808</v>
      </c>
      <c r="C614" s="24">
        <v>7.25</v>
      </c>
      <c r="D614" s="18"/>
      <c r="E614" s="17" t="s">
        <v>2798</v>
      </c>
      <c r="F614" s="17"/>
      <c r="G614" s="18"/>
      <c r="H614" s="18"/>
    </row>
    <row r="615" spans="1:8" ht="13.2">
      <c r="A615" s="15" t="s">
        <v>2809</v>
      </c>
      <c r="B615" s="16" t="s">
        <v>2810</v>
      </c>
      <c r="C615" s="17">
        <v>7.25</v>
      </c>
      <c r="D615" s="18"/>
      <c r="E615" s="17" t="s">
        <v>2798</v>
      </c>
      <c r="F615" s="17"/>
      <c r="G615" s="18"/>
      <c r="H615" s="18"/>
    </row>
    <row r="616" spans="1:8" ht="13.2">
      <c r="A616" s="15" t="s">
        <v>2811</v>
      </c>
      <c r="B616" s="30" t="s">
        <v>2812</v>
      </c>
      <c r="C616" s="24">
        <v>7.25</v>
      </c>
      <c r="D616" s="18"/>
      <c r="E616" s="17" t="s">
        <v>2798</v>
      </c>
      <c r="F616" s="17"/>
      <c r="G616" s="18"/>
      <c r="H616" s="18"/>
    </row>
    <row r="617" spans="1:8" ht="13.2">
      <c r="A617" s="15" t="s">
        <v>2877</v>
      </c>
      <c r="B617" s="28" t="s">
        <v>2878</v>
      </c>
      <c r="C617" s="24">
        <v>7.25</v>
      </c>
      <c r="D617" s="18"/>
      <c r="E617" s="17" t="s">
        <v>2865</v>
      </c>
      <c r="F617" s="17"/>
      <c r="G617" s="18"/>
      <c r="H617" s="18"/>
    </row>
    <row r="618" spans="1:8" ht="13.2">
      <c r="A618" s="15" t="s">
        <v>2879</v>
      </c>
      <c r="B618" s="30" t="s">
        <v>2871</v>
      </c>
      <c r="C618" s="24">
        <v>7.25</v>
      </c>
      <c r="D618" s="18"/>
      <c r="E618" s="17" t="s">
        <v>2865</v>
      </c>
      <c r="F618" s="17"/>
      <c r="G618" s="18"/>
      <c r="H618" s="18"/>
    </row>
    <row r="619" spans="1:8" ht="13.2">
      <c r="A619" s="15" t="s">
        <v>2964</v>
      </c>
      <c r="B619" s="30" t="s">
        <v>2965</v>
      </c>
      <c r="C619" s="24">
        <v>7.25</v>
      </c>
      <c r="D619" s="18"/>
      <c r="E619" s="17" t="s">
        <v>2948</v>
      </c>
      <c r="F619" s="17"/>
      <c r="G619" s="18"/>
      <c r="H619" s="18"/>
    </row>
    <row r="620" spans="1:8" ht="13.2">
      <c r="A620" s="15" t="s">
        <v>2966</v>
      </c>
      <c r="B620" s="30" t="s">
        <v>2967</v>
      </c>
      <c r="C620" s="24">
        <v>7.25</v>
      </c>
      <c r="D620" s="18"/>
      <c r="E620" s="17" t="s">
        <v>2948</v>
      </c>
      <c r="F620" s="17"/>
      <c r="G620" s="18"/>
      <c r="H620" s="18"/>
    </row>
    <row r="621" spans="1:8" ht="13.2">
      <c r="A621" s="15" t="s">
        <v>2968</v>
      </c>
      <c r="B621" s="28" t="s">
        <v>2969</v>
      </c>
      <c r="C621" s="24">
        <v>7.25</v>
      </c>
      <c r="D621" s="18"/>
      <c r="E621" s="17" t="s">
        <v>2948</v>
      </c>
      <c r="F621" s="17"/>
      <c r="G621" s="18"/>
      <c r="H621" s="18"/>
    </row>
    <row r="622" spans="1:8" ht="13.2">
      <c r="A622" s="19" t="str">
        <f>HYPERLINK("https://onlinejudge.org/index.php?option=com_onlinejudge&amp;Itemid=8&amp;category=866&amp;page=show_problem&amp;problem=4897","UVA 13009")</f>
        <v>UVA 13009</v>
      </c>
      <c r="B622" s="29" t="s">
        <v>2970</v>
      </c>
      <c r="C622" s="17">
        <v>7.25</v>
      </c>
      <c r="D622" s="26" t="str">
        <f>HYPERLINK("http://morris821028.github.io/2016/04/30/uva-13009/","Sol")</f>
        <v>Sol</v>
      </c>
      <c r="E622" s="17" t="s">
        <v>2948</v>
      </c>
      <c r="F622" s="17"/>
      <c r="G622" s="18"/>
      <c r="H622" s="18"/>
    </row>
    <row r="623" spans="1:8" ht="13.2">
      <c r="A623" s="15" t="s">
        <v>2971</v>
      </c>
      <c r="B623" s="29" t="s">
        <v>2972</v>
      </c>
      <c r="C623" s="24">
        <v>7.25</v>
      </c>
      <c r="D623" s="18"/>
      <c r="E623" s="24" t="s">
        <v>2948</v>
      </c>
      <c r="F623" s="17"/>
      <c r="G623" s="18"/>
      <c r="H623" s="18"/>
    </row>
    <row r="624" spans="1:8" ht="13.2">
      <c r="A624" s="15" t="s">
        <v>3072</v>
      </c>
      <c r="B624" s="30" t="s">
        <v>3073</v>
      </c>
      <c r="C624" s="24">
        <v>7.25</v>
      </c>
      <c r="D624" s="18"/>
      <c r="E624" s="17" t="s">
        <v>3065</v>
      </c>
      <c r="F624" s="17"/>
      <c r="G624" s="18"/>
      <c r="H624" s="18"/>
    </row>
    <row r="625" spans="1:8" ht="13.2">
      <c r="A625" s="15" t="s">
        <v>3074</v>
      </c>
      <c r="B625" s="30" t="s">
        <v>3075</v>
      </c>
      <c r="C625" s="24">
        <v>7.25</v>
      </c>
      <c r="D625" s="26" t="str">
        <f>HYPERLINK("https://github.com/morris821028/UVa/blob/master/volume119/11919%20-%20Hybrid%20Salientia.cpp","Sol (no editorial)")</f>
        <v>Sol (no editorial)</v>
      </c>
      <c r="E625" s="17" t="s">
        <v>3065</v>
      </c>
      <c r="F625" s="17"/>
      <c r="G625" s="18"/>
      <c r="H625" s="18"/>
    </row>
    <row r="626" spans="1:8" ht="13.2">
      <c r="A626" s="15" t="s">
        <v>3076</v>
      </c>
      <c r="B626" s="30" t="s">
        <v>3077</v>
      </c>
      <c r="C626" s="24">
        <v>7.25</v>
      </c>
      <c r="D626" s="26" t="str">
        <f>HYPERLINK("https://morris821028.github.io/2014/08/29/oj/uva/uva-12307/","Sol")</f>
        <v>Sol</v>
      </c>
      <c r="E626" s="17" t="s">
        <v>3065</v>
      </c>
      <c r="F626" s="17"/>
      <c r="G626" s="18"/>
      <c r="H626" s="18"/>
    </row>
    <row r="627" spans="1:8" ht="13.2">
      <c r="A627" s="19" t="str">
        <f>HYPERLINK("https://community.topcoder.com/stat?c=problem_statement&amp;pm=10796","TC(CORNERSDECODING)")</f>
        <v>TC(CORNERSDECODING)</v>
      </c>
      <c r="B627" s="28" t="s">
        <v>3139</v>
      </c>
      <c r="C627" s="24">
        <v>7.25</v>
      </c>
      <c r="D627" s="26" t="str">
        <f>HYPERLINK("https://github.com/MedoN11/CompetitiveProgramming/blob/master/TopCoder/TC(CORNERSDECODING).cpp","Sol")</f>
        <v>Sol</v>
      </c>
      <c r="E627" s="17" t="s">
        <v>3140</v>
      </c>
      <c r="F627" s="17"/>
      <c r="G627" s="18"/>
      <c r="H627" s="18"/>
    </row>
    <row r="628" spans="1:8" ht="13.2">
      <c r="A628" s="15" t="s">
        <v>3155</v>
      </c>
      <c r="B628" s="18" t="s">
        <v>3156</v>
      </c>
      <c r="C628" s="17">
        <v>7.25</v>
      </c>
      <c r="D628" s="18"/>
      <c r="E628" s="17" t="s">
        <v>3140</v>
      </c>
      <c r="F628" s="17"/>
      <c r="G628" s="18"/>
      <c r="H628" s="18"/>
    </row>
    <row r="629" spans="1:8" ht="13.2">
      <c r="A629" s="15" t="s">
        <v>3157</v>
      </c>
      <c r="B629" s="16" t="s">
        <v>3158</v>
      </c>
      <c r="C629" s="17">
        <v>7.25</v>
      </c>
      <c r="D629" s="18"/>
      <c r="E629" s="17" t="s">
        <v>3140</v>
      </c>
      <c r="F629" s="17"/>
      <c r="G629" s="18"/>
      <c r="H629" s="18"/>
    </row>
    <row r="630" spans="1:8" ht="13.2">
      <c r="A630" s="15" t="s">
        <v>3225</v>
      </c>
      <c r="B630" s="28" t="s">
        <v>3226</v>
      </c>
      <c r="C630" s="24">
        <v>7.25</v>
      </c>
      <c r="D630" s="18"/>
      <c r="E630" s="17" t="s">
        <v>3214</v>
      </c>
      <c r="F630" s="17"/>
      <c r="G630" s="18"/>
      <c r="H630" s="18"/>
    </row>
    <row r="631" spans="1:8" ht="13.2">
      <c r="A631" s="15" t="s">
        <v>3283</v>
      </c>
      <c r="B631" s="29" t="s">
        <v>3284</v>
      </c>
      <c r="C631" s="33">
        <v>7.25</v>
      </c>
      <c r="D631" s="18"/>
      <c r="E631" s="24" t="s">
        <v>3257</v>
      </c>
      <c r="F631" s="17"/>
      <c r="G631" s="18"/>
      <c r="H631" s="18"/>
    </row>
    <row r="632" spans="1:8" ht="13.2">
      <c r="A632" s="15" t="s">
        <v>3285</v>
      </c>
      <c r="B632" s="29" t="s">
        <v>3284</v>
      </c>
      <c r="C632" s="33">
        <v>7.25</v>
      </c>
      <c r="D632" s="18"/>
      <c r="E632" s="24" t="s">
        <v>3257</v>
      </c>
      <c r="F632" s="17"/>
      <c r="G632" s="18"/>
      <c r="H632" s="18"/>
    </row>
    <row r="633" spans="1:8" ht="13.2">
      <c r="A633" s="15" t="s">
        <v>3286</v>
      </c>
      <c r="B633" s="29" t="s">
        <v>3287</v>
      </c>
      <c r="C633" s="24">
        <v>7.25</v>
      </c>
      <c r="D633" s="18" t="s">
        <v>2519</v>
      </c>
      <c r="E633" s="17" t="s">
        <v>3257</v>
      </c>
      <c r="F633" s="17"/>
      <c r="G633" s="18"/>
      <c r="H633" s="18"/>
    </row>
    <row r="634" spans="1:8" ht="13.2">
      <c r="A634" s="15" t="s">
        <v>3473</v>
      </c>
      <c r="B634" s="41" t="s">
        <v>3474</v>
      </c>
      <c r="C634" s="17">
        <v>7.25</v>
      </c>
      <c r="D634" s="18"/>
      <c r="E634" s="17" t="s">
        <v>3467</v>
      </c>
      <c r="F634" s="17"/>
      <c r="G634" s="18"/>
      <c r="H634" s="18"/>
    </row>
    <row r="635" spans="1:8" ht="13.2">
      <c r="A635" s="15" t="s">
        <v>3475</v>
      </c>
      <c r="B635" s="30" t="s">
        <v>3476</v>
      </c>
      <c r="C635" s="24">
        <v>7.25</v>
      </c>
      <c r="D635" s="18"/>
      <c r="E635" s="17" t="s">
        <v>3467</v>
      </c>
      <c r="F635" s="17"/>
      <c r="G635" s="18"/>
      <c r="H635" s="18"/>
    </row>
    <row r="636" spans="1:8" ht="13.2">
      <c r="A636" s="15" t="s">
        <v>3665</v>
      </c>
      <c r="B636" s="28" t="s">
        <v>3649</v>
      </c>
      <c r="C636" s="24">
        <v>7.25</v>
      </c>
      <c r="D636" s="18"/>
      <c r="E636" s="17" t="s">
        <v>3650</v>
      </c>
      <c r="F636" s="17"/>
      <c r="G636" s="18"/>
      <c r="H636" s="18"/>
    </row>
    <row r="637" spans="1:8" ht="13.2">
      <c r="A637" s="19" t="str">
        <f>HYPERLINK("https://www.codechef.com/problems/KPERFMAT", "CodeChef KPERFMAT")</f>
        <v>CodeChef KPERFMAT</v>
      </c>
      <c r="B637" s="15" t="s">
        <v>4156</v>
      </c>
      <c r="C637" s="17">
        <v>7.25</v>
      </c>
      <c r="D637" s="26" t="str">
        <f>HYPERLINK("https://github.com/tmwilliamlin168/CompetitiveProgramming/blob/master/CodeChef/KPERFMAT.cpp", "Sol")</f>
        <v>Sol</v>
      </c>
      <c r="E637" s="17" t="s">
        <v>4144</v>
      </c>
      <c r="F637" s="17"/>
      <c r="G637" s="18"/>
      <c r="H637" s="18"/>
    </row>
    <row r="638" spans="1:8" ht="13.2">
      <c r="A638" s="15" t="s">
        <v>4426</v>
      </c>
      <c r="B638" s="16" t="s">
        <v>4427</v>
      </c>
      <c r="C638" s="17">
        <v>7.25</v>
      </c>
      <c r="D638" s="18"/>
      <c r="E638" s="17" t="s">
        <v>4423</v>
      </c>
      <c r="F638" s="17"/>
      <c r="G638" s="18"/>
      <c r="H638" s="18"/>
    </row>
    <row r="639" spans="1:8" ht="13.2">
      <c r="A639" s="19" t="str">
        <f>HYPERLINK("http://codeforces.com/contest/980/problem/F","CF980-D2-F")</f>
        <v>CF980-D2-F</v>
      </c>
      <c r="B639" s="15" t="s">
        <v>4428</v>
      </c>
      <c r="C639" s="17">
        <v>7.25</v>
      </c>
      <c r="D639" s="18"/>
      <c r="E639" s="17" t="s">
        <v>4423</v>
      </c>
      <c r="F639" s="17"/>
      <c r="G639" s="18"/>
      <c r="H639" s="18"/>
    </row>
    <row r="640" spans="1:8" ht="13.2">
      <c r="A640" s="15" t="s">
        <v>4455</v>
      </c>
      <c r="B640" s="43" t="s">
        <v>4456</v>
      </c>
      <c r="C640" s="54">
        <v>7.25</v>
      </c>
      <c r="D640" s="18"/>
      <c r="E640" s="17" t="s">
        <v>4454</v>
      </c>
      <c r="F640" s="17"/>
      <c r="G640" s="18"/>
      <c r="H640" s="18"/>
    </row>
    <row r="641" spans="1:8" ht="13.2">
      <c r="A641" s="15" t="s">
        <v>4457</v>
      </c>
      <c r="B641" s="29" t="s">
        <v>4458</v>
      </c>
      <c r="C641" s="24">
        <v>7.25</v>
      </c>
      <c r="D641" s="18"/>
      <c r="E641" s="17" t="s">
        <v>4454</v>
      </c>
      <c r="F641" s="17"/>
      <c r="G641" s="18"/>
      <c r="H641" s="18"/>
    </row>
    <row r="642" spans="1:8" ht="13.2">
      <c r="A642" s="15" t="s">
        <v>4557</v>
      </c>
      <c r="B642" s="30" t="s">
        <v>4558</v>
      </c>
      <c r="C642" s="24">
        <v>7.25</v>
      </c>
      <c r="D642" s="18"/>
      <c r="E642" s="17" t="s">
        <v>4531</v>
      </c>
      <c r="F642" s="17"/>
      <c r="G642" s="18"/>
      <c r="H642" s="18"/>
    </row>
    <row r="643" spans="1:8" ht="13.2">
      <c r="A643" s="19" t="str">
        <f>HYPERLINK("https://www.codechef.com/problems/BMASTER","CODECHEF BMASTER")</f>
        <v>CODECHEF BMASTER</v>
      </c>
      <c r="B643" s="18" t="s">
        <v>4559</v>
      </c>
      <c r="C643" s="17">
        <v>7.25</v>
      </c>
      <c r="D643" s="18"/>
      <c r="E643" s="17" t="s">
        <v>4531</v>
      </c>
      <c r="F643" s="17"/>
      <c r="G643" s="18"/>
      <c r="H643" s="18"/>
    </row>
    <row r="644" spans="1:8" ht="13.2">
      <c r="A644" s="15" t="s">
        <v>759</v>
      </c>
      <c r="B644" s="29" t="s">
        <v>760</v>
      </c>
      <c r="C644" s="40">
        <v>7.25</v>
      </c>
      <c r="D644" s="18"/>
      <c r="E644" s="24" t="s">
        <v>741</v>
      </c>
      <c r="F644" s="17"/>
      <c r="G644" s="18"/>
      <c r="H644" s="18"/>
    </row>
    <row r="645" spans="1:8" ht="13.2">
      <c r="A645" s="15" t="s">
        <v>761</v>
      </c>
      <c r="B645" s="29" t="s">
        <v>762</v>
      </c>
      <c r="C645" s="40">
        <v>7.25</v>
      </c>
      <c r="D645" s="18"/>
      <c r="E645" s="24" t="s">
        <v>741</v>
      </c>
      <c r="F645" s="17"/>
      <c r="G645" s="18"/>
      <c r="H645" s="18"/>
    </row>
    <row r="646" spans="1:8" ht="13.2">
      <c r="A646" s="15" t="s">
        <v>4810</v>
      </c>
      <c r="B646" s="28" t="s">
        <v>4808</v>
      </c>
      <c r="C646" s="24">
        <v>7.25</v>
      </c>
      <c r="D646" s="18"/>
      <c r="E646" s="17" t="s">
        <v>4809</v>
      </c>
      <c r="F646" s="17"/>
      <c r="G646" s="18"/>
      <c r="H646" s="18"/>
    </row>
    <row r="647" spans="1:8" ht="13.2">
      <c r="A647" s="15" t="s">
        <v>4811</v>
      </c>
      <c r="B647" s="30" t="s">
        <v>4812</v>
      </c>
      <c r="C647" s="24">
        <v>7.25</v>
      </c>
      <c r="D647" s="18"/>
      <c r="E647" s="17" t="s">
        <v>4809</v>
      </c>
      <c r="F647" s="17"/>
      <c r="G647" s="18"/>
      <c r="H647" s="18"/>
    </row>
    <row r="648" spans="1:8" ht="13.2">
      <c r="A648" s="15" t="s">
        <v>4813</v>
      </c>
      <c r="B648" s="30" t="s">
        <v>4812</v>
      </c>
      <c r="C648" s="24">
        <v>7.25</v>
      </c>
      <c r="D648" s="18"/>
      <c r="E648" s="17" t="s">
        <v>4809</v>
      </c>
      <c r="F648" s="17"/>
      <c r="G648" s="18"/>
      <c r="H648" s="18"/>
    </row>
    <row r="649" spans="1:8" ht="13.2">
      <c r="A649" s="15" t="s">
        <v>4865</v>
      </c>
      <c r="B649" s="29" t="s">
        <v>4866</v>
      </c>
      <c r="C649" s="24">
        <v>7.25</v>
      </c>
      <c r="D649" s="18"/>
      <c r="E649" s="17" t="s">
        <v>4867</v>
      </c>
      <c r="F649" s="17"/>
      <c r="G649" s="18"/>
      <c r="H649" s="18"/>
    </row>
    <row r="650" spans="1:8" ht="13.2">
      <c r="A650" s="19" t="str">
        <f>HYPERLINK("https://codeforces.com/contest/1109/problem/D","CF1109-D1-D")</f>
        <v>CF1109-D1-D</v>
      </c>
      <c r="B650" s="15" t="s">
        <v>4964</v>
      </c>
      <c r="C650" s="17">
        <v>7.25</v>
      </c>
      <c r="D650" s="18"/>
      <c r="E650" s="17" t="s">
        <v>4958</v>
      </c>
      <c r="F650" s="17"/>
      <c r="G650" s="18"/>
      <c r="H650" s="18"/>
    </row>
    <row r="651" spans="1:8" ht="13.2">
      <c r="A651" s="15" t="s">
        <v>4969</v>
      </c>
      <c r="B651" s="30" t="s">
        <v>4970</v>
      </c>
      <c r="C651" s="24">
        <v>7.25</v>
      </c>
      <c r="D651" s="18"/>
      <c r="E651" s="17" t="s">
        <v>4958</v>
      </c>
      <c r="F651" s="17"/>
      <c r="G651" s="18"/>
      <c r="H651" s="18"/>
    </row>
    <row r="652" spans="1:8" ht="13.2">
      <c r="A652" s="15" t="s">
        <v>5166</v>
      </c>
      <c r="B652" s="30" t="s">
        <v>5167</v>
      </c>
      <c r="C652" s="24">
        <v>7.25</v>
      </c>
      <c r="D652" s="18"/>
      <c r="E652" s="17" t="s">
        <v>5168</v>
      </c>
      <c r="F652" s="17"/>
      <c r="G652" s="18"/>
      <c r="H652" s="18"/>
    </row>
    <row r="653" spans="1:8" ht="13.2">
      <c r="A653" s="15" t="s">
        <v>5169</v>
      </c>
      <c r="B653" s="30" t="s">
        <v>5170</v>
      </c>
      <c r="C653" s="24">
        <v>7.25</v>
      </c>
      <c r="D653" s="18"/>
      <c r="E653" s="17" t="s">
        <v>5168</v>
      </c>
      <c r="F653" s="17"/>
      <c r="G653" s="18"/>
      <c r="H653" s="18"/>
    </row>
    <row r="654" spans="1:8" ht="13.2">
      <c r="A654" s="15" t="s">
        <v>5250</v>
      </c>
      <c r="B654" s="30" t="s">
        <v>5248</v>
      </c>
      <c r="C654" s="24">
        <v>7.25</v>
      </c>
      <c r="D654" s="18"/>
      <c r="E654" s="17" t="s">
        <v>5246</v>
      </c>
      <c r="F654" s="17"/>
      <c r="G654" s="18"/>
      <c r="H654" s="18"/>
    </row>
    <row r="655" spans="1:8" ht="13.2">
      <c r="A655" s="15" t="s">
        <v>5251</v>
      </c>
      <c r="B655" s="28" t="s">
        <v>5248</v>
      </c>
      <c r="C655" s="24">
        <v>7.25</v>
      </c>
      <c r="D655" s="18"/>
      <c r="E655" s="17" t="s">
        <v>5246</v>
      </c>
      <c r="F655" s="17"/>
      <c r="G655" s="18"/>
      <c r="H655" s="18"/>
    </row>
    <row r="656" spans="1:8" ht="13.2">
      <c r="A656" s="15" t="s">
        <v>5252</v>
      </c>
      <c r="B656" s="30" t="s">
        <v>5248</v>
      </c>
      <c r="C656" s="24">
        <v>7.25</v>
      </c>
      <c r="D656" s="18"/>
      <c r="E656" s="17" t="s">
        <v>5246</v>
      </c>
      <c r="F656" s="17"/>
      <c r="G656" s="18"/>
      <c r="H656" s="18"/>
    </row>
    <row r="657" spans="1:8" ht="13.2">
      <c r="A657" s="15" t="s">
        <v>5253</v>
      </c>
      <c r="B657" s="30" t="s">
        <v>5254</v>
      </c>
      <c r="C657" s="24">
        <v>7.25</v>
      </c>
      <c r="D657" s="18"/>
      <c r="E657" s="17" t="s">
        <v>5246</v>
      </c>
      <c r="F657" s="17"/>
      <c r="G657" s="18"/>
      <c r="H657" s="18"/>
    </row>
    <row r="658" spans="1:8" ht="13.2">
      <c r="A658" s="15" t="s">
        <v>5317</v>
      </c>
      <c r="B658" s="29" t="s">
        <v>5309</v>
      </c>
      <c r="C658" s="24">
        <v>7.25</v>
      </c>
      <c r="D658" s="18"/>
      <c r="E658" s="17" t="s">
        <v>5310</v>
      </c>
      <c r="F658" s="17"/>
      <c r="G658" s="18"/>
      <c r="H658" s="18"/>
    </row>
    <row r="659" spans="1:8" ht="13.2">
      <c r="A659" s="15" t="s">
        <v>5419</v>
      </c>
      <c r="B659" s="30" t="s">
        <v>5420</v>
      </c>
      <c r="C659" s="24">
        <v>7.25</v>
      </c>
      <c r="D659" s="18"/>
      <c r="E659" s="17" t="s">
        <v>5414</v>
      </c>
      <c r="F659" s="17"/>
      <c r="G659" s="18"/>
      <c r="H659" s="18"/>
    </row>
    <row r="660" spans="1:8" ht="13.2">
      <c r="A660" s="15" t="s">
        <v>5421</v>
      </c>
      <c r="B660" s="30" t="s">
        <v>5422</v>
      </c>
      <c r="C660" s="24">
        <v>7.25</v>
      </c>
      <c r="D660" s="18"/>
      <c r="E660" s="17" t="s">
        <v>5414</v>
      </c>
      <c r="F660" s="17"/>
      <c r="G660" s="18"/>
      <c r="H660" s="18"/>
    </row>
    <row r="661" spans="1:8" ht="13.2">
      <c r="A661" s="15" t="s">
        <v>5423</v>
      </c>
      <c r="B661" s="30" t="s">
        <v>5424</v>
      </c>
      <c r="C661" s="24">
        <v>7.25</v>
      </c>
      <c r="D661" s="18"/>
      <c r="E661" s="17" t="s">
        <v>5414</v>
      </c>
      <c r="F661" s="17"/>
      <c r="G661" s="18"/>
      <c r="H661" s="18"/>
    </row>
    <row r="662" spans="1:8" ht="13.2">
      <c r="A662" s="15" t="s">
        <v>5425</v>
      </c>
      <c r="B662" s="30" t="s">
        <v>5426</v>
      </c>
      <c r="C662" s="24">
        <v>7.25</v>
      </c>
      <c r="D662" s="18"/>
      <c r="E662" s="17" t="s">
        <v>5414</v>
      </c>
      <c r="F662" s="17"/>
      <c r="G662" s="18"/>
      <c r="H662" s="18"/>
    </row>
    <row r="663" spans="1:8" ht="13.2">
      <c r="A663" s="15" t="s">
        <v>5510</v>
      </c>
      <c r="B663" s="28" t="s">
        <v>5511</v>
      </c>
      <c r="C663" s="24">
        <v>7.25</v>
      </c>
      <c r="D663" s="18"/>
      <c r="E663" s="17" t="s">
        <v>5512</v>
      </c>
      <c r="F663" s="17"/>
      <c r="G663" s="18"/>
      <c r="H663" s="18"/>
    </row>
    <row r="664" spans="1:8" ht="13.2">
      <c r="A664" s="15" t="s">
        <v>5533</v>
      </c>
      <c r="B664" s="29" t="s">
        <v>5534</v>
      </c>
      <c r="C664" s="24">
        <v>7.25</v>
      </c>
      <c r="D664" s="18"/>
      <c r="E664" s="17" t="s">
        <v>5524</v>
      </c>
      <c r="F664" s="17"/>
      <c r="G664" s="18"/>
      <c r="H664" s="18"/>
    </row>
    <row r="665" spans="1:8" ht="13.2">
      <c r="A665" s="19" t="str">
        <f>HYPERLINK("https://www.codechef.com/problems/C3","CODECHEF C3")</f>
        <v>CODECHEF C3</v>
      </c>
      <c r="B665" s="18" t="s">
        <v>5535</v>
      </c>
      <c r="C665" s="17">
        <v>7.25</v>
      </c>
      <c r="D665" s="18"/>
      <c r="E665" s="17" t="s">
        <v>5524</v>
      </c>
      <c r="F665" s="17"/>
      <c r="G665" s="18"/>
      <c r="H665" s="18"/>
    </row>
    <row r="666" spans="1:8" ht="13.2">
      <c r="A666" s="15" t="s">
        <v>5629</v>
      </c>
      <c r="B666" s="29" t="s">
        <v>5630</v>
      </c>
      <c r="C666" s="24">
        <v>7.25</v>
      </c>
      <c r="D666" s="18"/>
      <c r="E666" s="17" t="s">
        <v>5626</v>
      </c>
      <c r="F666" s="17"/>
      <c r="G666" s="18"/>
      <c r="H666" s="18"/>
    </row>
    <row r="667" spans="1:8" ht="13.2">
      <c r="A667" s="19" t="str">
        <f>HYPERLINK("http://codeforces.com/contest/316/problem/C2","CF316-D12-C2")</f>
        <v>CF316-D12-C2</v>
      </c>
      <c r="B667" s="29" t="s">
        <v>4246</v>
      </c>
      <c r="C667" s="17">
        <v>7.2</v>
      </c>
      <c r="D667" s="18"/>
      <c r="E667" s="17" t="s">
        <v>4238</v>
      </c>
      <c r="F667" s="17" t="s">
        <v>173</v>
      </c>
      <c r="G667" s="18"/>
      <c r="H667" s="18"/>
    </row>
    <row r="668" spans="1:8" ht="13.2">
      <c r="A668" s="15" t="s">
        <v>2880</v>
      </c>
      <c r="B668" s="18" t="s">
        <v>2881</v>
      </c>
      <c r="C668" s="24">
        <v>7.1</v>
      </c>
      <c r="D668" s="18"/>
      <c r="E668" s="17" t="s">
        <v>2865</v>
      </c>
      <c r="F668" s="17" t="s">
        <v>255</v>
      </c>
      <c r="G668" s="18"/>
      <c r="H668" s="18"/>
    </row>
    <row r="669" spans="1:8" ht="13.2">
      <c r="A669" s="19" t="str">
        <f>HYPERLINK("http://codeforces.com/contest/840/problem/C","CF840-D1-C")</f>
        <v>CF840-D1-C</v>
      </c>
      <c r="B669" s="15" t="s">
        <v>1794</v>
      </c>
      <c r="C669" s="17">
        <v>7.1</v>
      </c>
      <c r="D669" s="26" t="str">
        <f>HYPERLINK("https://github.com/nya-nya-meow/CompetitiveProgramming/blob/master/CodeForces/CF840-D1-C.cpp","Sol")</f>
        <v>Sol</v>
      </c>
      <c r="E669" s="17" t="s">
        <v>1793</v>
      </c>
      <c r="F669" s="17" t="s">
        <v>173</v>
      </c>
      <c r="G669" s="18"/>
      <c r="H669" s="18"/>
    </row>
    <row r="670" spans="1:8" ht="13.2">
      <c r="A670" s="15" t="s">
        <v>4157</v>
      </c>
      <c r="B670" s="23" t="s">
        <v>4155</v>
      </c>
      <c r="C670" s="17">
        <v>7.1</v>
      </c>
      <c r="D670" s="26" t="str">
        <f>HYPERLINK("https://github.com/mostafa-saad/MyCompetitiveProgramming/blob/master/LiveArchive/LIVEARCHIVE_2937.txt","Sol")</f>
        <v>Sol</v>
      </c>
      <c r="E670" s="24" t="s">
        <v>4144</v>
      </c>
      <c r="F670" s="17" t="s">
        <v>173</v>
      </c>
      <c r="G670" s="18"/>
      <c r="H670" s="18"/>
    </row>
    <row r="671" spans="1:8" ht="13.2">
      <c r="A671" s="15" t="s">
        <v>4286</v>
      </c>
      <c r="B671" s="28" t="s">
        <v>4287</v>
      </c>
      <c r="C671" s="24">
        <v>7.1</v>
      </c>
      <c r="D671" s="26" t="str">
        <f>HYPERLINK("https://github.com/mostafa-saad/MyCompetitiveProgramming/blob/master/SPOJ/SPOJ_MSTS.txt","Sol")</f>
        <v>Sol</v>
      </c>
      <c r="E671" s="17" t="s">
        <v>4275</v>
      </c>
      <c r="F671" s="17" t="s">
        <v>173</v>
      </c>
      <c r="G671" s="18"/>
      <c r="H671" s="18"/>
    </row>
    <row r="672" spans="1:8" ht="13.2">
      <c r="A672" s="15" t="s">
        <v>5580</v>
      </c>
      <c r="B672" s="30" t="s">
        <v>5581</v>
      </c>
      <c r="C672" s="54">
        <v>7.1</v>
      </c>
      <c r="D672" s="26" t="str">
        <f>HYPERLINK("https://github.com/mostafa-saad/MyCompetitiveProgramming/blob/master/LiveArchive/LIVEARCHIVE_3343.txt","Sol")</f>
        <v>Sol</v>
      </c>
      <c r="E672" s="17" t="s">
        <v>5575</v>
      </c>
      <c r="F672" s="17" t="s">
        <v>173</v>
      </c>
      <c r="G672" s="18"/>
      <c r="H672" s="18"/>
    </row>
    <row r="673" spans="1:8" ht="13.2">
      <c r="A673" s="19" t="str">
        <f>HYPERLINK("http://codeforces.com/contest/258/problem/D","CF258-D1-D")</f>
        <v>CF258-D1-D</v>
      </c>
      <c r="B673" s="29" t="s">
        <v>2080</v>
      </c>
      <c r="C673" s="17">
        <v>7.1</v>
      </c>
      <c r="D673" s="18"/>
      <c r="E673" s="17" t="s">
        <v>2074</v>
      </c>
      <c r="F673" s="17" t="s">
        <v>1053</v>
      </c>
      <c r="G673" s="18"/>
      <c r="H673" s="18"/>
    </row>
    <row r="674" spans="1:8" ht="13.2">
      <c r="A674" s="15" t="s">
        <v>953</v>
      </c>
      <c r="B674" s="29" t="s">
        <v>954</v>
      </c>
      <c r="C674" s="24">
        <v>7.1</v>
      </c>
      <c r="D674" s="26" t="str">
        <f>HYPERLINK("https://github.com/DrSchwad/CompetitiveProgramming/blob/master/TopCoder/SRM388-D1-1000.cpp","Sol")</f>
        <v>Sol</v>
      </c>
      <c r="E674" s="17" t="s">
        <v>951</v>
      </c>
      <c r="F674" s="17" t="s">
        <v>154</v>
      </c>
      <c r="G674" s="18"/>
      <c r="H674" s="18"/>
    </row>
    <row r="675" spans="1:8" ht="13.2">
      <c r="A675" s="15" t="s">
        <v>6114</v>
      </c>
      <c r="B675" s="30" t="s">
        <v>6115</v>
      </c>
      <c r="C675" s="24">
        <v>7.1</v>
      </c>
      <c r="D675" s="18"/>
      <c r="E675" s="17" t="s">
        <v>6116</v>
      </c>
      <c r="F675" s="17" t="s">
        <v>154</v>
      </c>
      <c r="G675" s="18"/>
      <c r="H675" s="18"/>
    </row>
    <row r="676" spans="1:8" ht="13.2">
      <c r="A676" s="19" t="str">
        <f>HYPERLINK("http://codeforces.com/contest/903/problem/G","CF903-D12-G")</f>
        <v>CF903-D12-G</v>
      </c>
      <c r="B676" s="37" t="s">
        <v>1051</v>
      </c>
      <c r="C676" s="17">
        <v>7.1</v>
      </c>
      <c r="D676" s="18"/>
      <c r="E676" s="17" t="s">
        <v>1018</v>
      </c>
      <c r="F676" s="17" t="s">
        <v>154</v>
      </c>
      <c r="G676" s="18"/>
      <c r="H676" s="18"/>
    </row>
    <row r="677" spans="1:8" ht="13.2">
      <c r="A677" s="19" t="str">
        <f>HYPERLINK("http://codeforces.com/contest/794/problem/E","CF794-D12-E")</f>
        <v>CF794-D12-E</v>
      </c>
      <c r="B677" s="15" t="s">
        <v>2402</v>
      </c>
      <c r="C677" s="17">
        <v>7.1</v>
      </c>
      <c r="D677" s="26" t="str">
        <f>HYPERLINK("https://github.com/MetalBall887/Competitive-Programming/blob/master/CodeForces/CF794-D12-E.cpp","Sol")</f>
        <v>Sol</v>
      </c>
      <c r="E677" s="17" t="s">
        <v>2394</v>
      </c>
      <c r="F677" s="17" t="s">
        <v>154</v>
      </c>
      <c r="G677" s="18"/>
      <c r="H677" s="18"/>
    </row>
    <row r="678" spans="1:8" ht="13.2">
      <c r="A678" s="19" t="str">
        <f>HYPERLINK("http://codeforces.com/contest/70/problem/D","CF70-D12-D")</f>
        <v>CF70-D12-D</v>
      </c>
      <c r="B678" s="15" t="s">
        <v>3073</v>
      </c>
      <c r="C678" s="24">
        <v>7.1</v>
      </c>
      <c r="D678" s="26" t="str">
        <f>HYPERLINK("https://github.com/farmerboy95/CompetitiveProgramming/blob/master/Codeforces/CF70-D12-D.cpp","Sol")</f>
        <v>Sol</v>
      </c>
      <c r="E678" s="17" t="s">
        <v>3065</v>
      </c>
      <c r="F678" s="17" t="s">
        <v>154</v>
      </c>
      <c r="G678" s="18"/>
      <c r="H678" s="18"/>
    </row>
    <row r="679" spans="1:8" ht="13.2">
      <c r="A679" s="19" t="str">
        <f>HYPERLINK("https://arc103.contest.atcoder.jp/tasks/arc103_d", "AtCoder103-ARC-F")</f>
        <v>AtCoder103-ARC-F</v>
      </c>
      <c r="B679" s="20" t="s">
        <v>3288</v>
      </c>
      <c r="C679" s="21">
        <v>7.1</v>
      </c>
      <c r="D679" s="18"/>
      <c r="E679" s="17" t="s">
        <v>3257</v>
      </c>
      <c r="F679" s="17" t="s">
        <v>154</v>
      </c>
      <c r="G679" s="18"/>
      <c r="H679" s="18"/>
    </row>
    <row r="680" spans="1:8" ht="13.2">
      <c r="A680" s="19" t="str">
        <f>HYPERLINK("https://codeforces.com/contest/1236/problem/E","CF1236-D2-E")</f>
        <v>CF1236-D2-E</v>
      </c>
      <c r="B680" s="15" t="s">
        <v>3888</v>
      </c>
      <c r="C680" s="17">
        <v>7.1</v>
      </c>
      <c r="D680" s="18"/>
      <c r="E680" s="17" t="s">
        <v>3883</v>
      </c>
      <c r="F680" s="17" t="s">
        <v>154</v>
      </c>
      <c r="G680" s="18"/>
      <c r="H680" s="18"/>
    </row>
    <row r="681" spans="1:8" ht="13.2">
      <c r="A681" s="19" t="str">
        <f>HYPERLINK("http://codeforces.com/problemset/problem/1063/D", "CF1064-D2-F")</f>
        <v>CF1064-D2-F</v>
      </c>
      <c r="B681" s="15" t="s">
        <v>4560</v>
      </c>
      <c r="C681" s="17">
        <v>7.1</v>
      </c>
      <c r="D681" s="18"/>
      <c r="E681" s="17" t="s">
        <v>4531</v>
      </c>
      <c r="F681" s="17" t="s">
        <v>154</v>
      </c>
      <c r="G681" s="18"/>
      <c r="H681" s="18"/>
    </row>
    <row r="682" spans="1:8" ht="13.2">
      <c r="A682" s="19" t="str">
        <f>HYPERLINK("http://codeforces.com/contest/582/problem/C","CF582-D1-C")</f>
        <v>CF582-D1-C</v>
      </c>
      <c r="B682" s="15" t="s">
        <v>4808</v>
      </c>
      <c r="C682" s="17">
        <v>7.1</v>
      </c>
      <c r="D682" s="18"/>
      <c r="E682" s="17" t="s">
        <v>4809</v>
      </c>
      <c r="F682" s="17" t="s">
        <v>154</v>
      </c>
      <c r="G682" s="18"/>
      <c r="H682" s="18"/>
    </row>
    <row r="683" spans="1:8" ht="13.2">
      <c r="A683" s="19" t="str">
        <f>HYPERLINK("http://codeforces.com/contest/939/problem/F","CF939-D2-F")</f>
        <v>CF939-D2-F</v>
      </c>
      <c r="B683" s="20" t="s">
        <v>1370</v>
      </c>
      <c r="C683" s="17">
        <v>7.1</v>
      </c>
      <c r="D683" s="26" t="str">
        <f>HYPERLINK("https://github.com/mostafa-saad/MyCompetitiveProgramming/blob/master/Codeforces/CF939-D2-F.txt","Sol")</f>
        <v>Sol</v>
      </c>
      <c r="E683" s="17" t="s">
        <v>1337</v>
      </c>
      <c r="F683" s="17" t="s">
        <v>139</v>
      </c>
      <c r="G683" s="18"/>
      <c r="H683" s="18"/>
    </row>
    <row r="684" spans="1:8" ht="13.2">
      <c r="A684" s="19" t="str">
        <f>HYPERLINK("https://www.codechef.com/problems/XORSORT2/", "CODECHEF XORSORT2")</f>
        <v>CODECHEF XORSORT2</v>
      </c>
      <c r="B684" s="20" t="s">
        <v>955</v>
      </c>
      <c r="C684" s="21">
        <v>7.1</v>
      </c>
      <c r="D684" s="26" t="str">
        <f>HYPERLINK("https://github.com/tmwilliamlin168/CompetitiveProgramming/blob/master/CodeChef/XORSORT2.cpp", "Sol")</f>
        <v>Sol</v>
      </c>
      <c r="E684" s="17" t="s">
        <v>951</v>
      </c>
      <c r="F684" s="17"/>
      <c r="G684" s="18"/>
      <c r="H684" s="18"/>
    </row>
    <row r="685" spans="1:8" ht="13.2">
      <c r="A685" s="15" t="s">
        <v>3078</v>
      </c>
      <c r="B685" s="30" t="s">
        <v>3079</v>
      </c>
      <c r="C685" s="24">
        <v>7.1</v>
      </c>
      <c r="D685" s="18" t="s">
        <v>3080</v>
      </c>
      <c r="E685" s="17" t="s">
        <v>3065</v>
      </c>
      <c r="F685" s="17"/>
      <c r="G685" s="18"/>
      <c r="H685" s="18"/>
    </row>
    <row r="686" spans="1:8" ht="13.2">
      <c r="A686" s="19" t="str">
        <f>HYPERLINK("https://icpcarchive.ecs.baylor.edu/index.php?option=com_onlinejudge&amp;Itemid=8&amp;category=683&amp;page=show_problem&amp;problem=5245","LIVEARCHIVE 7233")</f>
        <v>LIVEARCHIVE 7233</v>
      </c>
      <c r="B686" s="20" t="s">
        <v>5171</v>
      </c>
      <c r="C686" s="17">
        <v>7.1</v>
      </c>
      <c r="D686" s="26" t="str">
        <f>HYPERLINK("https://github.com/nya-nya-meow/CompetitiveProgramming/blob/master/LiveArchive/2015%20ACM-ICPC%20Daejeon%20Regional/7233%20-%20H%20-%20Polynomial.cpp","Sol")</f>
        <v>Sol</v>
      </c>
      <c r="E686" s="17" t="s">
        <v>5168</v>
      </c>
      <c r="F686" s="17"/>
      <c r="G686" s="18"/>
      <c r="H686" s="18"/>
    </row>
    <row r="687" spans="1:8" ht="13.2">
      <c r="A687" s="19" t="str">
        <f>HYPERLINK("https://www.codechef.com/JULY18A/problems/PFRUIT","CODECHEF PFRUIT")</f>
        <v>CODECHEF PFRUIT</v>
      </c>
      <c r="B687" s="20" t="s">
        <v>6516</v>
      </c>
      <c r="C687" s="17">
        <v>7</v>
      </c>
      <c r="D687" s="26" t="str">
        <f>HYPERLINK("https://github.com/aviroop123/CompetitiveProgramming/blob/master/CodeChef/CODECHEF%20PFRUIT.cpp","Sol")</f>
        <v>Sol</v>
      </c>
      <c r="E687" s="17" t="s">
        <v>6511</v>
      </c>
      <c r="F687" s="17" t="s">
        <v>173</v>
      </c>
      <c r="G687" s="18"/>
      <c r="H687" s="18"/>
    </row>
    <row r="688" spans="1:8" ht="13.2">
      <c r="A688" s="19" t="str">
        <f>HYPERLINK("http://codeforces.com/contest/516/problem/D","CF516-D1-D")</f>
        <v>CF516-D1-D</v>
      </c>
      <c r="B688" s="37" t="s">
        <v>1230</v>
      </c>
      <c r="C688" s="24">
        <v>7</v>
      </c>
      <c r="D688" s="26" t="str">
        <f>HYPERLINK("https://github.com/Triplem5ds/Competitve-Programming/blob/master/Codeforces/CF516-D1-D.cpp","Sol")</f>
        <v>Sol</v>
      </c>
      <c r="E688" s="17" t="s">
        <v>1223</v>
      </c>
      <c r="F688" s="17" t="s">
        <v>173</v>
      </c>
      <c r="G688" s="18"/>
      <c r="H688" s="18"/>
    </row>
    <row r="689" spans="1:8" ht="13.2">
      <c r="A689" s="15" t="s">
        <v>1371</v>
      </c>
      <c r="B689" s="34" t="s">
        <v>1372</v>
      </c>
      <c r="C689" s="17">
        <v>7</v>
      </c>
      <c r="D689" s="26" t="str">
        <f>HYPERLINK("https://github.com/shanto86/Training/blob/master/TopCoder/SRM452-D1-500.cpp","Sol must read")</f>
        <v>Sol must read</v>
      </c>
      <c r="E689" s="17" t="s">
        <v>1337</v>
      </c>
      <c r="F689" s="17" t="s">
        <v>173</v>
      </c>
      <c r="G689" s="18"/>
      <c r="H689" s="18"/>
    </row>
    <row r="690" spans="1:8" ht="13.2">
      <c r="A690" s="15" t="s">
        <v>1732</v>
      </c>
      <c r="B690" s="41" t="s">
        <v>1733</v>
      </c>
      <c r="C690" s="17">
        <v>7</v>
      </c>
      <c r="D690" s="18"/>
      <c r="E690" s="17" t="s">
        <v>1734</v>
      </c>
      <c r="F690" s="17" t="s">
        <v>173</v>
      </c>
      <c r="G690" s="18"/>
      <c r="H690" s="18"/>
    </row>
    <row r="691" spans="1:8" ht="13.2">
      <c r="A691" s="15" t="s">
        <v>1826</v>
      </c>
      <c r="B691" s="41" t="s">
        <v>1827</v>
      </c>
      <c r="C691" s="17">
        <v>7</v>
      </c>
      <c r="D691" s="18"/>
      <c r="E691" s="17" t="s">
        <v>1819</v>
      </c>
      <c r="F691" s="17" t="s">
        <v>173</v>
      </c>
      <c r="G691" s="18"/>
      <c r="H691" s="18"/>
    </row>
    <row r="692" spans="1:8" ht="13.2">
      <c r="A692" s="19" t="str">
        <f>HYPERLINK("https://codingcompetitions.withgoogle.com/codejam/round/0000000000007706/00000000000459f4","CODEJAM 18-R2-D")</f>
        <v>CODEJAM 18-R2-D</v>
      </c>
      <c r="B692" s="15" t="s">
        <v>3289</v>
      </c>
      <c r="C692" s="17">
        <v>7</v>
      </c>
      <c r="D692" s="26" t="str">
        <f>HYPERLINK("https://github.com/MetalBall887/Competitive-Programming/blob/master/GoogleCodeJam/CODEJAM%2018-R2-D.cpp","Sol")</f>
        <v>Sol</v>
      </c>
      <c r="E692" s="17" t="s">
        <v>3257</v>
      </c>
      <c r="F692" s="17" t="s">
        <v>173</v>
      </c>
      <c r="G692" s="18"/>
      <c r="H692" s="18"/>
    </row>
    <row r="693" spans="1:8" ht="13.2">
      <c r="A693" s="19" t="str">
        <f>HYPERLINK("http://codeforces.com/contest/845/problem/G","CF845-D12-G")</f>
        <v>CF845-D12-G</v>
      </c>
      <c r="B693" s="15" t="s">
        <v>5318</v>
      </c>
      <c r="C693" s="17">
        <v>7</v>
      </c>
      <c r="D693" s="26" t="str">
        <f>HYPERLINK("https://github.com/goswami-rahul/competitive-coding/blob/master/CompetitiveProgramming/codeforces/CF845-D12-G.cpp","Sol")</f>
        <v>Sol</v>
      </c>
      <c r="E693" s="17" t="s">
        <v>5310</v>
      </c>
      <c r="F693" s="17" t="s">
        <v>173</v>
      </c>
      <c r="G693" s="18"/>
      <c r="H693" s="18"/>
    </row>
    <row r="694" spans="1:8" ht="13.2">
      <c r="A694" s="19" t="str">
        <f>HYPERLINK("http://agc031.contest.atcoder.jp/tasks/agc031_d","AtCoder031-AGC-D")</f>
        <v>AtCoder031-AGC-D</v>
      </c>
      <c r="B694" s="15" t="s">
        <v>5536</v>
      </c>
      <c r="C694" s="17">
        <v>7</v>
      </c>
      <c r="D694" s="18"/>
      <c r="E694" s="17" t="s">
        <v>5524</v>
      </c>
      <c r="F694" s="17" t="s">
        <v>173</v>
      </c>
      <c r="G694" s="18"/>
      <c r="H694" s="18"/>
    </row>
    <row r="695" spans="1:8" ht="13.2">
      <c r="A695" s="19" t="str">
        <f>HYPERLINK("http://codeforces.com/contest/811/problem/E","CF811-D2-E")</f>
        <v>CF811-D2-E</v>
      </c>
      <c r="B695" s="37" t="s">
        <v>1052</v>
      </c>
      <c r="C695" s="24">
        <v>7</v>
      </c>
      <c r="D695" s="26" t="str">
        <f>HYPERLINK("https://github.com/MetalBall887/Competitive-Programming/blob/master/CodeForces/CF811-D2-E.cpp","Sol")</f>
        <v>Sol</v>
      </c>
      <c r="E695" s="17" t="s">
        <v>1018</v>
      </c>
      <c r="F695" s="17" t="s">
        <v>1053</v>
      </c>
      <c r="G695" s="18"/>
      <c r="H695" s="18"/>
    </row>
    <row r="696" spans="1:8" ht="13.2">
      <c r="A696" s="15" t="s">
        <v>2081</v>
      </c>
      <c r="B696" s="30" t="s">
        <v>2082</v>
      </c>
      <c r="C696" s="24">
        <v>7</v>
      </c>
      <c r="D696" s="18"/>
      <c r="E696" s="17" t="s">
        <v>2074</v>
      </c>
      <c r="F696" s="17" t="s">
        <v>1053</v>
      </c>
      <c r="G696" s="18"/>
      <c r="H696" s="18"/>
    </row>
    <row r="697" spans="1:8" ht="13.2">
      <c r="A697" s="19" t="str">
        <f>HYPERLINK("https://github.com/mostafa-saad/MyCompetitiveProgramming/blob/master/LiveArchive/LIVEARCHIVE_7577.txt","LIVEARCHIVE 7577")</f>
        <v>LIVEARCHIVE 7577</v>
      </c>
      <c r="B697" s="16" t="s">
        <v>6097</v>
      </c>
      <c r="C697" s="17">
        <v>7</v>
      </c>
      <c r="D697" s="26" t="str">
        <f>HYPERLINK("https://github.com/mostafa-saad/MyCompetitiveProgramming/blob/master/LiveArchive/LIVEARCHIVE_7577.txt","Sol")</f>
        <v>Sol</v>
      </c>
      <c r="E697" s="17" t="s">
        <v>6098</v>
      </c>
      <c r="F697" s="17" t="s">
        <v>154</v>
      </c>
      <c r="G697" s="18"/>
      <c r="H697" s="18"/>
    </row>
    <row r="698" spans="1:8" ht="13.2">
      <c r="A698" s="19" t="str">
        <f>HYPERLINK("http://codeforces.com/contest/331/problem/C3","CF331-D12-C3")</f>
        <v>CF331-D12-C3</v>
      </c>
      <c r="B698" s="15" t="s">
        <v>6117</v>
      </c>
      <c r="C698" s="24">
        <v>7</v>
      </c>
      <c r="D698" s="18"/>
      <c r="E698" s="17" t="s">
        <v>6118</v>
      </c>
      <c r="F698" s="17" t="s">
        <v>154</v>
      </c>
      <c r="G698" s="18"/>
      <c r="H698" s="18"/>
    </row>
    <row r="699" spans="1:8" ht="13.2">
      <c r="A699" s="19" t="str">
        <f>HYPERLINK("http://codeforces.com/contest/724/problem/E","CF724-D12-E")</f>
        <v>CF724-D12-E</v>
      </c>
      <c r="B699" s="15" t="s">
        <v>6251</v>
      </c>
      <c r="C699" s="24">
        <v>7</v>
      </c>
      <c r="D699" s="18"/>
      <c r="E699" s="17" t="s">
        <v>6246</v>
      </c>
      <c r="F699" s="17" t="s">
        <v>154</v>
      </c>
      <c r="G699" s="18"/>
      <c r="H699" s="18"/>
    </row>
    <row r="700" spans="1:8" ht="13.2">
      <c r="A700" s="19" t="str">
        <f>HYPERLINK("https://codeforces.com/problemset/problem/1175/G", "CF1175-D12-G")</f>
        <v>CF1175-D12-G</v>
      </c>
      <c r="B700" s="20" t="s">
        <v>6370</v>
      </c>
      <c r="C700" s="17">
        <v>7</v>
      </c>
      <c r="D700" s="18"/>
      <c r="E700" s="17" t="s">
        <v>6362</v>
      </c>
      <c r="F700" s="17" t="s">
        <v>154</v>
      </c>
      <c r="G700" s="18"/>
      <c r="H700" s="18"/>
    </row>
    <row r="701" spans="1:8" ht="13.2">
      <c r="A701" s="19" t="str">
        <f>HYPERLINK("https://codeforces.com/contest/932/problem/F","CF931-D12-F")</f>
        <v>CF931-D12-F</v>
      </c>
      <c r="B701" s="15" t="s">
        <v>6371</v>
      </c>
      <c r="C701" s="17">
        <v>7</v>
      </c>
      <c r="D701" s="18" t="str">
        <f>HYPERLINK("httpshttps://github.com/quangloc99/CompetitiveProgramming/blob/master/Codeforces/CF931-D12-F.cpp","Sol")</f>
        <v>Sol</v>
      </c>
      <c r="E701" s="17" t="s">
        <v>6362</v>
      </c>
      <c r="F701" s="17" t="s">
        <v>154</v>
      </c>
      <c r="G701" s="18"/>
      <c r="H701" s="18"/>
    </row>
    <row r="702" spans="1:8" ht="13.2">
      <c r="A702" s="19" t="str">
        <f>HYPERLINK("https://www.codechef.com/problems/PRINDRAG", "CODECHEF PRINDRAG")</f>
        <v>CODECHEF PRINDRAG</v>
      </c>
      <c r="B702" s="20" t="s">
        <v>6400</v>
      </c>
      <c r="C702" s="21">
        <v>7</v>
      </c>
      <c r="D702" s="18"/>
      <c r="E702" s="17" t="s">
        <v>6397</v>
      </c>
      <c r="F702" s="17" t="s">
        <v>154</v>
      </c>
      <c r="G702" s="18"/>
      <c r="H702" s="18"/>
    </row>
    <row r="703" spans="1:8" ht="13.2">
      <c r="A703" s="19" t="str">
        <f>HYPERLINK("https://codeforces.com/problemset/problem/1182/F", "CF1182-D2-F")</f>
        <v>CF1182-D2-F</v>
      </c>
      <c r="B703" s="20" t="s">
        <v>6401</v>
      </c>
      <c r="C703" s="17">
        <v>7</v>
      </c>
      <c r="D703" s="26" t="str">
        <f>HYPERLINK("https://github.com/tmwilliamlin168/CompetitiveProgramming/blob/master/CodeForces/1182F.cpp", "Sol")</f>
        <v>Sol</v>
      </c>
      <c r="E703" s="17" t="s">
        <v>6397</v>
      </c>
      <c r="F703" s="17" t="s">
        <v>154</v>
      </c>
      <c r="G703" s="18"/>
      <c r="H703" s="18"/>
    </row>
    <row r="704" spans="1:8" ht="13.2">
      <c r="A704" s="19" t="str">
        <f>HYPERLINK("http://codeforces.com/gym/101666/problem/G","CF101666-Gym-G")</f>
        <v>CF101666-Gym-G</v>
      </c>
      <c r="B704" s="20" t="s">
        <v>6443</v>
      </c>
      <c r="C704" s="21">
        <v>7</v>
      </c>
      <c r="D704" s="26" t="str">
        <f>HYPERLINK("https://github.com/swapnil119/CompetitiveProgramming/blob/master/CompetitiveProgramming/Codeforces/CF101666-GYM-G.cpp","Sol")</f>
        <v>Sol</v>
      </c>
      <c r="E704" s="17" t="s">
        <v>6441</v>
      </c>
      <c r="F704" s="17" t="s">
        <v>154</v>
      </c>
      <c r="G704" s="18"/>
      <c r="H704" s="18"/>
    </row>
    <row r="705" spans="1:8" ht="13.2">
      <c r="A705" s="19" t="str">
        <f>HYPERLINK("http://codeforces.com/contest/816/problem/E","CF816-D2-E")</f>
        <v>CF816-D2-E</v>
      </c>
      <c r="B705" s="18" t="s">
        <v>6465</v>
      </c>
      <c r="C705" s="24">
        <v>7</v>
      </c>
      <c r="D705" s="26" t="str">
        <f>HYPERLINK("https://github.com/OmarHashim/Competitive-Programming/blob/master/CodeForces/CF816-D2-E.cpp","After AC, Can u develop O(n^2) sol?")</f>
        <v>After AC, Can u develop O(n^2) sol?</v>
      </c>
      <c r="E705" s="17" t="s">
        <v>6459</v>
      </c>
      <c r="F705" s="17" t="s">
        <v>154</v>
      </c>
      <c r="G705" s="18"/>
      <c r="H705" s="18"/>
    </row>
    <row r="706" spans="1:8" ht="13.2">
      <c r="A706" s="19" t="str">
        <f>HYPERLINK("http://codeforces.com/contest/464/problem/D","CF464-D1-D")</f>
        <v>CF464-D1-D</v>
      </c>
      <c r="B706" s="15" t="s">
        <v>2029</v>
      </c>
      <c r="C706" s="24">
        <v>7</v>
      </c>
      <c r="D706" s="18"/>
      <c r="E706" s="17" t="s">
        <v>2026</v>
      </c>
      <c r="F706" s="17" t="s">
        <v>154</v>
      </c>
      <c r="G706" s="18"/>
      <c r="H706" s="18"/>
    </row>
    <row r="707" spans="1:8" ht="13.2">
      <c r="A707" s="19" t="str">
        <f>HYPERLINK("http://codeforces.com/contest/725/problem/E","CF725-D12-E")</f>
        <v>CF725-D12-E</v>
      </c>
      <c r="B707" s="25" t="s">
        <v>2165</v>
      </c>
      <c r="C707" s="24">
        <v>7</v>
      </c>
      <c r="D707" s="18"/>
      <c r="E707" s="17" t="s">
        <v>2153</v>
      </c>
      <c r="F707" s="17" t="s">
        <v>154</v>
      </c>
      <c r="G707" s="18"/>
      <c r="H707" s="18"/>
    </row>
    <row r="708" spans="1:8" ht="13.2">
      <c r="A708" s="19" t="str">
        <f>HYPERLINK("https://onlinejudge.org/index.php?option=onlinejudge&amp;page=show_problem&amp;problem=5136","UVA 13213")</f>
        <v>UVA 13213</v>
      </c>
      <c r="B708" s="15" t="s">
        <v>2550</v>
      </c>
      <c r="C708" s="21">
        <v>7</v>
      </c>
      <c r="D708" s="18"/>
      <c r="E708" s="17" t="s">
        <v>2510</v>
      </c>
      <c r="F708" s="17" t="s">
        <v>154</v>
      </c>
      <c r="G708" s="18"/>
      <c r="H708" s="18"/>
    </row>
    <row r="709" spans="1:8" ht="13.2">
      <c r="A709" s="15" t="s">
        <v>2813</v>
      </c>
      <c r="B709" s="15" t="s">
        <v>2814</v>
      </c>
      <c r="C709" s="24">
        <v>7</v>
      </c>
      <c r="D709" s="26" t="str">
        <f>HYPERLINK("https://github.com/mostafa-saad/MyCompetitiveProgramming/blob/master/ZOJ/ZOJ_2318.txt","Sol")</f>
        <v>Sol</v>
      </c>
      <c r="E709" s="17" t="s">
        <v>2798</v>
      </c>
      <c r="F709" s="17" t="s">
        <v>154</v>
      </c>
      <c r="G709" s="18"/>
      <c r="H709" s="18"/>
    </row>
    <row r="710" spans="1:8" ht="13.2">
      <c r="A710" s="19" t="str">
        <f>HYPERLINK("http://codeforces.com/contest/748/problem/F","CF748-D12-F")</f>
        <v>CF748-D12-F</v>
      </c>
      <c r="B710" s="15" t="s">
        <v>3290</v>
      </c>
      <c r="C710" s="24">
        <v>7</v>
      </c>
      <c r="D710" s="18"/>
      <c r="E710" s="17" t="s">
        <v>3257</v>
      </c>
      <c r="F710" s="17" t="s">
        <v>154</v>
      </c>
      <c r="G710" s="18"/>
      <c r="H710" s="18"/>
    </row>
    <row r="711" spans="1:8" ht="13.2">
      <c r="A711" s="19" t="str">
        <f>HYPERLINK("https://codeforces.com/contest/1082/problem/G","CF1082-D12-G")</f>
        <v>CF1082-D12-G</v>
      </c>
      <c r="B711" s="15" t="s">
        <v>4081</v>
      </c>
      <c r="C711" s="17">
        <v>7</v>
      </c>
      <c r="D711" s="18"/>
      <c r="E711" s="17" t="s">
        <v>4060</v>
      </c>
      <c r="F711" s="17" t="s">
        <v>154</v>
      </c>
      <c r="G711" s="18"/>
      <c r="H711" s="18"/>
    </row>
    <row r="712" spans="1:8" ht="13.2">
      <c r="A712" s="15" t="s">
        <v>4082</v>
      </c>
      <c r="B712" s="16" t="s">
        <v>4083</v>
      </c>
      <c r="C712" s="17">
        <v>7</v>
      </c>
      <c r="D712" s="18"/>
      <c r="E712" s="17" t="s">
        <v>4060</v>
      </c>
      <c r="F712" s="17" t="s">
        <v>154</v>
      </c>
      <c r="G712" s="18"/>
      <c r="H712" s="18"/>
    </row>
    <row r="713" spans="1:8" ht="13.2">
      <c r="A713" s="15" t="s">
        <v>4342</v>
      </c>
      <c r="B713" s="29" t="s">
        <v>4343</v>
      </c>
      <c r="C713" s="33">
        <v>7</v>
      </c>
      <c r="D713" s="26" t="str">
        <f>HYPERLINK("https://github.com/DrSchwad/CompetitiveProgramming/blob/master/UVA/UVA%2011390.cpp","Sol")</f>
        <v>Sol</v>
      </c>
      <c r="E713" s="17" t="s">
        <v>4344</v>
      </c>
      <c r="F713" s="17" t="s">
        <v>154</v>
      </c>
      <c r="G713" s="18"/>
      <c r="H713" s="18"/>
    </row>
    <row r="714" spans="1:8" ht="13.2">
      <c r="A714" s="19" t="str">
        <f>HYPERLINK("http://codeforces.com/contest/569/problem/E","CF569-D2-E")</f>
        <v>CF569-D2-E</v>
      </c>
      <c r="B714" s="29" t="s">
        <v>4381</v>
      </c>
      <c r="C714" s="17">
        <v>7</v>
      </c>
      <c r="D714" s="18"/>
      <c r="E714" s="17" t="s">
        <v>4379</v>
      </c>
      <c r="F714" s="17" t="s">
        <v>154</v>
      </c>
      <c r="G714" s="18"/>
      <c r="H714" s="18"/>
    </row>
    <row r="715" spans="1:8" ht="13.2">
      <c r="A715" s="19" t="str">
        <f>HYPERLINK("https://www.spoj.com/problems/METEORS/","SPOJ METEORS")</f>
        <v>SPOJ METEORS</v>
      </c>
      <c r="B715" s="15" t="s">
        <v>810</v>
      </c>
      <c r="C715" s="17">
        <v>7</v>
      </c>
      <c r="D715" s="26" t="str">
        <f>HYPERLINK("https://github.com/mostafa-saad/MyCompetitiveProgramming/blob/master/SPOJ/SPOJ_METEORS.txt","Sol - must read")</f>
        <v>Sol - must read</v>
      </c>
      <c r="E715" s="17" t="s">
        <v>805</v>
      </c>
      <c r="F715" s="17" t="s">
        <v>154</v>
      </c>
      <c r="G715" s="18"/>
      <c r="H715" s="18"/>
    </row>
    <row r="716" spans="1:8" ht="13.2">
      <c r="A716" s="19" t="str">
        <f>HYPERLINK("https://codeforces.com/contest/959/problem/F","CF959-D2-F")</f>
        <v>CF959-D2-F</v>
      </c>
      <c r="B716" s="23" t="s">
        <v>5319</v>
      </c>
      <c r="C716" s="17">
        <v>7</v>
      </c>
      <c r="D716" s="18"/>
      <c r="E716" s="17" t="s">
        <v>5310</v>
      </c>
      <c r="F716" s="17" t="s">
        <v>154</v>
      </c>
      <c r="G716" s="18"/>
      <c r="H716" s="18"/>
    </row>
    <row r="717" spans="1:8" ht="13.2">
      <c r="A717" s="15" t="s">
        <v>5582</v>
      </c>
      <c r="B717" s="28" t="s">
        <v>5583</v>
      </c>
      <c r="C717" s="24">
        <v>7</v>
      </c>
      <c r="D717" s="26" t="str">
        <f>HYPERLINK("https://github.com/mostafa-saad/MyCompetitiveProgramming/blob/master/LiveArchive/LIVEARCHIVE_3343.txt","Sol. Solve LIVEARCHIVE 3343 first")</f>
        <v>Sol. Solve LIVEARCHIVE 3343 first</v>
      </c>
      <c r="E717" s="17" t="s">
        <v>5575</v>
      </c>
      <c r="F717" s="17" t="s">
        <v>154</v>
      </c>
      <c r="G717" s="18"/>
      <c r="H717" s="18"/>
    </row>
    <row r="718" spans="1:8" ht="13.2">
      <c r="A718" s="19" t="str">
        <f>HYPERLINK("http://codeforces.com/contest/868/problem/F","CF868-D12-F")</f>
        <v>CF868-D12-F</v>
      </c>
      <c r="B718" s="38" t="s">
        <v>6099</v>
      </c>
      <c r="C718" s="17">
        <v>7</v>
      </c>
      <c r="D718" s="18"/>
      <c r="E718" s="17" t="s">
        <v>6098</v>
      </c>
      <c r="F718" s="17" t="s">
        <v>196</v>
      </c>
      <c r="G718" s="18"/>
      <c r="H718" s="18"/>
    </row>
    <row r="719" spans="1:8" ht="13.2">
      <c r="A719" s="19" t="str">
        <f>HYPERLINK("https://codeforces.com/problemset/problem/1227/G", "CF1127-D12-G")</f>
        <v>CF1127-D12-G</v>
      </c>
      <c r="B719" s="20" t="s">
        <v>138</v>
      </c>
      <c r="C719" s="21">
        <v>7</v>
      </c>
      <c r="D719" s="18"/>
      <c r="E719" s="17" t="s">
        <v>125</v>
      </c>
      <c r="F719" s="17" t="s">
        <v>139</v>
      </c>
      <c r="G719" s="18"/>
      <c r="H719" s="18"/>
    </row>
    <row r="720" spans="1:8" ht="13.2">
      <c r="A720" s="19" t="str">
        <f>HYPERLINK("https://codeforces.com/contest/1173/problem/F","CF1173-D2-F")</f>
        <v>CF1173-D2-F</v>
      </c>
      <c r="B720" s="20" t="s">
        <v>163</v>
      </c>
      <c r="C720" s="17">
        <v>7</v>
      </c>
      <c r="D720" s="18"/>
      <c r="E720" s="17" t="s">
        <v>125</v>
      </c>
      <c r="F720" s="17" t="s">
        <v>139</v>
      </c>
      <c r="G720" s="18"/>
      <c r="H720" s="18"/>
    </row>
    <row r="721" spans="1:8" ht="13.2">
      <c r="A721" s="15" t="s">
        <v>5766</v>
      </c>
      <c r="B721" s="29" t="s">
        <v>5763</v>
      </c>
      <c r="C721" s="17">
        <v>7</v>
      </c>
      <c r="D721" s="18"/>
      <c r="E721" s="17" t="s">
        <v>5761</v>
      </c>
      <c r="F721" s="17" t="s">
        <v>139</v>
      </c>
      <c r="G721" s="18"/>
      <c r="H721" s="18"/>
    </row>
    <row r="722" spans="1:8" ht="13.2">
      <c r="A722" s="19" t="str">
        <f>HYPERLINK("http://codeforces.com/contest/696/problem/D","CF696-D1-D")</f>
        <v>CF696-D1-D</v>
      </c>
      <c r="B722" s="15" t="s">
        <v>5767</v>
      </c>
      <c r="C722" s="24">
        <v>7</v>
      </c>
      <c r="D722" s="18"/>
      <c r="E722" s="17" t="s">
        <v>5761</v>
      </c>
      <c r="F722" s="17" t="s">
        <v>139</v>
      </c>
      <c r="G722" s="18"/>
      <c r="H722" s="18"/>
    </row>
    <row r="723" spans="1:8" ht="13.2">
      <c r="A723" s="19" t="str">
        <f>HYPERLINK("http://codeforces.com/contest/452/problem/E","CF452-D12-E")</f>
        <v>CF452-D12-E</v>
      </c>
      <c r="B723" s="29" t="s">
        <v>5817</v>
      </c>
      <c r="C723" s="17">
        <v>7</v>
      </c>
      <c r="D723" s="18"/>
      <c r="E723" s="17" t="s">
        <v>5794</v>
      </c>
      <c r="F723" s="17" t="s">
        <v>139</v>
      </c>
      <c r="G723" s="18"/>
      <c r="H723" s="18"/>
    </row>
    <row r="724" spans="1:8" ht="13.2">
      <c r="A724" s="19" t="str">
        <f>HYPERLINK("https://codeforces.com/contest/1109/problem/C","CF1109-D1-C")</f>
        <v>CF1109-D1-C</v>
      </c>
      <c r="B724" s="15" t="s">
        <v>5878</v>
      </c>
      <c r="C724" s="17">
        <v>7</v>
      </c>
      <c r="D724" s="18"/>
      <c r="E724" s="17" t="s">
        <v>5874</v>
      </c>
      <c r="F724" s="17" t="s">
        <v>139</v>
      </c>
      <c r="G724" s="18"/>
      <c r="H724" s="18"/>
    </row>
    <row r="725" spans="1:8" ht="13.2">
      <c r="A725" s="19" t="str">
        <f>HYPERLINK("https://www.codechef.com/problems/CLOSEFAR","Codechef CLOSEFAR")</f>
        <v>Codechef CLOSEFAR</v>
      </c>
      <c r="B725" s="38" t="s">
        <v>5923</v>
      </c>
      <c r="C725" s="17">
        <v>7</v>
      </c>
      <c r="D725" s="18"/>
      <c r="E725" s="17" t="s">
        <v>5915</v>
      </c>
      <c r="F725" s="17" t="s">
        <v>139</v>
      </c>
      <c r="G725" s="18"/>
      <c r="H725" s="18"/>
    </row>
    <row r="726" spans="1:8" ht="13.2">
      <c r="A726" s="19" t="str">
        <f>HYPERLINK("http://codeforces.com/contest/734/problem/F","CF734-D2-F")</f>
        <v>CF734-D2-F</v>
      </c>
      <c r="B726" s="15" t="s">
        <v>5960</v>
      </c>
      <c r="C726" s="24">
        <v>7</v>
      </c>
      <c r="D726" s="18"/>
      <c r="E726" s="17" t="s">
        <v>5958</v>
      </c>
      <c r="F726" s="17" t="s">
        <v>139</v>
      </c>
      <c r="G726" s="18"/>
      <c r="H726" s="18"/>
    </row>
    <row r="727" spans="1:8" ht="13.2">
      <c r="A727" s="19" t="str">
        <f>HYPERLINK("http://codeforces.com/problemset/problem/673/E","CF673-D12-E")</f>
        <v>CF673-D12-E</v>
      </c>
      <c r="B727" s="37" t="s">
        <v>6100</v>
      </c>
      <c r="C727" s="17">
        <v>7</v>
      </c>
      <c r="D727" s="26" t="str">
        <f>HYPERLINK("https://github.com/ryuzmukhametov/CompetitiveProgramming/blob/master/Codeforces/CF673-D12-E.cpp","Sol")</f>
        <v>Sol</v>
      </c>
      <c r="E727" s="17" t="s">
        <v>6098</v>
      </c>
      <c r="F727" s="17" t="s">
        <v>139</v>
      </c>
      <c r="G727" s="18"/>
      <c r="H727" s="18"/>
    </row>
    <row r="728" spans="1:8" ht="13.2">
      <c r="A728" s="19" t="str">
        <f>HYPERLINK("http://codeforces.com/gym/101982","CF101982-gym-I")</f>
        <v>CF101982-gym-I</v>
      </c>
      <c r="B728" s="15" t="s">
        <v>6101</v>
      </c>
      <c r="C728" s="17">
        <v>7</v>
      </c>
      <c r="D728" s="26" t="str">
        <f>HYPERLINK("https://github.com/mostafa-saad/MyCompetitiveProgramming/blob/master/Codeforces/CF101982-GYM-I.txt","Sol")</f>
        <v>Sol</v>
      </c>
      <c r="E728" s="17" t="s">
        <v>6098</v>
      </c>
      <c r="F728" s="17" t="s">
        <v>139</v>
      </c>
      <c r="G728" s="18"/>
      <c r="H728" s="18"/>
    </row>
    <row r="729" spans="1:8" ht="13.2">
      <c r="A729" s="15" t="s">
        <v>6119</v>
      </c>
      <c r="B729" s="18" t="s">
        <v>6120</v>
      </c>
      <c r="C729" s="24">
        <v>7</v>
      </c>
      <c r="D729" s="26" t="str">
        <f>HYPERLINK("https://github.com/timpostuvan/CompetitiveProgramming/blob/master/TopCoder/SRM431-D1-500.cpp","Sol")</f>
        <v>Sol</v>
      </c>
      <c r="E729" s="17" t="s">
        <v>6118</v>
      </c>
      <c r="F729" s="17" t="s">
        <v>139</v>
      </c>
      <c r="G729" s="18"/>
      <c r="H729" s="18"/>
    </row>
    <row r="730" spans="1:8" ht="13.2">
      <c r="A730" s="19" t="str">
        <f>HYPERLINK("http://codeforces.com/contest/713/problem/D","CF713-D1-D")</f>
        <v>CF713-D1-D</v>
      </c>
      <c r="B730" s="15" t="s">
        <v>996</v>
      </c>
      <c r="C730" s="24">
        <v>7</v>
      </c>
      <c r="D730" s="18"/>
      <c r="E730" s="17" t="s">
        <v>997</v>
      </c>
      <c r="F730" s="17" t="s">
        <v>139</v>
      </c>
      <c r="G730" s="18"/>
      <c r="H730" s="18"/>
    </row>
    <row r="731" spans="1:8" ht="13.2">
      <c r="A731" s="19" t="str">
        <f>HYPERLINK("https://codeforces.com/contest/1194/problem/F","CF1194-D12-F")</f>
        <v>CF1194-D12-F</v>
      </c>
      <c r="B731" s="20" t="s">
        <v>6278</v>
      </c>
      <c r="C731" s="21">
        <v>7</v>
      </c>
      <c r="D731" s="18"/>
      <c r="E731" s="17" t="s">
        <v>6275</v>
      </c>
      <c r="F731" s="17" t="s">
        <v>139</v>
      </c>
      <c r="G731" s="18"/>
      <c r="H731" s="18"/>
    </row>
    <row r="732" spans="1:8" ht="13.2">
      <c r="A732" s="19" t="str">
        <f>HYPERLINK("https://www.hackerrank.com/challenges/kevin-and-expected-value","HACKR kevin-and-expected-value")</f>
        <v>HACKR kevin-and-expected-value</v>
      </c>
      <c r="B732" s="29" t="s">
        <v>6279</v>
      </c>
      <c r="C732" s="17">
        <v>7</v>
      </c>
      <c r="D732" s="18"/>
      <c r="E732" s="17" t="s">
        <v>6275</v>
      </c>
      <c r="F732" s="17" t="s">
        <v>139</v>
      </c>
      <c r="G732" s="18"/>
      <c r="H732" s="18"/>
    </row>
    <row r="733" spans="1:8" ht="13.2">
      <c r="A733" s="19" t="str">
        <f>HYPERLINK("http://codeforces.com/contest/696/problem/E","CF696-D1-E")</f>
        <v>CF696-D1-E</v>
      </c>
      <c r="B733" s="30" t="s">
        <v>6322</v>
      </c>
      <c r="C733" s="40">
        <v>7</v>
      </c>
      <c r="D733" s="18"/>
      <c r="E733" s="17" t="s">
        <v>6311</v>
      </c>
      <c r="F733" s="17" t="s">
        <v>139</v>
      </c>
      <c r="G733" s="18"/>
      <c r="H733" s="18"/>
    </row>
    <row r="734" spans="1:8" ht="13.2">
      <c r="A734" s="19" t="str">
        <f>HYPERLINK("http://codeforces.com/contest/455/problem/E","CF455-D1-E")</f>
        <v>CF455-D1-E</v>
      </c>
      <c r="B734" s="15" t="s">
        <v>6372</v>
      </c>
      <c r="C734" s="17">
        <v>7</v>
      </c>
      <c r="D734" s="18"/>
      <c r="E734" s="17" t="s">
        <v>6362</v>
      </c>
      <c r="F734" s="17" t="s">
        <v>139</v>
      </c>
      <c r="G734" s="18"/>
      <c r="H734" s="18"/>
    </row>
    <row r="735" spans="1:8" ht="13.2">
      <c r="A735" s="19" t="str">
        <f>HYPERLINK("http://codeforces.com/problemset/problem/932/F","CF932-D12-F")</f>
        <v>CF932-D12-F</v>
      </c>
      <c r="B735" s="15" t="s">
        <v>6373</v>
      </c>
      <c r="C735" s="17">
        <v>7</v>
      </c>
      <c r="D735" s="18"/>
      <c r="E735" s="17" t="s">
        <v>6362</v>
      </c>
      <c r="F735" s="17" t="s">
        <v>139</v>
      </c>
      <c r="G735" s="18"/>
      <c r="H735" s="18"/>
    </row>
    <row r="736" spans="1:8" ht="13.2">
      <c r="A736" s="19" t="str">
        <f>HYPERLINK("http://codeforces.com/contest/377/problem/D","CF377-D1-D")</f>
        <v>CF377-D1-D</v>
      </c>
      <c r="B736" s="18" t="s">
        <v>1017</v>
      </c>
      <c r="C736" s="17">
        <v>7</v>
      </c>
      <c r="D736" s="18"/>
      <c r="E736" s="17" t="s">
        <v>1018</v>
      </c>
      <c r="F736" s="17" t="s">
        <v>139</v>
      </c>
      <c r="G736" s="18"/>
      <c r="H736" s="18"/>
    </row>
    <row r="737" spans="1:8" ht="13.2">
      <c r="A737" s="19" t="str">
        <f>HYPERLINK("http://acm.hdu.edu.cn/showproblem.php?pid=5306", "HDU 5306")</f>
        <v>HDU 5306</v>
      </c>
      <c r="B737" s="15" t="s">
        <v>1054</v>
      </c>
      <c r="C737" s="17">
        <v>7</v>
      </c>
      <c r="D737" s="26" t="str">
        <f>HYPERLINK("https://cmxrynp.github.io/2018/10/21/HDU-5306-Gorgeous-Sequence/","Sol")</f>
        <v>Sol</v>
      </c>
      <c r="E737" s="17" t="s">
        <v>1018</v>
      </c>
      <c r="F737" s="17" t="s">
        <v>139</v>
      </c>
      <c r="G737" s="18"/>
      <c r="H737" s="18"/>
    </row>
    <row r="738" spans="1:8" ht="13.2">
      <c r="A738" s="19" t="str">
        <f>HYPERLINK("http://codeforces.com/contest/849/problem/E","CF849-D2-E")</f>
        <v>CF849-D2-E</v>
      </c>
      <c r="B738" s="15" t="s">
        <v>6538</v>
      </c>
      <c r="C738" s="17">
        <v>7</v>
      </c>
      <c r="D738" s="18"/>
      <c r="E738" s="17" t="s">
        <v>1018</v>
      </c>
      <c r="F738" s="17" t="s">
        <v>139</v>
      </c>
      <c r="G738" s="18"/>
      <c r="H738" s="18"/>
    </row>
    <row r="739" spans="1:8" ht="13.2">
      <c r="A739" s="19" t="str">
        <f>HYPERLINK("https://www.codechef.com/JAN19A/problems/MXDIST","CODECHEF MXDIST")</f>
        <v>CODECHEF MXDIST</v>
      </c>
      <c r="B739" s="37" t="s">
        <v>1056</v>
      </c>
      <c r="C739" s="17">
        <v>7</v>
      </c>
      <c r="D739" s="18"/>
      <c r="E739" s="17" t="s">
        <v>1018</v>
      </c>
      <c r="F739" s="17" t="s">
        <v>139</v>
      </c>
      <c r="G739" s="18"/>
      <c r="H739" s="18"/>
    </row>
    <row r="740" spans="1:8" ht="13.2">
      <c r="A740" s="19" t="str">
        <f>HYPERLINK("http://codeforces.com/contest/294/problem/E","CF294-D2-E")</f>
        <v>CF294-D2-E</v>
      </c>
      <c r="B740" s="15" t="s">
        <v>6458</v>
      </c>
      <c r="C740" s="24">
        <v>7</v>
      </c>
      <c r="D740" s="18"/>
      <c r="E740" s="17" t="s">
        <v>6459</v>
      </c>
      <c r="F740" s="17" t="s">
        <v>139</v>
      </c>
      <c r="G740" s="18"/>
      <c r="H740" s="18"/>
    </row>
    <row r="741" spans="1:8" ht="13.8">
      <c r="A741" s="19" t="str">
        <f>HYPERLINK("http://codeforces.com/contest/805/problem/F","CF805-D2-F")</f>
        <v>CF805-D2-F</v>
      </c>
      <c r="B741" s="44" t="s">
        <v>6458</v>
      </c>
      <c r="C741" s="17">
        <v>7</v>
      </c>
      <c r="D741" s="18"/>
      <c r="E741" s="17" t="s">
        <v>6459</v>
      </c>
      <c r="F741" s="17" t="s">
        <v>139</v>
      </c>
      <c r="G741" s="18"/>
      <c r="H741" s="18"/>
    </row>
    <row r="742" spans="1:8" ht="13.2">
      <c r="A742" s="19" t="str">
        <f>HYPERLINK("https://codeforces.com/contest/1087/problem/E","CF1087-D2-E")</f>
        <v>CF1087-D2-E</v>
      </c>
      <c r="B742" s="15" t="s">
        <v>6504</v>
      </c>
      <c r="C742" s="17">
        <v>7</v>
      </c>
      <c r="D742" s="26" t="str">
        <f>HYPERLINK("https://github.com/pranavjangir/CompetitiveProgramming/blob/master/CodeForces/CF1086-D1-C.cpp","Sol")</f>
        <v>Sol</v>
      </c>
      <c r="E742" s="17" t="s">
        <v>6505</v>
      </c>
      <c r="F742" s="17" t="s">
        <v>139</v>
      </c>
      <c r="G742" s="18"/>
      <c r="H742" s="18"/>
    </row>
    <row r="743" spans="1:8" ht="13.2">
      <c r="A743" s="19" t="str">
        <f>HYPERLINK("https://www.codechef.com/INQU2018/problems/IMGOD","CODECHEF IMGOD")</f>
        <v>CODECHEF IMGOD</v>
      </c>
      <c r="B743" s="20" t="s">
        <v>6517</v>
      </c>
      <c r="C743" s="21">
        <v>7</v>
      </c>
      <c r="D743" s="26" t="str">
        <f>HYPERLINK("https://github.com/aviroop123/CompetitiveProgramming/blob/master/CodeChef/CODECHEF%20IMGOD.cpp","Sol")</f>
        <v>Sol</v>
      </c>
      <c r="E743" s="17" t="s">
        <v>6511</v>
      </c>
      <c r="F743" s="17" t="s">
        <v>139</v>
      </c>
      <c r="G743" s="18"/>
      <c r="H743" s="18"/>
    </row>
    <row r="744" spans="1:8" ht="13.2">
      <c r="A744" s="19" t="str">
        <f>HYPERLINK("http://codeforces.com/contest/528/problem/D","CF528-D1-D")</f>
        <v>CF528-D1-D</v>
      </c>
      <c r="B744" s="15" t="s">
        <v>6518</v>
      </c>
      <c r="C744" s="24">
        <v>7</v>
      </c>
      <c r="D744" s="18"/>
      <c r="E744" s="17" t="s">
        <v>6511</v>
      </c>
      <c r="F744" s="17" t="s">
        <v>139</v>
      </c>
      <c r="G744" s="18"/>
      <c r="H744" s="18"/>
    </row>
    <row r="745" spans="1:8" ht="13.2">
      <c r="A745" s="19" t="str">
        <f>HYPERLINK("https://codeforces.com/contest/1093/problem/E","CF1093-D12-E")</f>
        <v>CF1093-D12-E</v>
      </c>
      <c r="B745" s="15" t="s">
        <v>1231</v>
      </c>
      <c r="C745" s="17">
        <v>7</v>
      </c>
      <c r="D745" s="18" t="s">
        <v>1115</v>
      </c>
      <c r="E745" s="17" t="s">
        <v>1223</v>
      </c>
      <c r="F745" s="17" t="s">
        <v>139</v>
      </c>
      <c r="G745" s="18"/>
      <c r="H745" s="18"/>
    </row>
    <row r="746" spans="1:8" ht="13.2">
      <c r="A746" s="15" t="s">
        <v>1232</v>
      </c>
      <c r="B746" s="15" t="s">
        <v>1233</v>
      </c>
      <c r="C746" s="24">
        <v>7</v>
      </c>
      <c r="D746" s="26" t="str">
        <f>HYPERLINK("https://github.com/sggutier/CompetitiveProgramming/blob/master/SPOJ/SWAPS.cpp","Sol")</f>
        <v>Sol</v>
      </c>
      <c r="E746" s="17" t="s">
        <v>1223</v>
      </c>
      <c r="F746" s="17" t="s">
        <v>139</v>
      </c>
      <c r="G746" s="18"/>
      <c r="H746" s="18"/>
    </row>
    <row r="747" spans="1:8" ht="13.2">
      <c r="A747" s="19" t="str">
        <f>HYPERLINK("http://codeforces.com/contest/150/problem/D","CF150-D1-D")</f>
        <v>CF150-D1-D</v>
      </c>
      <c r="B747" s="15" t="s">
        <v>1348</v>
      </c>
      <c r="C747" s="24">
        <v>7</v>
      </c>
      <c r="D747" s="18"/>
      <c r="E747" s="17" t="s">
        <v>1337</v>
      </c>
      <c r="F747" s="17" t="s">
        <v>139</v>
      </c>
      <c r="G747" s="18"/>
      <c r="H747" s="18"/>
    </row>
    <row r="748" spans="1:8" ht="13.2">
      <c r="A748" s="19" t="str">
        <f>HYPERLINK("http://codeforces.com/contest/58/problem/E","CF58-D2-E")</f>
        <v>CF58-D2-E</v>
      </c>
      <c r="B748" s="15" t="s">
        <v>1348</v>
      </c>
      <c r="C748" s="17">
        <v>7</v>
      </c>
      <c r="D748" s="18"/>
      <c r="E748" s="17" t="s">
        <v>1337</v>
      </c>
      <c r="F748" s="17" t="s">
        <v>139</v>
      </c>
      <c r="G748" s="18"/>
      <c r="H748" s="18"/>
    </row>
    <row r="749" spans="1:8" ht="13.2">
      <c r="A749" s="19" t="str">
        <f>HYPERLINK("https://codeforces.com/contest/913/problem/F","CF913-D12-F")</f>
        <v>CF913-D12-F</v>
      </c>
      <c r="B749" s="15" t="s">
        <v>1348</v>
      </c>
      <c r="C749" s="21">
        <v>7</v>
      </c>
      <c r="D749" s="18"/>
      <c r="E749" s="17" t="s">
        <v>1337</v>
      </c>
      <c r="F749" s="17" t="s">
        <v>139</v>
      </c>
      <c r="G749" s="18"/>
      <c r="H749" s="18"/>
    </row>
    <row r="750" spans="1:8" ht="13.2">
      <c r="A750" s="19" t="str">
        <f>HYPERLINK("http://codeforces.com/contest/407/problem/D","CF407-D1-D")</f>
        <v>CF407-D1-D</v>
      </c>
      <c r="B750" s="15" t="s">
        <v>1373</v>
      </c>
      <c r="C750" s="24">
        <v>7</v>
      </c>
      <c r="D750" s="18"/>
      <c r="E750" s="17" t="s">
        <v>1337</v>
      </c>
      <c r="F750" s="17" t="s">
        <v>139</v>
      </c>
      <c r="G750" s="18"/>
      <c r="H750" s="18"/>
    </row>
    <row r="751" spans="1:8" ht="13.2">
      <c r="A751" s="19" t="str">
        <f>HYPERLINK("http://codeforces.com/contest/1055/problem/E","CF1055-D12-E")</f>
        <v>CF1055-D12-E</v>
      </c>
      <c r="B751" s="23" t="s">
        <v>1374</v>
      </c>
      <c r="C751" s="17">
        <v>7</v>
      </c>
      <c r="D751" s="18"/>
      <c r="E751" s="17" t="s">
        <v>1337</v>
      </c>
      <c r="F751" s="17" t="s">
        <v>139</v>
      </c>
      <c r="G751" s="18"/>
      <c r="H751" s="18"/>
    </row>
    <row r="752" spans="1:8" ht="13.2">
      <c r="A752" s="19" t="str">
        <f>HYPERLINK("https://www.codechef.com/problems/BIPFAMIL", "CODECHEF BIPFAMIL")</f>
        <v>CODECHEF BIPFAMIL</v>
      </c>
      <c r="B752" s="20" t="s">
        <v>1375</v>
      </c>
      <c r="C752" s="21">
        <v>7</v>
      </c>
      <c r="D752" s="18"/>
      <c r="E752" s="17" t="s">
        <v>1337</v>
      </c>
      <c r="F752" s="17" t="s">
        <v>139</v>
      </c>
      <c r="G752" s="18"/>
      <c r="H752" s="18"/>
    </row>
    <row r="753" spans="1:8" ht="13.2">
      <c r="A753" s="19" t="str">
        <f>HYPERLINK("https://atcoder.jp/contests/agc035/tasks/agc035_d","AtCoder035-AGC-D")</f>
        <v>AtCoder035-AGC-D</v>
      </c>
      <c r="B753" s="23" t="s">
        <v>1376</v>
      </c>
      <c r="C753" s="17">
        <v>7</v>
      </c>
      <c r="D753" s="18"/>
      <c r="E753" s="17" t="s">
        <v>1337</v>
      </c>
      <c r="F753" s="17" t="s">
        <v>139</v>
      </c>
      <c r="G753" s="18"/>
      <c r="H753" s="18"/>
    </row>
    <row r="754" spans="1:8" ht="13.2">
      <c r="A754" s="19" t="str">
        <f>HYPERLINK("https://codeforces.com/contest/1146/problem/H","CF1146-D12-H")</f>
        <v>CF1146-D12-H</v>
      </c>
      <c r="B754" s="15" t="s">
        <v>1377</v>
      </c>
      <c r="C754" s="21">
        <v>7</v>
      </c>
      <c r="D754" s="18"/>
      <c r="E754" s="17" t="s">
        <v>1337</v>
      </c>
      <c r="F754" s="17" t="s">
        <v>139</v>
      </c>
      <c r="G754" s="18"/>
      <c r="H754" s="18"/>
    </row>
    <row r="755" spans="1:8" ht="13.2">
      <c r="A755" s="19" t="str">
        <f>HYPERLINK("https://codeforces.com/contest/1056/problem/F","CF1056-D12-F")</f>
        <v>CF1056-D12-F</v>
      </c>
      <c r="B755" s="23" t="s">
        <v>1346</v>
      </c>
      <c r="C755" s="17">
        <v>7</v>
      </c>
      <c r="D755" s="18"/>
      <c r="E755" s="17" t="s">
        <v>1337</v>
      </c>
      <c r="F755" s="17" t="s">
        <v>139</v>
      </c>
      <c r="G755" s="18"/>
      <c r="H755" s="18"/>
    </row>
    <row r="756" spans="1:8" ht="13.2">
      <c r="A756" s="19" t="str">
        <f>HYPERLINK("http://codeforces.com/contest/126/problem/D","CF126-D1-D")</f>
        <v>CF126-D1-D</v>
      </c>
      <c r="B756" s="29" t="s">
        <v>1378</v>
      </c>
      <c r="C756" s="17">
        <v>7</v>
      </c>
      <c r="D756" s="18"/>
      <c r="E756" s="17" t="s">
        <v>1337</v>
      </c>
      <c r="F756" s="17" t="s">
        <v>139</v>
      </c>
      <c r="G756" s="18"/>
      <c r="H756" s="18"/>
    </row>
    <row r="757" spans="1:8" ht="13.2">
      <c r="A757" s="15" t="s">
        <v>1379</v>
      </c>
      <c r="B757" s="48" t="s">
        <v>1380</v>
      </c>
      <c r="C757" s="31">
        <v>7</v>
      </c>
      <c r="D757" s="26" t="str">
        <f>HYPERLINK("https://github.com/shanto86/Training/blob/master/TopCoder/SRM315-D1-1000.cpp","Sol")</f>
        <v>Sol</v>
      </c>
      <c r="E757" s="17" t="s">
        <v>1337</v>
      </c>
      <c r="F757" s="17" t="s">
        <v>139</v>
      </c>
      <c r="G757" s="18"/>
      <c r="H757" s="18"/>
    </row>
    <row r="758" spans="1:8" ht="13.2">
      <c r="A758" s="19" t="str">
        <f>HYPERLINK("https://atcoder.jp/contests/arc086/tasks/arc086_c","AtCoder086-ARC-E")</f>
        <v>AtCoder086-ARC-E</v>
      </c>
      <c r="B758" s="15" t="s">
        <v>1381</v>
      </c>
      <c r="C758" s="17">
        <v>7</v>
      </c>
      <c r="D758" s="18"/>
      <c r="E758" s="17" t="s">
        <v>1337</v>
      </c>
      <c r="F758" s="17" t="s">
        <v>139</v>
      </c>
      <c r="G758" s="18"/>
      <c r="H758" s="18"/>
    </row>
    <row r="759" spans="1:8" ht="13.2">
      <c r="A759" s="19" t="str">
        <f>HYPERLINK("http://codeforces.com/contest/754/problem/E","CF754-D2-E")</f>
        <v>CF754-D2-E</v>
      </c>
      <c r="B759" s="15" t="s">
        <v>345</v>
      </c>
      <c r="C759" s="17">
        <v>7</v>
      </c>
      <c r="D759" s="18"/>
      <c r="E759" s="17" t="s">
        <v>332</v>
      </c>
      <c r="F759" s="17" t="s">
        <v>139</v>
      </c>
      <c r="G759" s="18"/>
      <c r="H759" s="18"/>
    </row>
    <row r="760" spans="1:8" ht="13.2">
      <c r="A760" s="19" t="str">
        <f>HYPERLINK("http://codeforces.com/contest/544/problem/E","CF544-D2-E")</f>
        <v>CF544-D2-E</v>
      </c>
      <c r="B760" s="38" t="s">
        <v>1828</v>
      </c>
      <c r="C760" s="33">
        <v>7</v>
      </c>
      <c r="D760" s="18"/>
      <c r="E760" s="17" t="s">
        <v>1819</v>
      </c>
      <c r="F760" s="17" t="s">
        <v>139</v>
      </c>
      <c r="G760" s="18"/>
      <c r="H760" s="18"/>
    </row>
    <row r="761" spans="1:8" ht="13.2">
      <c r="A761" s="19" t="str">
        <f>HYPERLINK("http://agc026.contest.atcoder.jp/tasks/agc026_d","AtCoder026-AGC-D")</f>
        <v>AtCoder026-AGC-D</v>
      </c>
      <c r="B761" s="15" t="s">
        <v>1924</v>
      </c>
      <c r="C761" s="17">
        <v>7</v>
      </c>
      <c r="D761" s="18"/>
      <c r="E761" s="17" t="s">
        <v>1909</v>
      </c>
      <c r="F761" s="17" t="s">
        <v>139</v>
      </c>
      <c r="G761" s="18"/>
      <c r="H761" s="18"/>
    </row>
    <row r="762" spans="1:8" ht="13.2">
      <c r="A762" s="19" t="str">
        <f>HYPERLINK("http://codeforces.com/contest/841/problem/E","CF841-D2-E")</f>
        <v>CF841-D2-E</v>
      </c>
      <c r="B762" s="15" t="s">
        <v>1925</v>
      </c>
      <c r="C762" s="24">
        <v>7</v>
      </c>
      <c r="D762" s="18"/>
      <c r="E762" s="17" t="s">
        <v>1909</v>
      </c>
      <c r="F762" s="17" t="s">
        <v>139</v>
      </c>
      <c r="G762" s="18"/>
      <c r="H762" s="18"/>
    </row>
    <row r="763" spans="1:8" ht="13.2">
      <c r="A763" s="19" t="str">
        <f>HYPERLINK("http://codeforces.com/contest/767/problem/E","CF767-D2-E")</f>
        <v>CF767-D2-E</v>
      </c>
      <c r="B763" s="15" t="s">
        <v>2163</v>
      </c>
      <c r="C763" s="17">
        <v>7</v>
      </c>
      <c r="D763" s="18"/>
      <c r="E763" s="17" t="s">
        <v>2153</v>
      </c>
      <c r="F763" s="17" t="s">
        <v>139</v>
      </c>
      <c r="G763" s="18"/>
      <c r="H763" s="18"/>
    </row>
    <row r="764" spans="1:8" ht="13.2">
      <c r="A764" s="19" t="str">
        <f>HYPERLINK("http://codeforces.com/contest/559/problem/D","CF559-D1-D")</f>
        <v>CF559-D1-D</v>
      </c>
      <c r="B764" s="15" t="s">
        <v>2551</v>
      </c>
      <c r="C764" s="24">
        <v>7</v>
      </c>
      <c r="D764" s="18"/>
      <c r="E764" s="17" t="s">
        <v>2510</v>
      </c>
      <c r="F764" s="17" t="s">
        <v>139</v>
      </c>
      <c r="G764" s="18"/>
      <c r="H764" s="18"/>
    </row>
    <row r="765" spans="1:8" ht="13.2">
      <c r="A765" s="19" t="str">
        <f>HYPERLINK("http://codeforces.com/contest/182/problem/C","CF182-D2-C")</f>
        <v>CF182-D2-C</v>
      </c>
      <c r="B765" s="29" t="s">
        <v>578</v>
      </c>
      <c r="C765" s="17">
        <v>7</v>
      </c>
      <c r="D765" s="18"/>
      <c r="E765" s="17" t="s">
        <v>575</v>
      </c>
      <c r="F765" s="17" t="s">
        <v>139</v>
      </c>
      <c r="G765" s="18"/>
      <c r="H765" s="18"/>
    </row>
    <row r="766" spans="1:8" ht="13.2">
      <c r="A766" s="19" t="str">
        <f>HYPERLINK("http://codeforces.com/contest/682/problem/E","CF682-D2-E")</f>
        <v>CF682-D2-E</v>
      </c>
      <c r="B766" s="20" t="s">
        <v>3081</v>
      </c>
      <c r="C766" s="21">
        <v>7</v>
      </c>
      <c r="D766" s="26" t="str">
        <f>HYPERLINK("https://github.com/mostafa-saad/MyCompetitiveProgramming/blob/master/Codeforces/CF682-D2-E.txt", "Sol")</f>
        <v>Sol</v>
      </c>
      <c r="E766" s="17" t="s">
        <v>3065</v>
      </c>
      <c r="F766" s="17" t="s">
        <v>139</v>
      </c>
      <c r="G766" s="18"/>
      <c r="H766" s="18"/>
    </row>
    <row r="767" spans="1:8" ht="13.2">
      <c r="A767" s="19" t="str">
        <f>HYPERLINK("http://codeforces.com/contest/879/problem/E","CF879-D2-E")</f>
        <v>CF879-D2-E</v>
      </c>
      <c r="B767" s="15" t="s">
        <v>3291</v>
      </c>
      <c r="C767" s="17">
        <v>7</v>
      </c>
      <c r="D767" s="18"/>
      <c r="E767" s="17" t="s">
        <v>3257</v>
      </c>
      <c r="F767" s="17" t="s">
        <v>139</v>
      </c>
      <c r="G767" s="18"/>
      <c r="H767" s="18"/>
    </row>
    <row r="768" spans="1:8" ht="13.2">
      <c r="A768" s="19" t="str">
        <f>HYPERLINK("https://codeforces.com/contest/1113/problem/E","CF1113-D2-E")</f>
        <v>CF1113-D2-E</v>
      </c>
      <c r="B768" s="20" t="s">
        <v>3292</v>
      </c>
      <c r="C768" s="21">
        <v>7</v>
      </c>
      <c r="D768" s="18"/>
      <c r="E768" s="17" t="s">
        <v>3257</v>
      </c>
      <c r="F768" s="17" t="s">
        <v>139</v>
      </c>
      <c r="G768" s="18"/>
      <c r="H768" s="18"/>
    </row>
    <row r="769" spans="1:8" ht="13.2">
      <c r="A769" s="15" t="s">
        <v>3293</v>
      </c>
      <c r="B769" s="30" t="s">
        <v>3284</v>
      </c>
      <c r="C769" s="17">
        <v>7</v>
      </c>
      <c r="D769" s="18"/>
      <c r="E769" s="17" t="s">
        <v>3257</v>
      </c>
      <c r="F769" s="17" t="s">
        <v>139</v>
      </c>
      <c r="G769" s="18"/>
      <c r="H769" s="18"/>
    </row>
    <row r="770" spans="1:8" ht="13.2">
      <c r="A770" s="19" t="str">
        <f>HYPERLINK("https://codeforces.com/contest/1168/problem/D","CF1168-D1-D")</f>
        <v>CF1168-D1-D</v>
      </c>
      <c r="B770" s="15" t="s">
        <v>3294</v>
      </c>
      <c r="C770" s="17">
        <v>7</v>
      </c>
      <c r="D770" s="18"/>
      <c r="E770" s="17" t="s">
        <v>3257</v>
      </c>
      <c r="F770" s="17" t="s">
        <v>139</v>
      </c>
      <c r="G770" s="18"/>
      <c r="H770" s="18"/>
    </row>
    <row r="771" spans="1:8" ht="13.2">
      <c r="A771" s="15" t="s">
        <v>3477</v>
      </c>
      <c r="B771" s="38" t="s">
        <v>3478</v>
      </c>
      <c r="C771" s="17">
        <v>7</v>
      </c>
      <c r="D771" s="18"/>
      <c r="E771" s="17" t="s">
        <v>3467</v>
      </c>
      <c r="F771" s="17" t="s">
        <v>139</v>
      </c>
      <c r="G771" s="18"/>
      <c r="H771" s="18"/>
    </row>
    <row r="772" spans="1:8" ht="13.2">
      <c r="A772" s="19" t="str">
        <f>HYPERLINK("http://codeforces.com/contest/1103/problem/C","CF1103-D2-C")</f>
        <v>CF1103-D2-C</v>
      </c>
      <c r="B772" s="15" t="s">
        <v>3649</v>
      </c>
      <c r="C772" s="17">
        <v>7</v>
      </c>
      <c r="D772" s="18"/>
      <c r="E772" s="17" t="s">
        <v>3650</v>
      </c>
      <c r="F772" s="17" t="s">
        <v>139</v>
      </c>
      <c r="G772" s="18"/>
      <c r="H772" s="18"/>
    </row>
    <row r="773" spans="1:8" ht="13.2">
      <c r="A773" s="19" t="str">
        <f>HYPERLINK("http://codeforces.com/contest/19/problem/E","CF19-D12-E")</f>
        <v>CF19-D12-E</v>
      </c>
      <c r="B773" s="15" t="s">
        <v>3666</v>
      </c>
      <c r="C773" s="24">
        <v>7</v>
      </c>
      <c r="D773" s="26" t="str">
        <f>HYPERLINK("https://codeforces.com/blog/entry/68138","Reading after trial")</f>
        <v>Reading after trial</v>
      </c>
      <c r="E773" s="17" t="s">
        <v>3650</v>
      </c>
      <c r="F773" s="17" t="s">
        <v>139</v>
      </c>
      <c r="G773" s="18"/>
      <c r="H773" s="18"/>
    </row>
    <row r="774" spans="1:8" ht="13.2">
      <c r="A774" s="19" t="str">
        <f>HYPERLINK("https://agc009.contest.atcoder.jp/tasks/agc009_d","AtCoder009-AGC-D")</f>
        <v>AtCoder009-AGC-D</v>
      </c>
      <c r="B774" s="15" t="s">
        <v>3667</v>
      </c>
      <c r="C774" s="17">
        <v>7</v>
      </c>
      <c r="D774" s="26" t="str">
        <f>HYPERLINK("https://github.com/MetalBall887/Competitive-Programming/blob/master/AtCoder/AtCoder009-AGC-D.cpp","Sol")</f>
        <v>Sol</v>
      </c>
      <c r="E774" s="17" t="s">
        <v>3650</v>
      </c>
      <c r="F774" s="17" t="s">
        <v>139</v>
      </c>
      <c r="G774" s="18"/>
      <c r="H774" s="18"/>
    </row>
    <row r="775" spans="1:8" ht="13.2">
      <c r="A775" s="19" t="str">
        <f>HYPERLINK("http://codeforces.com/contest/875/problem/F","CF875-D1-F")</f>
        <v>CF875-D1-F</v>
      </c>
      <c r="B775" s="15" t="s">
        <v>3889</v>
      </c>
      <c r="C775" s="17">
        <v>7</v>
      </c>
      <c r="D775" s="18"/>
      <c r="E775" s="17" t="s">
        <v>3883</v>
      </c>
      <c r="F775" s="17" t="s">
        <v>139</v>
      </c>
      <c r="G775" s="18"/>
      <c r="H775" s="18"/>
    </row>
    <row r="776" spans="1:8" ht="13.2">
      <c r="A776" s="19" t="str">
        <f>HYPERLINK("http://codeforces.com/contest/87/problem/D","CF87-D1-D")</f>
        <v>CF87-D1-D</v>
      </c>
      <c r="B776" s="20" t="s">
        <v>3890</v>
      </c>
      <c r="C776" s="21">
        <v>7</v>
      </c>
      <c r="D776" s="26" t="str">
        <f>HYPERLINK("https://github.com/tmwilliamlin168/CompetitiveProgramming/blob/master/CodeForces/CF87-D1-D.cpp", "SolToMe")</f>
        <v>SolToMe</v>
      </c>
      <c r="E776" s="17" t="s">
        <v>3883</v>
      </c>
      <c r="F776" s="17" t="s">
        <v>139</v>
      </c>
      <c r="G776" s="18"/>
      <c r="H776" s="18"/>
    </row>
    <row r="777" spans="1:8" ht="13.2">
      <c r="A777" s="19" t="str">
        <f>HYPERLINK("https://codeforces.com/gym/101194/problem/G","CF101194-GYM-G")</f>
        <v>CF101194-GYM-G</v>
      </c>
      <c r="B777" s="15" t="s">
        <v>3891</v>
      </c>
      <c r="C777" s="17">
        <v>7</v>
      </c>
      <c r="D777" s="26" t="str">
        <f>HYPERLINK("https://github.com/nya-nya-meow/CompetitiveProgramming/blob/master/CodeForces/CF101194-GYM-G%20-%20Pandaria.cpp","Sol")</f>
        <v>Sol</v>
      </c>
      <c r="E777" s="17" t="s">
        <v>3883</v>
      </c>
      <c r="F777" s="17" t="s">
        <v>139</v>
      </c>
      <c r="G777" s="18"/>
      <c r="H777" s="18"/>
    </row>
    <row r="778" spans="1:8" ht="13.2">
      <c r="A778" s="15" t="s">
        <v>4084</v>
      </c>
      <c r="B778" s="30" t="s">
        <v>4059</v>
      </c>
      <c r="C778" s="24">
        <v>7</v>
      </c>
      <c r="D778" s="26" t="str">
        <f>HYPERLINK("https://github.com/MohamedNabil97/CompetitiveProgramming/blob/master/SPOJ/PROFIT.cpp","Sol")</f>
        <v>Sol</v>
      </c>
      <c r="E778" s="17" t="s">
        <v>4060</v>
      </c>
      <c r="F778" s="17" t="s">
        <v>139</v>
      </c>
      <c r="G778" s="18"/>
      <c r="H778" s="18"/>
    </row>
    <row r="779" spans="1:8" ht="13.2">
      <c r="A779" s="19" t="str">
        <f>HYPERLINK("https://atcoder.jp/contests/agc037/tasks/agc037_d", "AtCoder037-AGC-D")</f>
        <v>AtCoder037-AGC-D</v>
      </c>
      <c r="B779" s="15" t="s">
        <v>4158</v>
      </c>
      <c r="C779" s="17">
        <v>7</v>
      </c>
      <c r="D779" s="18"/>
      <c r="E779" s="17" t="s">
        <v>4144</v>
      </c>
      <c r="F779" s="17" t="s">
        <v>139</v>
      </c>
      <c r="G779" s="18"/>
      <c r="H779" s="18"/>
    </row>
    <row r="780" spans="1:8" ht="13.2">
      <c r="A780" s="15" t="s">
        <v>4159</v>
      </c>
      <c r="B780" s="39" t="s">
        <v>4160</v>
      </c>
      <c r="C780" s="24">
        <v>7</v>
      </c>
      <c r="D780" s="26" t="str">
        <f>HYPERLINK("https://ideone.com/B7SwUL","Sol")</f>
        <v>Sol</v>
      </c>
      <c r="E780" s="17" t="s">
        <v>4144</v>
      </c>
      <c r="F780" s="17" t="s">
        <v>139</v>
      </c>
      <c r="G780" s="18"/>
      <c r="H780" s="18"/>
    </row>
    <row r="781" spans="1:8" ht="13.2">
      <c r="A781" s="19" t="str">
        <f>HYPERLINK("http://codeforces.com/problemset/problem/1054/F", "CF1054-D12-F")</f>
        <v>CF1054-D12-F</v>
      </c>
      <c r="B781" s="15" t="s">
        <v>4161</v>
      </c>
      <c r="C781" s="17">
        <v>7</v>
      </c>
      <c r="D781" s="18"/>
      <c r="E781" s="17" t="s">
        <v>4144</v>
      </c>
      <c r="F781" s="17" t="s">
        <v>139</v>
      </c>
      <c r="G781" s="18"/>
      <c r="H781" s="18"/>
    </row>
    <row r="782" spans="1:8" ht="13.2">
      <c r="A782" s="15" t="s">
        <v>4162</v>
      </c>
      <c r="B782" s="28" t="s">
        <v>4163</v>
      </c>
      <c r="C782" s="24">
        <v>7</v>
      </c>
      <c r="D782" s="26" t="str">
        <f>HYPERLINK("https://github.com/quangloc99/CompetitiveProgramming/blob/master/Topcoder/SRM527-D1-500.cpp","Sol")</f>
        <v>Sol</v>
      </c>
      <c r="E782" s="17" t="s">
        <v>4144</v>
      </c>
      <c r="F782" s="17" t="s">
        <v>139</v>
      </c>
      <c r="G782" s="18"/>
      <c r="H782" s="18"/>
    </row>
    <row r="783" spans="1:8" ht="13.2">
      <c r="A783" s="19" t="str">
        <f>HYPERLINK("https://codeforces.com/contest/1107/problem/F","CF1107-D12-F")</f>
        <v>CF1107-D12-F</v>
      </c>
      <c r="B783" s="15" t="s">
        <v>4245</v>
      </c>
      <c r="C783" s="17">
        <v>7</v>
      </c>
      <c r="D783" s="26" t="str">
        <f>HYPERLINK("https://github.com/khaledsliti/CompetitiveProgramming/blob/master/Codeforces/CF1107-D12-F.cpp","Sol")</f>
        <v>Sol</v>
      </c>
      <c r="E783" s="17" t="s">
        <v>4238</v>
      </c>
      <c r="F783" s="17" t="s">
        <v>139</v>
      </c>
      <c r="G783" s="18"/>
      <c r="H783" s="18"/>
    </row>
    <row r="784" spans="1:8" ht="13.2">
      <c r="A784" s="19" t="str">
        <f>HYPERLINK("https://www.codechef.com/LTIME70B/problems/TREF","CODECHEF TREF")</f>
        <v>CODECHEF TREF</v>
      </c>
      <c r="B784" s="15" t="s">
        <v>4245</v>
      </c>
      <c r="C784" s="17">
        <v>7</v>
      </c>
      <c r="D784" s="18"/>
      <c r="E784" s="17" t="s">
        <v>4238</v>
      </c>
      <c r="F784" s="17" t="s">
        <v>139</v>
      </c>
      <c r="G784" s="18"/>
      <c r="H784" s="18"/>
    </row>
    <row r="785" spans="1:8" ht="13.2">
      <c r="A785" s="19" t="str">
        <f>HYPERLINK("https://codeforces.com/contest/1051/problem/F","CF1051-D2-F")</f>
        <v>CF1051-D2-F</v>
      </c>
      <c r="B785" s="20" t="s">
        <v>4288</v>
      </c>
      <c r="C785" s="21">
        <v>7</v>
      </c>
      <c r="D785" s="18"/>
      <c r="E785" s="17" t="s">
        <v>4275</v>
      </c>
      <c r="F785" s="17" t="s">
        <v>139</v>
      </c>
      <c r="G785" s="18"/>
      <c r="H785" s="18"/>
    </row>
    <row r="786" spans="1:8" ht="13.2">
      <c r="A786" s="15" t="s">
        <v>4289</v>
      </c>
      <c r="B786" s="28" t="s">
        <v>4290</v>
      </c>
      <c r="C786" s="24">
        <v>7</v>
      </c>
      <c r="D786" s="26" t="str">
        <f>HYPERLINK("https://blog.csdn.net/u012596172/article/details/42610761","Sol")</f>
        <v>Sol</v>
      </c>
      <c r="E786" s="17" t="s">
        <v>4275</v>
      </c>
      <c r="F786" s="17" t="s">
        <v>139</v>
      </c>
      <c r="G786" s="18"/>
      <c r="H786" s="18"/>
    </row>
    <row r="787" spans="1:8" ht="13.2">
      <c r="A787" s="15" t="s">
        <v>4382</v>
      </c>
      <c r="B787" s="28" t="s">
        <v>4383</v>
      </c>
      <c r="C787" s="24">
        <v>7</v>
      </c>
      <c r="D787" s="18"/>
      <c r="E787" s="17" t="s">
        <v>4379</v>
      </c>
      <c r="F787" s="17" t="s">
        <v>139</v>
      </c>
      <c r="G787" s="18"/>
      <c r="H787" s="18"/>
    </row>
    <row r="788" spans="1:8" ht="13.2">
      <c r="A788" s="15" t="s">
        <v>4429</v>
      </c>
      <c r="B788" s="15" t="s">
        <v>4430</v>
      </c>
      <c r="C788" s="17">
        <v>7</v>
      </c>
      <c r="D788" s="26" t="str">
        <f>HYPERLINK("https://github.com/mostafa-saad/MyCompetitiveProgramming/blob/master/SPOJ/SPOJ_ONBRIDGE.txt","Sol")</f>
        <v>Sol</v>
      </c>
      <c r="E788" s="17" t="s">
        <v>4423</v>
      </c>
      <c r="F788" s="17" t="s">
        <v>139</v>
      </c>
      <c r="G788" s="18"/>
      <c r="H788" s="18"/>
    </row>
    <row r="789" spans="1:8" ht="13.2">
      <c r="A789" s="19" t="str">
        <f>HYPERLINK("http://codeforces.com/contest/700/problem/C","CF700-D1-C")</f>
        <v>CF700-D1-C</v>
      </c>
      <c r="B789" s="15" t="s">
        <v>4431</v>
      </c>
      <c r="C789" s="24">
        <v>7</v>
      </c>
      <c r="D789" s="18"/>
      <c r="E789" s="17" t="s">
        <v>4423</v>
      </c>
      <c r="F789" s="17" t="s">
        <v>139</v>
      </c>
      <c r="G789" s="18"/>
      <c r="H789" s="18"/>
    </row>
    <row r="790" spans="1:8" ht="13.2">
      <c r="A790" s="19" t="str">
        <f>HYPERLINK("https://codeforces.com/contest/1100/problem/F","CF1100-D2-F")</f>
        <v>CF1100-D2-F</v>
      </c>
      <c r="B790" s="15" t="s">
        <v>4561</v>
      </c>
      <c r="C790" s="17">
        <v>7</v>
      </c>
      <c r="D790" s="18"/>
      <c r="E790" s="17" t="s">
        <v>4531</v>
      </c>
      <c r="F790" s="17" t="s">
        <v>139</v>
      </c>
      <c r="G790" s="18"/>
      <c r="H790" s="18"/>
    </row>
    <row r="791" spans="1:8" ht="13.2">
      <c r="A791" s="19" t="str">
        <f>HYPERLINK("https://codeforces.com/contest/518/problem/E","CF518-D2-E")</f>
        <v>CF518-D2-E</v>
      </c>
      <c r="B791" s="20" t="s">
        <v>4562</v>
      </c>
      <c r="C791" s="21">
        <v>7</v>
      </c>
      <c r="D791" s="18"/>
      <c r="E791" s="17" t="s">
        <v>4531</v>
      </c>
      <c r="F791" s="17" t="s">
        <v>139</v>
      </c>
      <c r="G791" s="18"/>
      <c r="H791" s="18"/>
    </row>
    <row r="792" spans="1:8" ht="13.2">
      <c r="A792" s="19" t="str">
        <f>HYPERLINK("https://uva.onlinejudge.org/index.php?option=com_onlinejudge&amp;Itemid=8&amp;page=show_problem&amp;problem=3838","UVA 12407")</f>
        <v>UVA 12407</v>
      </c>
      <c r="B792" s="15" t="s">
        <v>4563</v>
      </c>
      <c r="C792" s="21">
        <v>7</v>
      </c>
      <c r="D792" s="26" t="str">
        <f>HYPERLINK("https://github.com/miguelAlessandro/CompetitiveProgramming/blob/master/UVA/12407.cpp","sOL")</f>
        <v>sOL</v>
      </c>
      <c r="E792" s="17" t="s">
        <v>4531</v>
      </c>
      <c r="F792" s="17" t="s">
        <v>139</v>
      </c>
      <c r="G792" s="18"/>
      <c r="H792" s="18"/>
    </row>
    <row r="793" spans="1:8" ht="13.2">
      <c r="A793" s="19" t="str">
        <f>HYPERLINK("https://codeforces.com/contest/758/problem/F","CF758-D2-F")</f>
        <v>CF758-D2-F</v>
      </c>
      <c r="B793" s="23" t="s">
        <v>4564</v>
      </c>
      <c r="C793" s="17">
        <v>7</v>
      </c>
      <c r="D793" s="18"/>
      <c r="E793" s="17" t="s">
        <v>4531</v>
      </c>
      <c r="F793" s="17" t="s">
        <v>139</v>
      </c>
      <c r="G793" s="18"/>
      <c r="H793" s="18"/>
    </row>
    <row r="794" spans="1:8" ht="13.2">
      <c r="A794" s="19" t="str">
        <f>HYPERLINK("http://codeforces.com/contest/488/problem/E","CF488-D2-E")</f>
        <v>CF488-D2-E</v>
      </c>
      <c r="B794" s="15" t="s">
        <v>4565</v>
      </c>
      <c r="C794" s="24">
        <v>7</v>
      </c>
      <c r="D794" s="18"/>
      <c r="E794" s="17" t="s">
        <v>4531</v>
      </c>
      <c r="F794" s="17" t="s">
        <v>139</v>
      </c>
      <c r="G794" s="18"/>
      <c r="H794" s="18"/>
    </row>
    <row r="795" spans="1:8" ht="13.2">
      <c r="A795" s="19" t="str">
        <f>HYPERLINK("http://codeforces.com/contest/641/problem/D", "CF641-D12-D")</f>
        <v>CF641-D12-D</v>
      </c>
      <c r="B795" s="20" t="s">
        <v>4566</v>
      </c>
      <c r="C795" s="21">
        <v>7</v>
      </c>
      <c r="D795" s="26" t="str">
        <f>HYPERLINK("https://github.com/tmwilliamlin168/CompetitiveProgramming/blob/master/CodeForces/CF641-D12-D.cpp", "SolToMe")</f>
        <v>SolToMe</v>
      </c>
      <c r="E795" s="17" t="s">
        <v>4531</v>
      </c>
      <c r="F795" s="17" t="s">
        <v>139</v>
      </c>
      <c r="G795" s="18"/>
      <c r="H795" s="18"/>
    </row>
    <row r="796" spans="1:8" ht="13.2">
      <c r="A796" s="19" t="str">
        <f>HYPERLINK("https://codeforces.com/contest/1101/problem/G","CF1101-D12-G")</f>
        <v>CF1101-D12-G</v>
      </c>
      <c r="B796" s="15" t="s">
        <v>4567</v>
      </c>
      <c r="C796" s="17">
        <v>7</v>
      </c>
      <c r="D796" s="18"/>
      <c r="E796" s="17" t="s">
        <v>4531</v>
      </c>
      <c r="F796" s="17" t="s">
        <v>139</v>
      </c>
      <c r="G796" s="18"/>
      <c r="H796" s="18"/>
    </row>
    <row r="797" spans="1:8" ht="13.2">
      <c r="A797" s="19" t="str">
        <f>HYPERLINK("https://www.codechef.com/problems/MDN", "CODECHEF MDN")</f>
        <v>CODECHEF MDN</v>
      </c>
      <c r="B797" s="15" t="s">
        <v>4964</v>
      </c>
      <c r="C797" s="17">
        <v>7</v>
      </c>
      <c r="D797" s="18"/>
      <c r="E797" s="17" t="s">
        <v>4958</v>
      </c>
      <c r="F797" s="17" t="s">
        <v>139</v>
      </c>
      <c r="G797" s="18"/>
      <c r="H797" s="18"/>
    </row>
    <row r="798" spans="1:8" ht="13.2">
      <c r="A798" s="19" t="str">
        <f>HYPERLINK("http://codeforces.com/contest/834/problem/E","CF834-D2-E")</f>
        <v>CF834-D2-E</v>
      </c>
      <c r="B798" s="15" t="s">
        <v>4971</v>
      </c>
      <c r="C798" s="17">
        <v>7</v>
      </c>
      <c r="D798" s="18"/>
      <c r="E798" s="17" t="s">
        <v>4958</v>
      </c>
      <c r="F798" s="17" t="s">
        <v>139</v>
      </c>
      <c r="G798" s="18"/>
      <c r="H798" s="18"/>
    </row>
    <row r="799" spans="1:8" ht="13.2">
      <c r="A799" s="15" t="s">
        <v>5080</v>
      </c>
      <c r="B799" s="30" t="s">
        <v>5081</v>
      </c>
      <c r="C799" s="24">
        <v>7</v>
      </c>
      <c r="D799" s="26" t="str">
        <f>HYPERLINK("https://github.com/jebouin/CompetitiveProgramming/blob/master/UVA/UVA%201635.cpp","Sol")</f>
        <v>Sol</v>
      </c>
      <c r="E799" s="17" t="s">
        <v>5075</v>
      </c>
      <c r="F799" s="17" t="s">
        <v>139</v>
      </c>
      <c r="G799" s="18"/>
      <c r="H799" s="18"/>
    </row>
    <row r="800" spans="1:8" ht="13.2">
      <c r="A800" s="19" t="str">
        <f>HYPERLINK("https://www.codechef.com/problems/SEALCM","CODECHEF SEALCM")</f>
        <v>CODECHEF SEALCM</v>
      </c>
      <c r="B800" s="18" t="s">
        <v>5135</v>
      </c>
      <c r="C800" s="17">
        <v>7</v>
      </c>
      <c r="D800" s="18"/>
      <c r="E800" s="17" t="s">
        <v>5134</v>
      </c>
      <c r="F800" s="17" t="s">
        <v>139</v>
      </c>
      <c r="G800" s="18"/>
      <c r="H800" s="18"/>
    </row>
    <row r="801" spans="1:8" ht="13.2">
      <c r="A801" s="19" t="str">
        <f>HYPERLINK("http://codeforces.com/contest/585/problem/E","CF585-D1-E")</f>
        <v>CF585-D1-E</v>
      </c>
      <c r="B801" s="15" t="s">
        <v>5136</v>
      </c>
      <c r="C801" s="24">
        <v>7</v>
      </c>
      <c r="D801" s="18"/>
      <c r="E801" s="17" t="s">
        <v>5134</v>
      </c>
      <c r="F801" s="17" t="s">
        <v>139</v>
      </c>
      <c r="G801" s="18"/>
      <c r="H801" s="18"/>
    </row>
    <row r="802" spans="1:8" ht="13.2">
      <c r="A802" s="19" t="str">
        <f>HYPERLINK("https://codeforces.com/problemset/problem/1106/F","CF1106-D2-F")</f>
        <v>CF1106-D2-F</v>
      </c>
      <c r="B802" s="15" t="s">
        <v>5255</v>
      </c>
      <c r="C802" s="17">
        <v>7</v>
      </c>
      <c r="D802" s="18"/>
      <c r="E802" s="17" t="s">
        <v>5246</v>
      </c>
      <c r="F802" s="17" t="s">
        <v>139</v>
      </c>
      <c r="G802" s="18"/>
      <c r="H802" s="18"/>
    </row>
    <row r="803" spans="1:8" ht="13.2">
      <c r="A803" s="19" t="str">
        <f>HYPERLINK("https://agc006.contest.atcoder.jp/tasks/agc006_d","AtCoder006-AGC-D")</f>
        <v>AtCoder006-AGC-D</v>
      </c>
      <c r="B803" s="15" t="s">
        <v>811</v>
      </c>
      <c r="C803" s="17">
        <v>7</v>
      </c>
      <c r="D803" s="18"/>
      <c r="E803" s="17" t="s">
        <v>805</v>
      </c>
      <c r="F803" s="17" t="s">
        <v>139</v>
      </c>
      <c r="G803" s="18"/>
      <c r="H803" s="18"/>
    </row>
    <row r="804" spans="1:8" ht="13.2">
      <c r="A804" s="19" t="str">
        <f>HYPERLINK("https://www.hackerearth.com/problem/algorithm/make-n00b_land-great-again-circuits/description/","HACKER make-n00b_land-great-again-circuits")</f>
        <v>HACKER make-n00b_land-great-again-circuits</v>
      </c>
      <c r="B804" s="15" t="s">
        <v>812</v>
      </c>
      <c r="C804" s="17">
        <v>7</v>
      </c>
      <c r="D804" s="18"/>
      <c r="E804" s="17" t="s">
        <v>805</v>
      </c>
      <c r="F804" s="17" t="s">
        <v>139</v>
      </c>
      <c r="G804" s="18"/>
      <c r="H804" s="18"/>
    </row>
    <row r="805" spans="1:8" ht="13.2">
      <c r="A805" s="19" t="str">
        <f>HYPERLINK("http://codeforces.com/contest/981/problem/F", "CF981-D12-F")</f>
        <v>CF981-D12-F</v>
      </c>
      <c r="B805" s="20" t="s">
        <v>813</v>
      </c>
      <c r="C805" s="21">
        <v>7</v>
      </c>
      <c r="D805" s="26" t="str">
        <f>HYPERLINK("https://github.com/tmwilliamlin168/CompetitiveProgramming/blob/master/CodeForces/CF981-D12-F.cpp", "Sol")</f>
        <v>Sol</v>
      </c>
      <c r="E805" s="17" t="s">
        <v>805</v>
      </c>
      <c r="F805" s="17" t="s">
        <v>139</v>
      </c>
      <c r="G805" s="18"/>
      <c r="H805" s="18"/>
    </row>
    <row r="806" spans="1:8" ht="13.2">
      <c r="A806" s="19" t="str">
        <f>HYPERLINK("https://csacademy.com/contest/archive/task/xor_cycle/statement/","CSA xor_cycle")</f>
        <v>CSA xor_cycle</v>
      </c>
      <c r="B806" s="23" t="s">
        <v>5319</v>
      </c>
      <c r="C806" s="17">
        <v>7</v>
      </c>
      <c r="D806" s="18"/>
      <c r="E806" s="17" t="s">
        <v>5310</v>
      </c>
      <c r="F806" s="17" t="s">
        <v>139</v>
      </c>
      <c r="G806" s="18"/>
      <c r="H806" s="18"/>
    </row>
    <row r="807" spans="1:8" ht="13.2">
      <c r="A807" s="19" t="str">
        <f>HYPERLINK("http://codeforces.com/contest/668/problem/C","CF668-D1-C")</f>
        <v>CF668-D1-C</v>
      </c>
      <c r="B807" s="29" t="s">
        <v>5356</v>
      </c>
      <c r="C807" s="17">
        <v>7</v>
      </c>
      <c r="D807" s="18"/>
      <c r="E807" s="17" t="s">
        <v>5346</v>
      </c>
      <c r="F807" s="17" t="s">
        <v>139</v>
      </c>
      <c r="G807" s="18"/>
      <c r="H807" s="18"/>
    </row>
    <row r="808" spans="1:8" ht="13.2">
      <c r="A808" s="15" t="s">
        <v>5513</v>
      </c>
      <c r="B808" s="28" t="s">
        <v>5514</v>
      </c>
      <c r="C808" s="24">
        <v>7</v>
      </c>
      <c r="D808" s="26" t="str">
        <f>HYPERLINK("https://github.com/aviroop123/CompetitiveProgramming/blob/master/SPOJ/SPOJ%20DPEQN.cpp","Sol")</f>
        <v>Sol</v>
      </c>
      <c r="E808" s="17" t="s">
        <v>5512</v>
      </c>
      <c r="F808" s="17" t="s">
        <v>139</v>
      </c>
      <c r="G808" s="18"/>
      <c r="H808" s="18"/>
    </row>
    <row r="809" spans="1:8" ht="13.2">
      <c r="A809" s="15" t="s">
        <v>5584</v>
      </c>
      <c r="B809" s="28" t="s">
        <v>5585</v>
      </c>
      <c r="C809" s="24">
        <v>7</v>
      </c>
      <c r="D809" s="18"/>
      <c r="E809" s="17" t="s">
        <v>5575</v>
      </c>
      <c r="F809" s="17" t="s">
        <v>139</v>
      </c>
      <c r="G809" s="18"/>
      <c r="H809" s="18"/>
    </row>
    <row r="810" spans="1:8" ht="13.2">
      <c r="A810" s="19" t="str">
        <f>HYPERLINK("https://open.kattis.com/problems/insidersidentity","kattis insidersidentity")</f>
        <v>kattis insidersidentity</v>
      </c>
      <c r="B810" s="61" t="s">
        <v>5768</v>
      </c>
      <c r="C810" s="17">
        <v>7</v>
      </c>
      <c r="D810" s="26" t="str">
        <f>HYPERLINK("https://github.com/nya-nya-meow/CompetitiveProgramming/blob/master/Kattis/insidersidentity.cpp","Sol")</f>
        <v>Sol</v>
      </c>
      <c r="E810" s="17" t="s">
        <v>5761</v>
      </c>
      <c r="F810" s="17" t="s">
        <v>201</v>
      </c>
      <c r="G810" s="18"/>
      <c r="H810" s="18"/>
    </row>
    <row r="811" spans="1:8" ht="13.2">
      <c r="A811" s="19" t="str">
        <f>HYPERLINK("http://codeforces.com/contest/351/problem/D","CF351-D1-D")</f>
        <v>CF351-D1-D</v>
      </c>
      <c r="B811" s="38" t="s">
        <v>5924</v>
      </c>
      <c r="C811" s="17">
        <v>7</v>
      </c>
      <c r="D811" s="18"/>
      <c r="E811" s="17" t="s">
        <v>5915</v>
      </c>
      <c r="F811" s="17" t="s">
        <v>201</v>
      </c>
      <c r="G811" s="18"/>
      <c r="H811" s="18"/>
    </row>
    <row r="812" spans="1:8" ht="13.2">
      <c r="A812" s="19" t="str">
        <f>HYPERLINK("http://codeforces.com/contest/613/problem/D","CF613-D1-D")</f>
        <v>CF613-D1-D</v>
      </c>
      <c r="B812" s="15" t="s">
        <v>6323</v>
      </c>
      <c r="C812" s="24">
        <v>7</v>
      </c>
      <c r="D812" s="18"/>
      <c r="E812" s="17" t="s">
        <v>6311</v>
      </c>
      <c r="F812" s="17" t="s">
        <v>201</v>
      </c>
      <c r="G812" s="18"/>
      <c r="H812" s="18"/>
    </row>
    <row r="813" spans="1:8" ht="13.2">
      <c r="A813" s="19" t="str">
        <f>HYPERLINK("https://codeforces.com/problemset/problem/1129/D", "CF1129-D1-D")</f>
        <v>CF1129-D1-D</v>
      </c>
      <c r="B813" s="15" t="s">
        <v>6402</v>
      </c>
      <c r="C813" s="17">
        <v>7</v>
      </c>
      <c r="D813" s="18"/>
      <c r="E813" s="17" t="s">
        <v>6397</v>
      </c>
      <c r="F813" s="17" t="s">
        <v>201</v>
      </c>
      <c r="G813" s="18"/>
      <c r="H813" s="18"/>
    </row>
    <row r="814" spans="1:8" ht="13.2">
      <c r="A814" s="19" t="str">
        <f>HYPERLINK("http://codeforces.com/contest/817/problem/F","CF817-D12-F")</f>
        <v>CF817-D12-F</v>
      </c>
      <c r="B814" s="15" t="s">
        <v>1017</v>
      </c>
      <c r="C814" s="17">
        <v>7</v>
      </c>
      <c r="D814" s="18"/>
      <c r="E814" s="17" t="s">
        <v>1018</v>
      </c>
      <c r="F814" s="17" t="s">
        <v>201</v>
      </c>
      <c r="G814" s="18"/>
      <c r="H814" s="18"/>
    </row>
    <row r="815" spans="1:8" ht="13.2">
      <c r="A815" s="19" t="str">
        <f>HYPERLINK("https://www.hackerrank.com/contests/worldcup/challenges/two-arrays-1","HACKR two-arrays-1")</f>
        <v>HACKR two-arrays-1</v>
      </c>
      <c r="B815" s="15" t="s">
        <v>1017</v>
      </c>
      <c r="C815" s="17">
        <v>7</v>
      </c>
      <c r="D815" s="18"/>
      <c r="E815" s="17" t="s">
        <v>1018</v>
      </c>
      <c r="F815" s="17" t="s">
        <v>201</v>
      </c>
      <c r="G815" s="18"/>
      <c r="H815" s="18"/>
    </row>
    <row r="816" spans="1:8" ht="13.2">
      <c r="A816" s="19" t="str">
        <f>HYPERLINK("http://codeforces.com/gym/100956/attachments","CF100956-GYM-J")</f>
        <v>CF100956-GYM-J</v>
      </c>
      <c r="B816" s="38" t="s">
        <v>1057</v>
      </c>
      <c r="C816" s="17">
        <v>7</v>
      </c>
      <c r="D816" s="18"/>
      <c r="E816" s="17" t="s">
        <v>1018</v>
      </c>
      <c r="F816" s="17" t="s">
        <v>201</v>
      </c>
      <c r="G816" s="18"/>
      <c r="H816" s="18"/>
    </row>
    <row r="817" spans="1:8" ht="13.2">
      <c r="A817" s="19" t="str">
        <f>HYPERLINK("http://codeforces.com/contest/498/problem/D","CF498-D1-D")</f>
        <v>CF498-D1-D</v>
      </c>
      <c r="B817" s="15" t="s">
        <v>1058</v>
      </c>
      <c r="C817" s="17">
        <v>7</v>
      </c>
      <c r="D817" s="18"/>
      <c r="E817" s="17" t="s">
        <v>1018</v>
      </c>
      <c r="F817" s="17" t="s">
        <v>201</v>
      </c>
      <c r="G817" s="18"/>
      <c r="H817" s="18"/>
    </row>
    <row r="818" spans="1:8" ht="13.2">
      <c r="A818" s="19" t="str">
        <f>HYPERLINK("https://www.facebook.com/hackercup/problem/359971574540051/", "FbHkrCup 18-R1-D")</f>
        <v>FbHkrCup 18-R1-D</v>
      </c>
      <c r="B818" s="20" t="s">
        <v>1375</v>
      </c>
      <c r="C818" s="21">
        <v>7</v>
      </c>
      <c r="D818" s="18"/>
      <c r="E818" s="17" t="s">
        <v>1337</v>
      </c>
      <c r="F818" s="17" t="s">
        <v>201</v>
      </c>
      <c r="G818" s="18"/>
      <c r="H818" s="18"/>
    </row>
    <row r="819" spans="1:8" ht="13.2">
      <c r="A819" s="15" t="s">
        <v>1382</v>
      </c>
      <c r="B819" s="15" t="s">
        <v>1383</v>
      </c>
      <c r="C819" s="17">
        <v>7</v>
      </c>
      <c r="D819" s="26" t="str">
        <f>HYPERLINK("https://github.com/shanto86/Training/blob/master/TopCoder/SRM728-D1-500.cpp","Sol")</f>
        <v>Sol</v>
      </c>
      <c r="E819" s="17" t="s">
        <v>1337</v>
      </c>
      <c r="F819" s="17" t="s">
        <v>201</v>
      </c>
      <c r="G819" s="18"/>
      <c r="H819" s="18"/>
    </row>
    <row r="820" spans="1:8" ht="13.2">
      <c r="A820" s="19" t="str">
        <f>HYPERLINK("https://atcoder.jp/contests/yahoo-procon2019-qual/tasks/yahoo_procon2019_qual_d","AtCoder-YahooProcon-D")</f>
        <v>AtCoder-YahooProcon-D</v>
      </c>
      <c r="B820" s="20" t="s">
        <v>1384</v>
      </c>
      <c r="C820" s="21">
        <v>7</v>
      </c>
      <c r="D820" s="18"/>
      <c r="E820" s="17" t="s">
        <v>1337</v>
      </c>
      <c r="F820" s="17" t="s">
        <v>201</v>
      </c>
      <c r="G820" s="18"/>
      <c r="H820" s="18"/>
    </row>
    <row r="821" spans="1:8" ht="13.2">
      <c r="A821" s="19" t="str">
        <f>HYPERLINK("https://www.facebook.com/hackercup/problem/469838700128124/", "FbHkrCup 18-R2-D")</f>
        <v>FbHkrCup 18-R2-D</v>
      </c>
      <c r="B821" s="20" t="s">
        <v>1385</v>
      </c>
      <c r="C821" s="21">
        <v>7</v>
      </c>
      <c r="D821" s="18" t="s">
        <v>1386</v>
      </c>
      <c r="E821" s="17" t="s">
        <v>1337</v>
      </c>
      <c r="F821" s="17" t="s">
        <v>201</v>
      </c>
      <c r="G821" s="18"/>
      <c r="H821" s="18"/>
    </row>
    <row r="822" spans="1:8" ht="13.2">
      <c r="A822" s="19" t="str">
        <f>HYPERLINK("https://arc070.contest.atcoder.jp/tasks/arc070_c","AtCoder070-ARC-C")</f>
        <v>AtCoder070-ARC-C</v>
      </c>
      <c r="B822" s="37" t="s">
        <v>579</v>
      </c>
      <c r="C822" s="17">
        <v>7</v>
      </c>
      <c r="D822" s="26" t="str">
        <f>HYPERLINK("https://codeforces.com/blog/entry/47821","Editorial")</f>
        <v>Editorial</v>
      </c>
      <c r="E822" s="17" t="s">
        <v>575</v>
      </c>
      <c r="F822" s="17" t="s">
        <v>201</v>
      </c>
      <c r="G822" s="18"/>
      <c r="H822" s="18"/>
    </row>
    <row r="823" spans="1:8" ht="13.2">
      <c r="A823" s="15" t="s">
        <v>3445</v>
      </c>
      <c r="B823" s="30" t="s">
        <v>3446</v>
      </c>
      <c r="C823" s="17">
        <v>7</v>
      </c>
      <c r="D823" s="18"/>
      <c r="E823" s="17" t="s">
        <v>3439</v>
      </c>
      <c r="F823" s="17" t="s">
        <v>201</v>
      </c>
      <c r="G823" s="18"/>
      <c r="H823" s="18"/>
    </row>
    <row r="824" spans="1:8" ht="13.2">
      <c r="A824" s="19" t="str">
        <f>HYPERLINK("https://www.e-olymp.com/en/problems/3077","Eolymp 3077")</f>
        <v>Eolymp 3077</v>
      </c>
      <c r="B824" s="38" t="s">
        <v>3892</v>
      </c>
      <c r="C824" s="17">
        <v>7</v>
      </c>
      <c r="D824" s="18"/>
      <c r="E824" s="17" t="s">
        <v>3883</v>
      </c>
      <c r="F824" s="17" t="s">
        <v>201</v>
      </c>
      <c r="G824" s="18"/>
      <c r="H824" s="18"/>
    </row>
    <row r="825" spans="1:8" ht="13.2">
      <c r="A825" s="15" t="s">
        <v>4085</v>
      </c>
      <c r="B825" s="29" t="s">
        <v>4078</v>
      </c>
      <c r="C825" s="17">
        <v>7</v>
      </c>
      <c r="D825" s="26" t="str">
        <f>HYPERLINK("https://ideone.com/3UsZip","Sol")</f>
        <v>Sol</v>
      </c>
      <c r="E825" s="17" t="s">
        <v>4060</v>
      </c>
      <c r="F825" s="17" t="s">
        <v>201</v>
      </c>
      <c r="G825" s="18"/>
      <c r="H825" s="18"/>
    </row>
    <row r="826" spans="1:8" ht="13.2">
      <c r="A826" s="15" t="s">
        <v>4568</v>
      </c>
      <c r="B826" s="29" t="s">
        <v>4569</v>
      </c>
      <c r="C826" s="31">
        <v>7</v>
      </c>
      <c r="D826" s="26" t="str">
        <f>HYPERLINK("https://github.com/ryuzmukhametov/CompetitiveProgramming/blob/master/Topcoder/SRM436-D2-1000.cpp", "Sol")</f>
        <v>Sol</v>
      </c>
      <c r="E826" s="17" t="s">
        <v>4531</v>
      </c>
      <c r="F826" s="17" t="s">
        <v>201</v>
      </c>
      <c r="G826" s="18"/>
      <c r="H826" s="18"/>
    </row>
    <row r="827" spans="1:8" ht="13.2">
      <c r="A827" s="15" t="s">
        <v>5537</v>
      </c>
      <c r="B827" s="43" t="s">
        <v>5538</v>
      </c>
      <c r="C827" s="24">
        <v>7</v>
      </c>
      <c r="D827" s="26" t="str">
        <f>HYPERLINK("https://github.com/mostafa-saad/MyCompetitiveProgramming/blob/master/SPOJ/SPOJ_POWPOW.txt","Sol")</f>
        <v>Sol</v>
      </c>
      <c r="E827" s="17" t="s">
        <v>5524</v>
      </c>
      <c r="F827" s="17" t="s">
        <v>201</v>
      </c>
      <c r="G827" s="18"/>
      <c r="H827" s="18"/>
    </row>
    <row r="828" spans="1:8" ht="13.2">
      <c r="A828" s="19" t="str">
        <f>HYPERLINK("http://codeforces.com/contest/356/problem/D","CF356-D1-D")</f>
        <v>CF356-D1-D</v>
      </c>
      <c r="B828" s="15" t="s">
        <v>1387</v>
      </c>
      <c r="C828" s="24">
        <v>7</v>
      </c>
      <c r="D828" s="18"/>
      <c r="E828" s="17" t="s">
        <v>1337</v>
      </c>
      <c r="F828" s="17" t="s">
        <v>242</v>
      </c>
      <c r="G828" s="18"/>
      <c r="H828" s="18"/>
    </row>
    <row r="829" spans="1:8" ht="13.2">
      <c r="A829" s="19" t="str">
        <f>HYPERLINK("https://www.hackerrank.com/contests/monthly/challenges/alien-languages/problem","HACKR alien-languages")</f>
        <v>HACKR alien-languages</v>
      </c>
      <c r="B829" s="15" t="s">
        <v>1913</v>
      </c>
      <c r="C829" s="17">
        <v>7</v>
      </c>
      <c r="D829" s="26" t="str">
        <f>HYPERLINK("https://github.com/tmwilliamlin168/CompetitiveProgramming/blob/master/Hackerrank/alien-languages.cpp", "Sol")</f>
        <v>Sol</v>
      </c>
      <c r="E829" s="17" t="s">
        <v>1909</v>
      </c>
      <c r="F829" s="17" t="s">
        <v>242</v>
      </c>
      <c r="G829" s="18"/>
      <c r="H829" s="18"/>
    </row>
    <row r="830" spans="1:8" ht="13.2">
      <c r="A830" s="15" t="s">
        <v>653</v>
      </c>
      <c r="B830" s="16" t="s">
        <v>654</v>
      </c>
      <c r="C830" s="31">
        <v>7</v>
      </c>
      <c r="D830" s="26" t="str">
        <f>HYPERLINK("https://github.com/ryuzmukhametov/CompetitiveProgramming/blob/master/Topcoder/SRM449-D2-1000.cpp","Sol not in editorial")</f>
        <v>Sol not in editorial</v>
      </c>
      <c r="E830" s="17" t="s">
        <v>655</v>
      </c>
      <c r="F830" s="17" t="s">
        <v>242</v>
      </c>
      <c r="G830" s="18"/>
      <c r="H830" s="18"/>
    </row>
    <row r="831" spans="1:8" ht="13.2">
      <c r="A831" s="19" t="str">
        <f>HYPERLINK("http://codeforces.com/contest/1037/problem/F","CF1037-D12-F")</f>
        <v>CF1037-D12-F</v>
      </c>
      <c r="B831" s="20" t="s">
        <v>5137</v>
      </c>
      <c r="C831" s="21">
        <v>7</v>
      </c>
      <c r="D831" s="18"/>
      <c r="E831" s="17" t="s">
        <v>5134</v>
      </c>
      <c r="F831" s="17" t="s">
        <v>242</v>
      </c>
      <c r="G831" s="18"/>
      <c r="H831" s="18"/>
    </row>
    <row r="832" spans="1:8" ht="13.2">
      <c r="A832" s="19" t="str">
        <f>HYPERLINK("https://www.codechef.com/problems/ELPHANT","CODECHEF ELPHANT")</f>
        <v>CODECHEF ELPHANT</v>
      </c>
      <c r="B832" s="18" t="s">
        <v>124</v>
      </c>
      <c r="C832" s="17">
        <v>7</v>
      </c>
      <c r="D832" s="18"/>
      <c r="E832" s="17" t="s">
        <v>125</v>
      </c>
      <c r="F832" s="17"/>
      <c r="G832" s="18"/>
      <c r="H832" s="18"/>
    </row>
    <row r="833" spans="1:8" ht="13.2">
      <c r="A833" s="15" t="s">
        <v>164</v>
      </c>
      <c r="B833" s="27" t="s">
        <v>165</v>
      </c>
      <c r="C833" s="17">
        <v>7</v>
      </c>
      <c r="D833" s="18"/>
      <c r="E833" s="17" t="s">
        <v>125</v>
      </c>
      <c r="F833" s="17"/>
      <c r="G833" s="18"/>
      <c r="H833" s="18"/>
    </row>
    <row r="834" spans="1:8" ht="13.2">
      <c r="A834" s="15" t="s">
        <v>166</v>
      </c>
      <c r="B834" s="16" t="s">
        <v>167</v>
      </c>
      <c r="C834" s="17">
        <v>7</v>
      </c>
      <c r="D834" s="18"/>
      <c r="E834" s="17" t="s">
        <v>125</v>
      </c>
      <c r="F834" s="17"/>
      <c r="G834" s="18"/>
      <c r="H834" s="18"/>
    </row>
    <row r="835" spans="1:8" ht="13.2">
      <c r="A835" s="15" t="s">
        <v>911</v>
      </c>
      <c r="B835" s="30" t="s">
        <v>912</v>
      </c>
      <c r="C835" s="17">
        <v>7</v>
      </c>
      <c r="D835" s="18"/>
      <c r="E835" s="17" t="s">
        <v>910</v>
      </c>
      <c r="F835" s="17"/>
      <c r="G835" s="18"/>
      <c r="H835" s="18"/>
    </row>
    <row r="836" spans="1:8" ht="13.2">
      <c r="A836" s="15" t="s">
        <v>5644</v>
      </c>
      <c r="B836" s="30" t="s">
        <v>5645</v>
      </c>
      <c r="C836" s="24">
        <v>7</v>
      </c>
      <c r="D836" s="18"/>
      <c r="E836" s="17" t="s">
        <v>5643</v>
      </c>
      <c r="F836" s="17"/>
      <c r="G836" s="18"/>
      <c r="H836" s="18"/>
    </row>
    <row r="837" spans="1:8" ht="13.2">
      <c r="A837" s="19" t="str">
        <f>HYPERLINK("http://codeforces.com/contest/526/problem/D","CF526-D12-D")</f>
        <v>CF526-D12-D</v>
      </c>
      <c r="B837" s="15" t="s">
        <v>5705</v>
      </c>
      <c r="C837" s="24">
        <v>7</v>
      </c>
      <c r="D837" s="18"/>
      <c r="E837" s="17" t="s">
        <v>5702</v>
      </c>
      <c r="F837" s="17"/>
      <c r="G837" s="18"/>
      <c r="H837" s="18"/>
    </row>
    <row r="838" spans="1:8" ht="13.2">
      <c r="A838" s="15" t="s">
        <v>5706</v>
      </c>
      <c r="B838" s="28" t="s">
        <v>5707</v>
      </c>
      <c r="C838" s="24">
        <v>7</v>
      </c>
      <c r="D838" s="18"/>
      <c r="E838" s="17" t="s">
        <v>5702</v>
      </c>
      <c r="F838" s="17"/>
      <c r="G838" s="18"/>
      <c r="H838" s="18"/>
    </row>
    <row r="839" spans="1:8" ht="13.2">
      <c r="A839" s="15" t="s">
        <v>5769</v>
      </c>
      <c r="B839" s="29" t="s">
        <v>5763</v>
      </c>
      <c r="C839" s="17">
        <v>7</v>
      </c>
      <c r="D839" s="18"/>
      <c r="E839" s="17" t="s">
        <v>5761</v>
      </c>
      <c r="F839" s="17"/>
      <c r="G839" s="18"/>
      <c r="H839" s="18"/>
    </row>
    <row r="840" spans="1:8" ht="13.2">
      <c r="A840" s="15" t="s">
        <v>5770</v>
      </c>
      <c r="B840" s="28" t="s">
        <v>5771</v>
      </c>
      <c r="C840" s="17">
        <v>7</v>
      </c>
      <c r="D840" s="18"/>
      <c r="E840" s="17" t="s">
        <v>5761</v>
      </c>
      <c r="F840" s="17"/>
      <c r="G840" s="18"/>
      <c r="H840" s="18"/>
    </row>
    <row r="841" spans="1:8" ht="13.2">
      <c r="A841" s="15" t="s">
        <v>5772</v>
      </c>
      <c r="B841" s="29" t="s">
        <v>5768</v>
      </c>
      <c r="C841" s="17">
        <v>7</v>
      </c>
      <c r="D841" s="18"/>
      <c r="E841" s="17" t="s">
        <v>5761</v>
      </c>
      <c r="F841" s="17"/>
      <c r="G841" s="18"/>
      <c r="H841" s="18"/>
    </row>
    <row r="842" spans="1:8" ht="13.2">
      <c r="A842" s="19" t="str">
        <f>HYPERLINK("http://codeforces.com/problemset/gymProblem/101064/E","CF101064-gym-E")</f>
        <v>CF101064-gym-E</v>
      </c>
      <c r="B842" s="29" t="s">
        <v>5773</v>
      </c>
      <c r="C842" s="17">
        <v>7</v>
      </c>
      <c r="D842" s="26" t="str">
        <f>HYPERLINK("https://github.com/HosamEissa/Competitive-programming-/blob/master/Codeforces/CF101064-GYM-E.cpp","Sol")</f>
        <v>Sol</v>
      </c>
      <c r="E842" s="17" t="s">
        <v>5761</v>
      </c>
      <c r="F842" s="17"/>
      <c r="G842" s="18"/>
      <c r="H842" s="18"/>
    </row>
    <row r="843" spans="1:8" ht="13.2">
      <c r="A843" s="15" t="s">
        <v>5774</v>
      </c>
      <c r="B843" s="15" t="s">
        <v>5775</v>
      </c>
      <c r="C843" s="17">
        <v>7</v>
      </c>
      <c r="D843" s="18"/>
      <c r="E843" s="17" t="s">
        <v>5761</v>
      </c>
      <c r="F843" s="17"/>
      <c r="G843" s="18"/>
      <c r="H843" s="18"/>
    </row>
    <row r="844" spans="1:8" ht="13.2">
      <c r="A844" s="15" t="s">
        <v>5776</v>
      </c>
      <c r="B844" s="15" t="s">
        <v>5777</v>
      </c>
      <c r="C844" s="17">
        <v>7</v>
      </c>
      <c r="D844" s="18"/>
      <c r="E844" s="17" t="s">
        <v>5761</v>
      </c>
      <c r="F844" s="17"/>
      <c r="G844" s="18"/>
      <c r="H844" s="18"/>
    </row>
    <row r="845" spans="1:8" ht="13.2">
      <c r="A845" s="15" t="s">
        <v>5818</v>
      </c>
      <c r="B845" s="20" t="s">
        <v>5796</v>
      </c>
      <c r="C845" s="21">
        <v>7</v>
      </c>
      <c r="D845" s="18"/>
      <c r="E845" s="17" t="s">
        <v>5794</v>
      </c>
      <c r="F845" s="17"/>
      <c r="G845" s="18"/>
      <c r="H845" s="18"/>
    </row>
    <row r="846" spans="1:8" ht="13.2">
      <c r="A846" s="19" t="str">
        <f>HYPERLINK("https://www.codechef.com/problems/MOU1H","CODECHEF MOU1H")</f>
        <v>CODECHEF MOU1H</v>
      </c>
      <c r="B846" s="29" t="s">
        <v>5796</v>
      </c>
      <c r="C846" s="17">
        <v>7</v>
      </c>
      <c r="D846" s="18"/>
      <c r="E846" s="17" t="s">
        <v>5794</v>
      </c>
      <c r="F846" s="17"/>
      <c r="G846" s="18"/>
      <c r="H846" s="18"/>
    </row>
    <row r="847" spans="1:8" ht="13.2">
      <c r="A847" s="19" t="str">
        <f>HYPERLINK("https://www.codechef.com/problems/TANDEM","CODECHEF TANDEM")</f>
        <v>CODECHEF TANDEM</v>
      </c>
      <c r="B847" s="15" t="s">
        <v>5796</v>
      </c>
      <c r="C847" s="17">
        <v>7</v>
      </c>
      <c r="D847" s="18"/>
      <c r="E847" s="17" t="s">
        <v>5794</v>
      </c>
      <c r="F847" s="17"/>
      <c r="G847" s="18"/>
      <c r="H847" s="18"/>
    </row>
    <row r="848" spans="1:8" ht="13.2">
      <c r="A848" s="15" t="s">
        <v>5819</v>
      </c>
      <c r="B848" s="29" t="s">
        <v>5820</v>
      </c>
      <c r="C848" s="17">
        <v>7</v>
      </c>
      <c r="D848" s="18" t="s">
        <v>5821</v>
      </c>
      <c r="E848" s="17" t="s">
        <v>5794</v>
      </c>
      <c r="F848" s="17"/>
      <c r="G848" s="18"/>
      <c r="H848" s="18"/>
    </row>
    <row r="849" spans="1:8" ht="13.2">
      <c r="A849" s="15" t="s">
        <v>5822</v>
      </c>
      <c r="B849" s="29" t="s">
        <v>5820</v>
      </c>
      <c r="C849" s="17">
        <v>7</v>
      </c>
      <c r="D849" s="18" t="s">
        <v>5821</v>
      </c>
      <c r="E849" s="17" t="s">
        <v>5794</v>
      </c>
      <c r="F849" s="17"/>
      <c r="G849" s="18"/>
      <c r="H849" s="18"/>
    </row>
    <row r="850" spans="1:8" ht="13.2">
      <c r="A850" s="19" t="str">
        <f>HYPERLINK("https://codeforces.com/contest/940/problem/F","CF940-D2-F")</f>
        <v>CF940-D2-F</v>
      </c>
      <c r="B850" s="20" t="s">
        <v>5914</v>
      </c>
      <c r="C850" s="17">
        <v>7</v>
      </c>
      <c r="D850" s="18"/>
      <c r="E850" s="17" t="s">
        <v>5915</v>
      </c>
      <c r="F850" s="17"/>
      <c r="G850" s="18"/>
      <c r="H850" s="18"/>
    </row>
    <row r="851" spans="1:8" ht="13.2">
      <c r="A851" s="19" t="str">
        <f>HYPERLINK("http://codeforces.com/contest/127/problem/E","CF127-D2-E")</f>
        <v>CF127-D2-E</v>
      </c>
      <c r="B851" s="29" t="s">
        <v>5961</v>
      </c>
      <c r="C851" s="24">
        <v>7</v>
      </c>
      <c r="D851" s="18"/>
      <c r="E851" s="17" t="s">
        <v>5958</v>
      </c>
      <c r="F851" s="17"/>
      <c r="G851" s="18"/>
      <c r="H851" s="18"/>
    </row>
    <row r="852" spans="1:8" ht="13.2">
      <c r="A852" s="19" t="str">
        <f>HYPERLINK("https://codeforces.com/contest/1250/problem/G", "CF1250-D12-G")</f>
        <v>CF1250-D12-G</v>
      </c>
      <c r="B852" s="20" t="s">
        <v>5962</v>
      </c>
      <c r="C852" s="17">
        <v>7</v>
      </c>
      <c r="D852" s="18"/>
      <c r="E852" s="17" t="s">
        <v>5958</v>
      </c>
      <c r="F852" s="17"/>
      <c r="G852" s="18"/>
      <c r="H852" s="18"/>
    </row>
    <row r="853" spans="1:8" ht="13.2">
      <c r="A853" s="19" t="str">
        <f>HYPERLINK("http://codeforces.com/contest/51/problem/D","CF51-D12-D")</f>
        <v>CF51-D12-D</v>
      </c>
      <c r="B853" s="29" t="s">
        <v>5963</v>
      </c>
      <c r="C853" s="17">
        <v>7</v>
      </c>
      <c r="D853" s="18"/>
      <c r="E853" s="17" t="s">
        <v>5958</v>
      </c>
      <c r="F853" s="17"/>
      <c r="G853" s="18"/>
      <c r="H853" s="18"/>
    </row>
    <row r="854" spans="1:8" ht="13.2">
      <c r="A854" s="19" t="str">
        <f>HYPERLINK("https://codeforces.com/contest/1307/problem/E","CF1307-D12-E")</f>
        <v>CF1307-D12-E</v>
      </c>
      <c r="B854" s="37" t="s">
        <v>5964</v>
      </c>
      <c r="C854" s="17">
        <v>7</v>
      </c>
      <c r="D854" s="18"/>
      <c r="E854" s="17" t="s">
        <v>5958</v>
      </c>
      <c r="F854" s="17"/>
      <c r="G854" s="18"/>
      <c r="H854" s="18"/>
    </row>
    <row r="855" spans="1:8" ht="13.2">
      <c r="A855" s="19" t="str">
        <f>HYPERLINK("https://codeforces.com/contest/1257/problem/F", "CF1257-D12-F")</f>
        <v>CF1257-D12-F</v>
      </c>
      <c r="B855" s="20" t="s">
        <v>956</v>
      </c>
      <c r="C855" s="17">
        <v>7</v>
      </c>
      <c r="D855" s="18"/>
      <c r="E855" s="17" t="s">
        <v>951</v>
      </c>
      <c r="F855" s="17"/>
      <c r="G855" s="18"/>
      <c r="H855" s="18"/>
    </row>
    <row r="856" spans="1:8" ht="13.2">
      <c r="A856" s="15" t="s">
        <v>6102</v>
      </c>
      <c r="B856" s="38" t="s">
        <v>6539</v>
      </c>
      <c r="C856" s="17">
        <v>7</v>
      </c>
      <c r="D856" s="18"/>
      <c r="E856" s="17" t="s">
        <v>6098</v>
      </c>
      <c r="F856" s="17"/>
      <c r="G856" s="18"/>
      <c r="H856" s="18"/>
    </row>
    <row r="857" spans="1:8" ht="13.2">
      <c r="A857" s="19" t="str">
        <f>HYPERLINK("http://codeforces.com/contest/442/problem/D","CF442-D1-D")</f>
        <v>CF442-D1-D</v>
      </c>
      <c r="B857" s="15" t="s">
        <v>6104</v>
      </c>
      <c r="C857" s="24">
        <v>7</v>
      </c>
      <c r="D857" s="26" t="str">
        <f>HYPERLINK("https://codeforces.com/blog/entry/61205","See")</f>
        <v>See</v>
      </c>
      <c r="E857" s="17" t="s">
        <v>6098</v>
      </c>
      <c r="F857" s="17"/>
      <c r="G857" s="18"/>
      <c r="H857" s="18"/>
    </row>
    <row r="858" spans="1:8" ht="13.2">
      <c r="A858" s="19" t="str">
        <f>HYPERLINK("http://codeforces.com/contest/625/problem/D","CF625-D2-D")</f>
        <v>CF625-D2-D</v>
      </c>
      <c r="B858" s="15" t="s">
        <v>6121</v>
      </c>
      <c r="C858" s="24">
        <v>7</v>
      </c>
      <c r="D858" s="18"/>
      <c r="E858" s="17" t="s">
        <v>6118</v>
      </c>
      <c r="F858" s="17"/>
      <c r="G858" s="18"/>
      <c r="H858" s="18"/>
    </row>
    <row r="859" spans="1:8" ht="13.2">
      <c r="A859" s="19" t="str">
        <f>HYPERLINK("http://acm.hdu.edu.cn/showproblem.php?pid=4285","HDU 4285")</f>
        <v>HDU 4285</v>
      </c>
      <c r="B859" s="29" t="s">
        <v>6163</v>
      </c>
      <c r="C859" s="17">
        <v>7</v>
      </c>
      <c r="D859" s="18"/>
      <c r="E859" s="17" t="s">
        <v>6157</v>
      </c>
      <c r="F859" s="17"/>
      <c r="G859" s="18"/>
      <c r="H859" s="18"/>
    </row>
    <row r="860" spans="1:8" ht="13.2">
      <c r="A860" s="15" t="s">
        <v>6167</v>
      </c>
      <c r="B860" s="29" t="s">
        <v>6168</v>
      </c>
      <c r="C860" s="24">
        <v>7</v>
      </c>
      <c r="D860" s="18"/>
      <c r="E860" s="17" t="s">
        <v>6169</v>
      </c>
      <c r="F860" s="17"/>
      <c r="G860" s="18"/>
      <c r="H860" s="18"/>
    </row>
    <row r="861" spans="1:8" ht="13.2">
      <c r="A861" s="19" t="str">
        <f>HYPERLINK("http://codeforces.com/contest/434/problem/D","CF434-D1-D")</f>
        <v>CF434-D1-D</v>
      </c>
      <c r="B861" s="15" t="s">
        <v>6248</v>
      </c>
      <c r="C861" s="24">
        <v>7</v>
      </c>
      <c r="D861" s="18"/>
      <c r="E861" s="17" t="s">
        <v>6246</v>
      </c>
      <c r="F861" s="17"/>
      <c r="G861" s="18"/>
      <c r="H861" s="18"/>
    </row>
    <row r="862" spans="1:8" ht="13.2">
      <c r="A862" s="19" t="str">
        <f>HYPERLINK("http://codeforces.com/contest/601/problem/D","CF601-D1-D")</f>
        <v>CF601-D1-D</v>
      </c>
      <c r="B862" s="29" t="s">
        <v>6324</v>
      </c>
      <c r="C862" s="17">
        <v>7</v>
      </c>
      <c r="D862" s="18"/>
      <c r="E862" s="17" t="s">
        <v>6311</v>
      </c>
      <c r="F862" s="17"/>
      <c r="G862" s="18"/>
      <c r="H862" s="18"/>
    </row>
    <row r="863" spans="1:8" ht="13.2">
      <c r="A863" s="19" t="str">
        <f>HYPERLINK("http://codeforces.com/contest/588/problem/E","CF588-D2-E")</f>
        <v>CF588-D2-E</v>
      </c>
      <c r="B863" s="30" t="s">
        <v>6325</v>
      </c>
      <c r="C863" s="17">
        <v>7</v>
      </c>
      <c r="D863" s="18"/>
      <c r="E863" s="17" t="s">
        <v>6311</v>
      </c>
      <c r="F863" s="17"/>
      <c r="G863" s="18"/>
      <c r="H863" s="18"/>
    </row>
    <row r="864" spans="1:8" ht="13.2">
      <c r="A864" s="19" t="str">
        <f>HYPERLINK("https://open.kattis.com/problems/thief","kattis thief")</f>
        <v>kattis thief</v>
      </c>
      <c r="B864" s="20" t="s">
        <v>6361</v>
      </c>
      <c r="C864" s="24">
        <v>7</v>
      </c>
      <c r="D864" s="18"/>
      <c r="E864" s="17" t="s">
        <v>6362</v>
      </c>
      <c r="F864" s="17"/>
      <c r="G864" s="18"/>
      <c r="H864" s="18"/>
    </row>
    <row r="865" spans="1:8" ht="13.2">
      <c r="A865" s="19" t="str">
        <f>HYPERLINK("https://open.kattis.com/problems/yatp","kattis yatp")</f>
        <v>kattis yatp</v>
      </c>
      <c r="B865" s="20" t="s">
        <v>6361</v>
      </c>
      <c r="C865" s="24">
        <v>7</v>
      </c>
      <c r="D865" s="18"/>
      <c r="E865" s="17" t="s">
        <v>6362</v>
      </c>
      <c r="F865" s="17"/>
      <c r="G865" s="18"/>
      <c r="H865" s="18"/>
    </row>
    <row r="866" spans="1:8" ht="13.2">
      <c r="A866" s="19" t="str">
        <f>HYPERLINK("http://codeforces.com/contest/348/problem/C","CF348-D1-C")</f>
        <v>CF348-D1-C</v>
      </c>
      <c r="B866" s="15" t="s">
        <v>6403</v>
      </c>
      <c r="C866" s="17">
        <v>7</v>
      </c>
      <c r="D866" s="18"/>
      <c r="E866" s="17" t="s">
        <v>6397</v>
      </c>
      <c r="F866" s="17"/>
      <c r="G866" s="18"/>
      <c r="H866" s="18"/>
    </row>
    <row r="867" spans="1:8" ht="13.2">
      <c r="A867" s="19" t="str">
        <f>HYPERLINK("https://www.hackerrank.com/contests/world-codesprint-13/challenges/dynamic-trees", "HACKR dynamic-trees")</f>
        <v>HACKR dynamic-trees</v>
      </c>
      <c r="B867" s="20" t="s">
        <v>6404</v>
      </c>
      <c r="C867" s="21">
        <v>7</v>
      </c>
      <c r="D867" s="26" t="str">
        <f>HYPERLINK("https://github.com/tmwilliamlin168/CompetitiveProgramming/blob/master/Hackerrank/dynamic-trees.cpp", "Sol")</f>
        <v>Sol</v>
      </c>
      <c r="E867" s="17" t="s">
        <v>6397</v>
      </c>
      <c r="F867" s="17"/>
      <c r="G867" s="18"/>
      <c r="H867" s="18"/>
    </row>
    <row r="868" spans="1:8" ht="13.2">
      <c r="A868" s="19" t="str">
        <f>HYPERLINK("http://codeforces.com/contest/455/problem/D","CF455-D1-D")</f>
        <v>CF455-D1-D</v>
      </c>
      <c r="B868" s="15" t="s">
        <v>6405</v>
      </c>
      <c r="C868" s="24">
        <v>7</v>
      </c>
      <c r="D868" s="18"/>
      <c r="E868" s="17" t="s">
        <v>6397</v>
      </c>
      <c r="F868" s="17"/>
      <c r="G868" s="18"/>
      <c r="H868" s="18"/>
    </row>
    <row r="869" spans="1:8" ht="13.2">
      <c r="A869" s="19" t="str">
        <f>HYPERLINK("https://www.codechef.com/problems/MINXOR","CODECHEF MINXOR")</f>
        <v>CODECHEF MINXOR</v>
      </c>
      <c r="B869" s="29" t="s">
        <v>6406</v>
      </c>
      <c r="C869" s="24">
        <v>7</v>
      </c>
      <c r="D869" s="18"/>
      <c r="E869" s="17" t="s">
        <v>6397</v>
      </c>
      <c r="F869" s="17"/>
      <c r="G869" s="18"/>
      <c r="H869" s="18"/>
    </row>
    <row r="870" spans="1:8" ht="13.2">
      <c r="A870" s="15" t="s">
        <v>1059</v>
      </c>
      <c r="B870" s="30" t="s">
        <v>1060</v>
      </c>
      <c r="C870" s="24">
        <v>7</v>
      </c>
      <c r="D870" s="18"/>
      <c r="E870" s="17" t="s">
        <v>1018</v>
      </c>
      <c r="F870" s="17"/>
      <c r="G870" s="18"/>
      <c r="H870" s="18"/>
    </row>
    <row r="871" spans="1:8" ht="13.2">
      <c r="A871" s="15" t="s">
        <v>1061</v>
      </c>
      <c r="B871" s="28" t="s">
        <v>1062</v>
      </c>
      <c r="C871" s="17">
        <v>7</v>
      </c>
      <c r="D871" s="18"/>
      <c r="E871" s="17" t="s">
        <v>1018</v>
      </c>
      <c r="F871" s="17"/>
      <c r="G871" s="18"/>
      <c r="H871" s="18"/>
    </row>
    <row r="872" spans="1:8" ht="13.2">
      <c r="A872" s="19" t="str">
        <f>HYPERLINK("http://uoj.ac/problem/164","UOJ 164")</f>
        <v>UOJ 164</v>
      </c>
      <c r="B872" s="15" t="s">
        <v>6540</v>
      </c>
      <c r="C872" s="17">
        <v>7</v>
      </c>
      <c r="D872" s="26" t="str">
        <f>HYPERLINK("https://cmxrynp.github.io/2018/10/25/UOJ-164-%E6%B8%85%E5%8D%8E%E9%9B%86%E8%AE%AD2015-V/","Sol")</f>
        <v>Sol</v>
      </c>
      <c r="E872" s="17" t="s">
        <v>1018</v>
      </c>
      <c r="F872" s="17"/>
      <c r="G872" s="18"/>
      <c r="H872" s="18"/>
    </row>
    <row r="873" spans="1:8" ht="13.2">
      <c r="A873" s="19" t="str">
        <f>HYPERLINK("https://www.lydsy.com/JudgeOnline/problem.php?id=3064","BZOJ 3064")</f>
        <v>BZOJ 3064</v>
      </c>
      <c r="B873" s="15" t="s">
        <v>6541</v>
      </c>
      <c r="C873" s="17">
        <v>7</v>
      </c>
      <c r="D873" s="26" t="str">
        <f>HYPERLINK("https://cmxrynp.github.io/2018/10/24/BZOJ-3064-Tyvj-1518-CPU%E7%9B%91%E6%8E%A7/","Sol")</f>
        <v>Sol</v>
      </c>
      <c r="E873" s="17" t="s">
        <v>1018</v>
      </c>
      <c r="F873" s="17"/>
      <c r="G873" s="18"/>
      <c r="H873" s="18"/>
    </row>
    <row r="874" spans="1:8" ht="13.2">
      <c r="A874" s="19" t="str">
        <f>HYPERLINK("http://codeforces.com/contest/173/problem/E","CF173-D12-E")</f>
        <v>CF173-D12-E</v>
      </c>
      <c r="B874" s="15" t="s">
        <v>1030</v>
      </c>
      <c r="C874" s="24">
        <v>7</v>
      </c>
      <c r="D874" s="18"/>
      <c r="E874" s="17" t="s">
        <v>1018</v>
      </c>
      <c r="F874" s="17"/>
      <c r="G874" s="18"/>
      <c r="H874" s="18"/>
    </row>
    <row r="875" spans="1:8" ht="13.2">
      <c r="A875" s="19" t="str">
        <f>HYPERLINK("http://codeforces.com/contest/633/problem/G","CF633-D12-G")</f>
        <v>CF633-D12-G</v>
      </c>
      <c r="B875" s="15" t="s">
        <v>1065</v>
      </c>
      <c r="C875" s="24">
        <v>7</v>
      </c>
      <c r="D875" s="18"/>
      <c r="E875" s="17" t="s">
        <v>1018</v>
      </c>
      <c r="F875" s="17"/>
      <c r="G875" s="18"/>
      <c r="H875" s="18"/>
    </row>
    <row r="876" spans="1:8" ht="13.2">
      <c r="A876" s="19" t="str">
        <f>HYPERLINK("http://codeforces.com/contest/526/problem/F","CF526-D12-F")</f>
        <v>CF526-D12-F</v>
      </c>
      <c r="B876" s="15" t="s">
        <v>1066</v>
      </c>
      <c r="C876" s="24">
        <v>7</v>
      </c>
      <c r="D876" s="18"/>
      <c r="E876" s="17" t="s">
        <v>1018</v>
      </c>
      <c r="F876" s="17"/>
      <c r="G876" s="18"/>
      <c r="H876" s="18"/>
    </row>
    <row r="877" spans="1:8" ht="13.2">
      <c r="A877" s="19" t="str">
        <f>HYPERLINK("http://codeforces.com/contest/256/problem/E","CF256-D1-E")</f>
        <v>CF256-D1-E</v>
      </c>
      <c r="B877" s="29" t="s">
        <v>1040</v>
      </c>
      <c r="C877" s="17">
        <v>7</v>
      </c>
      <c r="D877" s="18"/>
      <c r="E877" s="17" t="s">
        <v>1018</v>
      </c>
      <c r="F877" s="17"/>
      <c r="G877" s="18"/>
      <c r="H877" s="18"/>
    </row>
    <row r="878" spans="1:8" ht="13.2">
      <c r="A878" s="19" t="str">
        <f>HYPERLINK("https://csacademy.com/contest/archive/task/baby-seokhwan/", "CSA84-G")</f>
        <v>CSA84-G</v>
      </c>
      <c r="B878" s="20" t="s">
        <v>1067</v>
      </c>
      <c r="C878" s="21">
        <v>7</v>
      </c>
      <c r="D878" s="18"/>
      <c r="E878" s="17" t="s">
        <v>1018</v>
      </c>
      <c r="F878" s="17"/>
      <c r="G878" s="18"/>
      <c r="H878" s="18"/>
    </row>
    <row r="879" spans="1:8" ht="13.2">
      <c r="A879" s="19" t="str">
        <f>HYPERLINK("https://www.codechef.com/problems/FRBSUM","CODECHEF FRBSUM")</f>
        <v>CODECHEF FRBSUM</v>
      </c>
      <c r="B879" s="28" t="s">
        <v>1068</v>
      </c>
      <c r="C879" s="24">
        <v>7</v>
      </c>
      <c r="D879" s="18"/>
      <c r="E879" s="17" t="s">
        <v>1018</v>
      </c>
      <c r="F879" s="17"/>
      <c r="G879" s="18"/>
      <c r="H879" s="18"/>
    </row>
    <row r="880" spans="1:8" ht="13.2">
      <c r="A880" s="19" t="str">
        <f>HYPERLINK("https://codeforces.com/gym/102006/problem/F","CF102006-gym-F")</f>
        <v>CF102006-gym-F</v>
      </c>
      <c r="B880" s="15" t="s">
        <v>6444</v>
      </c>
      <c r="C880" s="17">
        <v>7</v>
      </c>
      <c r="D880" s="18"/>
      <c r="E880" s="17" t="s">
        <v>6441</v>
      </c>
      <c r="F880" s="17"/>
      <c r="G880" s="18"/>
      <c r="H880" s="18"/>
    </row>
    <row r="881" spans="1:8" ht="13.2">
      <c r="A881" s="19" t="str">
        <f>HYPERLINK("https://csacademy.com/contest/round-78/task/xor-transform/","CSA78-E")</f>
        <v>CSA78-E</v>
      </c>
      <c r="B881" s="47" t="s">
        <v>6445</v>
      </c>
      <c r="C881" s="62">
        <v>7</v>
      </c>
      <c r="D881" s="18"/>
      <c r="E881" s="62" t="s">
        <v>6441</v>
      </c>
      <c r="F881" s="17"/>
      <c r="G881" s="18"/>
      <c r="H881" s="18"/>
    </row>
    <row r="882" spans="1:8" ht="13.2">
      <c r="A882" s="19" t="str">
        <f>HYPERLINK("https://www.codechef.com/problems/BEAUTY","CODECHEF BEAUTY")</f>
        <v>CODECHEF BEAUTY</v>
      </c>
      <c r="B882" s="18" t="s">
        <v>6446</v>
      </c>
      <c r="C882" s="17">
        <v>7</v>
      </c>
      <c r="D882" s="18"/>
      <c r="E882" s="17" t="s">
        <v>6441</v>
      </c>
      <c r="F882" s="17"/>
      <c r="G882" s="18"/>
      <c r="H882" s="18"/>
    </row>
    <row r="883" spans="1:8" ht="13.2">
      <c r="A883" s="19" t="str">
        <f>HYPERLINK("https://www.hackerrank.com/contests/countercode/challenges/subset","HACKR subset")</f>
        <v>HACKR subset</v>
      </c>
      <c r="B883" s="15" t="s">
        <v>6440</v>
      </c>
      <c r="C883" s="17">
        <v>7</v>
      </c>
      <c r="D883" s="18"/>
      <c r="E883" s="17" t="s">
        <v>6441</v>
      </c>
      <c r="F883" s="17"/>
      <c r="G883" s="18"/>
      <c r="H883" s="18"/>
    </row>
    <row r="884" spans="1:8" ht="13.2">
      <c r="A884" s="19" t="str">
        <f>HYPERLINK("http://codeforces.com/contest/581/problem/F","CF581-D2-F")</f>
        <v>CF581-D2-F</v>
      </c>
      <c r="B884" s="15" t="s">
        <v>6458</v>
      </c>
      <c r="C884" s="24">
        <v>7</v>
      </c>
      <c r="D884" s="18"/>
      <c r="E884" s="17" t="s">
        <v>6459</v>
      </c>
      <c r="F884" s="17"/>
      <c r="G884" s="18"/>
      <c r="H884" s="18"/>
    </row>
    <row r="885" spans="1:8" ht="13.2">
      <c r="A885" s="19" t="str">
        <f>HYPERLINK("http://codeforces.com/contest/1096/problem/G","CF1096-D2-G")</f>
        <v>CF1096-D2-G</v>
      </c>
      <c r="B885" s="15" t="s">
        <v>6519</v>
      </c>
      <c r="C885" s="17">
        <v>7</v>
      </c>
      <c r="D885" s="18"/>
      <c r="E885" s="17" t="s">
        <v>6511</v>
      </c>
      <c r="F885" s="17"/>
      <c r="G885" s="18"/>
      <c r="H885" s="18"/>
    </row>
    <row r="886" spans="1:8" ht="13.2">
      <c r="A886" s="15" t="s">
        <v>6520</v>
      </c>
      <c r="B886" s="16" t="s">
        <v>6521</v>
      </c>
      <c r="C886" s="17">
        <v>7</v>
      </c>
      <c r="D886" s="18"/>
      <c r="E886" s="17" t="s">
        <v>6511</v>
      </c>
      <c r="F886" s="17"/>
      <c r="G886" s="18"/>
      <c r="H886" s="18"/>
    </row>
    <row r="887" spans="1:8" ht="13.2">
      <c r="A887" s="19" t="str">
        <f>HYPERLINK("http://codeforces.com/contest/504/problem/B","CF504-D1-B")</f>
        <v>CF504-D1-B</v>
      </c>
      <c r="B887" s="29" t="s">
        <v>1234</v>
      </c>
      <c r="C887" s="17">
        <v>7</v>
      </c>
      <c r="D887" s="18"/>
      <c r="E887" s="17" t="s">
        <v>1223</v>
      </c>
      <c r="F887" s="17"/>
      <c r="G887" s="18"/>
      <c r="H887" s="18"/>
    </row>
    <row r="888" spans="1:8" ht="13.2">
      <c r="A888" s="19" t="str">
        <f>HYPERLINK("http://codeforces.com/contest/542/problem/A","CF542-D1-A")</f>
        <v>CF542-D1-A</v>
      </c>
      <c r="B888" s="29" t="s">
        <v>1235</v>
      </c>
      <c r="C888" s="17">
        <v>7</v>
      </c>
      <c r="D888" s="18"/>
      <c r="E888" s="17" t="s">
        <v>1223</v>
      </c>
      <c r="F888" s="17"/>
      <c r="G888" s="18"/>
      <c r="H888" s="18"/>
    </row>
    <row r="889" spans="1:8" ht="13.2">
      <c r="A889" s="19" t="str">
        <f>HYPERLINK("https://www.codechef.com/problems/URBANDEV","CODECHEF URBANDEV")</f>
        <v>CODECHEF URBANDEV</v>
      </c>
      <c r="B889" s="28" t="s">
        <v>1236</v>
      </c>
      <c r="C889" s="17">
        <v>7</v>
      </c>
      <c r="D889" s="18"/>
      <c r="E889" s="17" t="s">
        <v>1223</v>
      </c>
      <c r="F889" s="17"/>
      <c r="G889" s="18"/>
      <c r="H889" s="18"/>
    </row>
    <row r="890" spans="1:8" ht="13.2">
      <c r="A890" s="19" t="str">
        <f>HYPERLINK("http://codeforces.com/contest/365/problem/D","CF365-D2-D")</f>
        <v>CF365-D2-D</v>
      </c>
      <c r="B890" s="29" t="s">
        <v>1348</v>
      </c>
      <c r="C890" s="17">
        <v>7</v>
      </c>
      <c r="D890" s="18"/>
      <c r="E890" s="17" t="s">
        <v>1337</v>
      </c>
      <c r="F890" s="17"/>
      <c r="G890" s="18"/>
      <c r="H890" s="18"/>
    </row>
    <row r="891" spans="1:8" ht="13.2">
      <c r="A891" s="19" t="str">
        <f>HYPERLINK("http://codeforces.com/contest/655/problem/E","CF655-D12-E")</f>
        <v>CF655-D12-E</v>
      </c>
      <c r="B891" s="29" t="s">
        <v>1348</v>
      </c>
      <c r="C891" s="17">
        <v>7</v>
      </c>
      <c r="D891" s="18"/>
      <c r="E891" s="17" t="s">
        <v>1337</v>
      </c>
      <c r="F891" s="17"/>
      <c r="G891" s="18"/>
      <c r="H891" s="18"/>
    </row>
    <row r="892" spans="1:8" ht="13.2">
      <c r="A892" s="15" t="s">
        <v>1388</v>
      </c>
      <c r="B892" s="41" t="s">
        <v>1348</v>
      </c>
      <c r="C892" s="17">
        <v>7</v>
      </c>
      <c r="D892" s="18"/>
      <c r="E892" s="17" t="s">
        <v>1337</v>
      </c>
      <c r="F892" s="17"/>
      <c r="G892" s="18"/>
      <c r="H892" s="18"/>
    </row>
    <row r="893" spans="1:8" ht="13.2">
      <c r="A893" s="15" t="s">
        <v>1389</v>
      </c>
      <c r="B893" s="18" t="s">
        <v>1348</v>
      </c>
      <c r="C893" s="17">
        <v>7</v>
      </c>
      <c r="D893" s="18"/>
      <c r="E893" s="17" t="s">
        <v>1337</v>
      </c>
      <c r="F893" s="17"/>
      <c r="G893" s="18"/>
      <c r="H893" s="18"/>
    </row>
    <row r="894" spans="1:8" ht="13.2">
      <c r="A894" s="15" t="s">
        <v>1390</v>
      </c>
      <c r="B894" s="28" t="s">
        <v>1348</v>
      </c>
      <c r="C894" s="24">
        <v>7</v>
      </c>
      <c r="D894" s="18"/>
      <c r="E894" s="17" t="s">
        <v>1337</v>
      </c>
      <c r="F894" s="17"/>
      <c r="G894" s="18"/>
      <c r="H894" s="18"/>
    </row>
    <row r="895" spans="1:8" ht="13.2">
      <c r="A895" s="15" t="s">
        <v>1391</v>
      </c>
      <c r="B895" s="34" t="s">
        <v>1348</v>
      </c>
      <c r="C895" s="31">
        <v>7</v>
      </c>
      <c r="D895" s="18"/>
      <c r="E895" s="17" t="s">
        <v>1337</v>
      </c>
      <c r="F895" s="17"/>
      <c r="G895" s="18"/>
      <c r="H895" s="18"/>
    </row>
    <row r="896" spans="1:8" ht="13.2">
      <c r="A896" s="15" t="s">
        <v>1392</v>
      </c>
      <c r="B896" s="15" t="s">
        <v>1348</v>
      </c>
      <c r="C896" s="17">
        <v>7</v>
      </c>
      <c r="D896" s="18"/>
      <c r="E896" s="17" t="s">
        <v>1337</v>
      </c>
      <c r="F896" s="17"/>
      <c r="G896" s="18"/>
      <c r="H896" s="18"/>
    </row>
    <row r="897" spans="1:8" ht="13.2">
      <c r="A897" s="15" t="s">
        <v>1393</v>
      </c>
      <c r="B897" s="30" t="s">
        <v>1348</v>
      </c>
      <c r="C897" s="24">
        <v>7</v>
      </c>
      <c r="D897" s="18"/>
      <c r="E897" s="17" t="s">
        <v>1337</v>
      </c>
      <c r="F897" s="17"/>
      <c r="G897" s="18"/>
      <c r="H897" s="18"/>
    </row>
    <row r="898" spans="1:8" ht="13.2">
      <c r="A898" s="15" t="s">
        <v>1394</v>
      </c>
      <c r="B898" s="18" t="s">
        <v>1395</v>
      </c>
      <c r="C898" s="17">
        <v>7</v>
      </c>
      <c r="D898" s="18"/>
      <c r="E898" s="17" t="s">
        <v>1337</v>
      </c>
      <c r="F898" s="17"/>
      <c r="G898" s="18"/>
      <c r="H898" s="18"/>
    </row>
    <row r="899" spans="1:8" ht="13.2">
      <c r="A899" s="19" t="str">
        <f>HYPERLINK("https://www.codechef.com/OCT18A/problems/BBRICKS","CODECHEF BBRICKS")</f>
        <v>CODECHEF BBRICKS</v>
      </c>
      <c r="B899" s="15" t="s">
        <v>1396</v>
      </c>
      <c r="C899" s="17">
        <v>7</v>
      </c>
      <c r="D899" s="26" t="str">
        <f>HYPERLINK("https://discuss.codechef.com/questions/137810/bbricks-editorial","editorial")</f>
        <v>editorial</v>
      </c>
      <c r="E899" s="17" t="s">
        <v>1337</v>
      </c>
      <c r="F899" s="17"/>
      <c r="G899" s="18"/>
      <c r="H899" s="18"/>
    </row>
    <row r="900" spans="1:8" ht="13.2">
      <c r="A900" s="19" t="str">
        <f>HYPERLINK("http://codeforces.com/contest/261/problem/D","CF261-D1-D")</f>
        <v>CF261-D1-D</v>
      </c>
      <c r="B900" s="15" t="s">
        <v>1397</v>
      </c>
      <c r="C900" s="24">
        <v>7</v>
      </c>
      <c r="D900" s="18"/>
      <c r="E900" s="17" t="s">
        <v>1337</v>
      </c>
      <c r="F900" s="17"/>
      <c r="G900" s="18"/>
      <c r="H900" s="18"/>
    </row>
    <row r="901" spans="1:8" ht="13.2">
      <c r="A901" s="15" t="s">
        <v>1398</v>
      </c>
      <c r="B901" s="18" t="s">
        <v>1399</v>
      </c>
      <c r="C901" s="17">
        <v>7</v>
      </c>
      <c r="D901" s="18"/>
      <c r="E901" s="17" t="s">
        <v>1337</v>
      </c>
      <c r="F901" s="17"/>
      <c r="G901" s="18"/>
      <c r="H901" s="18"/>
    </row>
    <row r="902" spans="1:8" ht="13.2">
      <c r="A902" s="19" t="str">
        <f>HYPERLINK("http://codeforces.com/gym/101492/problem/J","CF101492-GYM-J")</f>
        <v>CF101492-GYM-J</v>
      </c>
      <c r="B902" s="18" t="s">
        <v>6542</v>
      </c>
      <c r="C902" s="24">
        <v>7</v>
      </c>
      <c r="D902" s="18"/>
      <c r="E902" s="17" t="s">
        <v>1337</v>
      </c>
      <c r="F902" s="17"/>
      <c r="G902" s="18"/>
      <c r="H902" s="18"/>
    </row>
    <row r="903" spans="1:8" ht="13.2">
      <c r="A903" s="19" t="str">
        <f>HYPERLINK("https://www.codechef.com/problems/RIVER", "CODECHEF RIVER")</f>
        <v>CODECHEF RIVER</v>
      </c>
      <c r="B903" s="20" t="s">
        <v>1400</v>
      </c>
      <c r="C903" s="21">
        <v>7</v>
      </c>
      <c r="D903" s="18"/>
      <c r="E903" s="17" t="s">
        <v>1337</v>
      </c>
      <c r="F903" s="17"/>
      <c r="G903" s="18"/>
      <c r="H903" s="18"/>
    </row>
    <row r="904" spans="1:8" ht="13.2">
      <c r="A904" s="19" t="str">
        <f>HYPERLINK("http://codeforces.com/contest/95/problem/E","CF95-D1-E")</f>
        <v>CF95-D1-E</v>
      </c>
      <c r="B904" s="15" t="s">
        <v>1401</v>
      </c>
      <c r="C904" s="24">
        <v>7</v>
      </c>
      <c r="D904" s="18"/>
      <c r="E904" s="17" t="s">
        <v>1337</v>
      </c>
      <c r="F904" s="17"/>
      <c r="G904" s="18"/>
      <c r="H904" s="18"/>
    </row>
    <row r="905" spans="1:8" ht="13.2">
      <c r="A905" s="15" t="s">
        <v>1402</v>
      </c>
      <c r="B905" s="30" t="s">
        <v>1403</v>
      </c>
      <c r="C905" s="17">
        <v>7</v>
      </c>
      <c r="D905" s="18"/>
      <c r="E905" s="17" t="s">
        <v>1337</v>
      </c>
      <c r="F905" s="17"/>
      <c r="G905" s="18"/>
      <c r="H905" s="18"/>
    </row>
    <row r="906" spans="1:8" ht="13.2">
      <c r="A906" s="19" t="str">
        <f>HYPERLINK("http://codeforces.com/contest/685/problem/E","CF685-D1-E")</f>
        <v>CF685-D1-E</v>
      </c>
      <c r="B906" s="15" t="s">
        <v>1358</v>
      </c>
      <c r="C906" s="24">
        <v>7</v>
      </c>
      <c r="D906" s="18"/>
      <c r="E906" s="17" t="s">
        <v>1337</v>
      </c>
      <c r="F906" s="17"/>
      <c r="G906" s="18"/>
      <c r="H906" s="18"/>
    </row>
    <row r="907" spans="1:8" ht="13.2">
      <c r="A907" s="15" t="s">
        <v>1404</v>
      </c>
      <c r="B907" s="18" t="s">
        <v>1358</v>
      </c>
      <c r="C907" s="31">
        <v>7</v>
      </c>
      <c r="D907" s="18"/>
      <c r="E907" s="17" t="s">
        <v>1337</v>
      </c>
      <c r="F907" s="17"/>
      <c r="G907" s="18"/>
      <c r="H907" s="18"/>
    </row>
    <row r="908" spans="1:8" ht="13.2">
      <c r="A908" s="15" t="s">
        <v>1405</v>
      </c>
      <c r="B908" s="48" t="s">
        <v>1406</v>
      </c>
      <c r="C908" s="31">
        <v>7</v>
      </c>
      <c r="D908" s="18"/>
      <c r="E908" s="17" t="s">
        <v>1337</v>
      </c>
      <c r="F908" s="17"/>
      <c r="G908" s="18"/>
      <c r="H908" s="18"/>
    </row>
    <row r="909" spans="1:8" ht="13.2">
      <c r="A909" s="19" t="str">
        <f>HYPERLINK("http://codeforces.com/contest/352/problem/E","CF352-D2-E")</f>
        <v>CF352-D2-E</v>
      </c>
      <c r="B909" s="15" t="s">
        <v>1407</v>
      </c>
      <c r="C909" s="24">
        <v>7</v>
      </c>
      <c r="D909" s="18"/>
      <c r="E909" s="17" t="s">
        <v>1337</v>
      </c>
      <c r="F909" s="17"/>
      <c r="G909" s="18"/>
      <c r="H909" s="18"/>
    </row>
    <row r="910" spans="1:8" ht="13.2">
      <c r="A910" s="19" t="str">
        <f>HYPERLINK("http://codeforces.com/contest/77/problem/D","CF77-D1-D")</f>
        <v>CF77-D1-D</v>
      </c>
      <c r="B910" s="29" t="s">
        <v>1354</v>
      </c>
      <c r="C910" s="17">
        <v>7</v>
      </c>
      <c r="D910" s="18"/>
      <c r="E910" s="17" t="s">
        <v>1337</v>
      </c>
      <c r="F910" s="17"/>
      <c r="G910" s="18"/>
      <c r="H910" s="18"/>
    </row>
    <row r="911" spans="1:8" ht="13.2">
      <c r="A911" s="19" t="str">
        <f>HYPERLINK("http://codeforces.com/contest/198/problem/D","CF198-D1-D")</f>
        <v>CF198-D1-D</v>
      </c>
      <c r="B911" s="15" t="s">
        <v>1408</v>
      </c>
      <c r="C911" s="24">
        <v>7</v>
      </c>
      <c r="D911" s="18"/>
      <c r="E911" s="17" t="s">
        <v>1337</v>
      </c>
      <c r="F911" s="17"/>
      <c r="G911" s="18"/>
      <c r="H911" s="18"/>
    </row>
    <row r="912" spans="1:8" ht="13.2">
      <c r="A912" s="19" t="str">
        <f>HYPERLINK("http://codeforces.com/contest/283/problem/D","CF283-D1-D")</f>
        <v>CF283-D1-D</v>
      </c>
      <c r="B912" s="29" t="s">
        <v>1346</v>
      </c>
      <c r="C912" s="17">
        <v>7</v>
      </c>
      <c r="D912" s="18"/>
      <c r="E912" s="17" t="s">
        <v>1337</v>
      </c>
      <c r="F912" s="17"/>
      <c r="G912" s="18"/>
      <c r="H912" s="18"/>
    </row>
    <row r="913" spans="1:8" ht="13.2">
      <c r="A913" s="19" t="str">
        <f>HYPERLINK("http://codeforces.com/gym/101490/attachments/download/5853/2016-benelux-algorithm-programming-contest-bapc-16-en.pdf","CF101490-GYM-H")</f>
        <v>CF101490-GYM-H</v>
      </c>
      <c r="B913" s="15" t="s">
        <v>6543</v>
      </c>
      <c r="C913" s="17">
        <v>7</v>
      </c>
      <c r="D913" s="26" t="str">
        <f>HYPERLINK("https://github.com/MedoN11/CompetitiveProgramming/blob/master/CodeForces/CF101490-GYM-H.cpp","Sol")</f>
        <v>Sol</v>
      </c>
      <c r="E913" s="17" t="s">
        <v>1337</v>
      </c>
      <c r="F913" s="17"/>
      <c r="G913" s="18"/>
      <c r="H913" s="18"/>
    </row>
    <row r="914" spans="1:8" ht="13.2">
      <c r="A914" s="19" t="str">
        <f>HYPERLINK("https://www.hackerrank.com/challenges/palindromes","HACKR palindromes")</f>
        <v>HACKR palindromes</v>
      </c>
      <c r="B914" s="41" t="s">
        <v>1695</v>
      </c>
      <c r="C914" s="17">
        <v>7</v>
      </c>
      <c r="D914" s="18"/>
      <c r="E914" s="17" t="s">
        <v>1691</v>
      </c>
      <c r="F914" s="17"/>
      <c r="G914" s="18"/>
      <c r="H914" s="18"/>
    </row>
    <row r="915" spans="1:8" ht="13.2">
      <c r="A915" s="15" t="s">
        <v>346</v>
      </c>
      <c r="B915" s="16" t="s">
        <v>347</v>
      </c>
      <c r="C915" s="17">
        <v>7</v>
      </c>
      <c r="D915" s="18"/>
      <c r="E915" s="17" t="s">
        <v>332</v>
      </c>
      <c r="F915" s="17"/>
      <c r="G915" s="18"/>
      <c r="H915" s="18"/>
    </row>
    <row r="916" spans="1:8" ht="13.2">
      <c r="A916" s="15" t="s">
        <v>348</v>
      </c>
      <c r="B916" s="29" t="s">
        <v>349</v>
      </c>
      <c r="C916" s="31">
        <v>7</v>
      </c>
      <c r="D916" s="18"/>
      <c r="E916" s="24" t="s">
        <v>332</v>
      </c>
      <c r="F916" s="17"/>
      <c r="G916" s="18"/>
      <c r="H916" s="18"/>
    </row>
    <row r="917" spans="1:8" ht="13.2">
      <c r="A917" s="15" t="s">
        <v>350</v>
      </c>
      <c r="B917" s="39" t="s">
        <v>351</v>
      </c>
      <c r="C917" s="40">
        <v>7</v>
      </c>
      <c r="D917" s="18"/>
      <c r="E917" s="17" t="s">
        <v>332</v>
      </c>
      <c r="F917" s="17"/>
      <c r="G917" s="18"/>
      <c r="H917" s="18"/>
    </row>
    <row r="918" spans="1:8" ht="13.2">
      <c r="A918" s="15" t="s">
        <v>352</v>
      </c>
      <c r="B918" s="30" t="s">
        <v>353</v>
      </c>
      <c r="C918" s="24">
        <v>7</v>
      </c>
      <c r="D918" s="18"/>
      <c r="E918" s="17" t="s">
        <v>332</v>
      </c>
      <c r="F918" s="17"/>
      <c r="G918" s="18"/>
      <c r="H918" s="18"/>
    </row>
    <row r="919" spans="1:8" ht="13.2">
      <c r="A919" s="19" t="str">
        <f>HYPERLINK("http://codeforces.com/gym/101606/problem/E","CF101606-GYM-E")</f>
        <v>CF101606-GYM-E</v>
      </c>
      <c r="B919" s="20" t="s">
        <v>1795</v>
      </c>
      <c r="C919" s="21">
        <v>7</v>
      </c>
      <c r="D919" s="26" t="str">
        <f>HYPERLINK("https://github.com/OmarHashim/Competitive-Programming/blob/master/CodeForces/CF101606-GYM-E","Sol")</f>
        <v>Sol</v>
      </c>
      <c r="E919" s="17" t="s">
        <v>1793</v>
      </c>
      <c r="F919" s="17"/>
      <c r="G919" s="18"/>
      <c r="H919" s="18"/>
    </row>
    <row r="920" spans="1:8" ht="13.2">
      <c r="A920" s="19" t="str">
        <f>HYPERLINK("http://codeforces.com/contest/367/problem/D","CF367-D1-D")</f>
        <v>CF367-D1-D</v>
      </c>
      <c r="B920" s="29" t="s">
        <v>1829</v>
      </c>
      <c r="C920" s="17">
        <v>7</v>
      </c>
      <c r="D920" s="18"/>
      <c r="E920" s="17" t="s">
        <v>1819</v>
      </c>
      <c r="F920" s="17"/>
      <c r="G920" s="18"/>
      <c r="H920" s="18"/>
    </row>
    <row r="921" spans="1:8" ht="13.2">
      <c r="A921" s="15" t="s">
        <v>1926</v>
      </c>
      <c r="B921" s="15" t="s">
        <v>1913</v>
      </c>
      <c r="C921" s="17">
        <v>7</v>
      </c>
      <c r="D921" s="18"/>
      <c r="E921" s="17" t="s">
        <v>1909</v>
      </c>
      <c r="F921" s="17"/>
      <c r="G921" s="18"/>
      <c r="H921" s="18"/>
    </row>
    <row r="922" spans="1:8" ht="13.2">
      <c r="A922" s="19" t="str">
        <f>HYPERLINK("http://codeforces.com/contest/295/problem/D","CF295-D1-D")</f>
        <v>CF295-D1-D</v>
      </c>
      <c r="B922" s="29" t="s">
        <v>1913</v>
      </c>
      <c r="C922" s="17">
        <v>7</v>
      </c>
      <c r="D922" s="18"/>
      <c r="E922" s="17" t="s">
        <v>1909</v>
      </c>
      <c r="F922" s="17"/>
      <c r="G922" s="18"/>
      <c r="H922" s="18"/>
    </row>
    <row r="923" spans="1:8" ht="13.2">
      <c r="A923" s="15" t="s">
        <v>1927</v>
      </c>
      <c r="B923" s="30" t="s">
        <v>1928</v>
      </c>
      <c r="C923" s="24">
        <v>7</v>
      </c>
      <c r="D923" s="18"/>
      <c r="E923" s="17" t="s">
        <v>1909</v>
      </c>
      <c r="F923" s="17"/>
      <c r="G923" s="18"/>
      <c r="H923" s="18"/>
    </row>
    <row r="924" spans="1:8" ht="13.2">
      <c r="A924" s="15" t="s">
        <v>2030</v>
      </c>
      <c r="B924" s="30" t="s">
        <v>2031</v>
      </c>
      <c r="C924" s="24">
        <v>7</v>
      </c>
      <c r="D924" s="26" t="str">
        <f>HYPERLINK("https://github.com/omaryasser/Competitive-Programming/blob/master/SPOJ%20solutions/LIM%20-%20Lost%20in%20Madrid.java","Sol")</f>
        <v>Sol</v>
      </c>
      <c r="E924" s="17" t="s">
        <v>2026</v>
      </c>
      <c r="F924" s="17"/>
      <c r="G924" s="18"/>
      <c r="H924" s="18"/>
    </row>
    <row r="925" spans="1:8" ht="13.2">
      <c r="A925" s="15" t="s">
        <v>2032</v>
      </c>
      <c r="B925" s="34" t="s">
        <v>2033</v>
      </c>
      <c r="C925" s="33">
        <v>7</v>
      </c>
      <c r="D925" s="18"/>
      <c r="E925" s="17" t="s">
        <v>2026</v>
      </c>
      <c r="F925" s="17"/>
      <c r="G925" s="18"/>
      <c r="H925" s="18"/>
    </row>
    <row r="926" spans="1:8" ht="13.2">
      <c r="A926" s="19" t="str">
        <f>HYPERLINK("http://codeforces.com/contest/596/problem/D","CF596-D2-D")</f>
        <v>CF596-D2-D</v>
      </c>
      <c r="B926" s="29" t="s">
        <v>2034</v>
      </c>
      <c r="C926" s="24">
        <v>7</v>
      </c>
      <c r="D926" s="18"/>
      <c r="E926" s="17" t="s">
        <v>2026</v>
      </c>
      <c r="F926" s="17"/>
      <c r="G926" s="18"/>
      <c r="H926" s="18"/>
    </row>
    <row r="927" spans="1:8" ht="13.2">
      <c r="A927" s="15" t="s">
        <v>508</v>
      </c>
      <c r="B927" s="34" t="s">
        <v>509</v>
      </c>
      <c r="C927" s="31">
        <v>7</v>
      </c>
      <c r="D927" s="18"/>
      <c r="E927" s="17" t="s">
        <v>503</v>
      </c>
      <c r="F927" s="17"/>
      <c r="G927" s="18"/>
      <c r="H927" s="18"/>
    </row>
    <row r="928" spans="1:8" ht="13.2">
      <c r="A928" s="15" t="s">
        <v>510</v>
      </c>
      <c r="B928" s="16" t="s">
        <v>511</v>
      </c>
      <c r="C928" s="17">
        <v>7</v>
      </c>
      <c r="D928" s="18"/>
      <c r="E928" s="17" t="s">
        <v>503</v>
      </c>
      <c r="F928" s="17"/>
      <c r="G928" s="18"/>
      <c r="H928" s="18"/>
    </row>
    <row r="929" spans="1:8" ht="13.2">
      <c r="A929" s="15" t="s">
        <v>2166</v>
      </c>
      <c r="B929" s="16" t="s">
        <v>2167</v>
      </c>
      <c r="C929" s="17">
        <v>7</v>
      </c>
      <c r="D929" s="18" t="s">
        <v>2168</v>
      </c>
      <c r="E929" s="17" t="s">
        <v>2153</v>
      </c>
      <c r="F929" s="17"/>
      <c r="G929" s="18"/>
      <c r="H929" s="18"/>
    </row>
    <row r="930" spans="1:8" ht="13.2">
      <c r="A930" s="19" t="str">
        <f>HYPERLINK("http://codeforces.com/contest/436/problem/E", "CF436-D12-E")</f>
        <v>CF436-D12-E</v>
      </c>
      <c r="B930" s="20" t="s">
        <v>2169</v>
      </c>
      <c r="C930" s="21">
        <v>7</v>
      </c>
      <c r="D930" s="26" t="str">
        <f>HYPERLINK("https://github.com/tmwilliamlin168/CompetitiveProgramming/blob/master/CodeForces/CF436-D12-E.cpp","Check other approaches")</f>
        <v>Check other approaches</v>
      </c>
      <c r="E930" s="17" t="s">
        <v>2153</v>
      </c>
      <c r="F930" s="17"/>
      <c r="G930" s="18"/>
      <c r="H930" s="18"/>
    </row>
    <row r="931" spans="1:8" ht="13.2">
      <c r="A931" s="15" t="s">
        <v>2403</v>
      </c>
      <c r="B931" s="29" t="s">
        <v>6544</v>
      </c>
      <c r="C931" s="24">
        <v>7</v>
      </c>
      <c r="D931" s="26" t="str">
        <f>HYPERLINK("https://github.com/Andres-Unt/problem_solving/blob/master/TopCoder/SRM423-D1-500.cpp","Sol")</f>
        <v>Sol</v>
      </c>
      <c r="E931" s="17" t="s">
        <v>2394</v>
      </c>
      <c r="F931" s="17"/>
      <c r="G931" s="18"/>
      <c r="H931" s="18"/>
    </row>
    <row r="932" spans="1:8" ht="13.2">
      <c r="A932" s="19" t="str">
        <f>HYPERLINK("https://www.spoj.com/problems/ADAXMAS/","SPOJ ADAXMAS")</f>
        <v>SPOJ ADAXMAS</v>
      </c>
      <c r="B932" s="15" t="s">
        <v>2447</v>
      </c>
      <c r="C932" s="17">
        <v>7</v>
      </c>
      <c r="D932" s="18"/>
      <c r="E932" s="17" t="s">
        <v>2442</v>
      </c>
      <c r="F932" s="17"/>
      <c r="G932" s="18"/>
      <c r="H932" s="18"/>
    </row>
    <row r="933" spans="1:8" ht="13.2">
      <c r="A933" s="15" t="s">
        <v>2552</v>
      </c>
      <c r="B933" s="29" t="s">
        <v>2509</v>
      </c>
      <c r="C933" s="24">
        <v>7</v>
      </c>
      <c r="D933" s="18"/>
      <c r="E933" s="24" t="s">
        <v>2510</v>
      </c>
      <c r="F933" s="17"/>
      <c r="G933" s="18"/>
      <c r="H933" s="18"/>
    </row>
    <row r="934" spans="1:8" ht="13.2">
      <c r="A934" s="15" t="s">
        <v>2553</v>
      </c>
      <c r="B934" s="30" t="s">
        <v>2509</v>
      </c>
      <c r="C934" s="17">
        <v>7</v>
      </c>
      <c r="D934" s="18"/>
      <c r="E934" s="17" t="s">
        <v>2510</v>
      </c>
      <c r="F934" s="17"/>
      <c r="G934" s="18"/>
      <c r="H934" s="18"/>
    </row>
    <row r="935" spans="1:8" ht="13.2">
      <c r="A935" s="15" t="s">
        <v>2554</v>
      </c>
      <c r="B935" s="28" t="s">
        <v>2509</v>
      </c>
      <c r="C935" s="17">
        <v>7</v>
      </c>
      <c r="D935" s="18"/>
      <c r="E935" s="17" t="s">
        <v>2510</v>
      </c>
      <c r="F935" s="17"/>
      <c r="G935" s="18"/>
      <c r="H935" s="18"/>
    </row>
    <row r="936" spans="1:8" ht="13.2">
      <c r="A936" s="15" t="s">
        <v>2555</v>
      </c>
      <c r="B936" s="30" t="s">
        <v>2509</v>
      </c>
      <c r="C936" s="17">
        <v>7</v>
      </c>
      <c r="D936" s="18"/>
      <c r="E936" s="17" t="s">
        <v>2510</v>
      </c>
      <c r="F936" s="17"/>
      <c r="G936" s="18"/>
      <c r="H936" s="18"/>
    </row>
    <row r="937" spans="1:8" ht="13.2">
      <c r="A937" s="15" t="s">
        <v>2556</v>
      </c>
      <c r="B937" s="28" t="s">
        <v>2509</v>
      </c>
      <c r="C937" s="17">
        <v>7</v>
      </c>
      <c r="D937" s="18"/>
      <c r="E937" s="17" t="s">
        <v>2510</v>
      </c>
      <c r="F937" s="17"/>
      <c r="G937" s="18"/>
      <c r="H937" s="18"/>
    </row>
    <row r="938" spans="1:8" ht="13.2">
      <c r="A938" s="19" t="str">
        <f>HYPERLINK("http://codeforces.com/gym/100015/problem/E","CF100015-GYM-E")</f>
        <v>CF100015-GYM-E</v>
      </c>
      <c r="B938" s="15" t="s">
        <v>2557</v>
      </c>
      <c r="C938" s="24">
        <v>7</v>
      </c>
      <c r="D938" s="18"/>
      <c r="E938" s="17" t="s">
        <v>2510</v>
      </c>
      <c r="F938" s="17"/>
      <c r="G938" s="18"/>
      <c r="H938" s="18"/>
    </row>
    <row r="939" spans="1:8" ht="13.2">
      <c r="A939" s="15" t="s">
        <v>2558</v>
      </c>
      <c r="B939" s="30" t="s">
        <v>2559</v>
      </c>
      <c r="C939" s="17">
        <v>7</v>
      </c>
      <c r="D939" s="18"/>
      <c r="E939" s="17" t="s">
        <v>2510</v>
      </c>
      <c r="F939" s="17"/>
      <c r="G939" s="18"/>
      <c r="H939" s="18"/>
    </row>
    <row r="940" spans="1:8" ht="13.2">
      <c r="A940" s="15" t="s">
        <v>2560</v>
      </c>
      <c r="B940" s="30" t="s">
        <v>2561</v>
      </c>
      <c r="C940" s="17">
        <v>7</v>
      </c>
      <c r="D940" s="18"/>
      <c r="E940" s="17" t="s">
        <v>2510</v>
      </c>
      <c r="F940" s="17"/>
      <c r="G940" s="18"/>
      <c r="H940" s="18"/>
    </row>
    <row r="941" spans="1:8" ht="13.2">
      <c r="A941" s="15" t="s">
        <v>2562</v>
      </c>
      <c r="B941" s="30" t="s">
        <v>2561</v>
      </c>
      <c r="C941" s="17">
        <v>7</v>
      </c>
      <c r="D941" s="18"/>
      <c r="E941" s="17" t="s">
        <v>2510</v>
      </c>
      <c r="F941" s="17"/>
      <c r="G941" s="18"/>
      <c r="H941" s="18"/>
    </row>
    <row r="942" spans="1:8" ht="13.2">
      <c r="A942" s="15" t="s">
        <v>2563</v>
      </c>
      <c r="B942" s="30" t="s">
        <v>2561</v>
      </c>
      <c r="C942" s="17">
        <v>7</v>
      </c>
      <c r="D942" s="18"/>
      <c r="E942" s="17" t="s">
        <v>2510</v>
      </c>
      <c r="F942" s="17"/>
      <c r="G942" s="18"/>
      <c r="H942" s="18"/>
    </row>
    <row r="943" spans="1:8" ht="13.2">
      <c r="A943" s="15" t="s">
        <v>2564</v>
      </c>
      <c r="B943" s="34" t="s">
        <v>2565</v>
      </c>
      <c r="C943" s="31">
        <v>7</v>
      </c>
      <c r="D943" s="18"/>
      <c r="E943" s="17" t="s">
        <v>2510</v>
      </c>
      <c r="F943" s="17"/>
      <c r="G943" s="18"/>
      <c r="H943" s="18"/>
    </row>
    <row r="944" spans="1:8" ht="13.2">
      <c r="A944" s="19" t="str">
        <f>HYPERLINK("http://codeforces.com/contest/592/problem/E","CF592-D2-E")</f>
        <v>CF592-D2-E</v>
      </c>
      <c r="B944" s="15" t="s">
        <v>2566</v>
      </c>
      <c r="C944" s="24">
        <v>7</v>
      </c>
      <c r="D944" s="18"/>
      <c r="E944" s="17" t="s">
        <v>2510</v>
      </c>
      <c r="F944" s="17"/>
      <c r="G944" s="18"/>
      <c r="H944" s="18"/>
    </row>
    <row r="945" spans="1:8" ht="13.2">
      <c r="A945" s="15" t="s">
        <v>2567</v>
      </c>
      <c r="B945" s="30" t="s">
        <v>2568</v>
      </c>
      <c r="C945" s="40">
        <v>7</v>
      </c>
      <c r="D945" s="18"/>
      <c r="E945" s="17" t="s">
        <v>2510</v>
      </c>
      <c r="F945" s="17"/>
      <c r="G945" s="18"/>
      <c r="H945" s="18"/>
    </row>
    <row r="946" spans="1:8" ht="13.2">
      <c r="A946" s="19" t="str">
        <f>HYPERLINK("https://www.hackerrank.com/challenges/isosceles-triangles","HACKR isosceles-triangles")</f>
        <v>HACKR isosceles-triangles</v>
      </c>
      <c r="B946" s="29" t="s">
        <v>2569</v>
      </c>
      <c r="C946" s="40">
        <v>7</v>
      </c>
      <c r="D946" s="26" t="str">
        <f>HYPERLINK("https://github.com/shanto86/Training/blob/master/Hackerrank/HACKR%20isosceles-triangles.cpp","Sol")</f>
        <v>Sol</v>
      </c>
      <c r="E946" s="17" t="s">
        <v>2510</v>
      </c>
      <c r="F946" s="17"/>
      <c r="G946" s="18"/>
      <c r="H946" s="18"/>
    </row>
    <row r="947" spans="1:8" ht="13.2">
      <c r="A947" s="15" t="s">
        <v>2570</v>
      </c>
      <c r="B947" s="29" t="s">
        <v>2571</v>
      </c>
      <c r="C947" s="17">
        <v>7</v>
      </c>
      <c r="D947" s="18"/>
      <c r="E947" s="17" t="s">
        <v>2510</v>
      </c>
      <c r="F947" s="17"/>
      <c r="G947" s="18"/>
      <c r="H947" s="18"/>
    </row>
    <row r="948" spans="1:8" ht="13.2">
      <c r="A948" s="15" t="s">
        <v>2572</v>
      </c>
      <c r="B948" s="28" t="s">
        <v>2573</v>
      </c>
      <c r="C948" s="17">
        <v>7</v>
      </c>
      <c r="D948" s="18"/>
      <c r="E948" s="17" t="s">
        <v>2510</v>
      </c>
      <c r="F948" s="17"/>
      <c r="G948" s="18"/>
      <c r="H948" s="18"/>
    </row>
    <row r="949" spans="1:8" ht="13.2">
      <c r="A949" s="15" t="s">
        <v>2574</v>
      </c>
      <c r="B949" s="34" t="s">
        <v>2575</v>
      </c>
      <c r="C949" s="33">
        <v>7</v>
      </c>
      <c r="D949" s="18"/>
      <c r="E949" s="17" t="s">
        <v>2510</v>
      </c>
      <c r="F949" s="17"/>
      <c r="G949" s="18"/>
      <c r="H949" s="18"/>
    </row>
    <row r="950" spans="1:8" ht="13.2">
      <c r="A950" s="15" t="s">
        <v>2576</v>
      </c>
      <c r="B950" s="29" t="s">
        <v>2577</v>
      </c>
      <c r="C950" s="17">
        <v>7</v>
      </c>
      <c r="D950" s="18"/>
      <c r="E950" s="17" t="s">
        <v>2510</v>
      </c>
      <c r="F950" s="17"/>
      <c r="G950" s="18"/>
      <c r="H950" s="18"/>
    </row>
    <row r="951" spans="1:8" ht="13.2">
      <c r="A951" s="15" t="s">
        <v>2578</v>
      </c>
      <c r="B951" s="28" t="s">
        <v>2579</v>
      </c>
      <c r="C951" s="17">
        <v>7</v>
      </c>
      <c r="D951" s="18"/>
      <c r="E951" s="17" t="s">
        <v>2510</v>
      </c>
      <c r="F951" s="17"/>
      <c r="G951" s="18"/>
      <c r="H951" s="18"/>
    </row>
    <row r="952" spans="1:8" ht="13.2">
      <c r="A952" s="15" t="s">
        <v>2580</v>
      </c>
      <c r="B952" s="28" t="s">
        <v>2581</v>
      </c>
      <c r="C952" s="17">
        <v>7</v>
      </c>
      <c r="D952" s="18"/>
      <c r="E952" s="17" t="s">
        <v>2510</v>
      </c>
      <c r="F952" s="17"/>
      <c r="G952" s="18"/>
      <c r="H952" s="18"/>
    </row>
    <row r="953" spans="1:8" ht="13.2">
      <c r="A953" s="15" t="s">
        <v>2582</v>
      </c>
      <c r="B953" s="15" t="s">
        <v>2583</v>
      </c>
      <c r="C953" s="17">
        <v>7</v>
      </c>
      <c r="D953" s="18"/>
      <c r="E953" s="17" t="s">
        <v>2510</v>
      </c>
      <c r="F953" s="17"/>
      <c r="G953" s="18"/>
      <c r="H953" s="18"/>
    </row>
    <row r="954" spans="1:8" ht="13.2">
      <c r="A954" s="15" t="s">
        <v>2584</v>
      </c>
      <c r="B954" s="28" t="s">
        <v>2549</v>
      </c>
      <c r="C954" s="24">
        <v>7</v>
      </c>
      <c r="D954" s="18"/>
      <c r="E954" s="24" t="s">
        <v>2510</v>
      </c>
      <c r="F954" s="17"/>
      <c r="G954" s="18"/>
      <c r="H954" s="18"/>
    </row>
    <row r="955" spans="1:8" ht="13.2">
      <c r="A955" s="15" t="s">
        <v>2585</v>
      </c>
      <c r="B955" s="30" t="s">
        <v>2549</v>
      </c>
      <c r="C955" s="17">
        <v>7</v>
      </c>
      <c r="D955" s="18"/>
      <c r="E955" s="17" t="s">
        <v>2510</v>
      </c>
      <c r="F955" s="17"/>
      <c r="G955" s="18"/>
      <c r="H955" s="18"/>
    </row>
    <row r="956" spans="1:8" ht="13.2">
      <c r="A956" s="15" t="s">
        <v>2586</v>
      </c>
      <c r="B956" s="30" t="s">
        <v>2549</v>
      </c>
      <c r="C956" s="17">
        <v>7</v>
      </c>
      <c r="D956" s="18"/>
      <c r="E956" s="17" t="s">
        <v>2510</v>
      </c>
      <c r="F956" s="17"/>
      <c r="G956" s="18"/>
      <c r="H956" s="18"/>
    </row>
    <row r="957" spans="1:8" ht="13.2">
      <c r="A957" s="15" t="s">
        <v>2587</v>
      </c>
      <c r="B957" s="18" t="s">
        <v>2549</v>
      </c>
      <c r="C957" s="17">
        <v>7</v>
      </c>
      <c r="D957" s="18"/>
      <c r="E957" s="17" t="s">
        <v>2510</v>
      </c>
      <c r="F957" s="17"/>
      <c r="G957" s="18"/>
      <c r="H957" s="18"/>
    </row>
    <row r="958" spans="1:8" ht="13.2">
      <c r="A958" s="15" t="s">
        <v>2588</v>
      </c>
      <c r="B958" s="30" t="s">
        <v>2589</v>
      </c>
      <c r="C958" s="17">
        <v>7</v>
      </c>
      <c r="D958" s="18"/>
      <c r="E958" s="17" t="s">
        <v>2510</v>
      </c>
      <c r="F958" s="17"/>
      <c r="G958" s="18"/>
      <c r="H958" s="18"/>
    </row>
    <row r="959" spans="1:8" ht="13.2">
      <c r="A959" s="15" t="s">
        <v>2815</v>
      </c>
      <c r="B959" s="30" t="s">
        <v>2816</v>
      </c>
      <c r="C959" s="24">
        <v>7</v>
      </c>
      <c r="D959" s="18"/>
      <c r="E959" s="24" t="s">
        <v>2798</v>
      </c>
      <c r="F959" s="17"/>
      <c r="G959" s="18"/>
      <c r="H959" s="18"/>
    </row>
    <row r="960" spans="1:8" ht="13.2">
      <c r="A960" s="15" t="s">
        <v>2817</v>
      </c>
      <c r="B960" s="28" t="s">
        <v>2818</v>
      </c>
      <c r="C960" s="24">
        <v>7</v>
      </c>
      <c r="D960" s="18"/>
      <c r="E960" s="24" t="s">
        <v>2798</v>
      </c>
      <c r="F960" s="17"/>
      <c r="G960" s="18"/>
      <c r="H960" s="18"/>
    </row>
    <row r="961" spans="1:8" ht="13.2">
      <c r="A961" s="15" t="s">
        <v>2819</v>
      </c>
      <c r="B961" s="30" t="s">
        <v>2820</v>
      </c>
      <c r="C961" s="17">
        <v>7</v>
      </c>
      <c r="D961" s="18"/>
      <c r="E961" s="17" t="s">
        <v>2798</v>
      </c>
      <c r="F961" s="17"/>
      <c r="G961" s="18"/>
      <c r="H961" s="18"/>
    </row>
    <row r="962" spans="1:8" ht="13.2">
      <c r="A962" s="15" t="s">
        <v>2821</v>
      </c>
      <c r="B962" s="30" t="s">
        <v>2822</v>
      </c>
      <c r="C962" s="17">
        <v>7</v>
      </c>
      <c r="D962" s="18"/>
      <c r="E962" s="17" t="s">
        <v>2798</v>
      </c>
      <c r="F962" s="17"/>
      <c r="G962" s="18"/>
      <c r="H962" s="18"/>
    </row>
    <row r="963" spans="1:8" ht="13.2">
      <c r="A963" s="15" t="s">
        <v>2823</v>
      </c>
      <c r="B963" s="29" t="s">
        <v>2824</v>
      </c>
      <c r="C963" s="17">
        <v>7</v>
      </c>
      <c r="D963" s="18"/>
      <c r="E963" s="17" t="s">
        <v>2798</v>
      </c>
      <c r="F963" s="17"/>
      <c r="G963" s="18"/>
      <c r="H963" s="18"/>
    </row>
    <row r="964" spans="1:8" ht="13.2">
      <c r="A964" s="15" t="s">
        <v>2825</v>
      </c>
      <c r="B964" s="30" t="s">
        <v>2826</v>
      </c>
      <c r="C964" s="17">
        <v>7</v>
      </c>
      <c r="D964" s="18"/>
      <c r="E964" s="17" t="s">
        <v>2798</v>
      </c>
      <c r="F964" s="17"/>
      <c r="G964" s="18"/>
      <c r="H964" s="18"/>
    </row>
    <row r="965" spans="1:8" ht="13.2">
      <c r="A965" s="15" t="s">
        <v>2882</v>
      </c>
      <c r="B965" s="30" t="s">
        <v>2883</v>
      </c>
      <c r="C965" s="17">
        <v>7</v>
      </c>
      <c r="D965" s="18"/>
      <c r="E965" s="17" t="s">
        <v>2865</v>
      </c>
      <c r="F965" s="17"/>
      <c r="G965" s="18"/>
      <c r="H965" s="18"/>
    </row>
    <row r="966" spans="1:8" ht="13.2">
      <c r="A966" s="15" t="s">
        <v>2884</v>
      </c>
      <c r="B966" s="30" t="s">
        <v>2885</v>
      </c>
      <c r="C966" s="40">
        <v>7</v>
      </c>
      <c r="D966" s="18"/>
      <c r="E966" s="17" t="s">
        <v>2865</v>
      </c>
      <c r="F966" s="17"/>
      <c r="G966" s="18"/>
      <c r="H966" s="18"/>
    </row>
    <row r="967" spans="1:8" ht="13.2">
      <c r="A967" s="15" t="s">
        <v>2886</v>
      </c>
      <c r="B967" s="28" t="s">
        <v>2871</v>
      </c>
      <c r="C967" s="24">
        <v>7</v>
      </c>
      <c r="D967" s="18"/>
      <c r="E967" s="24" t="s">
        <v>2865</v>
      </c>
      <c r="F967" s="17"/>
      <c r="G967" s="18"/>
      <c r="H967" s="18"/>
    </row>
    <row r="968" spans="1:8" ht="13.2">
      <c r="A968" s="19" t="str">
        <f>HYPERLINK("http://codeforces.com/gym/101606/problem/L","CF101606-GYM-L")</f>
        <v>CF101606-GYM-L</v>
      </c>
      <c r="B968" s="20" t="s">
        <v>2887</v>
      </c>
      <c r="C968" s="21">
        <v>7</v>
      </c>
      <c r="D968" s="26" t="str">
        <f>HYPERLINK("https://github.com/OmarHashim/Competitive-Programming/blob/master/CodeForces/CF101606-GYM-L","Sol")</f>
        <v>Sol</v>
      </c>
      <c r="E968" s="17" t="s">
        <v>2865</v>
      </c>
      <c r="F968" s="17"/>
      <c r="G968" s="18"/>
      <c r="H968" s="18"/>
    </row>
    <row r="969" spans="1:8" ht="13.2">
      <c r="A969" s="15" t="s">
        <v>2888</v>
      </c>
      <c r="B969" s="30" t="s">
        <v>2889</v>
      </c>
      <c r="C969" s="17">
        <v>7</v>
      </c>
      <c r="D969" s="18"/>
      <c r="E969" s="17" t="s">
        <v>2865</v>
      </c>
      <c r="F969" s="17"/>
      <c r="G969" s="18"/>
      <c r="H969" s="18"/>
    </row>
    <row r="970" spans="1:8" ht="13.2">
      <c r="A970" s="15" t="s">
        <v>2973</v>
      </c>
      <c r="B970" s="18" t="s">
        <v>2947</v>
      </c>
      <c r="C970" s="17">
        <v>7</v>
      </c>
      <c r="D970" s="18"/>
      <c r="E970" s="17" t="s">
        <v>2948</v>
      </c>
      <c r="F970" s="17"/>
      <c r="G970" s="18"/>
      <c r="H970" s="18"/>
    </row>
    <row r="971" spans="1:8" ht="13.2">
      <c r="A971" s="15" t="s">
        <v>2974</v>
      </c>
      <c r="B971" s="29" t="s">
        <v>2975</v>
      </c>
      <c r="C971" s="17">
        <v>7</v>
      </c>
      <c r="D971" s="26" t="str">
        <f>HYPERLINK("https://github.com/OmarHashim/Competitive-Programming/blob/master/UVA/132.cpp","Sol")</f>
        <v>Sol</v>
      </c>
      <c r="E971" s="17" t="s">
        <v>2948</v>
      </c>
      <c r="F971" s="17"/>
      <c r="G971" s="18"/>
      <c r="H971" s="18"/>
    </row>
    <row r="972" spans="1:8" ht="13.2">
      <c r="A972" s="19" t="str">
        <f>HYPERLINK("https://www.hackerrank.com/challenges/good-point","HACKR good-point")</f>
        <v>HACKR good-point</v>
      </c>
      <c r="B972" s="29" t="s">
        <v>2976</v>
      </c>
      <c r="C972" s="17">
        <v>7</v>
      </c>
      <c r="D972" s="18"/>
      <c r="E972" s="17" t="s">
        <v>2948</v>
      </c>
      <c r="F972" s="17"/>
      <c r="G972" s="18"/>
      <c r="H972" s="18"/>
    </row>
    <row r="973" spans="1:8" ht="13.2">
      <c r="A973" s="15" t="s">
        <v>2977</v>
      </c>
      <c r="B973" s="28" t="s">
        <v>2978</v>
      </c>
      <c r="C973" s="24">
        <v>7</v>
      </c>
      <c r="D973" s="18"/>
      <c r="E973" s="24" t="s">
        <v>2948</v>
      </c>
      <c r="F973" s="17"/>
      <c r="G973" s="18"/>
      <c r="H973" s="18"/>
    </row>
    <row r="974" spans="1:8" ht="13.2">
      <c r="A974" s="15" t="s">
        <v>2979</v>
      </c>
      <c r="B974" s="16" t="s">
        <v>2980</v>
      </c>
      <c r="C974" s="17">
        <v>7</v>
      </c>
      <c r="D974" s="18"/>
      <c r="E974" s="17" t="s">
        <v>2948</v>
      </c>
      <c r="F974" s="17"/>
      <c r="G974" s="18"/>
      <c r="H974" s="18"/>
    </row>
    <row r="975" spans="1:8" ht="13.2">
      <c r="A975" s="15" t="s">
        <v>2981</v>
      </c>
      <c r="B975" s="16" t="s">
        <v>2982</v>
      </c>
      <c r="C975" s="17">
        <v>7</v>
      </c>
      <c r="D975" s="18"/>
      <c r="E975" s="17" t="s">
        <v>2948</v>
      </c>
      <c r="F975" s="17"/>
      <c r="G975" s="18"/>
      <c r="H975" s="18"/>
    </row>
    <row r="976" spans="1:8" ht="13.2">
      <c r="A976" s="19" t="str">
        <f>HYPERLINK("https://www.codechef.com/problems/BALANPOL","CODECHEF BALANPOL")</f>
        <v>CODECHEF BALANPOL</v>
      </c>
      <c r="B976" s="18" t="s">
        <v>2983</v>
      </c>
      <c r="C976" s="17">
        <v>7</v>
      </c>
      <c r="D976" s="18"/>
      <c r="E976" s="17" t="s">
        <v>2948</v>
      </c>
      <c r="F976" s="17"/>
      <c r="G976" s="18"/>
      <c r="H976" s="18"/>
    </row>
    <row r="977" spans="1:8" ht="13.2">
      <c r="A977" s="15" t="s">
        <v>2984</v>
      </c>
      <c r="B977" s="18" t="s">
        <v>2985</v>
      </c>
      <c r="C977" s="17">
        <v>7</v>
      </c>
      <c r="D977" s="26" t="str">
        <f>HYPERLINK("https://github.com/OmarHashim/Competitive-Programming/blob/master/LiveArchive/8039.cpp","Sol")</f>
        <v>Sol</v>
      </c>
      <c r="E977" s="17" t="s">
        <v>2948</v>
      </c>
      <c r="F977" s="17"/>
      <c r="G977" s="18"/>
      <c r="H977" s="18"/>
    </row>
    <row r="978" spans="1:8" ht="13.2">
      <c r="A978" s="15" t="s">
        <v>2986</v>
      </c>
      <c r="B978" s="28" t="s">
        <v>2987</v>
      </c>
      <c r="C978" s="17">
        <v>7</v>
      </c>
      <c r="D978" s="18"/>
      <c r="E978" s="17" t="s">
        <v>2948</v>
      </c>
      <c r="F978" s="17"/>
      <c r="G978" s="18"/>
      <c r="H978" s="18"/>
    </row>
    <row r="979" spans="1:8" ht="13.2">
      <c r="A979" s="15" t="s">
        <v>2988</v>
      </c>
      <c r="B979" s="30" t="s">
        <v>2989</v>
      </c>
      <c r="C979" s="17">
        <v>7</v>
      </c>
      <c r="D979" s="18"/>
      <c r="E979" s="17" t="s">
        <v>2948</v>
      </c>
      <c r="F979" s="17"/>
      <c r="G979" s="18"/>
      <c r="H979" s="18"/>
    </row>
    <row r="980" spans="1:8" ht="13.2">
      <c r="A980" s="15" t="s">
        <v>2990</v>
      </c>
      <c r="B980" s="16" t="s">
        <v>2991</v>
      </c>
      <c r="C980" s="17">
        <v>7</v>
      </c>
      <c r="D980" s="18"/>
      <c r="E980" s="17" t="s">
        <v>2948</v>
      </c>
      <c r="F980" s="17"/>
      <c r="G980" s="18"/>
      <c r="H980" s="18"/>
    </row>
    <row r="981" spans="1:8" ht="13.2">
      <c r="A981" s="15" t="s">
        <v>2992</v>
      </c>
      <c r="B981" s="39" t="s">
        <v>2993</v>
      </c>
      <c r="C981" s="24">
        <v>7</v>
      </c>
      <c r="D981" s="18"/>
      <c r="E981" s="24" t="s">
        <v>2948</v>
      </c>
      <c r="F981" s="17"/>
      <c r="G981" s="18"/>
      <c r="H981" s="18"/>
    </row>
    <row r="982" spans="1:8" ht="13.2">
      <c r="A982" s="15" t="s">
        <v>3042</v>
      </c>
      <c r="B982" s="29" t="s">
        <v>3043</v>
      </c>
      <c r="C982" s="17">
        <v>7</v>
      </c>
      <c r="D982" s="18" t="s">
        <v>3044</v>
      </c>
      <c r="E982" s="17" t="s">
        <v>3041</v>
      </c>
      <c r="F982" s="17"/>
      <c r="G982" s="18"/>
      <c r="H982" s="18"/>
    </row>
    <row r="983" spans="1:8" ht="13.2">
      <c r="A983" s="19" t="str">
        <f>HYPERLINK("http://codeforces.com/contest/536/problem/C","CF536-D1-C")</f>
        <v>CF536-D1-C</v>
      </c>
      <c r="B983" s="15" t="s">
        <v>3073</v>
      </c>
      <c r="C983" s="17">
        <v>7</v>
      </c>
      <c r="D983" s="26" t="str">
        <f>HYPERLINK("https://github.com/tmwilliamlin168/CompetitiveProgramming/blob/master/CodeForces/0536C.cpp", "Sol")</f>
        <v>Sol</v>
      </c>
      <c r="E983" s="17" t="s">
        <v>3065</v>
      </c>
      <c r="F983" s="17"/>
      <c r="G983" s="18"/>
      <c r="H983" s="18"/>
    </row>
    <row r="984" spans="1:8" ht="13.2">
      <c r="A984" s="15" t="s">
        <v>3082</v>
      </c>
      <c r="B984" s="30" t="s">
        <v>3073</v>
      </c>
      <c r="C984" s="24">
        <v>7</v>
      </c>
      <c r="D984" s="18"/>
      <c r="E984" s="17" t="s">
        <v>3065</v>
      </c>
      <c r="F984" s="17"/>
      <c r="G984" s="18"/>
      <c r="H984" s="18"/>
    </row>
    <row r="985" spans="1:8" ht="13.2">
      <c r="A985" s="15" t="s">
        <v>3083</v>
      </c>
      <c r="B985" s="30" t="s">
        <v>3073</v>
      </c>
      <c r="C985" s="17">
        <v>7</v>
      </c>
      <c r="D985" s="18"/>
      <c r="E985" s="17" t="s">
        <v>3065</v>
      </c>
      <c r="F985" s="17"/>
      <c r="G985" s="18"/>
      <c r="H985" s="18"/>
    </row>
    <row r="986" spans="1:8" ht="13.2">
      <c r="A986" s="15" t="s">
        <v>3084</v>
      </c>
      <c r="B986" s="41" t="s">
        <v>3085</v>
      </c>
      <c r="C986" s="17">
        <v>7</v>
      </c>
      <c r="D986" s="18"/>
      <c r="E986" s="17" t="s">
        <v>3065</v>
      </c>
      <c r="F986" s="17"/>
      <c r="G986" s="18"/>
      <c r="H986" s="18"/>
    </row>
    <row r="987" spans="1:8" ht="13.2">
      <c r="A987" s="15" t="s">
        <v>3086</v>
      </c>
      <c r="B987" s="30" t="s">
        <v>3087</v>
      </c>
      <c r="C987" s="24">
        <v>7</v>
      </c>
      <c r="D987" s="18"/>
      <c r="E987" s="17" t="s">
        <v>3065</v>
      </c>
      <c r="F987" s="17"/>
      <c r="G987" s="18"/>
      <c r="H987" s="18"/>
    </row>
    <row r="988" spans="1:8" ht="13.2">
      <c r="A988" s="15" t="s">
        <v>3088</v>
      </c>
      <c r="B988" s="29" t="s">
        <v>3089</v>
      </c>
      <c r="C988" s="17">
        <v>7</v>
      </c>
      <c r="D988" s="18"/>
      <c r="E988" s="17" t="s">
        <v>3065</v>
      </c>
      <c r="F988" s="17"/>
      <c r="G988" s="18"/>
      <c r="H988" s="18"/>
    </row>
    <row r="989" spans="1:8" ht="13.2">
      <c r="A989" s="15" t="s">
        <v>3128</v>
      </c>
      <c r="B989" s="16" t="s">
        <v>3129</v>
      </c>
      <c r="C989" s="17">
        <v>7</v>
      </c>
      <c r="D989" s="18"/>
      <c r="E989" s="17" t="s">
        <v>3130</v>
      </c>
      <c r="F989" s="17"/>
      <c r="G989" s="18"/>
      <c r="H989" s="18"/>
    </row>
    <row r="990" spans="1:8" ht="13.2">
      <c r="A990" s="19" t="str">
        <f>HYPERLINK("https://www.hackerrank.com/challenges/polygon","HACKR polygon")</f>
        <v>HACKR polygon</v>
      </c>
      <c r="B990" s="28" t="s">
        <v>3131</v>
      </c>
      <c r="C990" s="24">
        <v>7</v>
      </c>
      <c r="D990" s="18" t="s">
        <v>2519</v>
      </c>
      <c r="E990" s="17" t="s">
        <v>3130</v>
      </c>
      <c r="F990" s="17"/>
      <c r="G990" s="18"/>
      <c r="H990" s="18"/>
    </row>
    <row r="991" spans="1:8" ht="13.2">
      <c r="A991" s="19" t="str">
        <f>HYPERLINK("http://codeforces.com/contest/685/problem/D","CF685-D1-D")</f>
        <v>CF685-D1-D</v>
      </c>
      <c r="B991" s="15" t="s">
        <v>3139</v>
      </c>
      <c r="C991" s="24">
        <v>7</v>
      </c>
      <c r="D991" s="18"/>
      <c r="E991" s="17" t="s">
        <v>3140</v>
      </c>
      <c r="F991" s="17"/>
      <c r="G991" s="18"/>
      <c r="H991" s="18"/>
    </row>
    <row r="992" spans="1:8" ht="13.2">
      <c r="A992" s="15" t="s">
        <v>3159</v>
      </c>
      <c r="B992" s="16" t="s">
        <v>3160</v>
      </c>
      <c r="C992" s="17">
        <v>7</v>
      </c>
      <c r="D992" s="18"/>
      <c r="E992" s="17" t="s">
        <v>3140</v>
      </c>
      <c r="F992" s="17"/>
      <c r="G992" s="18"/>
      <c r="H992" s="18"/>
    </row>
    <row r="993" spans="1:8" ht="13.2">
      <c r="A993" s="15" t="s">
        <v>3227</v>
      </c>
      <c r="B993" s="15" t="s">
        <v>3221</v>
      </c>
      <c r="C993" s="24">
        <v>7</v>
      </c>
      <c r="D993" s="18"/>
      <c r="E993" s="17" t="s">
        <v>3214</v>
      </c>
      <c r="F993" s="17"/>
      <c r="G993" s="18"/>
      <c r="H993" s="18"/>
    </row>
    <row r="994" spans="1:8" ht="13.2">
      <c r="A994" s="15" t="s">
        <v>3228</v>
      </c>
      <c r="B994" s="28" t="s">
        <v>3221</v>
      </c>
      <c r="C994" s="17">
        <v>7</v>
      </c>
      <c r="D994" s="18"/>
      <c r="E994" s="17" t="s">
        <v>3214</v>
      </c>
      <c r="F994" s="17"/>
      <c r="G994" s="18"/>
      <c r="H994" s="18"/>
    </row>
    <row r="995" spans="1:8" ht="13.2">
      <c r="A995" s="15" t="s">
        <v>3229</v>
      </c>
      <c r="B995" s="16" t="s">
        <v>3230</v>
      </c>
      <c r="C995" s="17">
        <v>7</v>
      </c>
      <c r="D995" s="18"/>
      <c r="E995" s="17" t="s">
        <v>3214</v>
      </c>
      <c r="F995" s="17"/>
      <c r="G995" s="18"/>
      <c r="H995" s="18"/>
    </row>
    <row r="996" spans="1:8" ht="13.2">
      <c r="A996" s="15" t="s">
        <v>3231</v>
      </c>
      <c r="B996" s="16" t="s">
        <v>3232</v>
      </c>
      <c r="C996" s="17">
        <v>7</v>
      </c>
      <c r="D996" s="18"/>
      <c r="E996" s="17" t="s">
        <v>3214</v>
      </c>
      <c r="F996" s="17"/>
      <c r="G996" s="18"/>
      <c r="H996" s="18"/>
    </row>
    <row r="997" spans="1:8" ht="13.2">
      <c r="A997" s="15" t="s">
        <v>3233</v>
      </c>
      <c r="B997" s="29" t="s">
        <v>3234</v>
      </c>
      <c r="C997" s="17">
        <v>7</v>
      </c>
      <c r="D997" s="18"/>
      <c r="E997" s="17" t="s">
        <v>3214</v>
      </c>
      <c r="F997" s="17"/>
      <c r="G997" s="18"/>
      <c r="H997" s="18"/>
    </row>
    <row r="998" spans="1:8" ht="13.2">
      <c r="A998" s="15" t="s">
        <v>3295</v>
      </c>
      <c r="B998" s="30" t="s">
        <v>3296</v>
      </c>
      <c r="C998" s="17">
        <v>7</v>
      </c>
      <c r="D998" s="18"/>
      <c r="E998" s="17" t="s">
        <v>3257</v>
      </c>
      <c r="F998" s="17"/>
      <c r="G998" s="18"/>
      <c r="H998" s="18"/>
    </row>
    <row r="999" spans="1:8" ht="13.2">
      <c r="A999" s="15" t="s">
        <v>3297</v>
      </c>
      <c r="B999" s="30" t="s">
        <v>3298</v>
      </c>
      <c r="C999" s="17">
        <v>7</v>
      </c>
      <c r="D999" s="18" t="s">
        <v>3299</v>
      </c>
      <c r="E999" s="17" t="s">
        <v>3257</v>
      </c>
      <c r="F999" s="17"/>
      <c r="G999" s="18"/>
      <c r="H999" s="18"/>
    </row>
    <row r="1000" spans="1:8" ht="13.2">
      <c r="A1000" s="15" t="s">
        <v>3300</v>
      </c>
      <c r="B1000" s="39" t="s">
        <v>3284</v>
      </c>
      <c r="C1000" s="40">
        <v>7</v>
      </c>
      <c r="D1000" s="18"/>
      <c r="E1000" s="17" t="s">
        <v>3257</v>
      </c>
      <c r="F1000" s="17"/>
      <c r="G1000" s="18"/>
      <c r="H1000" s="18"/>
    </row>
    <row r="1001" spans="1:8" ht="13.2">
      <c r="A1001" s="15" t="s">
        <v>3301</v>
      </c>
      <c r="B1001" s="39" t="s">
        <v>3302</v>
      </c>
      <c r="C1001" s="40">
        <v>7</v>
      </c>
      <c r="D1001" s="18"/>
      <c r="E1001" s="17" t="s">
        <v>3257</v>
      </c>
      <c r="F1001" s="17"/>
      <c r="G1001" s="18"/>
      <c r="H1001" s="18"/>
    </row>
    <row r="1002" spans="1:8" ht="13.2">
      <c r="A1002" s="19" t="str">
        <f>HYPERLINK("http://agc016.contest.atcoder.jp/tasks/agc016_d","AtCoder016-AGC-D")</f>
        <v>AtCoder016-AGC-D</v>
      </c>
      <c r="B1002" s="18" t="s">
        <v>3303</v>
      </c>
      <c r="C1002" s="17">
        <v>7</v>
      </c>
      <c r="D1002" s="18"/>
      <c r="E1002" s="17" t="s">
        <v>3257</v>
      </c>
      <c r="F1002" s="17"/>
      <c r="G1002" s="18"/>
      <c r="H1002" s="18"/>
    </row>
    <row r="1003" spans="1:8" ht="13.2">
      <c r="A1003" s="15" t="s">
        <v>3447</v>
      </c>
      <c r="B1003" s="30" t="s">
        <v>3448</v>
      </c>
      <c r="C1003" s="24">
        <v>7</v>
      </c>
      <c r="D1003" s="18"/>
      <c r="E1003" s="17" t="s">
        <v>3439</v>
      </c>
      <c r="F1003" s="17"/>
      <c r="G1003" s="18"/>
      <c r="H1003" s="18"/>
    </row>
    <row r="1004" spans="1:8" ht="13.2">
      <c r="A1004" s="15" t="s">
        <v>3449</v>
      </c>
      <c r="B1004" s="30" t="s">
        <v>3448</v>
      </c>
      <c r="C1004" s="24">
        <v>7</v>
      </c>
      <c r="D1004" s="18"/>
      <c r="E1004" s="17" t="s">
        <v>3439</v>
      </c>
      <c r="F1004" s="17"/>
      <c r="G1004" s="18"/>
      <c r="H1004" s="18"/>
    </row>
    <row r="1005" spans="1:8" ht="13.2">
      <c r="A1005" s="19" t="str">
        <f>HYPERLINK("http://codeforces.com/contest/716/problem/D","CF716-D2-D")</f>
        <v>CF716-D2-D</v>
      </c>
      <c r="B1005" s="29" t="s">
        <v>3466</v>
      </c>
      <c r="C1005" s="24">
        <v>7</v>
      </c>
      <c r="D1005" s="18"/>
      <c r="E1005" s="17" t="s">
        <v>3467</v>
      </c>
      <c r="F1005" s="17"/>
      <c r="G1005" s="18"/>
      <c r="H1005" s="18"/>
    </row>
    <row r="1006" spans="1:8" ht="13.2">
      <c r="A1006" s="15" t="s">
        <v>3479</v>
      </c>
      <c r="B1006" s="34" t="s">
        <v>3466</v>
      </c>
      <c r="C1006" s="31">
        <v>7</v>
      </c>
      <c r="D1006" s="18"/>
      <c r="E1006" s="17" t="s">
        <v>3467</v>
      </c>
      <c r="F1006" s="17"/>
      <c r="G1006" s="18"/>
      <c r="H1006" s="18"/>
    </row>
    <row r="1007" spans="1:8" ht="13.2">
      <c r="A1007" s="15" t="s">
        <v>3480</v>
      </c>
      <c r="B1007" s="30" t="s">
        <v>3466</v>
      </c>
      <c r="C1007" s="17">
        <v>7</v>
      </c>
      <c r="D1007" s="18"/>
      <c r="E1007" s="17" t="s">
        <v>3467</v>
      </c>
      <c r="F1007" s="17"/>
      <c r="G1007" s="18"/>
      <c r="H1007" s="18"/>
    </row>
    <row r="1008" spans="1:8" ht="13.2">
      <c r="A1008" s="15" t="s">
        <v>3481</v>
      </c>
      <c r="B1008" s="29" t="s">
        <v>3482</v>
      </c>
      <c r="C1008" s="17">
        <v>7</v>
      </c>
      <c r="D1008" s="18"/>
      <c r="E1008" s="17" t="s">
        <v>3467</v>
      </c>
      <c r="F1008" s="17"/>
      <c r="G1008" s="18"/>
      <c r="H1008" s="18"/>
    </row>
    <row r="1009" spans="1:8" ht="13.2">
      <c r="A1009" s="19" t="str">
        <f>HYPERLINK("http://codeforces.com/contest/414/problem/D","CF414-D1-D")</f>
        <v>CF414-D1-D</v>
      </c>
      <c r="B1009" s="15" t="s">
        <v>3483</v>
      </c>
      <c r="C1009" s="24">
        <v>7</v>
      </c>
      <c r="D1009" s="18"/>
      <c r="E1009" s="17" t="s">
        <v>3467</v>
      </c>
      <c r="F1009" s="17"/>
      <c r="G1009" s="18"/>
      <c r="H1009" s="18"/>
    </row>
    <row r="1010" spans="1:8" ht="13.2">
      <c r="A1010" s="15" t="s">
        <v>3484</v>
      </c>
      <c r="B1010" s="30" t="s">
        <v>3485</v>
      </c>
      <c r="C1010" s="24">
        <v>7</v>
      </c>
      <c r="D1010" s="18"/>
      <c r="E1010" s="17" t="s">
        <v>3467</v>
      </c>
      <c r="F1010" s="17"/>
      <c r="G1010" s="18"/>
      <c r="H1010" s="18"/>
    </row>
    <row r="1011" spans="1:8" ht="13.2">
      <c r="A1011" s="15" t="s">
        <v>3486</v>
      </c>
      <c r="B1011" s="30" t="s">
        <v>3487</v>
      </c>
      <c r="C1011" s="24">
        <v>7</v>
      </c>
      <c r="D1011" s="18"/>
      <c r="E1011" s="17" t="s">
        <v>3467</v>
      </c>
      <c r="F1011" s="17"/>
      <c r="G1011" s="18"/>
      <c r="H1011" s="18"/>
    </row>
    <row r="1012" spans="1:8" ht="13.2">
      <c r="A1012" s="19" t="str">
        <f>HYPERLINK("http://codeforces.com/contest/354/problem/D","CF354-D1-D")</f>
        <v>CF354-D1-D</v>
      </c>
      <c r="B1012" s="15" t="s">
        <v>3488</v>
      </c>
      <c r="C1012" s="24">
        <v>7</v>
      </c>
      <c r="D1012" s="18"/>
      <c r="E1012" s="17" t="s">
        <v>3467</v>
      </c>
      <c r="F1012" s="17"/>
      <c r="G1012" s="18"/>
      <c r="H1012" s="18"/>
    </row>
    <row r="1013" spans="1:8" ht="13.2">
      <c r="A1013" s="15" t="s">
        <v>3489</v>
      </c>
      <c r="B1013" s="15" t="s">
        <v>3490</v>
      </c>
      <c r="C1013" s="17">
        <v>7</v>
      </c>
      <c r="D1013" s="26" t="str">
        <f>HYPERLINK("https://www.geeksforgeeks.org/0-1-bfs-shortest-path-binary-graph/","Study bfs trick for 0/1 graphs")</f>
        <v>Study bfs trick for 0/1 graphs</v>
      </c>
      <c r="E1013" s="17" t="s">
        <v>3467</v>
      </c>
      <c r="F1013" s="17"/>
      <c r="G1013" s="18"/>
      <c r="H1013" s="18"/>
    </row>
    <row r="1014" spans="1:8" ht="13.2">
      <c r="A1014" s="15" t="s">
        <v>3491</v>
      </c>
      <c r="B1014" s="28" t="s">
        <v>3492</v>
      </c>
      <c r="C1014" s="24">
        <v>7</v>
      </c>
      <c r="D1014" s="18"/>
      <c r="E1014" s="17" t="s">
        <v>3467</v>
      </c>
      <c r="F1014" s="17"/>
      <c r="G1014" s="18"/>
      <c r="H1014" s="18"/>
    </row>
    <row r="1015" spans="1:8" ht="13.2">
      <c r="A1015" s="15" t="s">
        <v>656</v>
      </c>
      <c r="B1015" s="15" t="s">
        <v>657</v>
      </c>
      <c r="C1015" s="17">
        <v>7</v>
      </c>
      <c r="D1015" s="18"/>
      <c r="E1015" s="17" t="s">
        <v>655</v>
      </c>
      <c r="F1015" s="17"/>
      <c r="G1015" s="18"/>
      <c r="H1015" s="18"/>
    </row>
    <row r="1016" spans="1:8" ht="13.2">
      <c r="A1016" s="15" t="s">
        <v>658</v>
      </c>
      <c r="B1016" s="43" t="s">
        <v>657</v>
      </c>
      <c r="C1016" s="24">
        <v>7</v>
      </c>
      <c r="D1016" s="18"/>
      <c r="E1016" s="17" t="s">
        <v>655</v>
      </c>
      <c r="F1016" s="17"/>
      <c r="G1016" s="18"/>
      <c r="H1016" s="18"/>
    </row>
    <row r="1017" spans="1:8" ht="13.2">
      <c r="A1017" s="15" t="s">
        <v>3668</v>
      </c>
      <c r="B1017" s="15" t="s">
        <v>3649</v>
      </c>
      <c r="C1017" s="17">
        <v>7</v>
      </c>
      <c r="D1017" s="18"/>
      <c r="E1017" s="17" t="s">
        <v>3650</v>
      </c>
      <c r="F1017" s="17"/>
      <c r="G1017" s="18"/>
      <c r="H1017" s="18"/>
    </row>
    <row r="1018" spans="1:8" ht="13.2">
      <c r="A1018" s="19" t="str">
        <f>HYPERLINK("https://www.codechef.com/problems/EXACTWAL", "CODECHEF EXACTWAL")</f>
        <v>CODECHEF EXACTWAL</v>
      </c>
      <c r="B1018" s="20" t="s">
        <v>3649</v>
      </c>
      <c r="C1018" s="21">
        <v>7</v>
      </c>
      <c r="D1018" s="26" t="str">
        <f>HYPERLINK("https://github.com/tmwilliamlin168/CompetitiveProgramming/blob/master/CodeChef/EXACTWAL.cpp", "Sol")</f>
        <v>Sol</v>
      </c>
      <c r="E1018" s="17" t="s">
        <v>3650</v>
      </c>
      <c r="F1018" s="17"/>
      <c r="G1018" s="18"/>
      <c r="H1018" s="18"/>
    </row>
    <row r="1019" spans="1:8" ht="13.2">
      <c r="A1019" s="15" t="s">
        <v>3669</v>
      </c>
      <c r="B1019" s="28" t="s">
        <v>3670</v>
      </c>
      <c r="C1019" s="24">
        <v>7</v>
      </c>
      <c r="D1019" s="18"/>
      <c r="E1019" s="17" t="s">
        <v>3650</v>
      </c>
      <c r="F1019" s="17"/>
      <c r="G1019" s="18"/>
      <c r="H1019" s="18"/>
    </row>
    <row r="1020" spans="1:8" ht="13.2">
      <c r="A1020" s="19" t="str">
        <f>HYPERLINK("http://codeforces.com/contest/605/problem/D","CF605-D1-D")</f>
        <v>CF605-D1-D</v>
      </c>
      <c r="B1020" s="29" t="s">
        <v>3671</v>
      </c>
      <c r="C1020" s="17">
        <v>7</v>
      </c>
      <c r="D1020" s="18"/>
      <c r="E1020" s="17" t="s">
        <v>3650</v>
      </c>
      <c r="F1020" s="17"/>
      <c r="G1020" s="18"/>
      <c r="H1020" s="18"/>
    </row>
    <row r="1021" spans="1:8" ht="13.2">
      <c r="A1021" s="15" t="s">
        <v>3672</v>
      </c>
      <c r="B1021" s="30" t="s">
        <v>3673</v>
      </c>
      <c r="C1021" s="17">
        <v>7</v>
      </c>
      <c r="D1021" s="18"/>
      <c r="E1021" s="24" t="s">
        <v>3650</v>
      </c>
      <c r="F1021" s="17"/>
      <c r="G1021" s="18"/>
      <c r="H1021" s="18"/>
    </row>
    <row r="1022" spans="1:8" ht="13.2">
      <c r="A1022" s="19" t="str">
        <f>HYPERLINK("http://codeforces.com/contest/85/problem/C","CF85-D12-C")</f>
        <v>CF85-D12-C</v>
      </c>
      <c r="B1022" s="29" t="s">
        <v>3674</v>
      </c>
      <c r="C1022" s="17">
        <v>7</v>
      </c>
      <c r="D1022" s="18"/>
      <c r="E1022" s="17" t="s">
        <v>3650</v>
      </c>
      <c r="F1022" s="17"/>
      <c r="G1022" s="18"/>
      <c r="H1022" s="18"/>
    </row>
    <row r="1023" spans="1:8" ht="13.2">
      <c r="A1023" s="19" t="str">
        <f>HYPERLINK("http://codeforces.com/contest/348/problem/B","CF348-D1-B")</f>
        <v>CF348-D1-B</v>
      </c>
      <c r="B1023" s="15" t="s">
        <v>3675</v>
      </c>
      <c r="C1023" s="21">
        <v>7</v>
      </c>
      <c r="D1023" s="18"/>
      <c r="E1023" s="17" t="s">
        <v>3650</v>
      </c>
      <c r="F1023" s="17"/>
      <c r="G1023" s="18"/>
      <c r="H1023" s="18"/>
    </row>
    <row r="1024" spans="1:8" ht="13.2">
      <c r="A1024" s="15" t="s">
        <v>3676</v>
      </c>
      <c r="B1024" s="30" t="s">
        <v>3677</v>
      </c>
      <c r="C1024" s="24">
        <v>7</v>
      </c>
      <c r="D1024" s="18"/>
      <c r="E1024" s="17" t="s">
        <v>3650</v>
      </c>
      <c r="F1024" s="17"/>
      <c r="G1024" s="18"/>
      <c r="H1024" s="18"/>
    </row>
    <row r="1025" spans="1:8" ht="13.2">
      <c r="A1025" s="19" t="str">
        <f>HYPERLINK("https://www.codechef.com/problems/CROCDILE","CODECHEF CROCDILE")</f>
        <v>CODECHEF CROCDILE</v>
      </c>
      <c r="B1025" s="18" t="s">
        <v>3797</v>
      </c>
      <c r="C1025" s="17">
        <v>7</v>
      </c>
      <c r="D1025" s="18"/>
      <c r="E1025" s="17" t="s">
        <v>3784</v>
      </c>
      <c r="F1025" s="17"/>
      <c r="G1025" s="18"/>
      <c r="H1025" s="18"/>
    </row>
    <row r="1026" spans="1:8" ht="13.2">
      <c r="A1026" s="15" t="s">
        <v>3798</v>
      </c>
      <c r="B1026" s="16" t="s">
        <v>3799</v>
      </c>
      <c r="C1026" s="17">
        <v>7</v>
      </c>
      <c r="D1026" s="18"/>
      <c r="E1026" s="17" t="s">
        <v>3784</v>
      </c>
      <c r="F1026" s="17"/>
      <c r="G1026" s="18"/>
      <c r="H1026" s="18"/>
    </row>
    <row r="1027" spans="1:8" ht="13.2">
      <c r="A1027" s="15" t="s">
        <v>3893</v>
      </c>
      <c r="B1027" s="30" t="s">
        <v>3886</v>
      </c>
      <c r="C1027" s="54">
        <v>7</v>
      </c>
      <c r="D1027" s="18"/>
      <c r="E1027" s="17" t="s">
        <v>3883</v>
      </c>
      <c r="F1027" s="17"/>
      <c r="G1027" s="18"/>
      <c r="H1027" s="18"/>
    </row>
    <row r="1028" spans="1:8" ht="13.2">
      <c r="A1028" s="15" t="s">
        <v>3894</v>
      </c>
      <c r="B1028" s="30" t="s">
        <v>3886</v>
      </c>
      <c r="C1028" s="24">
        <v>7</v>
      </c>
      <c r="D1028" s="18"/>
      <c r="E1028" s="17" t="s">
        <v>3883</v>
      </c>
      <c r="F1028" s="17"/>
      <c r="G1028" s="18"/>
      <c r="H1028" s="18"/>
    </row>
    <row r="1029" spans="1:8" ht="13.2">
      <c r="A1029" s="19" t="str">
        <f>HYPERLINK("http://codeforces.com/contest/687/problem/D","CF687-D1-D")</f>
        <v>CF687-D1-D</v>
      </c>
      <c r="B1029" s="15" t="s">
        <v>3895</v>
      </c>
      <c r="C1029" s="24">
        <v>7</v>
      </c>
      <c r="D1029" s="18"/>
      <c r="E1029" s="17" t="s">
        <v>3883</v>
      </c>
      <c r="F1029" s="17"/>
      <c r="G1029" s="18"/>
      <c r="H1029" s="18"/>
    </row>
    <row r="1030" spans="1:8" ht="13.2">
      <c r="A1030" s="19" t="str">
        <f>HYPERLINK("http://codeforces.com/contest/156/problem/D","CF156-D1-D")</f>
        <v>CF156-D1-D</v>
      </c>
      <c r="B1030" s="15" t="s">
        <v>3896</v>
      </c>
      <c r="C1030" s="24">
        <v>7</v>
      </c>
      <c r="D1030" s="18"/>
      <c r="E1030" s="17" t="s">
        <v>3883</v>
      </c>
      <c r="F1030" s="17"/>
      <c r="G1030" s="18"/>
      <c r="H1030" s="18"/>
    </row>
    <row r="1031" spans="1:8" ht="13.2">
      <c r="A1031" s="15" t="s">
        <v>3960</v>
      </c>
      <c r="B1031" s="34" t="s">
        <v>3961</v>
      </c>
      <c r="C1031" s="33">
        <v>7</v>
      </c>
      <c r="D1031" s="18"/>
      <c r="E1031" s="17" t="s">
        <v>3955</v>
      </c>
      <c r="F1031" s="17"/>
      <c r="G1031" s="18"/>
      <c r="H1031" s="18"/>
    </row>
    <row r="1032" spans="1:8" ht="13.2">
      <c r="A1032" s="15" t="s">
        <v>4086</v>
      </c>
      <c r="B1032" s="15" t="s">
        <v>4059</v>
      </c>
      <c r="C1032" s="17">
        <v>7</v>
      </c>
      <c r="D1032" s="26" t="str">
        <f>HYPERLINK("https://github.com/MohamedNabil97/CompetitiveProgramming/tree/master/CodeForces/CF101128-GYM-F.cpp","Sol")</f>
        <v>Sol</v>
      </c>
      <c r="E1032" s="17" t="s">
        <v>4060</v>
      </c>
      <c r="F1032" s="17"/>
      <c r="G1032" s="18"/>
      <c r="H1032" s="18"/>
    </row>
    <row r="1033" spans="1:8" ht="13.2">
      <c r="A1033" s="15" t="s">
        <v>4087</v>
      </c>
      <c r="B1033" s="15" t="s">
        <v>4059</v>
      </c>
      <c r="C1033" s="17">
        <v>7</v>
      </c>
      <c r="D1033" s="26" t="str">
        <f>HYPERLINK("https://github.com/MohamedNabil97/CompetitiveProgramming/tree/master/CodeForces/CF101201-GYM-G.cpp","Sol")</f>
        <v>Sol</v>
      </c>
      <c r="E1033" s="17" t="s">
        <v>4060</v>
      </c>
      <c r="F1033" s="17"/>
      <c r="G1033" s="18"/>
      <c r="H1033" s="18"/>
    </row>
    <row r="1034" spans="1:8" ht="13.2">
      <c r="A1034" s="15" t="s">
        <v>4088</v>
      </c>
      <c r="B1034" s="39" t="s">
        <v>4059</v>
      </c>
      <c r="C1034" s="24">
        <v>7</v>
      </c>
      <c r="D1034" s="18"/>
      <c r="E1034" s="17" t="s">
        <v>4060</v>
      </c>
      <c r="F1034" s="17"/>
      <c r="G1034" s="18"/>
      <c r="H1034" s="18"/>
    </row>
    <row r="1035" spans="1:8" ht="13.2">
      <c r="A1035" s="15" t="s">
        <v>4089</v>
      </c>
      <c r="B1035" s="20" t="s">
        <v>4090</v>
      </c>
      <c r="C1035" s="21">
        <v>7</v>
      </c>
      <c r="D1035" s="26" t="str">
        <f>HYPERLINK("https://github.com/aviroop123/CompetitiveProgramming/blob/master/CodeChef/CODECHEF%20SEAGRP.cpp","Sol")</f>
        <v>Sol</v>
      </c>
      <c r="E1035" s="17" t="s">
        <v>4060</v>
      </c>
      <c r="F1035" s="17"/>
      <c r="G1035" s="18"/>
      <c r="H1035" s="18"/>
    </row>
    <row r="1036" spans="1:8" ht="13.2">
      <c r="A1036" s="15" t="s">
        <v>4091</v>
      </c>
      <c r="B1036" s="28" t="s">
        <v>4092</v>
      </c>
      <c r="C1036" s="24">
        <v>7</v>
      </c>
      <c r="D1036" s="18"/>
      <c r="E1036" s="24" t="s">
        <v>4060</v>
      </c>
      <c r="F1036" s="17"/>
      <c r="G1036" s="18"/>
      <c r="H1036" s="18"/>
    </row>
    <row r="1037" spans="1:8" ht="13.2">
      <c r="A1037" s="15" t="s">
        <v>4093</v>
      </c>
      <c r="B1037" s="39" t="s">
        <v>4094</v>
      </c>
      <c r="C1037" s="17">
        <v>7</v>
      </c>
      <c r="D1037" s="18"/>
      <c r="E1037" s="17" t="s">
        <v>4060</v>
      </c>
      <c r="F1037" s="17"/>
      <c r="G1037" s="18"/>
      <c r="H1037" s="18"/>
    </row>
    <row r="1038" spans="1:8" ht="13.2">
      <c r="A1038" s="19" t="str">
        <f>HYPERLINK("http://www.spoj.com/problems/TOURS/","SPOJ TOURS")</f>
        <v>SPOJ TOURS</v>
      </c>
      <c r="B1038" s="30" t="s">
        <v>4245</v>
      </c>
      <c r="C1038" s="24">
        <v>7</v>
      </c>
      <c r="D1038" s="18"/>
      <c r="E1038" s="17" t="s">
        <v>4238</v>
      </c>
      <c r="F1038" s="17"/>
      <c r="G1038" s="18"/>
      <c r="H1038" s="18"/>
    </row>
    <row r="1039" spans="1:8" ht="13.2">
      <c r="A1039" s="15" t="s">
        <v>720</v>
      </c>
      <c r="B1039" s="28" t="s">
        <v>721</v>
      </c>
      <c r="C1039" s="17">
        <v>7</v>
      </c>
      <c r="D1039" s="18"/>
      <c r="E1039" s="17" t="s">
        <v>719</v>
      </c>
      <c r="F1039" s="17"/>
      <c r="G1039" s="18"/>
      <c r="H1039" s="18"/>
    </row>
    <row r="1040" spans="1:8" ht="13.2">
      <c r="A1040" s="15" t="s">
        <v>722</v>
      </c>
      <c r="B1040" s="15" t="s">
        <v>723</v>
      </c>
      <c r="C1040" s="24">
        <v>7</v>
      </c>
      <c r="D1040" s="18"/>
      <c r="E1040" s="17" t="s">
        <v>719</v>
      </c>
      <c r="F1040" s="17"/>
      <c r="G1040" s="18"/>
      <c r="H1040" s="18"/>
    </row>
    <row r="1041" spans="1:8" ht="13.2">
      <c r="A1041" s="19" t="str">
        <f>HYPERLINK("http://codeforces.com/contest/266/problem/D","CF266-D2-D")</f>
        <v>CF266-D2-D</v>
      </c>
      <c r="B1041" s="15" t="s">
        <v>4291</v>
      </c>
      <c r="C1041" s="17">
        <v>7</v>
      </c>
      <c r="D1041" s="18"/>
      <c r="E1041" s="17" t="s">
        <v>4275</v>
      </c>
      <c r="F1041" s="17"/>
      <c r="G1041" s="18"/>
      <c r="H1041" s="18"/>
    </row>
    <row r="1042" spans="1:8" ht="13.2">
      <c r="A1042" s="15" t="s">
        <v>4384</v>
      </c>
      <c r="B1042" s="30" t="s">
        <v>4385</v>
      </c>
      <c r="C1042" s="17">
        <v>7</v>
      </c>
      <c r="D1042" s="18"/>
      <c r="E1042" s="17" t="s">
        <v>4379</v>
      </c>
      <c r="F1042" s="17"/>
      <c r="G1042" s="18"/>
      <c r="H1042" s="18"/>
    </row>
    <row r="1043" spans="1:8" ht="13.2">
      <c r="A1043" s="15" t="s">
        <v>4386</v>
      </c>
      <c r="B1043" s="30" t="s">
        <v>4385</v>
      </c>
      <c r="C1043" s="17">
        <v>7</v>
      </c>
      <c r="D1043" s="18"/>
      <c r="E1043" s="17" t="s">
        <v>4379</v>
      </c>
      <c r="F1043" s="17"/>
      <c r="G1043" s="18"/>
      <c r="H1043" s="18"/>
    </row>
    <row r="1044" spans="1:8" ht="13.2">
      <c r="A1044" s="15" t="s">
        <v>4387</v>
      </c>
      <c r="B1044" s="28" t="s">
        <v>4385</v>
      </c>
      <c r="C1044" s="24">
        <v>7</v>
      </c>
      <c r="D1044" s="26" t="str">
        <f>HYPERLINK("https://github.com/HeartBlue/CompetitiveProgramming/blob/master/LIVEARCHIVE/LIVEARCHIVE%205764%20Eliminate%20the%20Conflict.cpp","Sol")</f>
        <v>Sol</v>
      </c>
      <c r="E1044" s="24" t="s">
        <v>4379</v>
      </c>
      <c r="F1044" s="17"/>
      <c r="G1044" s="18"/>
      <c r="H1044" s="18"/>
    </row>
    <row r="1045" spans="1:8" ht="13.2">
      <c r="A1045" s="19" t="str">
        <f>HYPERLINK("http://lightoj.com/volume_showproblem.php?problem=1251","LightOJ 1251")</f>
        <v>LightOJ 1251</v>
      </c>
      <c r="B1045" s="23" t="s">
        <v>4388</v>
      </c>
      <c r="C1045" s="17">
        <v>7</v>
      </c>
      <c r="D1045" s="26" t="str">
        <f>HYPERLINK("https://github.com/HeartBlue/CompetitiveProgramming/blob/master/LightOJ/LightOJ%201251%20Forming%20the%20Council.cpp","Sol")</f>
        <v>Sol</v>
      </c>
      <c r="E1045" s="17" t="s">
        <v>4379</v>
      </c>
      <c r="F1045" s="17"/>
      <c r="G1045" s="18"/>
      <c r="H1045" s="18"/>
    </row>
    <row r="1046" spans="1:8" ht="13.2">
      <c r="A1046" s="19" t="str">
        <f>HYPERLINK("http://lightoj.com/volume_showproblem.php?problem=1407","LightOJ 1407")</f>
        <v>LightOJ 1407</v>
      </c>
      <c r="B1046" s="23" t="s">
        <v>4388</v>
      </c>
      <c r="C1046" s="17">
        <v>7</v>
      </c>
      <c r="D1046" s="26" t="str">
        <f>HYPERLINK("https://github.com/HeartBlue/CompetitiveProgramming/blob/master/LightOJ/LightOJ%201407%20Explosion.cpp","Sol")</f>
        <v>Sol</v>
      </c>
      <c r="E1046" s="17" t="s">
        <v>4379</v>
      </c>
      <c r="F1046" s="17"/>
      <c r="G1046" s="18"/>
      <c r="H1046" s="18"/>
    </row>
    <row r="1047" spans="1:8" ht="13.2">
      <c r="A1047" s="15" t="s">
        <v>4389</v>
      </c>
      <c r="B1047" s="23" t="s">
        <v>4388</v>
      </c>
      <c r="C1047" s="17">
        <v>7</v>
      </c>
      <c r="D1047" s="26" t="str">
        <f>HYPERLINK("https://github.com/HeartBlue/CompetitiveProgramming/blob/master/PKU/PKU%203683%20Priest%20John's%20Busiest%20Day.cpp","Sol")</f>
        <v>Sol</v>
      </c>
      <c r="E1047" s="17" t="s">
        <v>4379</v>
      </c>
      <c r="F1047" s="17"/>
      <c r="G1047" s="18"/>
      <c r="H1047" s="18"/>
    </row>
    <row r="1048" spans="1:8" ht="13.2">
      <c r="A1048" s="15" t="s">
        <v>4390</v>
      </c>
      <c r="B1048" s="41" t="s">
        <v>4391</v>
      </c>
      <c r="C1048" s="17">
        <v>7</v>
      </c>
      <c r="D1048" s="18"/>
      <c r="E1048" s="17" t="s">
        <v>4379</v>
      </c>
      <c r="F1048" s="17"/>
      <c r="G1048" s="18"/>
      <c r="H1048" s="18"/>
    </row>
    <row r="1049" spans="1:8" ht="13.2">
      <c r="A1049" s="19" t="str">
        <f>HYPERLINK("http://codeforces.com/contest/555/problem/E","CF555-D1-E")</f>
        <v>CF555-D1-E</v>
      </c>
      <c r="B1049" s="15" t="s">
        <v>4427</v>
      </c>
      <c r="C1049" s="24">
        <v>7</v>
      </c>
      <c r="D1049" s="18"/>
      <c r="E1049" s="17" t="s">
        <v>4423</v>
      </c>
      <c r="F1049" s="17"/>
      <c r="G1049" s="18"/>
      <c r="H1049" s="18"/>
    </row>
    <row r="1050" spans="1:8" ht="13.2">
      <c r="A1050" s="19" t="str">
        <f>HYPERLINK("http://codeforces.com/contest/494/problem/D","CF494-D1-D")</f>
        <v>CF494-D1-D</v>
      </c>
      <c r="B1050" s="15" t="s">
        <v>4459</v>
      </c>
      <c r="C1050" s="24">
        <v>7</v>
      </c>
      <c r="D1050" s="18"/>
      <c r="E1050" s="17" t="s">
        <v>4454</v>
      </c>
      <c r="F1050" s="17"/>
      <c r="G1050" s="18"/>
      <c r="H1050" s="18"/>
    </row>
    <row r="1051" spans="1:8" ht="13.2">
      <c r="A1051" s="15" t="s">
        <v>4460</v>
      </c>
      <c r="B1051" s="30" t="s">
        <v>4461</v>
      </c>
      <c r="C1051" s="17">
        <v>7</v>
      </c>
      <c r="D1051" s="18"/>
      <c r="E1051" s="17" t="s">
        <v>4454</v>
      </c>
      <c r="F1051" s="17"/>
      <c r="G1051" s="18"/>
      <c r="H1051" s="18"/>
    </row>
    <row r="1052" spans="1:8" ht="13.2">
      <c r="A1052" s="15" t="s">
        <v>4462</v>
      </c>
      <c r="B1052" s="29" t="s">
        <v>4463</v>
      </c>
      <c r="C1052" s="17">
        <v>7</v>
      </c>
      <c r="D1052" s="18"/>
      <c r="E1052" s="17" t="s">
        <v>4454</v>
      </c>
      <c r="F1052" s="17"/>
      <c r="G1052" s="18"/>
      <c r="H1052" s="18"/>
    </row>
    <row r="1053" spans="1:8" ht="13.2">
      <c r="A1053" s="19" t="str">
        <f>HYPERLINK("http://codeforces.com/contest/418/problem/D","CF418-D1-D")</f>
        <v>CF418-D1-D</v>
      </c>
      <c r="B1053" s="15" t="s">
        <v>4464</v>
      </c>
      <c r="C1053" s="24">
        <v>7</v>
      </c>
      <c r="D1053" s="18"/>
      <c r="E1053" s="17" t="s">
        <v>4454</v>
      </c>
      <c r="F1053" s="17"/>
      <c r="G1053" s="18"/>
      <c r="H1053" s="18"/>
    </row>
    <row r="1054" spans="1:8" ht="13.2">
      <c r="A1054" s="15" t="s">
        <v>4521</v>
      </c>
      <c r="B1054" s="42" t="s">
        <v>4522</v>
      </c>
      <c r="C1054" s="17">
        <v>7</v>
      </c>
      <c r="D1054" s="18"/>
      <c r="E1054" s="17" t="s">
        <v>4512</v>
      </c>
      <c r="F1054" s="17"/>
      <c r="G1054" s="18"/>
      <c r="H1054" s="18"/>
    </row>
    <row r="1055" spans="1:8" ht="13.2">
      <c r="A1055" s="15" t="s">
        <v>4523</v>
      </c>
      <c r="B1055" s="43" t="s">
        <v>4522</v>
      </c>
      <c r="C1055" s="17">
        <v>7</v>
      </c>
      <c r="D1055" s="18"/>
      <c r="E1055" s="17" t="s">
        <v>4512</v>
      </c>
      <c r="F1055" s="17"/>
      <c r="G1055" s="18"/>
      <c r="H1055" s="18"/>
    </row>
    <row r="1056" spans="1:8" ht="13.2">
      <c r="A1056" s="19" t="str">
        <f>HYPERLINK("http://codeforces.com/contest/40/problem/C","CF40-D12-C")</f>
        <v>CF40-D12-C</v>
      </c>
      <c r="B1056" s="29" t="s">
        <v>4530</v>
      </c>
      <c r="C1056" s="17">
        <v>7</v>
      </c>
      <c r="D1056" s="18"/>
      <c r="E1056" s="17" t="s">
        <v>4531</v>
      </c>
      <c r="F1056" s="17"/>
      <c r="G1056" s="18"/>
      <c r="H1056" s="18"/>
    </row>
    <row r="1057" spans="1:8" ht="13.2">
      <c r="A1057" s="15" t="s">
        <v>4570</v>
      </c>
      <c r="B1057" s="29" t="s">
        <v>4530</v>
      </c>
      <c r="C1057" s="31">
        <v>7</v>
      </c>
      <c r="D1057" s="18"/>
      <c r="E1057" s="24" t="s">
        <v>4531</v>
      </c>
      <c r="F1057" s="17"/>
      <c r="G1057" s="18"/>
      <c r="H1057" s="18"/>
    </row>
    <row r="1058" spans="1:8" ht="13.2">
      <c r="A1058" s="15" t="s">
        <v>4571</v>
      </c>
      <c r="B1058" s="34" t="s">
        <v>4530</v>
      </c>
      <c r="C1058" s="17">
        <v>7</v>
      </c>
      <c r="D1058" s="18"/>
      <c r="E1058" s="17" t="s">
        <v>4531</v>
      </c>
      <c r="F1058" s="17"/>
      <c r="G1058" s="18"/>
      <c r="H1058" s="18"/>
    </row>
    <row r="1059" spans="1:8" ht="13.2">
      <c r="A1059" s="15" t="s">
        <v>4572</v>
      </c>
      <c r="B1059" s="29" t="s">
        <v>4530</v>
      </c>
      <c r="C1059" s="31">
        <v>7</v>
      </c>
      <c r="D1059" s="18"/>
      <c r="E1059" s="24" t="s">
        <v>4531</v>
      </c>
      <c r="F1059" s="17"/>
      <c r="G1059" s="18"/>
      <c r="H1059" s="18"/>
    </row>
    <row r="1060" spans="1:8" ht="13.2">
      <c r="A1060" s="15" t="s">
        <v>4573</v>
      </c>
      <c r="B1060" s="29" t="s">
        <v>4530</v>
      </c>
      <c r="C1060" s="24">
        <v>7</v>
      </c>
      <c r="D1060" s="18"/>
      <c r="E1060" s="24" t="s">
        <v>4531</v>
      </c>
      <c r="F1060" s="17"/>
      <c r="G1060" s="18"/>
      <c r="H1060" s="18"/>
    </row>
    <row r="1061" spans="1:8" ht="13.2">
      <c r="A1061" s="15" t="s">
        <v>4574</v>
      </c>
      <c r="B1061" s="23" t="s">
        <v>4535</v>
      </c>
      <c r="C1061" s="40">
        <v>7</v>
      </c>
      <c r="D1061" s="18"/>
      <c r="E1061" s="17" t="s">
        <v>4531</v>
      </c>
      <c r="F1061" s="17"/>
      <c r="G1061" s="18"/>
      <c r="H1061" s="18"/>
    </row>
    <row r="1062" spans="1:8" ht="13.2">
      <c r="A1062" s="19" t="str">
        <f>HYPERLINK("http://codeforces.com/contest/348/problem/D","CF348-D1-D")</f>
        <v>CF348-D1-D</v>
      </c>
      <c r="B1062" s="15" t="s">
        <v>4575</v>
      </c>
      <c r="C1062" s="24">
        <v>7</v>
      </c>
      <c r="D1062" s="18"/>
      <c r="E1062" s="17" t="s">
        <v>4531</v>
      </c>
      <c r="F1062" s="17"/>
      <c r="G1062" s="18"/>
      <c r="H1062" s="18"/>
    </row>
    <row r="1063" spans="1:8" ht="13.2">
      <c r="A1063" s="15" t="s">
        <v>4576</v>
      </c>
      <c r="B1063" s="34" t="s">
        <v>4577</v>
      </c>
      <c r="C1063" s="17">
        <v>7</v>
      </c>
      <c r="D1063" s="18"/>
      <c r="E1063" s="17" t="s">
        <v>4531</v>
      </c>
      <c r="F1063" s="17"/>
      <c r="G1063" s="18"/>
      <c r="H1063" s="18"/>
    </row>
    <row r="1064" spans="1:8" ht="13.2">
      <c r="A1064" s="15" t="s">
        <v>4578</v>
      </c>
      <c r="B1064" s="30" t="s">
        <v>4579</v>
      </c>
      <c r="C1064" s="17">
        <v>7</v>
      </c>
      <c r="D1064" s="18"/>
      <c r="E1064" s="17" t="s">
        <v>4531</v>
      </c>
      <c r="F1064" s="17"/>
      <c r="G1064" s="18"/>
      <c r="H1064" s="18"/>
    </row>
    <row r="1065" spans="1:8" ht="13.2">
      <c r="A1065" s="15" t="s">
        <v>4580</v>
      </c>
      <c r="B1065" s="18" t="s">
        <v>4581</v>
      </c>
      <c r="C1065" s="17">
        <v>7</v>
      </c>
      <c r="D1065" s="18"/>
      <c r="E1065" s="17" t="s">
        <v>4531</v>
      </c>
      <c r="F1065" s="17"/>
      <c r="G1065" s="18"/>
      <c r="H1065" s="18"/>
    </row>
    <row r="1066" spans="1:8" ht="13.2">
      <c r="A1066" s="15" t="s">
        <v>4582</v>
      </c>
      <c r="B1066" s="29" t="s">
        <v>4541</v>
      </c>
      <c r="C1066" s="31">
        <v>7</v>
      </c>
      <c r="D1066" s="18"/>
      <c r="E1066" s="24" t="s">
        <v>4531</v>
      </c>
      <c r="F1066" s="17"/>
      <c r="G1066" s="18"/>
      <c r="H1066" s="18"/>
    </row>
    <row r="1067" spans="1:8" ht="13.2">
      <c r="A1067" s="15" t="s">
        <v>4583</v>
      </c>
      <c r="B1067" s="34" t="s">
        <v>4584</v>
      </c>
      <c r="C1067" s="33">
        <v>7</v>
      </c>
      <c r="D1067" s="18"/>
      <c r="E1067" s="17" t="s">
        <v>4531</v>
      </c>
      <c r="F1067" s="17"/>
      <c r="G1067" s="18"/>
      <c r="H1067" s="18"/>
    </row>
    <row r="1068" spans="1:8" ht="13.2">
      <c r="A1068" s="15" t="s">
        <v>763</v>
      </c>
      <c r="B1068" s="30" t="s">
        <v>740</v>
      </c>
      <c r="C1068" s="24">
        <v>7</v>
      </c>
      <c r="D1068" s="18"/>
      <c r="E1068" s="17" t="s">
        <v>741</v>
      </c>
      <c r="F1068" s="17"/>
      <c r="G1068" s="18"/>
      <c r="H1068" s="18"/>
    </row>
    <row r="1069" spans="1:8" ht="13.2">
      <c r="A1069" s="15" t="s">
        <v>764</v>
      </c>
      <c r="B1069" s="30" t="s">
        <v>765</v>
      </c>
      <c r="C1069" s="24">
        <v>7</v>
      </c>
      <c r="D1069" s="18"/>
      <c r="E1069" s="17" t="s">
        <v>741</v>
      </c>
      <c r="F1069" s="17"/>
      <c r="G1069" s="18"/>
      <c r="H1069" s="18"/>
    </row>
    <row r="1070" spans="1:8" ht="13.2">
      <c r="A1070" s="19" t="str">
        <f>HYPERLINK("http://codeforces.com/contest/509/problem/D","CF509-D2-D")</f>
        <v>CF509-D2-D</v>
      </c>
      <c r="B1070" s="29" t="s">
        <v>4808</v>
      </c>
      <c r="C1070" s="17">
        <v>7</v>
      </c>
      <c r="D1070" s="18"/>
      <c r="E1070" s="17" t="s">
        <v>4809</v>
      </c>
      <c r="F1070" s="17"/>
      <c r="G1070" s="18"/>
      <c r="H1070" s="18"/>
    </row>
    <row r="1071" spans="1:8" ht="13.2">
      <c r="A1071" s="15" t="s">
        <v>4814</v>
      </c>
      <c r="B1071" s="28" t="s">
        <v>4808</v>
      </c>
      <c r="C1071" s="17">
        <v>7</v>
      </c>
      <c r="D1071" s="18"/>
      <c r="E1071" s="17" t="s">
        <v>4809</v>
      </c>
      <c r="F1071" s="17"/>
      <c r="G1071" s="18"/>
      <c r="H1071" s="18"/>
    </row>
    <row r="1072" spans="1:8" ht="13.2">
      <c r="A1072" s="15" t="s">
        <v>4815</v>
      </c>
      <c r="B1072" s="28" t="s">
        <v>4808</v>
      </c>
      <c r="C1072" s="17">
        <v>7</v>
      </c>
      <c r="D1072" s="18"/>
      <c r="E1072" s="17" t="s">
        <v>4809</v>
      </c>
      <c r="F1072" s="17"/>
      <c r="G1072" s="18"/>
      <c r="H1072" s="18"/>
    </row>
    <row r="1073" spans="1:8" ht="13.2">
      <c r="A1073" s="15" t="s">
        <v>4883</v>
      </c>
      <c r="B1073" s="29" t="s">
        <v>4884</v>
      </c>
      <c r="C1073" s="24">
        <v>7</v>
      </c>
      <c r="D1073" s="18"/>
      <c r="E1073" s="24" t="s">
        <v>4885</v>
      </c>
      <c r="F1073" s="17"/>
      <c r="G1073" s="18"/>
      <c r="H1073" s="18"/>
    </row>
    <row r="1074" spans="1:8" ht="13.2">
      <c r="A1074" s="15" t="s">
        <v>4895</v>
      </c>
      <c r="B1074" s="29" t="s">
        <v>4896</v>
      </c>
      <c r="C1074" s="17">
        <v>7</v>
      </c>
      <c r="D1074" s="18"/>
      <c r="E1074" s="17" t="s">
        <v>4893</v>
      </c>
      <c r="F1074" s="17"/>
      <c r="G1074" s="18"/>
      <c r="H1074" s="18"/>
    </row>
    <row r="1075" spans="1:8" ht="13.2">
      <c r="A1075" s="15" t="s">
        <v>4897</v>
      </c>
      <c r="B1075" s="28" t="s">
        <v>4898</v>
      </c>
      <c r="C1075" s="17">
        <v>7</v>
      </c>
      <c r="D1075" s="26" t="str">
        <f>HYPERLINK("https://morris821028.github.io/2014/05/31/oj/uva/uva-11260/","Sol")</f>
        <v>Sol</v>
      </c>
      <c r="E1075" s="17" t="s">
        <v>4893</v>
      </c>
      <c r="F1075" s="17"/>
      <c r="G1075" s="18"/>
      <c r="H1075" s="18"/>
    </row>
    <row r="1076" spans="1:8" ht="13.2">
      <c r="A1076" s="15" t="s">
        <v>4930</v>
      </c>
      <c r="B1076" s="28" t="s">
        <v>4931</v>
      </c>
      <c r="C1076" s="24">
        <v>7</v>
      </c>
      <c r="D1076" s="18"/>
      <c r="E1076" s="17" t="s">
        <v>4932</v>
      </c>
      <c r="F1076" s="17"/>
      <c r="G1076" s="18"/>
      <c r="H1076" s="18"/>
    </row>
    <row r="1077" spans="1:8" ht="13.2">
      <c r="A1077" s="15" t="s">
        <v>4933</v>
      </c>
      <c r="B1077" s="28" t="s">
        <v>4931</v>
      </c>
      <c r="C1077" s="17">
        <v>7</v>
      </c>
      <c r="D1077" s="18"/>
      <c r="E1077" s="17" t="s">
        <v>4932</v>
      </c>
      <c r="F1077" s="17"/>
      <c r="G1077" s="18"/>
      <c r="H1077" s="18"/>
    </row>
    <row r="1078" spans="1:8" ht="13.2">
      <c r="A1078" s="15" t="s">
        <v>4934</v>
      </c>
      <c r="B1078" s="28" t="s">
        <v>4931</v>
      </c>
      <c r="C1078" s="24">
        <v>7</v>
      </c>
      <c r="D1078" s="18"/>
      <c r="E1078" s="17" t="s">
        <v>4932</v>
      </c>
      <c r="F1078" s="17"/>
      <c r="G1078" s="18"/>
      <c r="H1078" s="18"/>
    </row>
    <row r="1079" spans="1:8" ht="13.2">
      <c r="A1079" s="15" t="s">
        <v>4939</v>
      </c>
      <c r="B1079" s="28" t="s">
        <v>4940</v>
      </c>
      <c r="C1079" s="24">
        <v>7</v>
      </c>
      <c r="D1079" s="18"/>
      <c r="E1079" s="17" t="s">
        <v>4941</v>
      </c>
      <c r="F1079" s="17"/>
      <c r="G1079" s="18"/>
      <c r="H1079" s="18"/>
    </row>
    <row r="1080" spans="1:8" ht="13.2">
      <c r="A1080" s="15" t="s">
        <v>796</v>
      </c>
      <c r="B1080" s="28" t="s">
        <v>797</v>
      </c>
      <c r="C1080" s="17">
        <v>7</v>
      </c>
      <c r="D1080" s="18"/>
      <c r="E1080" s="17" t="s">
        <v>798</v>
      </c>
      <c r="F1080" s="17"/>
      <c r="G1080" s="18"/>
      <c r="H1080" s="18"/>
    </row>
    <row r="1081" spans="1:8" ht="13.2">
      <c r="A1081" s="15" t="s">
        <v>799</v>
      </c>
      <c r="B1081" s="43" t="s">
        <v>800</v>
      </c>
      <c r="C1081" s="24">
        <v>7</v>
      </c>
      <c r="D1081" s="18"/>
      <c r="E1081" s="17" t="s">
        <v>798</v>
      </c>
      <c r="F1081" s="17"/>
      <c r="G1081" s="18"/>
      <c r="H1081" s="18"/>
    </row>
    <row r="1082" spans="1:8" ht="13.2">
      <c r="A1082" s="15" t="s">
        <v>4972</v>
      </c>
      <c r="B1082" s="29" t="s">
        <v>4973</v>
      </c>
      <c r="C1082" s="17">
        <v>7</v>
      </c>
      <c r="D1082" s="18"/>
      <c r="E1082" s="17" t="s">
        <v>4958</v>
      </c>
      <c r="F1082" s="17"/>
      <c r="G1082" s="18"/>
      <c r="H1082" s="18"/>
    </row>
    <row r="1083" spans="1:8" ht="13.2">
      <c r="A1083" s="15" t="s">
        <v>4974</v>
      </c>
      <c r="B1083" s="38" t="s">
        <v>4975</v>
      </c>
      <c r="C1083" s="17">
        <v>7</v>
      </c>
      <c r="D1083" s="18"/>
      <c r="E1083" s="17" t="s">
        <v>4958</v>
      </c>
      <c r="F1083" s="17"/>
      <c r="G1083" s="18"/>
      <c r="H1083" s="18"/>
    </row>
    <row r="1084" spans="1:8" ht="13.2">
      <c r="A1084" s="15" t="s">
        <v>5044</v>
      </c>
      <c r="B1084" s="30" t="s">
        <v>5045</v>
      </c>
      <c r="C1084" s="17">
        <v>7</v>
      </c>
      <c r="D1084" s="18"/>
      <c r="E1084" s="17" t="s">
        <v>5043</v>
      </c>
      <c r="F1084" s="17"/>
      <c r="G1084" s="18"/>
      <c r="H1084" s="18"/>
    </row>
    <row r="1085" spans="1:8" ht="13.2">
      <c r="A1085" s="19" t="str">
        <f>HYPERLINK("https://community.topcoder.com/stat?c=problem_statement&amp;pm=2321","TC(QUICKTABLEAU)")</f>
        <v>TC(QUICKTABLEAU)</v>
      </c>
      <c r="B1085" s="28" t="s">
        <v>5045</v>
      </c>
      <c r="C1085" s="24">
        <v>7</v>
      </c>
      <c r="D1085" s="26" t="str">
        <f>HYPERLINK("https://github.com/shanto86/Training/blob/master/TopCoder/TC%20QuickTableau.cpp","SolToMe")</f>
        <v>SolToMe</v>
      </c>
      <c r="E1085" s="17" t="s">
        <v>5043</v>
      </c>
      <c r="F1085" s="17"/>
      <c r="G1085" s="18"/>
      <c r="H1085" s="18"/>
    </row>
    <row r="1086" spans="1:8" ht="13.2">
      <c r="A1086" s="19" t="str">
        <f>HYPERLINK("https://community.topcoder.com/stat?c=problem_statement&amp;pm=6742","TC(SHUFFLEMETHOD)")</f>
        <v>TC(SHUFFLEMETHOD)</v>
      </c>
      <c r="B1086" s="28" t="s">
        <v>5045</v>
      </c>
      <c r="C1086" s="24">
        <v>7</v>
      </c>
      <c r="D1086" s="18"/>
      <c r="E1086" s="17" t="s">
        <v>5043</v>
      </c>
      <c r="F1086" s="17"/>
      <c r="G1086" s="18"/>
      <c r="H1086" s="18"/>
    </row>
    <row r="1087" spans="1:8" ht="13.2">
      <c r="A1087" s="15" t="s">
        <v>5046</v>
      </c>
      <c r="B1087" s="28" t="s">
        <v>5045</v>
      </c>
      <c r="C1087" s="17">
        <v>7</v>
      </c>
      <c r="D1087" s="18"/>
      <c r="E1087" s="17" t="s">
        <v>5043</v>
      </c>
      <c r="F1087" s="17"/>
      <c r="G1087" s="18"/>
      <c r="H1087" s="18"/>
    </row>
    <row r="1088" spans="1:8" ht="13.2">
      <c r="A1088" s="15" t="s">
        <v>5047</v>
      </c>
      <c r="B1088" s="28" t="s">
        <v>6545</v>
      </c>
      <c r="C1088" s="24">
        <v>7</v>
      </c>
      <c r="D1088" s="26" t="str">
        <f>HYPERLINK("https://github.com/MedoN11/CompetitiveProgramming/blob/master/UVA/10570.cpp","Sol")</f>
        <v>Sol</v>
      </c>
      <c r="E1088" s="17" t="s">
        <v>5043</v>
      </c>
      <c r="F1088" s="17" t="s">
        <v>139</v>
      </c>
      <c r="G1088" s="18"/>
      <c r="H1088" s="18"/>
    </row>
    <row r="1089" spans="1:8" ht="13.2">
      <c r="A1089" s="15" t="s">
        <v>5049</v>
      </c>
      <c r="B1089" s="28" t="s">
        <v>5050</v>
      </c>
      <c r="C1089" s="17">
        <v>7</v>
      </c>
      <c r="D1089" s="18"/>
      <c r="E1089" s="17" t="s">
        <v>5043</v>
      </c>
      <c r="F1089" s="17"/>
      <c r="G1089" s="18"/>
      <c r="H1089" s="18"/>
    </row>
    <row r="1090" spans="1:8" ht="13.2">
      <c r="A1090" s="15" t="s">
        <v>5051</v>
      </c>
      <c r="B1090" s="28" t="s">
        <v>5052</v>
      </c>
      <c r="C1090" s="24">
        <v>7</v>
      </c>
      <c r="D1090" s="18"/>
      <c r="E1090" s="17" t="s">
        <v>5043</v>
      </c>
      <c r="F1090" s="17"/>
      <c r="G1090" s="18"/>
      <c r="H1090" s="18"/>
    </row>
    <row r="1091" spans="1:8" ht="13.2">
      <c r="A1091" s="15" t="s">
        <v>5082</v>
      </c>
      <c r="B1091" s="28" t="s">
        <v>5083</v>
      </c>
      <c r="C1091" s="24">
        <v>7</v>
      </c>
      <c r="D1091" s="18"/>
      <c r="E1091" s="17" t="s">
        <v>5075</v>
      </c>
      <c r="F1091" s="17"/>
      <c r="G1091" s="18"/>
      <c r="H1091" s="18"/>
    </row>
    <row r="1092" spans="1:8" ht="13.2">
      <c r="A1092" s="15" t="s">
        <v>5138</v>
      </c>
      <c r="B1092" s="30" t="s">
        <v>5139</v>
      </c>
      <c r="C1092" s="54">
        <v>7</v>
      </c>
      <c r="D1092" s="26" t="str">
        <f>HYPERLINK("https://github.com/Otrebus/timus/blob/master/1940.cpp","Sol")</f>
        <v>Sol</v>
      </c>
      <c r="E1092" s="17" t="s">
        <v>5134</v>
      </c>
      <c r="F1092" s="17"/>
      <c r="G1092" s="18"/>
      <c r="H1092" s="18"/>
    </row>
    <row r="1093" spans="1:8" ht="13.2">
      <c r="A1093" s="15" t="s">
        <v>5140</v>
      </c>
      <c r="B1093" s="34" t="s">
        <v>5141</v>
      </c>
      <c r="C1093" s="33">
        <v>7</v>
      </c>
      <c r="D1093" s="18"/>
      <c r="E1093" s="17" t="s">
        <v>5134</v>
      </c>
      <c r="F1093" s="17"/>
      <c r="G1093" s="18"/>
      <c r="H1093" s="18"/>
    </row>
    <row r="1094" spans="1:8" ht="13.2">
      <c r="A1094" s="19" t="str">
        <f>HYPERLINK("https://www.hackerrank.com/challenges/cyclicquadruples","HACKR cyclicquadruples")</f>
        <v>HACKR cyclicquadruples</v>
      </c>
      <c r="B1094" s="29" t="s">
        <v>5142</v>
      </c>
      <c r="C1094" s="17">
        <v>7</v>
      </c>
      <c r="D1094" s="18"/>
      <c r="E1094" s="17" t="s">
        <v>5134</v>
      </c>
      <c r="F1094" s="17"/>
      <c r="G1094" s="18"/>
      <c r="H1094" s="18"/>
    </row>
    <row r="1095" spans="1:8" ht="13.2">
      <c r="A1095" s="15" t="s">
        <v>5143</v>
      </c>
      <c r="B1095" s="28" t="s">
        <v>5144</v>
      </c>
      <c r="C1095" s="17">
        <v>7</v>
      </c>
      <c r="D1095" s="18"/>
      <c r="E1095" s="17" t="s">
        <v>5134</v>
      </c>
      <c r="F1095" s="17"/>
      <c r="G1095" s="18"/>
      <c r="H1095" s="18"/>
    </row>
    <row r="1096" spans="1:8" ht="13.2">
      <c r="A1096" s="19" t="str">
        <f>HYPERLINK("http://codeforces.com/contest/83/problem/D","CF83-D1-D")</f>
        <v>CF83-D1-D</v>
      </c>
      <c r="B1096" s="29" t="s">
        <v>5145</v>
      </c>
      <c r="C1096" s="17">
        <v>7</v>
      </c>
      <c r="D1096" s="18"/>
      <c r="E1096" s="17" t="s">
        <v>5134</v>
      </c>
      <c r="F1096" s="17"/>
      <c r="G1096" s="18"/>
      <c r="H1096" s="18"/>
    </row>
    <row r="1097" spans="1:8" ht="13.2">
      <c r="A1097" s="15" t="s">
        <v>5172</v>
      </c>
      <c r="B1097" s="29" t="s">
        <v>5173</v>
      </c>
      <c r="C1097" s="17">
        <v>7</v>
      </c>
      <c r="D1097" s="18"/>
      <c r="E1097" s="17" t="s">
        <v>5168</v>
      </c>
      <c r="F1097" s="17"/>
      <c r="G1097" s="18"/>
      <c r="H1097" s="18"/>
    </row>
    <row r="1098" spans="1:8" ht="13.2">
      <c r="A1098" s="15" t="s">
        <v>5174</v>
      </c>
      <c r="B1098" s="28" t="s">
        <v>5175</v>
      </c>
      <c r="C1098" s="17">
        <v>7</v>
      </c>
      <c r="D1098" s="18"/>
      <c r="E1098" s="17" t="s">
        <v>5168</v>
      </c>
      <c r="F1098" s="17"/>
      <c r="G1098" s="18"/>
      <c r="H1098" s="18"/>
    </row>
    <row r="1099" spans="1:8" ht="13.2">
      <c r="A1099" s="15" t="s">
        <v>5176</v>
      </c>
      <c r="B1099" s="30" t="s">
        <v>5177</v>
      </c>
      <c r="C1099" s="24">
        <v>7</v>
      </c>
      <c r="D1099" s="18"/>
      <c r="E1099" s="17" t="s">
        <v>5168</v>
      </c>
      <c r="F1099" s="17"/>
      <c r="G1099" s="18"/>
      <c r="H1099" s="18"/>
    </row>
    <row r="1100" spans="1:8" ht="13.2">
      <c r="A1100" s="19" t="str">
        <f>HYPERLINK("http://codeforces.com/contest/593/problem/E","CF593-D2-E")</f>
        <v>CF593-D2-E</v>
      </c>
      <c r="B1100" s="15" t="s">
        <v>5248</v>
      </c>
      <c r="C1100" s="24">
        <v>7</v>
      </c>
      <c r="D1100" s="18"/>
      <c r="E1100" s="17" t="s">
        <v>5246</v>
      </c>
      <c r="F1100" s="17"/>
      <c r="G1100" s="18"/>
      <c r="H1100" s="18"/>
    </row>
    <row r="1101" spans="1:8" ht="13.2">
      <c r="A1101" s="19" t="str">
        <f>HYPERLINK("http://codeforces.com/contest/60/problem/E","CF60-D12-E")</f>
        <v>CF60-D12-E</v>
      </c>
      <c r="B1101" s="29" t="s">
        <v>5248</v>
      </c>
      <c r="C1101" s="24">
        <v>7</v>
      </c>
      <c r="D1101" s="18"/>
      <c r="E1101" s="17" t="s">
        <v>5246</v>
      </c>
      <c r="F1101" s="17"/>
      <c r="G1101" s="18"/>
      <c r="H1101" s="18"/>
    </row>
    <row r="1102" spans="1:8" ht="13.2">
      <c r="A1102" s="15" t="s">
        <v>5256</v>
      </c>
      <c r="B1102" s="28" t="s">
        <v>5248</v>
      </c>
      <c r="C1102" s="24">
        <v>7</v>
      </c>
      <c r="D1102" s="18"/>
      <c r="E1102" s="17" t="s">
        <v>5246</v>
      </c>
      <c r="F1102" s="17"/>
      <c r="G1102" s="18"/>
      <c r="H1102" s="18"/>
    </row>
    <row r="1103" spans="1:8" ht="13.2">
      <c r="A1103" s="15" t="s">
        <v>5257</v>
      </c>
      <c r="B1103" s="28" t="s">
        <v>5248</v>
      </c>
      <c r="C1103" s="17">
        <v>7</v>
      </c>
      <c r="D1103" s="18"/>
      <c r="E1103" s="17" t="s">
        <v>5246</v>
      </c>
      <c r="F1103" s="17"/>
      <c r="G1103" s="18"/>
      <c r="H1103" s="18"/>
    </row>
    <row r="1104" spans="1:8" ht="13.2">
      <c r="A1104" s="15" t="s">
        <v>5258</v>
      </c>
      <c r="B1104" s="28" t="s">
        <v>5248</v>
      </c>
      <c r="C1104" s="17">
        <v>7</v>
      </c>
      <c r="D1104" s="18"/>
      <c r="E1104" s="17" t="s">
        <v>5246</v>
      </c>
      <c r="F1104" s="17"/>
      <c r="G1104" s="18"/>
      <c r="H1104" s="18"/>
    </row>
    <row r="1105" spans="1:8" ht="13.2">
      <c r="A1105" s="15" t="s">
        <v>5259</v>
      </c>
      <c r="B1105" s="30" t="s">
        <v>5248</v>
      </c>
      <c r="C1105" s="17">
        <v>7</v>
      </c>
      <c r="D1105" s="18"/>
      <c r="E1105" s="17" t="s">
        <v>5246</v>
      </c>
      <c r="F1105" s="17"/>
      <c r="G1105" s="18"/>
      <c r="H1105" s="18"/>
    </row>
    <row r="1106" spans="1:8" ht="13.2">
      <c r="A1106" s="15" t="s">
        <v>5260</v>
      </c>
      <c r="B1106" s="30" t="s">
        <v>5248</v>
      </c>
      <c r="C1106" s="17">
        <v>7</v>
      </c>
      <c r="D1106" s="18"/>
      <c r="E1106" s="17" t="s">
        <v>5246</v>
      </c>
      <c r="F1106" s="17"/>
      <c r="G1106" s="18"/>
      <c r="H1106" s="18"/>
    </row>
    <row r="1107" spans="1:8" ht="13.2">
      <c r="A1107" s="19" t="str">
        <f>HYPERLINK("http://codeforces.com/contest/576/problem/D","CF576-D1-D")</f>
        <v>CF576-D1-D</v>
      </c>
      <c r="B1107" s="15" t="s">
        <v>5261</v>
      </c>
      <c r="C1107" s="24">
        <v>7</v>
      </c>
      <c r="D1107" s="18"/>
      <c r="E1107" s="17" t="s">
        <v>5246</v>
      </c>
      <c r="F1107" s="17"/>
      <c r="G1107" s="18"/>
      <c r="H1107" s="18"/>
    </row>
    <row r="1108" spans="1:8" ht="13.2">
      <c r="A1108" s="15" t="s">
        <v>5262</v>
      </c>
      <c r="B1108" s="28" t="s">
        <v>5263</v>
      </c>
      <c r="C1108" s="24">
        <v>7</v>
      </c>
      <c r="D1108" s="18"/>
      <c r="E1108" s="17" t="s">
        <v>5246</v>
      </c>
      <c r="F1108" s="17"/>
      <c r="G1108" s="18"/>
      <c r="H1108" s="18"/>
    </row>
    <row r="1109" spans="1:8" ht="13.2">
      <c r="A1109" s="15" t="s">
        <v>5264</v>
      </c>
      <c r="B1109" s="30" t="s">
        <v>6546</v>
      </c>
      <c r="C1109" s="17">
        <v>7</v>
      </c>
      <c r="D1109" s="18"/>
      <c r="E1109" s="17" t="s">
        <v>5246</v>
      </c>
      <c r="F1109" s="17"/>
      <c r="G1109" s="18"/>
      <c r="H1109" s="18"/>
    </row>
    <row r="1110" spans="1:8" ht="13.2">
      <c r="A1110" s="15" t="s">
        <v>5266</v>
      </c>
      <c r="B1110" s="30" t="s">
        <v>5254</v>
      </c>
      <c r="C1110" s="17">
        <v>7</v>
      </c>
      <c r="D1110" s="18"/>
      <c r="E1110" s="17" t="s">
        <v>5246</v>
      </c>
      <c r="F1110" s="17"/>
      <c r="G1110" s="18"/>
      <c r="H1110" s="18"/>
    </row>
    <row r="1111" spans="1:8" ht="13.2">
      <c r="A1111" s="19" t="str">
        <f>HYPERLINK("http://codeforces.com/contest/163/problem/B","CF163-D12-B")</f>
        <v>CF163-D12-B</v>
      </c>
      <c r="B1111" s="29" t="s">
        <v>814</v>
      </c>
      <c r="C1111" s="17">
        <v>7</v>
      </c>
      <c r="D1111" s="18"/>
      <c r="E1111" s="17" t="s">
        <v>805</v>
      </c>
      <c r="F1111" s="17"/>
      <c r="G1111" s="18"/>
      <c r="H1111" s="18"/>
    </row>
    <row r="1112" spans="1:8" ht="13.2">
      <c r="A1112" s="15" t="s">
        <v>815</v>
      </c>
      <c r="B1112" s="29" t="s">
        <v>814</v>
      </c>
      <c r="C1112" s="17">
        <v>7</v>
      </c>
      <c r="D1112" s="18"/>
      <c r="E1112" s="17" t="s">
        <v>805</v>
      </c>
      <c r="F1112" s="17"/>
      <c r="G1112" s="18"/>
      <c r="H1112" s="18"/>
    </row>
    <row r="1113" spans="1:8" ht="13.2">
      <c r="A1113" s="19" t="str">
        <f>HYPERLINK("http://codeforces.com/contest/314/problem/D","CF314-D1-D")</f>
        <v>CF314-D1-D</v>
      </c>
      <c r="B1113" s="29" t="s">
        <v>816</v>
      </c>
      <c r="C1113" s="17">
        <v>7</v>
      </c>
      <c r="D1113" s="18"/>
      <c r="E1113" s="17" t="s">
        <v>805</v>
      </c>
      <c r="F1113" s="17"/>
      <c r="G1113" s="18"/>
      <c r="H1113" s="18"/>
    </row>
    <row r="1114" spans="1:8" ht="13.2">
      <c r="A1114" s="15" t="s">
        <v>817</v>
      </c>
      <c r="B1114" s="30" t="s">
        <v>818</v>
      </c>
      <c r="C1114" s="24">
        <v>7</v>
      </c>
      <c r="D1114" s="18"/>
      <c r="E1114" s="17" t="s">
        <v>805</v>
      </c>
      <c r="F1114" s="17"/>
      <c r="G1114" s="18"/>
      <c r="H1114" s="18"/>
    </row>
    <row r="1115" spans="1:8" ht="13.2">
      <c r="A1115" s="15" t="s">
        <v>5320</v>
      </c>
      <c r="B1115" s="28" t="s">
        <v>5309</v>
      </c>
      <c r="C1115" s="24">
        <v>7</v>
      </c>
      <c r="D1115" s="18"/>
      <c r="E1115" s="17" t="s">
        <v>5310</v>
      </c>
      <c r="F1115" s="17"/>
      <c r="G1115" s="18"/>
      <c r="H1115" s="18"/>
    </row>
    <row r="1116" spans="1:8" ht="13.2">
      <c r="A1116" s="15" t="s">
        <v>5321</v>
      </c>
      <c r="B1116" s="48" t="s">
        <v>5309</v>
      </c>
      <c r="C1116" s="17">
        <v>7</v>
      </c>
      <c r="D1116" s="18"/>
      <c r="E1116" s="17" t="s">
        <v>5310</v>
      </c>
      <c r="F1116" s="17"/>
      <c r="G1116" s="18"/>
      <c r="H1116" s="18"/>
    </row>
    <row r="1117" spans="1:8" ht="13.2">
      <c r="A1117" s="15" t="s">
        <v>5322</v>
      </c>
      <c r="B1117" s="28" t="s">
        <v>5309</v>
      </c>
      <c r="C1117" s="17">
        <v>7</v>
      </c>
      <c r="D1117" s="18"/>
      <c r="E1117" s="17" t="s">
        <v>5310</v>
      </c>
      <c r="F1117" s="17"/>
      <c r="G1117" s="18"/>
      <c r="H1117" s="18"/>
    </row>
    <row r="1118" spans="1:8" ht="13.2">
      <c r="A1118" s="15" t="s">
        <v>5323</v>
      </c>
      <c r="B1118" s="29" t="s">
        <v>5309</v>
      </c>
      <c r="C1118" s="17">
        <v>7</v>
      </c>
      <c r="D1118" s="18"/>
      <c r="E1118" s="17" t="s">
        <v>5310</v>
      </c>
      <c r="F1118" s="17"/>
      <c r="G1118" s="18"/>
      <c r="H1118" s="18"/>
    </row>
    <row r="1119" spans="1:8" ht="13.2">
      <c r="A1119" s="15" t="s">
        <v>5324</v>
      </c>
      <c r="B1119" s="28" t="s">
        <v>5325</v>
      </c>
      <c r="C1119" s="17">
        <v>7</v>
      </c>
      <c r="D1119" s="18"/>
      <c r="E1119" s="17" t="s">
        <v>5310</v>
      </c>
      <c r="F1119" s="17"/>
      <c r="G1119" s="18"/>
      <c r="H1119" s="18"/>
    </row>
    <row r="1120" spans="1:8" ht="13.2">
      <c r="A1120" s="19" t="str">
        <f>HYPERLINK("http://codeforces.com/contest/504/problem/D","CF504-D1-D")</f>
        <v>CF504-D1-D</v>
      </c>
      <c r="B1120" s="15" t="s">
        <v>5326</v>
      </c>
      <c r="C1120" s="24">
        <v>7</v>
      </c>
      <c r="D1120" s="18"/>
      <c r="E1120" s="17" t="s">
        <v>5310</v>
      </c>
      <c r="F1120" s="17"/>
      <c r="G1120" s="18"/>
      <c r="H1120" s="18"/>
    </row>
    <row r="1121" spans="1:8" ht="13.2">
      <c r="A1121" s="19" t="str">
        <f>HYPERLINK("http://codeforces.com/contest/445/problem/D","CF445-D2-D")</f>
        <v>CF445-D2-D</v>
      </c>
      <c r="B1121" s="29" t="s">
        <v>5349</v>
      </c>
      <c r="C1121" s="24">
        <v>7</v>
      </c>
      <c r="D1121" s="18"/>
      <c r="E1121" s="17" t="s">
        <v>5346</v>
      </c>
      <c r="F1121" s="17"/>
      <c r="G1121" s="18"/>
      <c r="H1121" s="18"/>
    </row>
    <row r="1122" spans="1:8" ht="13.2">
      <c r="A1122" s="15" t="s">
        <v>5357</v>
      </c>
      <c r="B1122" s="28" t="s">
        <v>5349</v>
      </c>
      <c r="C1122" s="17">
        <v>7</v>
      </c>
      <c r="D1122" s="18"/>
      <c r="E1122" s="17" t="s">
        <v>5346</v>
      </c>
      <c r="F1122" s="17"/>
      <c r="G1122" s="18"/>
      <c r="H1122" s="18"/>
    </row>
    <row r="1123" spans="1:8" ht="13.2">
      <c r="A1123" s="19" t="str">
        <f>HYPERLINK("https://icpc.kattis.com/problems/weather","LIVEARCHIVE 7161")</f>
        <v>LIVEARCHIVE 7161</v>
      </c>
      <c r="B1123" s="16" t="s">
        <v>5358</v>
      </c>
      <c r="C1123" s="17">
        <v>7</v>
      </c>
      <c r="D1123" s="18"/>
      <c r="E1123" s="17" t="s">
        <v>5346</v>
      </c>
      <c r="F1123" s="17"/>
      <c r="G1123" s="18"/>
      <c r="H1123" s="18"/>
    </row>
    <row r="1124" spans="1:8" ht="13.2">
      <c r="A1124" s="15" t="s">
        <v>5359</v>
      </c>
      <c r="B1124" s="28" t="s">
        <v>5360</v>
      </c>
      <c r="C1124" s="24">
        <v>7</v>
      </c>
      <c r="D1124" s="18"/>
      <c r="E1124" s="17" t="s">
        <v>5346</v>
      </c>
      <c r="F1124" s="17"/>
      <c r="G1124" s="18"/>
      <c r="H1124" s="18"/>
    </row>
    <row r="1125" spans="1:8" ht="13.2">
      <c r="A1125" s="19" t="str">
        <f>HYPERLINK("http://codeforces.com/contest/364/problem/D","CF364-D1-D")</f>
        <v>CF364-D1-D</v>
      </c>
      <c r="B1125" s="15" t="s">
        <v>5361</v>
      </c>
      <c r="C1125" s="24">
        <v>7</v>
      </c>
      <c r="D1125" s="18"/>
      <c r="E1125" s="17" t="s">
        <v>5346</v>
      </c>
      <c r="F1125" s="17"/>
      <c r="G1125" s="18"/>
      <c r="H1125" s="18"/>
    </row>
    <row r="1126" spans="1:8" ht="13.2">
      <c r="A1126" s="15" t="s">
        <v>5427</v>
      </c>
      <c r="B1126" s="30" t="s">
        <v>5416</v>
      </c>
      <c r="C1126" s="17">
        <v>7</v>
      </c>
      <c r="D1126" s="18"/>
      <c r="E1126" s="17" t="s">
        <v>5414</v>
      </c>
      <c r="F1126" s="17"/>
      <c r="G1126" s="18"/>
      <c r="H1126" s="18"/>
    </row>
    <row r="1127" spans="1:8" ht="13.2">
      <c r="A1127" s="15" t="s">
        <v>5428</v>
      </c>
      <c r="B1127" s="30" t="s">
        <v>5416</v>
      </c>
      <c r="C1127" s="17">
        <v>7</v>
      </c>
      <c r="D1127" s="18"/>
      <c r="E1127" s="17" t="s">
        <v>5414</v>
      </c>
      <c r="F1127" s="17"/>
      <c r="G1127" s="18"/>
      <c r="H1127" s="18"/>
    </row>
    <row r="1128" spans="1:8" ht="13.2">
      <c r="A1128" s="15" t="s">
        <v>5429</v>
      </c>
      <c r="B1128" s="30" t="s">
        <v>5430</v>
      </c>
      <c r="C1128" s="17">
        <v>7</v>
      </c>
      <c r="D1128" s="18"/>
      <c r="E1128" s="17" t="s">
        <v>5414</v>
      </c>
      <c r="F1128" s="17"/>
      <c r="G1128" s="18"/>
      <c r="H1128" s="18"/>
    </row>
    <row r="1129" spans="1:8" ht="13.2">
      <c r="A1129" s="15" t="s">
        <v>5431</v>
      </c>
      <c r="B1129" s="30" t="s">
        <v>5424</v>
      </c>
      <c r="C1129" s="17">
        <v>7</v>
      </c>
      <c r="D1129" s="18"/>
      <c r="E1129" s="17" t="s">
        <v>5414</v>
      </c>
      <c r="F1129" s="17"/>
      <c r="G1129" s="18"/>
      <c r="H1129" s="18"/>
    </row>
    <row r="1130" spans="1:8" ht="13.2">
      <c r="A1130" s="15" t="s">
        <v>5432</v>
      </c>
      <c r="B1130" s="30" t="s">
        <v>5424</v>
      </c>
      <c r="C1130" s="17">
        <v>7</v>
      </c>
      <c r="D1130" s="18"/>
      <c r="E1130" s="17" t="s">
        <v>5414</v>
      </c>
      <c r="F1130" s="17"/>
      <c r="G1130" s="18"/>
      <c r="H1130" s="18"/>
    </row>
    <row r="1131" spans="1:8" ht="13.2">
      <c r="A1131" s="15" t="s">
        <v>5433</v>
      </c>
      <c r="B1131" s="30" t="s">
        <v>5424</v>
      </c>
      <c r="C1131" s="17">
        <v>7</v>
      </c>
      <c r="D1131" s="18"/>
      <c r="E1131" s="17" t="s">
        <v>5414</v>
      </c>
      <c r="F1131" s="17"/>
      <c r="G1131" s="18"/>
      <c r="H1131" s="18"/>
    </row>
    <row r="1132" spans="1:8" ht="13.2">
      <c r="A1132" s="15" t="s">
        <v>5434</v>
      </c>
      <c r="B1132" s="30" t="s">
        <v>5435</v>
      </c>
      <c r="C1132" s="17">
        <v>7</v>
      </c>
      <c r="D1132" s="18"/>
      <c r="E1132" s="17" t="s">
        <v>5414</v>
      </c>
      <c r="F1132" s="17"/>
      <c r="G1132" s="18"/>
      <c r="H1132" s="18"/>
    </row>
    <row r="1133" spans="1:8" ht="13.2">
      <c r="A1133" s="15" t="s">
        <v>5436</v>
      </c>
      <c r="B1133" s="30" t="s">
        <v>5437</v>
      </c>
      <c r="C1133" s="17">
        <v>7</v>
      </c>
      <c r="D1133" s="18"/>
      <c r="E1133" s="17" t="s">
        <v>5414</v>
      </c>
      <c r="F1133" s="17"/>
      <c r="G1133" s="18"/>
      <c r="H1133" s="18"/>
    </row>
    <row r="1134" spans="1:8" ht="13.2">
      <c r="A1134" s="15" t="s">
        <v>5539</v>
      </c>
      <c r="B1134" s="30" t="s">
        <v>5540</v>
      </c>
      <c r="C1134" s="24">
        <v>7</v>
      </c>
      <c r="D1134" s="18"/>
      <c r="E1134" s="17" t="s">
        <v>5524</v>
      </c>
      <c r="F1134" s="17"/>
      <c r="G1134" s="18"/>
      <c r="H1134" s="18"/>
    </row>
    <row r="1135" spans="1:8" ht="13.2">
      <c r="A1135" s="15" t="s">
        <v>5541</v>
      </c>
      <c r="B1135" s="28" t="s">
        <v>5540</v>
      </c>
      <c r="C1135" s="17">
        <v>7</v>
      </c>
      <c r="D1135" s="18"/>
      <c r="E1135" s="17" t="s">
        <v>5524</v>
      </c>
      <c r="F1135" s="17"/>
      <c r="G1135" s="18"/>
      <c r="H1135" s="18"/>
    </row>
    <row r="1136" spans="1:8" ht="13.2">
      <c r="A1136" s="15" t="s">
        <v>5542</v>
      </c>
      <c r="B1136" s="29" t="s">
        <v>5540</v>
      </c>
      <c r="C1136" s="17">
        <v>7</v>
      </c>
      <c r="D1136" s="18"/>
      <c r="E1136" s="17" t="s">
        <v>5524</v>
      </c>
      <c r="F1136" s="17"/>
      <c r="G1136" s="18"/>
      <c r="H1136" s="18"/>
    </row>
    <row r="1137" spans="1:8" ht="13.2">
      <c r="A1137" s="19" t="str">
        <f>HYPERLINK("http://codeforces.com/contest/338/problem/D","CF338-D1-D")</f>
        <v>CF338-D1-D</v>
      </c>
      <c r="B1137" s="15" t="s">
        <v>5543</v>
      </c>
      <c r="C1137" s="24">
        <v>7</v>
      </c>
      <c r="D1137" s="18"/>
      <c r="E1137" s="17" t="s">
        <v>5524</v>
      </c>
      <c r="F1137" s="17"/>
      <c r="G1137" s="18"/>
      <c r="H1137" s="18"/>
    </row>
    <row r="1138" spans="1:8" ht="13.2">
      <c r="A1138" s="15" t="s">
        <v>5544</v>
      </c>
      <c r="B1138" s="29" t="s">
        <v>5545</v>
      </c>
      <c r="C1138" s="17">
        <v>7</v>
      </c>
      <c r="D1138" s="18"/>
      <c r="E1138" s="17" t="s">
        <v>5524</v>
      </c>
      <c r="F1138" s="17"/>
      <c r="G1138" s="18"/>
      <c r="H1138" s="18"/>
    </row>
    <row r="1139" spans="1:8" ht="13.2">
      <c r="A1139" s="15" t="s">
        <v>5586</v>
      </c>
      <c r="B1139" s="28" t="s">
        <v>5587</v>
      </c>
      <c r="C1139" s="24">
        <v>7</v>
      </c>
      <c r="D1139" s="26" t="str">
        <f>HYPERLINK("https://github.com/sggutier/CompetitiveProgramming/blob/master/SPOJ/MSE08H.cpp","Sol")</f>
        <v>Sol</v>
      </c>
      <c r="E1139" s="17" t="s">
        <v>5575</v>
      </c>
      <c r="F1139" s="17"/>
      <c r="G1139" s="18"/>
      <c r="H1139" s="18"/>
    </row>
    <row r="1140" spans="1:8" ht="13.2">
      <c r="A1140" s="15" t="s">
        <v>5588</v>
      </c>
      <c r="B1140" s="29" t="s">
        <v>5589</v>
      </c>
      <c r="C1140" s="17">
        <v>7</v>
      </c>
      <c r="D1140" s="18"/>
      <c r="E1140" s="17" t="s">
        <v>5575</v>
      </c>
      <c r="F1140" s="17"/>
      <c r="G1140" s="18"/>
      <c r="H1140" s="18"/>
    </row>
    <row r="1141" spans="1:8" ht="13.2">
      <c r="A1141" s="15" t="s">
        <v>5590</v>
      </c>
      <c r="B1141" s="28" t="s">
        <v>5591</v>
      </c>
      <c r="C1141" s="17">
        <v>7</v>
      </c>
      <c r="D1141" s="18"/>
      <c r="E1141" s="17" t="s">
        <v>5575</v>
      </c>
      <c r="F1141" s="17"/>
      <c r="G1141" s="18"/>
      <c r="H1141" s="18"/>
    </row>
    <row r="1142" spans="1:8" ht="13.2">
      <c r="A1142" s="19" t="str">
        <f>HYPERLINK("https://codeforces.com/contest/906/problem/D","CF906-D1-D")</f>
        <v>CF906-D1-D</v>
      </c>
      <c r="B1142" s="61" t="s">
        <v>5592</v>
      </c>
      <c r="C1142" s="17">
        <v>7</v>
      </c>
      <c r="D1142" s="18"/>
      <c r="E1142" s="17" t="s">
        <v>5575</v>
      </c>
      <c r="F1142" s="17"/>
      <c r="G1142" s="18"/>
      <c r="H1142" s="18"/>
    </row>
    <row r="1143" spans="1:8" ht="13.2">
      <c r="A1143" s="19" t="str">
        <f>HYPERLINK("https://www.codechef.com/problems/LCM","CODECHEF LCM")</f>
        <v>CODECHEF LCM</v>
      </c>
      <c r="B1143" s="15" t="s">
        <v>5618</v>
      </c>
      <c r="C1143" s="17">
        <v>7</v>
      </c>
      <c r="D1143" s="18"/>
      <c r="E1143" s="17" t="s">
        <v>5616</v>
      </c>
      <c r="F1143" s="17"/>
      <c r="G1143" s="18"/>
      <c r="H1143" s="18"/>
    </row>
    <row r="1144" spans="1:8" ht="13.2">
      <c r="A1144" s="19" t="str">
        <f>HYPERLINK("http://codeforces.com/problemset/problem/1033/F", "CF1033-D12-F")</f>
        <v>CF1033-D12-F</v>
      </c>
      <c r="B1144" s="15" t="s">
        <v>6447</v>
      </c>
      <c r="C1144" s="17">
        <v>6.9</v>
      </c>
      <c r="D1144" s="18" t="s">
        <v>6448</v>
      </c>
      <c r="E1144" s="17" t="s">
        <v>6441</v>
      </c>
      <c r="F1144" s="17" t="s">
        <v>154</v>
      </c>
      <c r="G1144" s="18"/>
      <c r="H1144" s="18"/>
    </row>
    <row r="1145" spans="1:8" ht="13.2">
      <c r="A1145" s="19" t="str">
        <f>HYPERLINK("http://codeforces.com/contest/266/problem/E","CF163-D2-E")</f>
        <v>CF163-D2-E</v>
      </c>
      <c r="B1145" s="15" t="s">
        <v>1069</v>
      </c>
      <c r="C1145" s="17">
        <v>6.8</v>
      </c>
      <c r="D1145" s="18"/>
      <c r="E1145" s="17" t="s">
        <v>1018</v>
      </c>
      <c r="F1145" s="17" t="s">
        <v>1046</v>
      </c>
      <c r="G1145" s="18"/>
      <c r="H1145" s="18"/>
    </row>
    <row r="1146" spans="1:8" ht="13.2">
      <c r="A1146" s="19" t="str">
        <f>HYPERLINK("http://codeforces.com/contest/405/problem/E","CF405-D2-E")</f>
        <v>CF405-D2-E</v>
      </c>
      <c r="B1146" s="38" t="s">
        <v>3304</v>
      </c>
      <c r="C1146" s="17">
        <v>6.8</v>
      </c>
      <c r="D1146" s="18"/>
      <c r="E1146" s="17" t="s">
        <v>3257</v>
      </c>
      <c r="F1146" s="17" t="s">
        <v>1053</v>
      </c>
      <c r="G1146" s="18"/>
      <c r="H1146" s="18"/>
    </row>
    <row r="1147" spans="1:8" ht="13.2">
      <c r="A1147" s="19" t="str">
        <f>HYPERLINK("https://agc005.contest.atcoder.jp/tasks/agc005_d","AtCoder005-AGC-D")</f>
        <v>AtCoder005-AGC-D</v>
      </c>
      <c r="B1147" s="15" t="s">
        <v>1929</v>
      </c>
      <c r="C1147" s="17">
        <v>6.8</v>
      </c>
      <c r="D1147" s="18"/>
      <c r="E1147" s="17" t="s">
        <v>1909</v>
      </c>
      <c r="F1147" s="17" t="s">
        <v>154</v>
      </c>
      <c r="G1147" s="18"/>
      <c r="H1147" s="18"/>
    </row>
    <row r="1148" spans="1:8" ht="13.2">
      <c r="A1148" s="19" t="str">
        <f>HYPERLINK("http://codeforces.com/contest/922/problem/F","CF922-D2-F")</f>
        <v>CF922-D2-F</v>
      </c>
      <c r="B1148" s="15" t="s">
        <v>2170</v>
      </c>
      <c r="C1148" s="17">
        <v>6.8</v>
      </c>
      <c r="D1148" s="26" t="str">
        <f>HYPERLINK("https://github.com/farmerboy95/CompetitiveProgramming/blob/master/Codeforces/CF922-D2-F.cpp","Sol")</f>
        <v>Sol</v>
      </c>
      <c r="E1148" s="17" t="s">
        <v>2153</v>
      </c>
      <c r="F1148" s="17" t="s">
        <v>154</v>
      </c>
      <c r="G1148" s="18"/>
      <c r="H1148" s="18"/>
    </row>
    <row r="1149" spans="1:8" ht="13.2">
      <c r="A1149" s="19" t="str">
        <f>HYPERLINK("https://arc087.contest.atcoder.jp/tasks/arc087_c","Atcoder087-ARC-C")</f>
        <v>Atcoder087-ARC-C</v>
      </c>
      <c r="B1149" s="29" t="s">
        <v>2473</v>
      </c>
      <c r="C1149" s="17">
        <v>6.8</v>
      </c>
      <c r="D1149" s="26" t="str">
        <f>HYPERLINK("https://github.com/racsosabe/CompetitiveProgramming/blob/master/AtCoder/AtCoder087-ARC-C.cpp","Sol")</f>
        <v>Sol</v>
      </c>
      <c r="E1149" s="17" t="s">
        <v>2467</v>
      </c>
      <c r="F1149" s="17" t="s">
        <v>154</v>
      </c>
      <c r="G1149" s="18"/>
      <c r="H1149" s="18"/>
    </row>
    <row r="1150" spans="1:8" ht="13.2">
      <c r="A1150" s="19" t="str">
        <f>HYPERLINK("https://codeforces.com/contest/891/problem/C","CF891-D1-C")</f>
        <v>CF891-D1-C</v>
      </c>
      <c r="B1150" s="23" t="s">
        <v>4292</v>
      </c>
      <c r="C1150" s="17">
        <v>6.8</v>
      </c>
      <c r="D1150" s="26" t="str">
        <f>HYPERLINK("https://github.com/MetalBall887/Competitive-Programming/blob/master/CodeForces/CF891-D1-C.cpp","Sol")</f>
        <v>Sol</v>
      </c>
      <c r="E1150" s="17" t="s">
        <v>4275</v>
      </c>
      <c r="F1150" s="17" t="s">
        <v>154</v>
      </c>
      <c r="G1150" s="18"/>
      <c r="H1150" s="18"/>
    </row>
    <row r="1151" spans="1:8" ht="13.2">
      <c r="A1151" s="19" t="str">
        <f>HYPERLINK("https://codeforces.com/contest/833/problem/C", "CF833-D1-C")</f>
        <v>CF833-D1-C</v>
      </c>
      <c r="B1151" s="20" t="s">
        <v>4976</v>
      </c>
      <c r="C1151" s="21">
        <v>6.8</v>
      </c>
      <c r="D1151" s="18"/>
      <c r="E1151" s="17" t="s">
        <v>4958</v>
      </c>
      <c r="F1151" s="17" t="s">
        <v>154</v>
      </c>
      <c r="G1151" s="18"/>
      <c r="H1151" s="18"/>
    </row>
    <row r="1152" spans="1:8" ht="13.2">
      <c r="A1152" s="19" t="str">
        <f>HYPERLINK("http://codeforces.com/contest/516/problem/C","CF516-D1-C")</f>
        <v>CF516-D1-C</v>
      </c>
      <c r="B1152" s="29" t="s">
        <v>1070</v>
      </c>
      <c r="C1152" s="17">
        <v>6.8</v>
      </c>
      <c r="D1152" s="18"/>
      <c r="E1152" s="17" t="s">
        <v>1018</v>
      </c>
      <c r="F1152" s="17" t="s">
        <v>139</v>
      </c>
      <c r="G1152" s="18"/>
      <c r="H1152" s="18"/>
    </row>
    <row r="1153" spans="1:8" ht="13.2">
      <c r="A1153" s="19" t="str">
        <f>HYPERLINK("https://codeforces.com/contest/1218/problem/D", "CF1218-D12-D")</f>
        <v>CF1218-D12-D</v>
      </c>
      <c r="B1153" s="49" t="s">
        <v>6522</v>
      </c>
      <c r="C1153" s="50">
        <v>6.8</v>
      </c>
      <c r="D1153" s="18"/>
      <c r="E1153" s="17" t="s">
        <v>6511</v>
      </c>
      <c r="F1153" s="17" t="s">
        <v>139</v>
      </c>
      <c r="G1153" s="18"/>
      <c r="H1153" s="18"/>
    </row>
    <row r="1154" spans="1:8" ht="13.2">
      <c r="A1154" s="19" t="str">
        <f>HYPERLINK("https://codeforces.com/contest/1087/problem/F","CF1087-D2-F")</f>
        <v>CF1087-D2-F</v>
      </c>
      <c r="B1154" s="15" t="s">
        <v>1237</v>
      </c>
      <c r="C1154" s="17">
        <v>6.8</v>
      </c>
      <c r="D1154" s="18"/>
      <c r="E1154" s="17" t="s">
        <v>1223</v>
      </c>
      <c r="F1154" s="17" t="s">
        <v>139</v>
      </c>
      <c r="G1154" s="18"/>
      <c r="H1154" s="18"/>
    </row>
    <row r="1155" spans="1:8" ht="13.2">
      <c r="A1155" s="19" t="str">
        <f>HYPERLINK("http://agc030.contest.atcoder.jp/tasks/agc030_d","AtCoder030-AGC-D")</f>
        <v>AtCoder030-AGC-D</v>
      </c>
      <c r="B1155" s="15" t="s">
        <v>1930</v>
      </c>
      <c r="C1155" s="17">
        <v>6.8</v>
      </c>
      <c r="D1155" s="18"/>
      <c r="E1155" s="17" t="s">
        <v>1909</v>
      </c>
      <c r="F1155" s="17" t="s">
        <v>139</v>
      </c>
      <c r="G1155" s="18"/>
      <c r="H1155" s="18"/>
    </row>
    <row r="1156" spans="1:8" ht="13.2">
      <c r="A1156" s="19" t="str">
        <f>HYPERLINK("https://atcoder.jp/contests/agc037/tasks/agc037_e", "AtCoder037-AGC-E")</f>
        <v>AtCoder037-AGC-E</v>
      </c>
      <c r="B1156" s="23" t="s">
        <v>2171</v>
      </c>
      <c r="C1156" s="17">
        <v>6.8</v>
      </c>
      <c r="D1156" s="18"/>
      <c r="E1156" s="17" t="s">
        <v>2153</v>
      </c>
      <c r="F1156" s="17" t="s">
        <v>139</v>
      </c>
      <c r="G1156" s="18"/>
      <c r="H1156" s="18"/>
    </row>
    <row r="1157" spans="1:8" ht="13.2">
      <c r="A1157" s="19" t="str">
        <f>HYPERLINK("https://codeforces.com/contest/1209/problem/F", "CF1209-D12-F")</f>
        <v>CF1209-D12-F</v>
      </c>
      <c r="B1157" s="49" t="s">
        <v>3305</v>
      </c>
      <c r="C1157" s="50">
        <v>6.8</v>
      </c>
      <c r="D1157" s="18"/>
      <c r="E1157" s="17" t="s">
        <v>3257</v>
      </c>
      <c r="F1157" s="17" t="s">
        <v>139</v>
      </c>
      <c r="G1157" s="18"/>
      <c r="H1157" s="18"/>
    </row>
    <row r="1158" spans="1:8" ht="13.2">
      <c r="A1158" s="19" t="str">
        <f>HYPERLINK("http://codeforces.com/contest/789/problem/E", "CF789-D2-E")</f>
        <v>CF789-D2-E</v>
      </c>
      <c r="B1158" s="20" t="s">
        <v>3493</v>
      </c>
      <c r="C1158" s="21">
        <v>6.8</v>
      </c>
      <c r="D1158" s="26" t="str">
        <f>HYPERLINK("https://github.com/tmwilliamlin168/CompetitiveProgramming/blob/master/CodeForces/CF789-D2-E.java", "Sol")</f>
        <v>Sol</v>
      </c>
      <c r="E1158" s="17" t="s">
        <v>3467</v>
      </c>
      <c r="F1158" s="17" t="s">
        <v>139</v>
      </c>
      <c r="G1158" s="18"/>
      <c r="H1158" s="18"/>
    </row>
    <row r="1159" spans="1:8" ht="13.2">
      <c r="A1159" s="15" t="s">
        <v>5823</v>
      </c>
      <c r="B1159" s="30" t="s">
        <v>5824</v>
      </c>
      <c r="C1159" s="17">
        <v>6.8</v>
      </c>
      <c r="D1159" s="18"/>
      <c r="E1159" s="17" t="s">
        <v>5794</v>
      </c>
      <c r="F1159" s="17"/>
      <c r="G1159" s="18"/>
      <c r="H1159" s="18"/>
    </row>
    <row r="1160" spans="1:8" ht="13.2">
      <c r="A1160" s="19" t="str">
        <f>HYPERLINK("https://icpcarchive.ecs.baylor.edu/index.php?option=com_onlinejudge&amp;Itemid=8&amp;category=675&amp;page=show_problem&amp;problem=5184","LIVEARCHIVE 7172")</f>
        <v>LIVEARCHIVE 7172</v>
      </c>
      <c r="B1160" s="15" t="s">
        <v>6150</v>
      </c>
      <c r="C1160" s="17">
        <v>6.75</v>
      </c>
      <c r="D1160" s="26" t="str">
        <f>HYPERLINK("https://github.com/mostafa-saad/MyCompetitiveProgramming/blob/master/LiveArchive/LIVEARCHIVE_7172.txt","Sol")</f>
        <v>Sol</v>
      </c>
      <c r="E1160" s="17" t="s">
        <v>6151</v>
      </c>
      <c r="F1160" s="17" t="s">
        <v>173</v>
      </c>
      <c r="G1160" s="18"/>
      <c r="H1160" s="18"/>
    </row>
    <row r="1161" spans="1:8" ht="13.2">
      <c r="A1161" s="15" t="s">
        <v>1071</v>
      </c>
      <c r="B1161" s="18" t="s">
        <v>1072</v>
      </c>
      <c r="C1161" s="17">
        <v>6.75</v>
      </c>
      <c r="D1161" s="26" t="str">
        <f>HYPERLINK("https://github.com/minaamir26/Competitive-Programming/blob/master/SPOJ/GSS2.java","Sol")</f>
        <v>Sol</v>
      </c>
      <c r="E1161" s="17" t="s">
        <v>1018</v>
      </c>
      <c r="F1161" s="17" t="s">
        <v>173</v>
      </c>
      <c r="G1161" s="18"/>
      <c r="H1161" s="18"/>
    </row>
    <row r="1162" spans="1:8" ht="13.2">
      <c r="A1162" s="19" t="str">
        <f>HYPERLINK("http://codeforces.com/contest/713/problem/C","CF713-D1-C")</f>
        <v>CF713-D1-C</v>
      </c>
      <c r="B1162" s="15" t="s">
        <v>2172</v>
      </c>
      <c r="C1162" s="17">
        <v>6.75</v>
      </c>
      <c r="D1162" s="26" t="str">
        <f>HYPERLINK("https://github.com/mostafa-saad/MyCompetitiveProgramming/blob/master/Codeforces/CF713-D1-C.txt","Sol")</f>
        <v>Sol</v>
      </c>
      <c r="E1162" s="17" t="s">
        <v>2153</v>
      </c>
      <c r="F1162" s="17" t="s">
        <v>173</v>
      </c>
      <c r="G1162" s="18"/>
      <c r="H1162" s="18"/>
    </row>
    <row r="1163" spans="1:8" ht="13.2">
      <c r="A1163" s="15" t="s">
        <v>3090</v>
      </c>
      <c r="B1163" s="30" t="s">
        <v>3091</v>
      </c>
      <c r="C1163" s="24">
        <v>6.75</v>
      </c>
      <c r="D1163" s="26" t="str">
        <f>HYPERLINK("https://github.com/dasannagariraja/CompetitiveProgramming/blob/master/SPOJ/SPOJ%20SPOINTS.cpp","Sol")</f>
        <v>Sol</v>
      </c>
      <c r="E1163" s="17" t="s">
        <v>3065</v>
      </c>
      <c r="F1163" s="17" t="s">
        <v>173</v>
      </c>
      <c r="G1163" s="18"/>
      <c r="H1163" s="18"/>
    </row>
    <row r="1164" spans="1:8" ht="13.2">
      <c r="A1164" s="15" t="s">
        <v>4432</v>
      </c>
      <c r="B1164" s="30" t="s">
        <v>4433</v>
      </c>
      <c r="C1164" s="24">
        <v>6.75</v>
      </c>
      <c r="D1164" s="26" t="str">
        <f>HYPERLINK("https://github.com/mostafa-saad/MyCompetitiveProgramming/blob/master/UVA/UVA_1364.txt","Read if hard text or wanna more examples")</f>
        <v>Read if hard text or wanna more examples</v>
      </c>
      <c r="E1164" s="17" t="s">
        <v>4423</v>
      </c>
      <c r="F1164" s="17" t="s">
        <v>173</v>
      </c>
      <c r="G1164" s="18"/>
      <c r="H1164" s="18"/>
    </row>
    <row r="1165" spans="1:8" ht="13.2">
      <c r="A1165" s="19" t="str">
        <f>HYPERLINK("http://codeforces.com/contest/449/problem/D","CF449-D1-D")</f>
        <v>CF449-D1-D</v>
      </c>
      <c r="B1165" s="15" t="s">
        <v>6449</v>
      </c>
      <c r="C1165" s="24">
        <v>6.75</v>
      </c>
      <c r="D1165" s="18"/>
      <c r="E1165" s="17" t="s">
        <v>6441</v>
      </c>
      <c r="F1165" s="17" t="s">
        <v>1053</v>
      </c>
      <c r="G1165" s="18"/>
      <c r="H1165" s="18"/>
    </row>
    <row r="1166" spans="1:8" ht="13.2">
      <c r="A1166" s="15" t="s">
        <v>5438</v>
      </c>
      <c r="B1166" s="28" t="s">
        <v>5439</v>
      </c>
      <c r="C1166" s="24">
        <v>6.75</v>
      </c>
      <c r="D1166" s="26" t="str">
        <f>HYPERLINK("https://github.com/mostafa-saad/MyCompetitiveProgramming/blob/master/SPOJ/SPOJ_EASYFACT.txt","Sol")</f>
        <v>Sol</v>
      </c>
      <c r="E1166" s="17" t="s">
        <v>5414</v>
      </c>
      <c r="F1166" s="17" t="s">
        <v>1053</v>
      </c>
      <c r="G1166" s="18"/>
      <c r="H1166" s="18"/>
    </row>
    <row r="1167" spans="1:8" ht="13.2">
      <c r="A1167" s="19" t="str">
        <f>HYPERLINK("http://codeforces.com/gym/100283/problem/C","CF100283-Gym-C")</f>
        <v>CF100283-Gym-C</v>
      </c>
      <c r="B1167" s="15" t="s">
        <v>1796</v>
      </c>
      <c r="C1167" s="17">
        <v>6.75</v>
      </c>
      <c r="D1167" s="26" t="str">
        <f>HYPERLINK("https://github.com/mostafa-saad/MyCompetitiveProgramming/blob/master/Codeforces/CF100283-Gym-C.txt","Sol")</f>
        <v>Sol</v>
      </c>
      <c r="E1167" s="17" t="s">
        <v>1793</v>
      </c>
      <c r="F1167" s="17" t="s">
        <v>1420</v>
      </c>
      <c r="G1167" s="18"/>
      <c r="H1167" s="18"/>
    </row>
    <row r="1168" spans="1:8" ht="13.2">
      <c r="A1168" s="19" t="str">
        <f>HYPERLINK("https://codeforces.com/gym/102028/problem/H","CF102028-GYM-H")</f>
        <v>CF102028-GYM-H</v>
      </c>
      <c r="B1168" s="15" t="s">
        <v>5825</v>
      </c>
      <c r="C1168" s="17">
        <v>6.75</v>
      </c>
      <c r="D1168" s="26" t="str">
        <f>HYPERLINK("https://github.com/WaleedAbdelhakim/Competitive-Programming/blob/master/CodeForces/CF102028-GYM-H.cpp","Sol(no editorial)")</f>
        <v>Sol(no editorial)</v>
      </c>
      <c r="E1168" s="17" t="s">
        <v>5794</v>
      </c>
      <c r="F1168" s="17" t="s">
        <v>154</v>
      </c>
      <c r="G1168" s="18"/>
      <c r="H1168" s="18"/>
    </row>
    <row r="1169" spans="1:8" ht="13.2">
      <c r="A1169" s="19" t="str">
        <f>HYPERLINK("https://www.codechef.com/problems/MONOPLOY","CODECHEF MONOPLOY")</f>
        <v>CODECHEF MONOPLOY</v>
      </c>
      <c r="B1169" s="29" t="s">
        <v>6326</v>
      </c>
      <c r="C1169" s="40">
        <v>6.75</v>
      </c>
      <c r="D1169" s="18"/>
      <c r="E1169" s="17" t="s">
        <v>6311</v>
      </c>
      <c r="F1169" s="17" t="s">
        <v>154</v>
      </c>
      <c r="G1169" s="18"/>
      <c r="H1169" s="18"/>
    </row>
    <row r="1170" spans="1:8" ht="13.2">
      <c r="A1170" s="19" t="str">
        <f>HYPERLINK("https://codeforces.com/contest/1205/problem/D", "CF1205-D1-D")</f>
        <v>CF1205-D1-D</v>
      </c>
      <c r="B1170" s="20" t="s">
        <v>6346</v>
      </c>
      <c r="C1170" s="21">
        <v>6.75</v>
      </c>
      <c r="D1170" s="18"/>
      <c r="E1170" s="17" t="s">
        <v>6345</v>
      </c>
      <c r="F1170" s="17" t="s">
        <v>154</v>
      </c>
      <c r="G1170" s="18"/>
      <c r="H1170" s="18"/>
    </row>
    <row r="1171" spans="1:8" ht="13.2">
      <c r="A1171" s="19" t="str">
        <f>HYPERLINK("https://arc067.contest.atcoder.jp/tasks/arc067_d","AtCoder067-ARC-F")</f>
        <v>AtCoder067-ARC-F</v>
      </c>
      <c r="B1171" s="37" t="s">
        <v>1073</v>
      </c>
      <c r="C1171" s="17">
        <v>6.75</v>
      </c>
      <c r="D1171" s="26" t="str">
        <f>HYPERLINK("https://github.com/mostafa-saad/MyCompetitiveProgramming/blob/master/AtCoder/AtCoder067-ARC-F.txt","Sol")</f>
        <v>Sol</v>
      </c>
      <c r="E1171" s="17" t="s">
        <v>1018</v>
      </c>
      <c r="F1171" s="17" t="s">
        <v>154</v>
      </c>
      <c r="G1171" s="18"/>
      <c r="H1171" s="18"/>
    </row>
    <row r="1172" spans="1:8" ht="13.2">
      <c r="A1172" s="19" t="str">
        <f>HYPERLINK("http://codeforces.com/contest/258/problem/E","CF258-D1-E")</f>
        <v>CF258-D1-E</v>
      </c>
      <c r="B1172" s="20" t="s">
        <v>1074</v>
      </c>
      <c r="C1172" s="21">
        <v>6.75</v>
      </c>
      <c r="D1172" s="26" t="str">
        <f>HYPERLINK("https://github.com/tmwilliamlin168/CompetitiveProgramming/blob/master/CodeForces/CF258-D1-E.cpp", "SolToMe")</f>
        <v>SolToMe</v>
      </c>
      <c r="E1172" s="17" t="s">
        <v>1018</v>
      </c>
      <c r="F1172" s="17" t="s">
        <v>154</v>
      </c>
      <c r="G1172" s="18"/>
      <c r="H1172" s="18"/>
    </row>
    <row r="1173" spans="1:8" ht="13.2">
      <c r="A1173" s="19" t="str">
        <f>HYPERLINK("http://codeforces.com/contest/438/problem/D","CF438-D1-D")</f>
        <v>CF438-D1-D</v>
      </c>
      <c r="B1173" s="29" t="s">
        <v>1075</v>
      </c>
      <c r="C1173" s="17">
        <v>6.75</v>
      </c>
      <c r="D1173" s="18"/>
      <c r="E1173" s="17" t="s">
        <v>1018</v>
      </c>
      <c r="F1173" s="17" t="s">
        <v>154</v>
      </c>
      <c r="G1173" s="18"/>
      <c r="H1173" s="18"/>
    </row>
    <row r="1174" spans="1:8" ht="13.2">
      <c r="A1174" s="19" t="str">
        <f>HYPERLINK("http://codeforces.com/contest/610/problem/E","CF610-D2-E")</f>
        <v>CF610-D2-E</v>
      </c>
      <c r="B1174" s="32" t="s">
        <v>1076</v>
      </c>
      <c r="C1174" s="17">
        <v>6.75</v>
      </c>
      <c r="D1174" s="26" t="str">
        <f>HYPERLINK("https://github.com/Huvok/CompetitiveProgramming/blob/master/Codeforces/CF610-D2-E.cpp", "Sol")</f>
        <v>Sol</v>
      </c>
      <c r="E1174" s="17" t="s">
        <v>1018</v>
      </c>
      <c r="F1174" s="17" t="s">
        <v>154</v>
      </c>
      <c r="G1174" s="18"/>
      <c r="H1174" s="18"/>
    </row>
    <row r="1175" spans="1:8" ht="13.2">
      <c r="A1175" s="15" t="s">
        <v>1238</v>
      </c>
      <c r="B1175" s="28" t="s">
        <v>1239</v>
      </c>
      <c r="C1175" s="24">
        <v>6.75</v>
      </c>
      <c r="D1175" s="26" t="str">
        <f>HYPERLINK("https://github.com/mostafa-saad/MyCompetitiveProgramming/blob/master/SPOJ/SPOJ_INCDSEQ.txt","Sol")</f>
        <v>Sol</v>
      </c>
      <c r="E1175" s="17" t="s">
        <v>1223</v>
      </c>
      <c r="F1175" s="17" t="s">
        <v>154</v>
      </c>
      <c r="G1175" s="18"/>
      <c r="H1175" s="18"/>
    </row>
    <row r="1176" spans="1:8" ht="13.2">
      <c r="A1176" s="19" t="str">
        <f>HYPERLINK("http://codeforces.com/problemset/problem/1065/G", "CF1065-D12-G")</f>
        <v>CF1065-D12-G</v>
      </c>
      <c r="B1176" s="20" t="s">
        <v>1348</v>
      </c>
      <c r="C1176" s="21">
        <v>6.75</v>
      </c>
      <c r="D1176" s="18"/>
      <c r="E1176" s="17" t="s">
        <v>1337</v>
      </c>
      <c r="F1176" s="17" t="s">
        <v>154</v>
      </c>
      <c r="G1176" s="18"/>
      <c r="H1176" s="18"/>
    </row>
    <row r="1177" spans="1:8" ht="13.2">
      <c r="A1177" s="19" t="str">
        <f>HYPERLINK("https://codeforces.com/contest/1178/problem/F2","CF1178-D12-F2")</f>
        <v>CF1178-D12-F2</v>
      </c>
      <c r="B1177" s="15" t="s">
        <v>1348</v>
      </c>
      <c r="C1177" s="17">
        <v>6.75</v>
      </c>
      <c r="D1177" s="18"/>
      <c r="E1177" s="17" t="s">
        <v>1337</v>
      </c>
      <c r="F1177" s="17" t="s">
        <v>154</v>
      </c>
      <c r="G1177" s="18"/>
      <c r="H1177" s="18"/>
    </row>
    <row r="1178" spans="1:8" ht="13.2">
      <c r="A1178" s="19" t="str">
        <f>HYPERLINK("http://codeforces.com/contest/500/problem/F","CF500-D12-F")</f>
        <v>CF500-D12-F</v>
      </c>
      <c r="B1178" s="15" t="s">
        <v>1410</v>
      </c>
      <c r="C1178" s="24">
        <v>6.75</v>
      </c>
      <c r="D1178" s="18"/>
      <c r="E1178" s="17" t="s">
        <v>1337</v>
      </c>
      <c r="F1178" s="17" t="s">
        <v>154</v>
      </c>
      <c r="G1178" s="18"/>
      <c r="H1178" s="18"/>
    </row>
    <row r="1179" spans="1:8" ht="13.2">
      <c r="A1179" s="19" t="str">
        <f>HYPERLINK("http://codeforces.com/contest/801/problem/E","CF801-D12-E")</f>
        <v>CF801-D12-E</v>
      </c>
      <c r="B1179" s="15" t="s">
        <v>1411</v>
      </c>
      <c r="C1179" s="17">
        <v>6.75</v>
      </c>
      <c r="D1179" s="18"/>
      <c r="E1179" s="17" t="s">
        <v>1337</v>
      </c>
      <c r="F1179" s="17" t="s">
        <v>154</v>
      </c>
      <c r="G1179" s="18"/>
      <c r="H1179" s="18"/>
    </row>
    <row r="1180" spans="1:8" ht="13.2">
      <c r="A1180" s="15" t="s">
        <v>1830</v>
      </c>
      <c r="B1180" s="34" t="s">
        <v>1831</v>
      </c>
      <c r="C1180" s="17">
        <v>6.75</v>
      </c>
      <c r="D1180" s="18"/>
      <c r="E1180" s="17" t="s">
        <v>1819</v>
      </c>
      <c r="F1180" s="17" t="s">
        <v>154</v>
      </c>
      <c r="G1180" s="18"/>
      <c r="H1180" s="18"/>
    </row>
    <row r="1181" spans="1:8" ht="13.2">
      <c r="A1181" s="19" t="str">
        <f>HYPERLINK("https://agc013.contest.atcoder.jp/tasks/agc013_d","AtCoder013-AGC-D")</f>
        <v>AtCoder013-AGC-D</v>
      </c>
      <c r="B1181" s="15" t="s">
        <v>1931</v>
      </c>
      <c r="C1181" s="17">
        <v>6.75</v>
      </c>
      <c r="D1181" s="18"/>
      <c r="E1181" s="17" t="s">
        <v>1909</v>
      </c>
      <c r="F1181" s="17" t="s">
        <v>154</v>
      </c>
      <c r="G1181" s="18"/>
      <c r="H1181" s="18"/>
    </row>
    <row r="1182" spans="1:8" ht="13.2">
      <c r="A1182" s="19" t="str">
        <f>HYPERLINK("http://codeforces.com/contest/867/problem/D","CF867-D12-D")</f>
        <v>CF867-D12-D</v>
      </c>
      <c r="B1182" s="15" t="s">
        <v>2025</v>
      </c>
      <c r="C1182" s="17">
        <v>6.75</v>
      </c>
      <c r="D1182" s="18"/>
      <c r="E1182" s="17" t="s">
        <v>2026</v>
      </c>
      <c r="F1182" s="17" t="s">
        <v>154</v>
      </c>
      <c r="G1182" s="18"/>
      <c r="H1182" s="18"/>
    </row>
    <row r="1183" spans="1:8" ht="13.2">
      <c r="A1183" s="19" t="str">
        <f>HYPERLINK("https://agc011.contest.atcoder.jp/tasks/agc011_d","AtCoder011-AGC-D")</f>
        <v>AtCoder011-AGC-D</v>
      </c>
      <c r="B1183" s="15" t="s">
        <v>512</v>
      </c>
      <c r="C1183" s="17">
        <v>6.75</v>
      </c>
      <c r="D1183" s="26" t="str">
        <f>HYPERLINK("https://agc011.contest.atcoder.jp/submissions/1157868","Sol (match editrial easily)")</f>
        <v>Sol (match editrial easily)</v>
      </c>
      <c r="E1183" s="17" t="s">
        <v>503</v>
      </c>
      <c r="F1183" s="17" t="s">
        <v>154</v>
      </c>
      <c r="G1183" s="18"/>
      <c r="H1183" s="18"/>
    </row>
    <row r="1184" spans="1:8" ht="13.2">
      <c r="A1184" s="19" t="str">
        <f>HYPERLINK("https://atcoder.jp/contests/agc043/tasks/agc043_d","AtCoder043-AGC-D")</f>
        <v>AtCoder043-AGC-D</v>
      </c>
      <c r="B1184" s="20" t="s">
        <v>2163</v>
      </c>
      <c r="C1184" s="21">
        <v>6.75</v>
      </c>
      <c r="D1184" s="18"/>
      <c r="E1184" s="17" t="s">
        <v>2153</v>
      </c>
      <c r="F1184" s="17" t="s">
        <v>154</v>
      </c>
      <c r="G1184" s="18"/>
      <c r="H1184" s="18"/>
    </row>
    <row r="1185" spans="1:8" ht="13.2">
      <c r="A1185" s="19" t="str">
        <f>HYPERLINK("https://codeforces.com/contest/1091/problem/F","CF1091-D12-F")</f>
        <v>CF1091-D12-F</v>
      </c>
      <c r="B1185" s="15" t="s">
        <v>2163</v>
      </c>
      <c r="C1185" s="17">
        <v>6.75</v>
      </c>
      <c r="D1185" s="18" t="s">
        <v>2173</v>
      </c>
      <c r="E1185" s="17" t="s">
        <v>2153</v>
      </c>
      <c r="F1185" s="17" t="s">
        <v>154</v>
      </c>
      <c r="G1185" s="18"/>
      <c r="H1185" s="18"/>
    </row>
    <row r="1186" spans="1:8" ht="13.2">
      <c r="A1186" s="19" t="str">
        <f>HYPERLINK("https://onlinejudge.org/external/111/p11123.pdf","UVA 11123")</f>
        <v>UVA 11123</v>
      </c>
      <c r="B1186" s="28" t="s">
        <v>2590</v>
      </c>
      <c r="C1186" s="24">
        <v>6.75</v>
      </c>
      <c r="D1186" s="26" t="str">
        <f>HYPERLINK("https://github.com/DrSchwad/CompetitiveProgramming/blob/master/UVA/UVA%2011123.cpp","Sol")</f>
        <v>Sol</v>
      </c>
      <c r="E1186" s="17" t="s">
        <v>2510</v>
      </c>
      <c r="F1186" s="17" t="s">
        <v>154</v>
      </c>
      <c r="G1186" s="18"/>
      <c r="H1186" s="18"/>
    </row>
    <row r="1187" spans="1:8" ht="13.2">
      <c r="A1187" s="19" t="str">
        <f>HYPERLINK("https://code.google.com/codejam/contest/204113/dashboard#s=p2&amp;a=2","CODEJAM 09-R2-C")</f>
        <v>CODEJAM 09-R2-C</v>
      </c>
      <c r="B1187" s="39" t="s">
        <v>4164</v>
      </c>
      <c r="C1187" s="24">
        <v>6.75</v>
      </c>
      <c r="D1187" s="18"/>
      <c r="E1187" s="17" t="s">
        <v>4144</v>
      </c>
      <c r="F1187" s="17" t="s">
        <v>154</v>
      </c>
      <c r="G1187" s="18"/>
      <c r="H1187" s="18"/>
    </row>
    <row r="1188" spans="1:8" ht="13.2">
      <c r="A1188" s="19" t="str">
        <f>HYPERLINK("http://codeforces.com/contest/863/problem/F","CF863-D12-F")</f>
        <v>CF863-D12-F</v>
      </c>
      <c r="B1188" s="15" t="s">
        <v>4245</v>
      </c>
      <c r="C1188" s="17">
        <v>6.75</v>
      </c>
      <c r="D1188" s="18"/>
      <c r="E1188" s="17" t="s">
        <v>4238</v>
      </c>
      <c r="F1188" s="17" t="s">
        <v>154</v>
      </c>
      <c r="G1188" s="18"/>
      <c r="H1188" s="18"/>
    </row>
    <row r="1189" spans="1:8" ht="13.2">
      <c r="A1189" s="15" t="s">
        <v>4293</v>
      </c>
      <c r="B1189" s="16" t="s">
        <v>4294</v>
      </c>
      <c r="C1189" s="17">
        <v>6.75</v>
      </c>
      <c r="D1189" s="26" t="str">
        <f>HYPERLINK("https://github.com/AbdelrahmanRamadan/competitive-programming/blob/master/World%20Finals/2005/3271%20-%20The%20Traveling%20Judges%20Problem.cpp","Sol")</f>
        <v>Sol</v>
      </c>
      <c r="E1189" s="17" t="s">
        <v>4275</v>
      </c>
      <c r="F1189" s="17" t="s">
        <v>154</v>
      </c>
      <c r="G1189" s="18"/>
      <c r="H1189" s="18"/>
    </row>
    <row r="1190" spans="1:8" ht="13.2">
      <c r="A1190" s="19" t="str">
        <f>HYPERLINK("http://codeforces.com/contest/141/problem/E","CF141-D2-E")</f>
        <v>CF141-D2-E</v>
      </c>
      <c r="B1190" s="15" t="s">
        <v>4295</v>
      </c>
      <c r="C1190" s="24">
        <v>6.75</v>
      </c>
      <c r="D1190" s="18"/>
      <c r="E1190" s="17" t="s">
        <v>4275</v>
      </c>
      <c r="F1190" s="17" t="s">
        <v>154</v>
      </c>
      <c r="G1190" s="18"/>
      <c r="H1190" s="18"/>
    </row>
    <row r="1191" spans="1:8" ht="13.2">
      <c r="A1191" s="19" t="str">
        <f>HYPERLINK("https://codeforces.com/contest/1215/problem/F", "CF1215-D2-F")</f>
        <v>CF1215-D2-F</v>
      </c>
      <c r="B1191" s="15" t="s">
        <v>4385</v>
      </c>
      <c r="C1191" s="17">
        <v>6.75</v>
      </c>
      <c r="D1191" s="18"/>
      <c r="E1191" s="17" t="s">
        <v>4379</v>
      </c>
      <c r="F1191" s="17" t="s">
        <v>154</v>
      </c>
      <c r="G1191" s="18"/>
      <c r="H1191" s="18"/>
    </row>
    <row r="1192" spans="1:8" ht="13.2">
      <c r="A1192" s="15" t="s">
        <v>4392</v>
      </c>
      <c r="B1192" s="28" t="s">
        <v>4388</v>
      </c>
      <c r="C1192" s="24">
        <v>6.75</v>
      </c>
      <c r="D1192" s="26" t="str">
        <f>HYPERLINK("https://github.com/mostafa-saad/MyCompetitiveProgramming/blob/master/UVA/UVA_11294.txt","Sol")</f>
        <v>Sol</v>
      </c>
      <c r="E1192" s="17" t="s">
        <v>4379</v>
      </c>
      <c r="F1192" s="17" t="s">
        <v>154</v>
      </c>
      <c r="G1192" s="18"/>
      <c r="H1192" s="18"/>
    </row>
    <row r="1193" spans="1:8" ht="13.2">
      <c r="A1193" s="15" t="s">
        <v>4409</v>
      </c>
      <c r="B1193" s="28" t="s">
        <v>4410</v>
      </c>
      <c r="C1193" s="24">
        <v>6.75</v>
      </c>
      <c r="D1193" s="26" t="str">
        <f>HYPERLINK("https://github.com/mostafa-saad/MyCompetitiveProgramming/blob/master/UVA/UVA_10510.txt","Sol")</f>
        <v>Sol</v>
      </c>
      <c r="E1193" s="17" t="s">
        <v>4411</v>
      </c>
      <c r="F1193" s="17" t="s">
        <v>154</v>
      </c>
      <c r="G1193" s="18"/>
      <c r="H1193" s="18"/>
    </row>
    <row r="1194" spans="1:8" ht="13.2">
      <c r="A1194" s="15" t="s">
        <v>4899</v>
      </c>
      <c r="B1194" s="34" t="s">
        <v>4900</v>
      </c>
      <c r="C1194" s="33">
        <v>6.75</v>
      </c>
      <c r="D1194" s="26" t="str">
        <f>HYPERLINK("https://github.com/mostafa-saad/MyCompetitiveProgramming/blob/master/TopCoder/SRM231-D1-500.txt","Sol")</f>
        <v>Sol</v>
      </c>
      <c r="E1194" s="17" t="s">
        <v>4893</v>
      </c>
      <c r="F1194" s="17" t="s">
        <v>154</v>
      </c>
      <c r="G1194" s="18"/>
      <c r="H1194" s="18"/>
    </row>
    <row r="1195" spans="1:8" ht="13.2">
      <c r="A1195" s="19" t="str">
        <f>HYPERLINK("https://www.hackerearth.com/challenge/competitive/may-easy-18/algorithm/influential-groups-f5b40db9/","HACKER influential-groups")</f>
        <v>HACKER influential-groups</v>
      </c>
      <c r="B1195" s="23" t="s">
        <v>4977</v>
      </c>
      <c r="C1195" s="17">
        <v>6.75</v>
      </c>
      <c r="D1195" s="18"/>
      <c r="E1195" s="17" t="s">
        <v>4958</v>
      </c>
      <c r="F1195" s="17" t="s">
        <v>154</v>
      </c>
      <c r="G1195" s="18"/>
      <c r="H1195" s="18"/>
    </row>
    <row r="1196" spans="1:8" ht="13.2">
      <c r="A1196" s="19" t="str">
        <f>HYPERLINK("http://codeforces.com/contest/451/problem/E","CF451-D2-E")</f>
        <v>CF451-D2-E</v>
      </c>
      <c r="B1196" s="29" t="s">
        <v>5146</v>
      </c>
      <c r="C1196" s="17">
        <v>6.75</v>
      </c>
      <c r="D1196" s="18"/>
      <c r="E1196" s="17" t="s">
        <v>5134</v>
      </c>
      <c r="F1196" s="17" t="s">
        <v>154</v>
      </c>
      <c r="G1196" s="18"/>
      <c r="H1196" s="18"/>
    </row>
    <row r="1197" spans="1:8" ht="13.2">
      <c r="A1197" s="19" t="str">
        <f>HYPERLINK("http://codeforces.com/contest/875/problem/E","CF875-D12-E")</f>
        <v>CF875-D12-E</v>
      </c>
      <c r="B1197" s="37" t="s">
        <v>819</v>
      </c>
      <c r="C1197" s="17">
        <v>6.75</v>
      </c>
      <c r="D1197" s="18"/>
      <c r="E1197" s="17" t="s">
        <v>805</v>
      </c>
      <c r="F1197" s="17" t="s">
        <v>154</v>
      </c>
      <c r="G1197" s="18"/>
      <c r="H1197" s="18"/>
    </row>
    <row r="1198" spans="1:8" ht="13.2">
      <c r="A1198" s="19" t="str">
        <f>HYPERLINK("https://codeforces.com/contest/1101/problem/F","CF1101-D12-F")</f>
        <v>CF1101-D12-F</v>
      </c>
      <c r="B1198" s="23" t="s">
        <v>820</v>
      </c>
      <c r="C1198" s="17">
        <v>6.75</v>
      </c>
      <c r="D1198" s="26" t="str">
        <f>HYPERLINK("https://github.com/Mohammad-Yasser/CompetitiveProgramming/blob/master/Codeforces/CF1101-D2-F.cpp","Sol")</f>
        <v>Sol</v>
      </c>
      <c r="E1198" s="17" t="s">
        <v>805</v>
      </c>
      <c r="F1198" s="17" t="s">
        <v>154</v>
      </c>
      <c r="G1198" s="18"/>
      <c r="H1198" s="18"/>
    </row>
    <row r="1199" spans="1:8" ht="13.2">
      <c r="A1199" s="15" t="s">
        <v>5440</v>
      </c>
      <c r="B1199" s="28" t="s">
        <v>5441</v>
      </c>
      <c r="C1199" s="24">
        <v>6.75</v>
      </c>
      <c r="D1199" s="26" t="str">
        <f>HYPERLINK("https://github.com/sggutier/CompetitiveProgramming/blob/master/UVa/10236.cpp","Sol")</f>
        <v>Sol</v>
      </c>
      <c r="E1199" s="17" t="s">
        <v>5414</v>
      </c>
      <c r="F1199" s="17" t="s">
        <v>154</v>
      </c>
      <c r="G1199" s="18"/>
      <c r="H1199" s="18"/>
    </row>
    <row r="1200" spans="1:8" ht="13.2">
      <c r="A1200" s="19" t="str">
        <f>HYPERLINK("http://codeforces.com/contest/489/problem/E","CF489-D2-E")</f>
        <v>CF489-D2-E</v>
      </c>
      <c r="B1200" s="15" t="s">
        <v>821</v>
      </c>
      <c r="C1200" s="24">
        <v>6.75</v>
      </c>
      <c r="D1200" s="18"/>
      <c r="E1200" s="17" t="s">
        <v>805</v>
      </c>
      <c r="F1200" s="17" t="s">
        <v>196</v>
      </c>
      <c r="G1200" s="18"/>
      <c r="H1200" s="18"/>
    </row>
    <row r="1201" spans="1:8" ht="13.2">
      <c r="A1201" s="19" t="str">
        <f>HYPERLINK("https://codeforces.com/problemset/problem/1097/F", "CF1097-D12-F")</f>
        <v>CF1097-D12-F</v>
      </c>
      <c r="B1201" s="15" t="s">
        <v>168</v>
      </c>
      <c r="C1201" s="17">
        <v>6.75</v>
      </c>
      <c r="D1201" s="18"/>
      <c r="E1201" s="17" t="s">
        <v>125</v>
      </c>
      <c r="F1201" s="17" t="s">
        <v>139</v>
      </c>
      <c r="G1201" s="18"/>
      <c r="H1201" s="18"/>
    </row>
    <row r="1202" spans="1:8" ht="13.2">
      <c r="A1202" s="19" t="str">
        <f>HYPERLINK("https://codeforces.com/contest/1287/problem/E2","CF1287-D2-E2")</f>
        <v>CF1287-D2-E2</v>
      </c>
      <c r="B1202" s="15" t="s">
        <v>169</v>
      </c>
      <c r="C1202" s="17">
        <v>6.75</v>
      </c>
      <c r="D1202" s="18"/>
      <c r="E1202" s="17" t="s">
        <v>125</v>
      </c>
      <c r="F1202" s="17" t="s">
        <v>139</v>
      </c>
      <c r="G1202" s="18"/>
      <c r="H1202" s="18"/>
    </row>
    <row r="1203" spans="1:8" ht="13.2">
      <c r="A1203" s="19" t="str">
        <f>HYPERLINK("http://codeforces.com/contest/1071/problem/C","CF1072-D2-E")</f>
        <v>CF1072-D2-E</v>
      </c>
      <c r="B1203" s="20" t="s">
        <v>170</v>
      </c>
      <c r="C1203" s="21">
        <v>6.75</v>
      </c>
      <c r="D1203" s="18"/>
      <c r="E1203" s="17" t="s">
        <v>125</v>
      </c>
      <c r="F1203" s="17" t="s">
        <v>139</v>
      </c>
      <c r="G1203" s="18"/>
      <c r="H1203" s="18"/>
    </row>
    <row r="1204" spans="1:8" ht="13.2">
      <c r="A1204" s="15" t="s">
        <v>913</v>
      </c>
      <c r="B1204" s="29" t="s">
        <v>914</v>
      </c>
      <c r="C1204" s="24">
        <v>6.75</v>
      </c>
      <c r="D1204" s="26" t="str">
        <f>HYPERLINK("https://github.com/mostafa-saad/MyCompetitiveProgramming/blob/master/UVA/UVA_11243.txt","Sol")</f>
        <v>Sol</v>
      </c>
      <c r="E1204" s="17" t="s">
        <v>910</v>
      </c>
      <c r="F1204" s="17" t="s">
        <v>139</v>
      </c>
      <c r="G1204" s="18"/>
      <c r="H1204" s="18"/>
    </row>
    <row r="1205" spans="1:8" ht="13.2">
      <c r="A1205" s="15" t="s">
        <v>5646</v>
      </c>
      <c r="B1205" s="15" t="s">
        <v>5647</v>
      </c>
      <c r="C1205" s="17">
        <v>6.75</v>
      </c>
      <c r="D1205" s="18"/>
      <c r="E1205" s="17" t="s">
        <v>5643</v>
      </c>
      <c r="F1205" s="17" t="s">
        <v>139</v>
      </c>
      <c r="G1205" s="18"/>
      <c r="H1205" s="18"/>
    </row>
    <row r="1206" spans="1:8" ht="13.2">
      <c r="A1206" s="19" t="str">
        <f>HYPERLINK("http://codeforces.com/gym/101741/problem/J","CF101741-gym-J")</f>
        <v>CF101741-gym-J</v>
      </c>
      <c r="B1206" s="15" t="s">
        <v>6105</v>
      </c>
      <c r="C1206" s="17">
        <v>6.75</v>
      </c>
      <c r="D1206" s="26" t="str">
        <f>HYPERLINK("https://github.com/stefdasca/CompetitiveProgramming/blob/master/Codeforces/Gym/CF101741-GYM-J.cpp","Sol")</f>
        <v>Sol</v>
      </c>
      <c r="E1206" s="17" t="s">
        <v>6098</v>
      </c>
      <c r="F1206" s="17" t="s">
        <v>139</v>
      </c>
      <c r="G1206" s="18"/>
      <c r="H1206" s="18"/>
    </row>
    <row r="1207" spans="1:8" ht="13.2">
      <c r="A1207" s="19" t="str">
        <f>HYPERLINK("https://codeforces.com/contest/1042/problem/E","CF1042-D2-E")</f>
        <v>CF1042-D2-E</v>
      </c>
      <c r="B1207" s="15" t="s">
        <v>6276</v>
      </c>
      <c r="C1207" s="17">
        <v>6.75</v>
      </c>
      <c r="D1207" s="18"/>
      <c r="E1207" s="17" t="s">
        <v>6275</v>
      </c>
      <c r="F1207" s="17" t="s">
        <v>139</v>
      </c>
      <c r="G1207" s="18"/>
      <c r="H1207" s="18"/>
    </row>
    <row r="1208" spans="1:8" ht="13.2">
      <c r="A1208" s="19" t="str">
        <f>HYPERLINK("http://codeforces.com/contest/91/problem/E","CF91-D1-E")</f>
        <v>CF91-D1-E</v>
      </c>
      <c r="B1208" s="15" t="s">
        <v>6407</v>
      </c>
      <c r="C1208" s="24">
        <v>6.75</v>
      </c>
      <c r="D1208" s="18"/>
      <c r="E1208" s="17" t="s">
        <v>6397</v>
      </c>
      <c r="F1208" s="17" t="s">
        <v>139</v>
      </c>
      <c r="G1208" s="18"/>
      <c r="H1208" s="18"/>
    </row>
    <row r="1209" spans="1:8" ht="13.2">
      <c r="A1209" s="19" t="str">
        <f>HYPERLINK("http://codeforces.com/contest/1042/problem/F", "CF1042-D2-F")</f>
        <v>CF1042-D2-F</v>
      </c>
      <c r="B1209" s="20" t="s">
        <v>1077</v>
      </c>
      <c r="C1209" s="21">
        <v>6.75</v>
      </c>
      <c r="D1209" s="26" t="str">
        <f>HYPERLINK("https://github.com/tmwilliamlin168/CompetitiveProgramming/blob/master/CodeForces/CF1042-D2-F.cpp", "Sol (not the official)")</f>
        <v>Sol (not the official)</v>
      </c>
      <c r="E1209" s="17" t="s">
        <v>1018</v>
      </c>
      <c r="F1209" s="17" t="s">
        <v>139</v>
      </c>
      <c r="G1209" s="18"/>
      <c r="H1209" s="18"/>
    </row>
    <row r="1210" spans="1:8" ht="13.2">
      <c r="A1210" s="19" t="str">
        <f>HYPERLINK("http://codeforces.com/contest/981/problem/G", "CF981-D12-G")</f>
        <v>CF981-D12-G</v>
      </c>
      <c r="B1210" s="20" t="s">
        <v>1078</v>
      </c>
      <c r="C1210" s="21">
        <v>6.75</v>
      </c>
      <c r="D1210" s="26" t="str">
        <f>HYPERLINK("https://github.com/tmwilliamlin168/CompetitiveProgramming/blob/master/CodeForces/CF981-D12-G.java", "Sol")</f>
        <v>Sol</v>
      </c>
      <c r="E1210" s="17" t="s">
        <v>1018</v>
      </c>
      <c r="F1210" s="17" t="s">
        <v>139</v>
      </c>
      <c r="G1210" s="18"/>
      <c r="H1210" s="18"/>
    </row>
    <row r="1211" spans="1:8" ht="13.2">
      <c r="A1211" s="19" t="str">
        <f>HYPERLINK("http://codeforces.com/contest/786/problem/C","CF786-D1-C")</f>
        <v>CF786-D1-C</v>
      </c>
      <c r="B1211" s="29" t="s">
        <v>1079</v>
      </c>
      <c r="C1211" s="17">
        <v>6.75</v>
      </c>
      <c r="D1211" s="26" t="str">
        <f>HYPERLINK("https://github.com/Cerberus97/CompetitiveProgrammingSolutions/blob/master/CodeForces/CF786-D1-C.cpp","Compute Complxity. One sol")</f>
        <v>Compute Complxity. One sol</v>
      </c>
      <c r="E1211" s="17" t="s">
        <v>1018</v>
      </c>
      <c r="F1211" s="17" t="s">
        <v>139</v>
      </c>
      <c r="G1211" s="18"/>
      <c r="H1211" s="18"/>
    </row>
    <row r="1212" spans="1:8" ht="13.2">
      <c r="A1212" s="19" t="str">
        <f>HYPERLINK("https://codeforces.com/contest/1080/problem/F","CF1080-D2-F")</f>
        <v>CF1080-D2-F</v>
      </c>
      <c r="B1212" s="15" t="s">
        <v>1080</v>
      </c>
      <c r="C1212" s="17">
        <v>6.75</v>
      </c>
      <c r="D1212" s="18"/>
      <c r="E1212" s="17" t="s">
        <v>1018</v>
      </c>
      <c r="F1212" s="17" t="s">
        <v>139</v>
      </c>
      <c r="G1212" s="18"/>
      <c r="H1212" s="18"/>
    </row>
    <row r="1213" spans="1:8" ht="13.2">
      <c r="A1213" s="19" t="str">
        <f>HYPERLINK("https://www.codechef.com/SEPT19A/problems/PSUM","CODECHEF PSUM")</f>
        <v>CODECHEF PSUM</v>
      </c>
      <c r="B1213" s="15" t="s">
        <v>6523</v>
      </c>
      <c r="C1213" s="17">
        <v>6.75</v>
      </c>
      <c r="D1213" s="18"/>
      <c r="E1213" s="17" t="s">
        <v>6511</v>
      </c>
      <c r="F1213" s="17" t="s">
        <v>139</v>
      </c>
      <c r="G1213" s="18"/>
      <c r="H1213" s="18"/>
    </row>
    <row r="1214" spans="1:8" ht="13.2">
      <c r="A1214" s="19" t="str">
        <f>HYPERLINK("https://www.facebook.com/hackercup/problem/421194065345355/","FbHkrCup 19-R2-C")</f>
        <v>FbHkrCup 19-R2-C</v>
      </c>
      <c r="B1214" s="20" t="s">
        <v>1350</v>
      </c>
      <c r="C1214" s="17">
        <v>6.75</v>
      </c>
      <c r="D1214" s="18"/>
      <c r="E1214" s="17" t="s">
        <v>1337</v>
      </c>
      <c r="F1214" s="17" t="s">
        <v>139</v>
      </c>
      <c r="G1214" s="18"/>
      <c r="H1214" s="18"/>
    </row>
    <row r="1215" spans="1:8" ht="13.2">
      <c r="A1215" s="19" t="str">
        <f>HYPERLINK("http://agc019.contest.atcoder.jp/tasks/agc019_d","AtCoder019-AGC-D")</f>
        <v>AtCoder019-AGC-D</v>
      </c>
      <c r="B1215" s="15" t="s">
        <v>1412</v>
      </c>
      <c r="C1215" s="17">
        <v>6.75</v>
      </c>
      <c r="D1215" s="18"/>
      <c r="E1215" s="17" t="s">
        <v>1337</v>
      </c>
      <c r="F1215" s="17" t="s">
        <v>139</v>
      </c>
      <c r="G1215" s="18"/>
      <c r="H1215" s="18"/>
    </row>
    <row r="1216" spans="1:8" ht="13.2">
      <c r="A1216" s="19" t="str">
        <f>HYPERLINK("http://codeforces.com/contest/650/problem/D","CF650-D1-D")</f>
        <v>CF650-D1-D</v>
      </c>
      <c r="B1216" s="15" t="s">
        <v>1413</v>
      </c>
      <c r="C1216" s="24">
        <v>6.75</v>
      </c>
      <c r="D1216" s="18"/>
      <c r="E1216" s="17" t="s">
        <v>1337</v>
      </c>
      <c r="F1216" s="17" t="s">
        <v>139</v>
      </c>
      <c r="G1216" s="18"/>
      <c r="H1216" s="18"/>
    </row>
    <row r="1217" spans="1:8" ht="13.2">
      <c r="A1217" s="19" t="str">
        <f>HYPERLINK("http://codeforces.com/problemset/gymProblem/101522/J","CF101522-GYM-J")</f>
        <v>CF101522-GYM-J</v>
      </c>
      <c r="B1217" s="18" t="s">
        <v>1414</v>
      </c>
      <c r="C1217" s="17">
        <v>6.75</v>
      </c>
      <c r="D1217" s="26" t="str">
        <f>HYPERLINK("https://github.com/mostafa-saad/MyCompetitiveProgramming/blob/master/Codeforces/CF101522-GYM-J.txt","Sol")</f>
        <v>Sol</v>
      </c>
      <c r="E1217" s="17" t="s">
        <v>1337</v>
      </c>
      <c r="F1217" s="17" t="s">
        <v>139</v>
      </c>
      <c r="G1217" s="18"/>
      <c r="H1217" s="18"/>
    </row>
    <row r="1218" spans="1:8" ht="13.2">
      <c r="A1218" s="15" t="s">
        <v>1696</v>
      </c>
      <c r="B1218" s="28" t="s">
        <v>1697</v>
      </c>
      <c r="C1218" s="33">
        <v>6.75</v>
      </c>
      <c r="D1218" s="26" t="str">
        <f>HYPERLINK("https://github.com/mostafa-saad/MyCompetitiveProgramming/blob/master/UVA/UVA_1390.txt","Sol")</f>
        <v>Sol</v>
      </c>
      <c r="E1218" s="17" t="s">
        <v>1691</v>
      </c>
      <c r="F1218" s="17" t="s">
        <v>139</v>
      </c>
      <c r="G1218" s="18"/>
      <c r="H1218" s="18"/>
    </row>
    <row r="1219" spans="1:8" ht="13.2">
      <c r="A1219" s="15" t="s">
        <v>1717</v>
      </c>
      <c r="B1219" s="29" t="s">
        <v>1718</v>
      </c>
      <c r="C1219" s="17">
        <v>6.75</v>
      </c>
      <c r="D1219" s="26" t="str">
        <f>HYPERLINK("https://github.com/mostafa-saad/MyCompetitiveProgramming/blob/master/UVA/UVA_12099.txt","Sol")</f>
        <v>Sol</v>
      </c>
      <c r="E1219" s="17" t="s">
        <v>1716</v>
      </c>
      <c r="F1219" s="17" t="s">
        <v>139</v>
      </c>
      <c r="G1219" s="18"/>
      <c r="H1219" s="18"/>
    </row>
    <row r="1220" spans="1:8" ht="13.2">
      <c r="A1220" s="15" t="s">
        <v>354</v>
      </c>
      <c r="B1220" s="29" t="s">
        <v>355</v>
      </c>
      <c r="C1220" s="17">
        <v>6.75</v>
      </c>
      <c r="D1220" s="26" t="str">
        <f>HYPERLINK("https://github.com/mostafa-saad/MyCompetitiveProgramming/blob/master/UVA/UVA_1381.txt","Sol")</f>
        <v>Sol</v>
      </c>
      <c r="E1220" s="17" t="s">
        <v>332</v>
      </c>
      <c r="F1220" s="17" t="s">
        <v>139</v>
      </c>
      <c r="G1220" s="18"/>
      <c r="H1220" s="18"/>
    </row>
    <row r="1221" spans="1:8" ht="13.2">
      <c r="A1221" s="19" t="str">
        <f>HYPERLINK("https://codeforces.com/contest/570/problem/E","CF570-D2-E")</f>
        <v>CF570-D2-E</v>
      </c>
      <c r="B1221" s="20" t="s">
        <v>1797</v>
      </c>
      <c r="C1221" s="21">
        <v>6.75</v>
      </c>
      <c r="D1221" s="18"/>
      <c r="E1221" s="17" t="s">
        <v>1793</v>
      </c>
      <c r="F1221" s="17" t="s">
        <v>139</v>
      </c>
      <c r="G1221" s="18"/>
      <c r="H1221" s="18"/>
    </row>
    <row r="1222" spans="1:8" ht="13.2">
      <c r="A1222" s="19" t="str">
        <f>HYPERLINK("http://codeforces.com/contest/543/problem/C","CF543-D1-C")</f>
        <v>CF543-D1-C</v>
      </c>
      <c r="B1222" s="15" t="s">
        <v>1832</v>
      </c>
      <c r="C1222" s="17">
        <v>6.75</v>
      </c>
      <c r="D1222" s="18"/>
      <c r="E1222" s="17" t="s">
        <v>1819</v>
      </c>
      <c r="F1222" s="17" t="s">
        <v>139</v>
      </c>
      <c r="G1222" s="18"/>
      <c r="H1222" s="18"/>
    </row>
    <row r="1223" spans="1:8" ht="13.2">
      <c r="A1223" s="19" t="str">
        <f>HYPERLINK("https://codeforces.com/contest/1172/problem/C2", "CF1172-D1-C2")</f>
        <v>CF1172-D1-C2</v>
      </c>
      <c r="B1223" s="15" t="s">
        <v>1913</v>
      </c>
      <c r="C1223" s="17">
        <v>6.75</v>
      </c>
      <c r="D1223" s="18"/>
      <c r="E1223" s="17" t="s">
        <v>1909</v>
      </c>
      <c r="F1223" s="17" t="s">
        <v>139</v>
      </c>
      <c r="G1223" s="18"/>
      <c r="H1223" s="18"/>
    </row>
    <row r="1224" spans="1:8" ht="13.2">
      <c r="A1224" s="15" t="s">
        <v>2448</v>
      </c>
      <c r="B1224" s="28" t="s">
        <v>2441</v>
      </c>
      <c r="C1224" s="24">
        <v>6.75</v>
      </c>
      <c r="D1224" s="26" t="str">
        <f>HYPERLINK("https://github.com/MetalBall887/Competitive-Programming/blob/master/TopCoder/SRM309-D1-1000.cpp","Sol")</f>
        <v>Sol</v>
      </c>
      <c r="E1224" s="17" t="s">
        <v>2442</v>
      </c>
      <c r="F1224" s="17" t="s">
        <v>139</v>
      </c>
      <c r="G1224" s="18"/>
      <c r="H1224" s="18"/>
    </row>
    <row r="1225" spans="1:8" ht="13.2">
      <c r="A1225" s="19" t="str">
        <f>HYPERLINK("https://codeforces.com/contest/1159/problem/F","CF1159-D2-F")</f>
        <v>CF1159-D2-F</v>
      </c>
      <c r="B1225" s="20" t="s">
        <v>2509</v>
      </c>
      <c r="C1225" s="17">
        <v>6.75</v>
      </c>
      <c r="D1225" s="18"/>
      <c r="E1225" s="17" t="s">
        <v>2510</v>
      </c>
      <c r="F1225" s="17" t="s">
        <v>139</v>
      </c>
      <c r="G1225" s="18"/>
      <c r="H1225" s="18"/>
    </row>
    <row r="1226" spans="1:8" ht="13.2">
      <c r="A1226" s="15" t="s">
        <v>2591</v>
      </c>
      <c r="B1226" s="29" t="s">
        <v>2592</v>
      </c>
      <c r="C1226" s="24">
        <v>6.75</v>
      </c>
      <c r="D1226" s="26" t="str">
        <f>HYPERLINK("https://github.com/mostafa-saad/MyCompetitiveProgramming/blob/master/SPOJ/SPOJ_EQBOX.txt","Sol")</f>
        <v>Sol</v>
      </c>
      <c r="E1226" s="17" t="s">
        <v>2510</v>
      </c>
      <c r="F1226" s="17" t="s">
        <v>139</v>
      </c>
      <c r="G1226" s="18"/>
      <c r="H1226" s="18"/>
    </row>
    <row r="1227" spans="1:8" ht="13.2">
      <c r="A1227" s="19" t="str">
        <f>HYPERLINK("https://codeforces.com/contest/667/problem/E","CF667-D2-E")</f>
        <v>CF667-D2-E</v>
      </c>
      <c r="B1227" s="23" t="s">
        <v>2593</v>
      </c>
      <c r="C1227" s="17">
        <v>6.75</v>
      </c>
      <c r="D1227" s="26" t="str">
        <f>HYPERLINK("https://github.com/LeTrongDat/CompetitiveProgramming/blob/master/Codeforces/CF667-D2-E.cpp","Sol")</f>
        <v>Sol</v>
      </c>
      <c r="E1227" s="17" t="s">
        <v>2510</v>
      </c>
      <c r="F1227" s="17" t="s">
        <v>139</v>
      </c>
      <c r="G1227" s="18"/>
      <c r="H1227" s="18"/>
    </row>
    <row r="1228" spans="1:8" ht="13.2">
      <c r="A1228" s="19" t="str">
        <f>HYPERLINK("https://codeforces.com/problemset/problem/1181/E2", "CF1181-D2-E2")</f>
        <v>CF1181-D2-E2</v>
      </c>
      <c r="B1228" s="20" t="s">
        <v>580</v>
      </c>
      <c r="C1228" s="17">
        <v>6.75</v>
      </c>
      <c r="D1228" s="18"/>
      <c r="E1228" s="17" t="s">
        <v>575</v>
      </c>
      <c r="F1228" s="17" t="s">
        <v>139</v>
      </c>
      <c r="G1228" s="18"/>
      <c r="H1228" s="18"/>
    </row>
    <row r="1229" spans="1:8" ht="13.2">
      <c r="A1229" s="19" t="str">
        <f>HYPERLINK("http://acm.timus.ru/problem.aspx?space=1&amp;num=2034","TIMUS 2034")</f>
        <v>TIMUS 2034</v>
      </c>
      <c r="B1229" s="15" t="s">
        <v>3466</v>
      </c>
      <c r="C1229" s="17">
        <v>6.75</v>
      </c>
      <c r="D1229" s="26" t="str">
        <f>HYPERLINK("https://github.com/antimirage/Problems-solutions/blob/master/Корованы.cpp","Sol")</f>
        <v>Sol</v>
      </c>
      <c r="E1229" s="17" t="s">
        <v>3467</v>
      </c>
      <c r="F1229" s="17" t="s">
        <v>139</v>
      </c>
      <c r="G1229" s="18"/>
      <c r="H1229" s="18"/>
    </row>
    <row r="1230" spans="1:8" ht="13.2">
      <c r="A1230" s="19" t="str">
        <f>HYPERLINK("http://codeforces.com/contest/506/problem/D","CF506-D1-D")</f>
        <v>CF506-D1-D</v>
      </c>
      <c r="B1230" s="29" t="s">
        <v>3678</v>
      </c>
      <c r="C1230" s="17">
        <v>6.75</v>
      </c>
      <c r="D1230" s="26" t="str">
        <f>HYPERLINK("https://github.com/tfg50/Competitive-Programming/blob/master/Codeforces/CF506-D1-D.cpp","Sol")</f>
        <v>Sol</v>
      </c>
      <c r="E1230" s="17" t="s">
        <v>3650</v>
      </c>
      <c r="F1230" s="17" t="s">
        <v>139</v>
      </c>
      <c r="G1230" s="18"/>
      <c r="H1230" s="18"/>
    </row>
    <row r="1231" spans="1:8" ht="13.2">
      <c r="A1231" s="19" t="str">
        <f>HYPERLINK("https://atcoder.jp/contests/abc155/tasks/abc155_f","AtCoder155-ABC-F")</f>
        <v>AtCoder155-ABC-F</v>
      </c>
      <c r="B1231" s="20" t="s">
        <v>3679</v>
      </c>
      <c r="C1231" s="21">
        <v>6.75</v>
      </c>
      <c r="D1231" s="18"/>
      <c r="E1231" s="17" t="s">
        <v>3650</v>
      </c>
      <c r="F1231" s="17" t="s">
        <v>139</v>
      </c>
      <c r="G1231" s="18"/>
      <c r="H1231" s="18"/>
    </row>
    <row r="1232" spans="1:8" ht="13.2">
      <c r="A1232" s="15" t="s">
        <v>3680</v>
      </c>
      <c r="B1232" s="16" t="s">
        <v>3681</v>
      </c>
      <c r="C1232" s="17">
        <v>6.75</v>
      </c>
      <c r="D1232" s="18"/>
      <c r="E1232" s="17" t="s">
        <v>3650</v>
      </c>
      <c r="F1232" s="17" t="s">
        <v>139</v>
      </c>
      <c r="G1232" s="18"/>
      <c r="H1232" s="18"/>
    </row>
    <row r="1233" spans="1:8" ht="13.2">
      <c r="A1233" s="19" t="str">
        <f>HYPERLINK("http://codeforces.com/gym/101806/problem/X","CF101806-gym-X")</f>
        <v>CF101806-gym-X</v>
      </c>
      <c r="B1233" s="15" t="s">
        <v>3682</v>
      </c>
      <c r="C1233" s="17">
        <v>6.75</v>
      </c>
      <c r="D1233" s="26" t="str">
        <f>HYPERLINK("https://github.com/stefdasca/CompetitiveProgramming/blob/master/Codeforces/Gym/CF101806-GYM-X.cpp","Sol")</f>
        <v>Sol</v>
      </c>
      <c r="E1233" s="17" t="s">
        <v>3650</v>
      </c>
      <c r="F1233" s="17" t="s">
        <v>139</v>
      </c>
      <c r="G1233" s="18"/>
      <c r="H1233" s="18"/>
    </row>
    <row r="1234" spans="1:8" ht="13.2">
      <c r="A1234" s="15" t="s">
        <v>3999</v>
      </c>
      <c r="B1234" s="41" t="s">
        <v>4000</v>
      </c>
      <c r="C1234" s="17">
        <v>6.75</v>
      </c>
      <c r="D1234" s="18"/>
      <c r="E1234" s="17" t="s">
        <v>3998</v>
      </c>
      <c r="F1234" s="17" t="s">
        <v>139</v>
      </c>
      <c r="G1234" s="18"/>
      <c r="H1234" s="18"/>
    </row>
    <row r="1235" spans="1:8" ht="13.2">
      <c r="A1235" s="15" t="s">
        <v>4247</v>
      </c>
      <c r="B1235" s="16" t="s">
        <v>4248</v>
      </c>
      <c r="C1235" s="17">
        <v>6.75</v>
      </c>
      <c r="D1235" s="18"/>
      <c r="E1235" s="17" t="s">
        <v>4238</v>
      </c>
      <c r="F1235" s="17" t="s">
        <v>139</v>
      </c>
      <c r="G1235" s="18"/>
      <c r="H1235" s="18"/>
    </row>
    <row r="1236" spans="1:8" ht="13.2">
      <c r="A1236" s="19" t="str">
        <f>HYPERLINK("http://codeforces.com/problemset/problem/1065/F", "CF1065-D12-F")</f>
        <v>CF1065-D12-F</v>
      </c>
      <c r="B1236" s="20" t="s">
        <v>4345</v>
      </c>
      <c r="C1236" s="21">
        <v>6.75</v>
      </c>
      <c r="D1236" s="18"/>
      <c r="E1236" s="17" t="s">
        <v>4344</v>
      </c>
      <c r="F1236" s="17" t="s">
        <v>139</v>
      </c>
      <c r="G1236" s="18"/>
      <c r="H1236" s="18"/>
    </row>
    <row r="1237" spans="1:8" ht="13.2">
      <c r="A1237" s="19" t="str">
        <f>HYPERLINK("http://codeforces.com/contest/916/problem/E","CF916-D2-E")</f>
        <v>CF916-D2-E</v>
      </c>
      <c r="B1237" s="20" t="s">
        <v>4465</v>
      </c>
      <c r="C1237" s="17">
        <v>6.75</v>
      </c>
      <c r="D1237" s="18"/>
      <c r="E1237" s="17" t="s">
        <v>4454</v>
      </c>
      <c r="F1237" s="17" t="s">
        <v>139</v>
      </c>
      <c r="G1237" s="18"/>
      <c r="H1237" s="18"/>
    </row>
    <row r="1238" spans="1:8" ht="13.2">
      <c r="A1238" s="15" t="s">
        <v>4585</v>
      </c>
      <c r="B1238" s="29" t="s">
        <v>4586</v>
      </c>
      <c r="C1238" s="24">
        <v>6.75</v>
      </c>
      <c r="D1238" s="26" t="str">
        <f>HYPERLINK("https://github.com/farmerboy95/CompetitiveProgramming/blob/master/TopCoder/SRM240-D1-500.cpp","Sol")</f>
        <v>Sol</v>
      </c>
      <c r="E1238" s="17" t="s">
        <v>4531</v>
      </c>
      <c r="F1238" s="17" t="s">
        <v>139</v>
      </c>
      <c r="G1238" s="18"/>
      <c r="H1238" s="18"/>
    </row>
    <row r="1239" spans="1:8" ht="13.2">
      <c r="A1239" s="15" t="s">
        <v>4587</v>
      </c>
      <c r="B1239" s="29" t="s">
        <v>4588</v>
      </c>
      <c r="C1239" s="24">
        <v>6.75</v>
      </c>
      <c r="D1239" s="18"/>
      <c r="E1239" s="17" t="s">
        <v>4531</v>
      </c>
      <c r="F1239" s="17" t="s">
        <v>139</v>
      </c>
      <c r="G1239" s="18"/>
      <c r="H1239" s="18"/>
    </row>
    <row r="1240" spans="1:8" ht="13.2">
      <c r="A1240" s="15" t="s">
        <v>4589</v>
      </c>
      <c r="B1240" s="15" t="s">
        <v>4590</v>
      </c>
      <c r="C1240" s="17">
        <v>6.75</v>
      </c>
      <c r="D1240" s="18"/>
      <c r="E1240" s="17" t="s">
        <v>4531</v>
      </c>
      <c r="F1240" s="17" t="s">
        <v>139</v>
      </c>
      <c r="G1240" s="18"/>
      <c r="H1240" s="18"/>
    </row>
    <row r="1241" spans="1:8" ht="13.2">
      <c r="A1241" s="19" t="str">
        <f>HYPERLINK("http://codeforces.com/contest/417/problem/E","CF417-D2-E")</f>
        <v>CF417-D2-E</v>
      </c>
      <c r="B1241" s="29" t="s">
        <v>4816</v>
      </c>
      <c r="C1241" s="17">
        <v>6.75</v>
      </c>
      <c r="D1241" s="18"/>
      <c r="E1241" s="17" t="s">
        <v>4809</v>
      </c>
      <c r="F1241" s="17" t="s">
        <v>139</v>
      </c>
      <c r="G1241" s="18"/>
      <c r="H1241" s="18"/>
    </row>
    <row r="1242" spans="1:8" ht="13.2">
      <c r="A1242" s="19" t="str">
        <f>HYPERLINK("http://codeforces.com/contest/633/problem/E","CF633-D12-E")</f>
        <v>CF633-D12-E</v>
      </c>
      <c r="B1242" s="20" t="s">
        <v>4978</v>
      </c>
      <c r="C1242" s="21">
        <v>6.75</v>
      </c>
      <c r="D1242" s="26" t="str">
        <f>HYPERLINK("https://github.com/tmwilliamlin168/CompetitiveProgramming/blob/master/CodeForces/0633E(1).cpp", "Solve in 2 ways. SolToMe")</f>
        <v>Solve in 2 ways. SolToMe</v>
      </c>
      <c r="E1242" s="17" t="s">
        <v>4958</v>
      </c>
      <c r="F1242" s="17" t="s">
        <v>139</v>
      </c>
      <c r="G1242" s="18"/>
      <c r="H1242" s="18"/>
    </row>
    <row r="1243" spans="1:8" ht="13.2">
      <c r="A1243" s="15" t="s">
        <v>5084</v>
      </c>
      <c r="B1243" s="15" t="s">
        <v>5085</v>
      </c>
      <c r="C1243" s="17">
        <v>6.75</v>
      </c>
      <c r="D1243" s="18"/>
      <c r="E1243" s="17" t="s">
        <v>5075</v>
      </c>
      <c r="F1243" s="17" t="s">
        <v>139</v>
      </c>
      <c r="G1243" s="18"/>
      <c r="H1243" s="18"/>
    </row>
    <row r="1244" spans="1:8" ht="13.2">
      <c r="A1244" s="19" t="str">
        <f>HYPERLINK("http://codeforces.com/contest/833/problem/D","CF833-D1-D")</f>
        <v>CF833-D1-D</v>
      </c>
      <c r="B1244" s="15" t="s">
        <v>6547</v>
      </c>
      <c r="C1244" s="17">
        <v>6.75</v>
      </c>
      <c r="D1244" s="26" t="str">
        <f>HYPERLINK("https://github.com/tmwilliamlin168/CompetitiveProgramming/blob/master/CodeForces/0833D.cpp", "Sol")</f>
        <v>Sol</v>
      </c>
      <c r="E1244" s="17" t="s">
        <v>6345</v>
      </c>
      <c r="F1244" s="17" t="s">
        <v>201</v>
      </c>
      <c r="G1244" s="18"/>
      <c r="H1244" s="18"/>
    </row>
    <row r="1245" spans="1:8" ht="13.2">
      <c r="A1245" s="19" t="str">
        <f>HYPERLINK("http://codeforces.com/contest/115/problem/E","CF115-D1-E")</f>
        <v>CF115-D1-E</v>
      </c>
      <c r="B1245" s="15" t="s">
        <v>1040</v>
      </c>
      <c r="C1245" s="24">
        <v>6.75</v>
      </c>
      <c r="D1245" s="18"/>
      <c r="E1245" s="17" t="s">
        <v>1018</v>
      </c>
      <c r="F1245" s="17" t="s">
        <v>201</v>
      </c>
      <c r="G1245" s="18"/>
      <c r="H1245" s="18"/>
    </row>
    <row r="1246" spans="1:8" ht="13.2">
      <c r="A1246" s="19" t="str">
        <f>HYPERLINK("http://codeforces.com/contest/228/problem/D","CF228-D2-D")</f>
        <v>CF228-D2-D</v>
      </c>
      <c r="B1246" s="29" t="s">
        <v>1234</v>
      </c>
      <c r="C1246" s="17">
        <v>6.75</v>
      </c>
      <c r="D1246" s="18"/>
      <c r="E1246" s="17" t="s">
        <v>1223</v>
      </c>
      <c r="F1246" s="17" t="s">
        <v>201</v>
      </c>
      <c r="G1246" s="18"/>
      <c r="H1246" s="18"/>
    </row>
    <row r="1247" spans="1:8" ht="13.2">
      <c r="A1247" s="15" t="s">
        <v>2474</v>
      </c>
      <c r="B1247" s="34" t="s">
        <v>2475</v>
      </c>
      <c r="C1247" s="31">
        <v>6.75</v>
      </c>
      <c r="D1247" s="26" t="str">
        <f>HYPERLINK("https://github.com/MetalBall887/Competitive-Programming/blob/master/TopCoder/SRM561-D1-500.cpp","Sol")</f>
        <v>Sol</v>
      </c>
      <c r="E1247" s="17" t="s">
        <v>2467</v>
      </c>
      <c r="F1247" s="17" t="s">
        <v>201</v>
      </c>
      <c r="G1247" s="18"/>
      <c r="H1247" s="18"/>
    </row>
    <row r="1248" spans="1:8" ht="13.2">
      <c r="A1248" s="19" t="str">
        <f>HYPERLINK("https://www.codechef.com/IOITC181/problems/CYCLECOL","CODECHEF CYCLECOL")</f>
        <v>CODECHEF CYCLECOL</v>
      </c>
      <c r="B1248" s="20" t="s">
        <v>3306</v>
      </c>
      <c r="C1248" s="21">
        <v>6.75</v>
      </c>
      <c r="D1248" s="26" t="str">
        <f>HYPERLINK("https://github.com/stefdasca/CompetitiveProgramming/blob/master/CodeChef/cyclecol.cpp","Sol")</f>
        <v>Sol</v>
      </c>
      <c r="E1248" s="17" t="s">
        <v>3257</v>
      </c>
      <c r="F1248" s="17" t="s">
        <v>201</v>
      </c>
      <c r="G1248" s="18"/>
      <c r="H1248" s="18"/>
    </row>
    <row r="1249" spans="1:8" ht="13.2">
      <c r="A1249" s="19" t="str">
        <f>HYPERLINK("https://www.facebook.com/hackercup/problem/330920680938986/", "FbHkrCup 19-R0-D")</f>
        <v>FbHkrCup 19-R0-D</v>
      </c>
      <c r="B1249" s="15" t="s">
        <v>659</v>
      </c>
      <c r="C1249" s="17">
        <v>6.75</v>
      </c>
      <c r="D1249" s="18" t="s">
        <v>660</v>
      </c>
      <c r="E1249" s="17" t="s">
        <v>655</v>
      </c>
      <c r="F1249" s="17" t="s">
        <v>201</v>
      </c>
      <c r="G1249" s="18"/>
      <c r="H1249" s="18"/>
    </row>
    <row r="1250" spans="1:8" ht="13.2">
      <c r="A1250" s="19" t="str">
        <f>HYPERLINK("https://arc079.contest.atcoder.jp/tasks/arc079_d", "AtCoder079-ARC-F")</f>
        <v>AtCoder079-ARC-F</v>
      </c>
      <c r="B1250" s="15" t="s">
        <v>3649</v>
      </c>
      <c r="C1250" s="17">
        <v>6.75</v>
      </c>
      <c r="D1250" s="26" t="str">
        <f>HYPERLINK("https://github.com/tmwilliamlin168/CompetitiveProgramming/blob/master/AtCoder/079-ARC-F.java", "Sol")</f>
        <v>Sol</v>
      </c>
      <c r="E1250" s="17" t="s">
        <v>3650</v>
      </c>
      <c r="F1250" s="17" t="s">
        <v>201</v>
      </c>
      <c r="G1250" s="18"/>
      <c r="H1250" s="18"/>
    </row>
    <row r="1251" spans="1:8" ht="13.2">
      <c r="A1251" s="15" t="s">
        <v>766</v>
      </c>
      <c r="B1251" s="28" t="s">
        <v>767</v>
      </c>
      <c r="C1251" s="17">
        <v>6.75</v>
      </c>
      <c r="D1251" s="18" t="s">
        <v>118</v>
      </c>
      <c r="E1251" s="17" t="s">
        <v>741</v>
      </c>
      <c r="F1251" s="17" t="s">
        <v>201</v>
      </c>
      <c r="G1251" s="18"/>
      <c r="H1251" s="18"/>
    </row>
    <row r="1252" spans="1:8" ht="13.2">
      <c r="A1252" s="19" t="str">
        <f>HYPERLINK("http://codeforces.com/contest/1036/problem/F","CF1036-D2-F")</f>
        <v>CF1036-D2-F</v>
      </c>
      <c r="B1252" s="20" t="s">
        <v>5147</v>
      </c>
      <c r="C1252" s="21">
        <v>6.75</v>
      </c>
      <c r="D1252" s="18"/>
      <c r="E1252" s="17" t="s">
        <v>5134</v>
      </c>
      <c r="F1252" s="17" t="s">
        <v>201</v>
      </c>
      <c r="G1252" s="18"/>
      <c r="H1252" s="18"/>
    </row>
    <row r="1253" spans="1:8" ht="13.2">
      <c r="A1253" s="15" t="s">
        <v>356</v>
      </c>
      <c r="B1253" s="30" t="s">
        <v>357</v>
      </c>
      <c r="C1253" s="24">
        <v>6.75</v>
      </c>
      <c r="D1253" s="26" t="str">
        <f>HYPERLINK("https://github.com/shanto86/Training/blob/master/TopCoder/SRM512-D1-500.cpp","SolToMe")</f>
        <v>SolToMe</v>
      </c>
      <c r="E1253" s="17" t="s">
        <v>332</v>
      </c>
      <c r="F1253" s="17" t="s">
        <v>358</v>
      </c>
      <c r="G1253" s="18"/>
      <c r="H1253" s="18"/>
    </row>
    <row r="1254" spans="1:8" ht="13.2">
      <c r="A1254" s="19" t="str">
        <f>HYPERLINK("http://codeforces.com/contest/624/problem/D","CF624-D2-D")</f>
        <v>CF624-D2-D</v>
      </c>
      <c r="B1254" s="15" t="s">
        <v>1415</v>
      </c>
      <c r="C1254" s="24">
        <v>6.75</v>
      </c>
      <c r="D1254" s="18"/>
      <c r="E1254" s="17" t="s">
        <v>1337</v>
      </c>
      <c r="F1254" s="17" t="s">
        <v>242</v>
      </c>
      <c r="G1254" s="18"/>
      <c r="H1254" s="18"/>
    </row>
    <row r="1255" spans="1:8" ht="13.2">
      <c r="A1255" s="15" t="s">
        <v>5648</v>
      </c>
      <c r="B1255" s="28" t="s">
        <v>5649</v>
      </c>
      <c r="C1255" s="24">
        <v>6.75</v>
      </c>
      <c r="D1255" s="18"/>
      <c r="E1255" s="17" t="s">
        <v>5643</v>
      </c>
      <c r="F1255" s="17"/>
      <c r="G1255" s="18"/>
      <c r="H1255" s="18"/>
    </row>
    <row r="1256" spans="1:8" ht="13.2">
      <c r="A1256" s="15" t="s">
        <v>5708</v>
      </c>
      <c r="B1256" s="28" t="s">
        <v>5709</v>
      </c>
      <c r="C1256" s="24">
        <v>6.75</v>
      </c>
      <c r="D1256" s="26" t="str">
        <f>HYPERLINK("https://github.com/mostafa-saad/MyCompetitiveProgramming/blob/master/SPOJ/SPOJ_ANARC08C.cpp","Sol (no editorial)")</f>
        <v>Sol (no editorial)</v>
      </c>
      <c r="E1256" s="17" t="s">
        <v>5702</v>
      </c>
      <c r="F1256" s="17"/>
      <c r="G1256" s="18"/>
      <c r="H1256" s="18"/>
    </row>
    <row r="1257" spans="1:8" ht="13.2">
      <c r="A1257" s="15" t="s">
        <v>5778</v>
      </c>
      <c r="B1257" s="29" t="s">
        <v>5779</v>
      </c>
      <c r="C1257" s="54">
        <v>6.75</v>
      </c>
      <c r="D1257" s="18"/>
      <c r="E1257" s="17" t="s">
        <v>5761</v>
      </c>
      <c r="F1257" s="17"/>
      <c r="G1257" s="18"/>
      <c r="H1257" s="18"/>
    </row>
    <row r="1258" spans="1:8" ht="13.2">
      <c r="A1258" s="15" t="s">
        <v>5879</v>
      </c>
      <c r="B1258" s="30" t="s">
        <v>5880</v>
      </c>
      <c r="C1258" s="24">
        <v>6.75</v>
      </c>
      <c r="D1258" s="18"/>
      <c r="E1258" s="17" t="s">
        <v>5874</v>
      </c>
      <c r="F1258" s="17"/>
      <c r="G1258" s="18"/>
      <c r="H1258" s="18"/>
    </row>
    <row r="1259" spans="1:8" ht="13.2">
      <c r="A1259" s="19" t="str">
        <f>HYPERLINK("http://codeforces.com/contest/218/problem/D","CF218-D2-D")</f>
        <v>CF218-D2-D</v>
      </c>
      <c r="B1259" s="29" t="s">
        <v>5965</v>
      </c>
      <c r="C1259" s="17">
        <v>6.75</v>
      </c>
      <c r="D1259" s="18"/>
      <c r="E1259" s="17" t="s">
        <v>5958</v>
      </c>
      <c r="F1259" s="17"/>
      <c r="G1259" s="18"/>
      <c r="H1259" s="18"/>
    </row>
    <row r="1260" spans="1:8" ht="13.2">
      <c r="A1260" s="19" t="str">
        <f>HYPERLINK("https://community.topcoder.com/stat?c=problem_statement&amp;pm=10549&amp;rd=13903","SRM449-D1-500")</f>
        <v>SRM449-D1-500</v>
      </c>
      <c r="B1260" s="15" t="s">
        <v>6164</v>
      </c>
      <c r="C1260" s="17">
        <v>6.75</v>
      </c>
      <c r="D1260" s="26" t="str">
        <f>HYPERLINK("https://github.com/ryuzmukhametov/CompetitiveProgramming/blob/master/Topcoder/SRM449-D2-1000.cpp","Sol")</f>
        <v>Sol</v>
      </c>
      <c r="E1260" s="17" t="s">
        <v>6157</v>
      </c>
      <c r="F1260" s="17"/>
      <c r="G1260" s="18"/>
      <c r="H1260" s="18"/>
    </row>
    <row r="1261" spans="1:8" ht="13.2">
      <c r="A1261" s="15" t="s">
        <v>6170</v>
      </c>
      <c r="B1261" s="29" t="s">
        <v>6168</v>
      </c>
      <c r="C1261" s="24">
        <v>6.75</v>
      </c>
      <c r="D1261" s="18"/>
      <c r="E1261" s="17" t="s">
        <v>6169</v>
      </c>
      <c r="F1261" s="17"/>
      <c r="G1261" s="18"/>
      <c r="H1261" s="18"/>
    </row>
    <row r="1262" spans="1:8" ht="13.2">
      <c r="A1262" s="15" t="s">
        <v>6280</v>
      </c>
      <c r="B1262" s="30" t="s">
        <v>6281</v>
      </c>
      <c r="C1262" s="17">
        <v>6.75</v>
      </c>
      <c r="D1262" s="18"/>
      <c r="E1262" s="17" t="s">
        <v>6275</v>
      </c>
      <c r="F1262" s="17"/>
      <c r="G1262" s="18"/>
      <c r="H1262" s="18"/>
    </row>
    <row r="1263" spans="1:8" ht="13.2">
      <c r="A1263" s="19" t="str">
        <f>HYPERLINK("http://codeforces.com/contest/280/problem/C","CF172-D1-C")</f>
        <v>CF172-D1-C</v>
      </c>
      <c r="B1263" s="28" t="s">
        <v>6274</v>
      </c>
      <c r="C1263" s="17">
        <v>6.75</v>
      </c>
      <c r="D1263" s="18"/>
      <c r="E1263" s="17" t="s">
        <v>6275</v>
      </c>
      <c r="F1263" s="17"/>
      <c r="G1263" s="18"/>
      <c r="H1263" s="18"/>
    </row>
    <row r="1264" spans="1:8" ht="13.2">
      <c r="A1264" s="19" t="str">
        <f>HYPERLINK("https://www.hackerrank.com/challenges/matchstick-experiment","HACKR matchstick-experiment")</f>
        <v>HACKR matchstick-experiment</v>
      </c>
      <c r="B1264" s="28" t="s">
        <v>6274</v>
      </c>
      <c r="C1264" s="17">
        <v>6.75</v>
      </c>
      <c r="D1264" s="18"/>
      <c r="E1264" s="17" t="s">
        <v>6275</v>
      </c>
      <c r="F1264" s="17"/>
      <c r="G1264" s="18"/>
      <c r="H1264" s="18"/>
    </row>
    <row r="1265" spans="1:8" ht="13.2">
      <c r="A1265" s="19" t="str">
        <f>HYPERLINK("https://codeforces.com/contest/377/problem/D","CF377-D1-D")</f>
        <v>CF377-D1-D</v>
      </c>
      <c r="B1265" s="20" t="s">
        <v>1081</v>
      </c>
      <c r="C1265" s="21">
        <v>6.75</v>
      </c>
      <c r="D1265" s="18"/>
      <c r="E1265" s="17" t="s">
        <v>1018</v>
      </c>
      <c r="F1265" s="17"/>
      <c r="G1265" s="18"/>
      <c r="H1265" s="18"/>
    </row>
    <row r="1266" spans="1:8" ht="13.2">
      <c r="A1266" s="19" t="str">
        <f>HYPERLINK("http://codeforces.com/problemset/gymProblem/100812/E","CF100182-GYM-E")</f>
        <v>CF100182-GYM-E</v>
      </c>
      <c r="B1266" s="15" t="s">
        <v>1017</v>
      </c>
      <c r="C1266" s="17">
        <v>6.75</v>
      </c>
      <c r="D1266" s="18"/>
      <c r="E1266" s="17" t="s">
        <v>1018</v>
      </c>
      <c r="F1266" s="17"/>
      <c r="G1266" s="18"/>
      <c r="H1266" s="18"/>
    </row>
    <row r="1267" spans="1:8" ht="13.2">
      <c r="A1267" s="19" t="str">
        <f>HYPERLINK("http://codeforces.com/contest/555/problem/C","CF555-D1-C")</f>
        <v>CF555-D1-C</v>
      </c>
      <c r="B1267" s="29" t="s">
        <v>1017</v>
      </c>
      <c r="C1267" s="17">
        <v>6.75</v>
      </c>
      <c r="D1267" s="18"/>
      <c r="E1267" s="17" t="s">
        <v>1018</v>
      </c>
      <c r="F1267" s="17"/>
      <c r="G1267" s="18"/>
      <c r="H1267" s="18"/>
    </row>
    <row r="1268" spans="1:8" ht="13.2">
      <c r="A1268" s="19" t="str">
        <f>HYPERLINK("http://codeforces.com/contest/381/problem/E","CF381-D2-E")</f>
        <v>CF381-D2-E</v>
      </c>
      <c r="B1268" s="29" t="s">
        <v>1027</v>
      </c>
      <c r="C1268" s="17">
        <v>6.75</v>
      </c>
      <c r="D1268" s="18"/>
      <c r="E1268" s="17" t="s">
        <v>1018</v>
      </c>
      <c r="F1268" s="17"/>
      <c r="G1268" s="18"/>
      <c r="H1268" s="18"/>
    </row>
    <row r="1269" spans="1:8" ht="13.2">
      <c r="A1269" s="15" t="s">
        <v>1082</v>
      </c>
      <c r="B1269" s="28" t="s">
        <v>1083</v>
      </c>
      <c r="C1269" s="17">
        <v>6.75</v>
      </c>
      <c r="D1269" s="18"/>
      <c r="E1269" s="17" t="s">
        <v>1018</v>
      </c>
      <c r="F1269" s="17"/>
      <c r="G1269" s="18"/>
      <c r="H1269" s="18"/>
    </row>
    <row r="1270" spans="1:8" ht="13.2">
      <c r="A1270" s="19" t="str">
        <f>HYPERLINK("http://codeforces.com/contest/132/problem/D","CF132-D1-D")</f>
        <v>CF132-D1-D</v>
      </c>
      <c r="B1270" s="29" t="s">
        <v>1040</v>
      </c>
      <c r="C1270" s="17">
        <v>6.75</v>
      </c>
      <c r="D1270" s="18"/>
      <c r="E1270" s="17" t="s">
        <v>1018</v>
      </c>
      <c r="F1270" s="17"/>
      <c r="G1270" s="18"/>
      <c r="H1270" s="18"/>
    </row>
    <row r="1271" spans="1:8" ht="13.2">
      <c r="A1271" s="15" t="s">
        <v>1084</v>
      </c>
      <c r="B1271" s="30" t="s">
        <v>1085</v>
      </c>
      <c r="C1271" s="24">
        <v>6.75</v>
      </c>
      <c r="D1271" s="26" t="str">
        <f>HYPERLINK("http://ideone.com/0GO5Qp","Bits Sol")</f>
        <v>Bits Sol</v>
      </c>
      <c r="E1271" s="17" t="s">
        <v>1018</v>
      </c>
      <c r="F1271" s="17"/>
      <c r="G1271" s="18"/>
      <c r="H1271" s="18"/>
    </row>
    <row r="1272" spans="1:8" ht="13.2">
      <c r="A1272" s="19" t="str">
        <f>HYPERLINK("http://codeforces.com/gym/101856/problem/B","CF101856-GYM-B")</f>
        <v>CF101856-GYM-B</v>
      </c>
      <c r="B1272" s="20" t="s">
        <v>6436</v>
      </c>
      <c r="C1272" s="21">
        <v>6.75</v>
      </c>
      <c r="D1272" s="26" t="str">
        <f>HYPERLINK("https://github.com/swapnil119/CompetitiveProgramming/blob/master/CompetitiveProgramming/Codeforces/CF101840-GYM-B.cpp","Sol")</f>
        <v>Sol</v>
      </c>
      <c r="E1272" s="17" t="s">
        <v>6437</v>
      </c>
      <c r="F1272" s="17"/>
      <c r="G1272" s="18"/>
      <c r="H1272" s="18"/>
    </row>
    <row r="1273" spans="1:8" ht="13.2">
      <c r="A1273" s="19" t="str">
        <f>HYPERLINK("https://www.codechef.com/problems/DOTIT","CODECHEF DOTIT")</f>
        <v>CODECHEF DOTIT</v>
      </c>
      <c r="B1273" s="15" t="s">
        <v>6524</v>
      </c>
      <c r="C1273" s="17">
        <v>6.75</v>
      </c>
      <c r="D1273" s="18"/>
      <c r="E1273" s="17" t="s">
        <v>6511</v>
      </c>
      <c r="F1273" s="17"/>
      <c r="G1273" s="18"/>
      <c r="H1273" s="18"/>
    </row>
    <row r="1274" spans="1:8" ht="13.2">
      <c r="A1274" s="19" t="str">
        <f>HYPERLINK("http://codeforces.com/contest/296/problem/E","CF296-D2-E")</f>
        <v>CF296-D2-E</v>
      </c>
      <c r="B1274" s="20" t="s">
        <v>1416</v>
      </c>
      <c r="C1274" s="17">
        <v>6.75</v>
      </c>
      <c r="D1274" s="18"/>
      <c r="E1274" s="17" t="s">
        <v>1337</v>
      </c>
      <c r="F1274" s="17"/>
      <c r="G1274" s="18"/>
      <c r="H1274" s="18"/>
    </row>
    <row r="1275" spans="1:8" ht="13.2">
      <c r="A1275" s="19" t="str">
        <f>HYPERLINK("https://atcoder.jp/contests/yahoo-procon2019-qual/tasks/yahoo_procon2019_qual_f","AtCoder-YahooProcon-F")</f>
        <v>AtCoder-YahooProcon-F</v>
      </c>
      <c r="B1275" s="20" t="s">
        <v>1346</v>
      </c>
      <c r="C1275" s="21">
        <v>6.75</v>
      </c>
      <c r="D1275" s="18"/>
      <c r="E1275" s="17" t="s">
        <v>1337</v>
      </c>
      <c r="F1275" s="17"/>
      <c r="G1275" s="18"/>
      <c r="H1275" s="18"/>
    </row>
    <row r="1276" spans="1:8" ht="13.2">
      <c r="A1276" s="19" t="str">
        <f>HYPERLINK("http://codeforces.com/contest/460/problem/D","CF460-D2-D")</f>
        <v>CF460-D2-D</v>
      </c>
      <c r="B1276" s="29" t="s">
        <v>359</v>
      </c>
      <c r="C1276" s="17">
        <v>6.75</v>
      </c>
      <c r="D1276" s="18"/>
      <c r="E1276" s="17" t="s">
        <v>332</v>
      </c>
      <c r="F1276" s="17"/>
      <c r="G1276" s="18"/>
      <c r="H1276" s="18"/>
    </row>
    <row r="1277" spans="1:8" ht="13.2">
      <c r="A1277" s="19" t="str">
        <f>HYPERLINK("https://codeforces.com/contest/457/problem/C","CF457-D12-C")</f>
        <v>CF457-D12-C</v>
      </c>
      <c r="B1277" s="15" t="s">
        <v>360</v>
      </c>
      <c r="C1277" s="17">
        <v>6.75</v>
      </c>
      <c r="D1277" s="18"/>
      <c r="E1277" s="17" t="s">
        <v>332</v>
      </c>
      <c r="F1277" s="17"/>
      <c r="G1277" s="18"/>
      <c r="H1277" s="18"/>
    </row>
    <row r="1278" spans="1:8" ht="13.2">
      <c r="A1278" s="19" t="str">
        <f>HYPERLINK("http://codeforces.com/gym/101490/attachments/download/5853/2016-benelux-algorithm-programming-contest-bapc-16-en.pdf","CF101490-GYM-D")</f>
        <v>CF101490-GYM-D</v>
      </c>
      <c r="B1278" s="15" t="s">
        <v>1797</v>
      </c>
      <c r="C1278" s="17">
        <v>6.75</v>
      </c>
      <c r="D1278" s="26" t="str">
        <f>HYPERLINK("https://github.com/MedoN11/CompetitiveProgramming/blob/master/CodeForces/CF101490-GYM-D.cpp","Sol")</f>
        <v>Sol</v>
      </c>
      <c r="E1278" s="17" t="s">
        <v>1793</v>
      </c>
      <c r="F1278" s="17"/>
      <c r="G1278" s="18"/>
      <c r="H1278" s="18"/>
    </row>
    <row r="1279" spans="1:8" ht="13.2">
      <c r="A1279" s="19" t="str">
        <f>HYPERLINK("https://community.topcoder.com/stat?c=problem_statement&amp;pm=14662","TC(Avoid9)")</f>
        <v>TC(Avoid9)</v>
      </c>
      <c r="B1279" s="37" t="s">
        <v>1833</v>
      </c>
      <c r="C1279" s="17">
        <v>6.75</v>
      </c>
      <c r="D1279" s="18"/>
      <c r="E1279" s="17" t="s">
        <v>1819</v>
      </c>
      <c r="F1279" s="17"/>
      <c r="G1279" s="18"/>
      <c r="H1279" s="18"/>
    </row>
    <row r="1280" spans="1:8" ht="13.2">
      <c r="A1280" s="19" t="str">
        <f>HYPERLINK("http://codeforces.com/contest/513/problem/G2","CF513-D12-G2")</f>
        <v>CF513-D12-G2</v>
      </c>
      <c r="B1280" s="29" t="s">
        <v>2025</v>
      </c>
      <c r="C1280" s="17">
        <v>6.75</v>
      </c>
      <c r="D1280" s="18"/>
      <c r="E1280" s="17" t="s">
        <v>2026</v>
      </c>
      <c r="F1280" s="17"/>
      <c r="G1280" s="18"/>
      <c r="H1280" s="18"/>
    </row>
    <row r="1281" spans="1:8" ht="13.2">
      <c r="A1281" s="15" t="s">
        <v>513</v>
      </c>
      <c r="B1281" s="34" t="s">
        <v>502</v>
      </c>
      <c r="C1281" s="31">
        <v>6.75</v>
      </c>
      <c r="D1281" s="18"/>
      <c r="E1281" s="17" t="s">
        <v>503</v>
      </c>
      <c r="F1281" s="17"/>
      <c r="G1281" s="18"/>
      <c r="H1281" s="18"/>
    </row>
    <row r="1282" spans="1:8" ht="13.2">
      <c r="A1282" s="15" t="s">
        <v>2083</v>
      </c>
      <c r="B1282" s="34" t="s">
        <v>2084</v>
      </c>
      <c r="C1282" s="33">
        <v>6.75</v>
      </c>
      <c r="D1282" s="18"/>
      <c r="E1282" s="17" t="s">
        <v>2074</v>
      </c>
      <c r="F1282" s="17"/>
      <c r="G1282" s="18"/>
      <c r="H1282" s="18"/>
    </row>
    <row r="1283" spans="1:8" ht="13.2">
      <c r="A1283" s="15" t="s">
        <v>2085</v>
      </c>
      <c r="B1283" s="30" t="s">
        <v>2076</v>
      </c>
      <c r="C1283" s="17">
        <v>6.75</v>
      </c>
      <c r="D1283" s="18"/>
      <c r="E1283" s="17" t="s">
        <v>2074</v>
      </c>
      <c r="F1283" s="17"/>
      <c r="G1283" s="18"/>
      <c r="H1283" s="18"/>
    </row>
    <row r="1284" spans="1:8" ht="13.2">
      <c r="A1284" s="15" t="s">
        <v>2111</v>
      </c>
      <c r="B1284" s="30" t="s">
        <v>2112</v>
      </c>
      <c r="C1284" s="24">
        <v>6.75</v>
      </c>
      <c r="D1284" s="18"/>
      <c r="E1284" s="17" t="s">
        <v>2113</v>
      </c>
      <c r="F1284" s="17"/>
      <c r="G1284" s="18"/>
      <c r="H1284" s="18"/>
    </row>
    <row r="1285" spans="1:8" ht="13.2">
      <c r="A1285" s="19" t="str">
        <f>HYPERLINK("http://codeforces.com/contest/203/problem/E","CF203-D2-E")</f>
        <v>CF203-D2-E</v>
      </c>
      <c r="B1285" s="29" t="s">
        <v>2174</v>
      </c>
      <c r="C1285" s="17">
        <v>6.75</v>
      </c>
      <c r="D1285" s="18"/>
      <c r="E1285" s="17" t="s">
        <v>2153</v>
      </c>
      <c r="F1285" s="17"/>
      <c r="G1285" s="18"/>
      <c r="H1285" s="18"/>
    </row>
    <row r="1286" spans="1:8" ht="13.2">
      <c r="A1286" s="19" t="str">
        <f>HYPERLINK("https://onlinejudge.org/index.php?option=com_onlinejudge&amp;Itemid=8&amp;page=show_problem&amp;problem=4235","UVA 1489")</f>
        <v>UVA 1489</v>
      </c>
      <c r="B1286" s="28" t="s">
        <v>2405</v>
      </c>
      <c r="C1286" s="24">
        <v>6.75</v>
      </c>
      <c r="D1286" s="18"/>
      <c r="E1286" s="17" t="s">
        <v>2394</v>
      </c>
      <c r="F1286" s="17"/>
      <c r="G1286" s="18"/>
      <c r="H1286" s="18"/>
    </row>
    <row r="1287" spans="1:8" ht="13.2">
      <c r="A1287" s="15" t="s">
        <v>2594</v>
      </c>
      <c r="B1287" s="28" t="s">
        <v>2509</v>
      </c>
      <c r="C1287" s="24">
        <v>6.75</v>
      </c>
      <c r="D1287" s="18"/>
      <c r="E1287" s="17" t="s">
        <v>2510</v>
      </c>
      <c r="F1287" s="17"/>
      <c r="G1287" s="18"/>
      <c r="H1287" s="18"/>
    </row>
    <row r="1288" spans="1:8" ht="13.2">
      <c r="A1288" s="15" t="s">
        <v>2595</v>
      </c>
      <c r="B1288" s="28" t="s">
        <v>2509</v>
      </c>
      <c r="C1288" s="24">
        <v>6.75</v>
      </c>
      <c r="D1288" s="18"/>
      <c r="E1288" s="17" t="s">
        <v>2510</v>
      </c>
      <c r="F1288" s="17"/>
      <c r="G1288" s="18"/>
      <c r="H1288" s="18"/>
    </row>
    <row r="1289" spans="1:8" ht="13.2">
      <c r="A1289" s="15" t="s">
        <v>2596</v>
      </c>
      <c r="B1289" s="28" t="s">
        <v>2509</v>
      </c>
      <c r="C1289" s="24">
        <v>6.75</v>
      </c>
      <c r="D1289" s="18"/>
      <c r="E1289" s="17" t="s">
        <v>2510</v>
      </c>
      <c r="F1289" s="17"/>
      <c r="G1289" s="18"/>
      <c r="H1289" s="18"/>
    </row>
    <row r="1290" spans="1:8" ht="13.2">
      <c r="A1290" s="15" t="s">
        <v>2597</v>
      </c>
      <c r="B1290" s="38" t="s">
        <v>2509</v>
      </c>
      <c r="C1290" s="24">
        <v>6.75</v>
      </c>
      <c r="D1290" s="18"/>
      <c r="E1290" s="17" t="s">
        <v>2510</v>
      </c>
      <c r="F1290" s="17"/>
      <c r="G1290" s="18"/>
      <c r="H1290" s="18"/>
    </row>
    <row r="1291" spans="1:8" ht="13.2">
      <c r="A1291" s="15" t="s">
        <v>2598</v>
      </c>
      <c r="B1291" s="38" t="s">
        <v>2509</v>
      </c>
      <c r="C1291" s="24">
        <v>6.75</v>
      </c>
      <c r="D1291" s="18"/>
      <c r="E1291" s="17" t="s">
        <v>2510</v>
      </c>
      <c r="F1291" s="17"/>
      <c r="G1291" s="18"/>
      <c r="H1291" s="18"/>
    </row>
    <row r="1292" spans="1:8" ht="13.2">
      <c r="A1292" s="15" t="s">
        <v>2599</v>
      </c>
      <c r="B1292" s="28" t="s">
        <v>2509</v>
      </c>
      <c r="C1292" s="24">
        <v>6.75</v>
      </c>
      <c r="D1292" s="18"/>
      <c r="E1292" s="17" t="s">
        <v>2510</v>
      </c>
      <c r="F1292" s="17"/>
      <c r="G1292" s="18"/>
      <c r="H1292" s="18"/>
    </row>
    <row r="1293" spans="1:8" ht="13.2">
      <c r="A1293" s="15" t="s">
        <v>2600</v>
      </c>
      <c r="B1293" s="38" t="s">
        <v>2561</v>
      </c>
      <c r="C1293" s="24">
        <v>6.75</v>
      </c>
      <c r="D1293" s="18"/>
      <c r="E1293" s="17" t="s">
        <v>2510</v>
      </c>
      <c r="F1293" s="17"/>
      <c r="G1293" s="18"/>
      <c r="H1293" s="18"/>
    </row>
    <row r="1294" spans="1:8" ht="13.2">
      <c r="A1294" s="15" t="s">
        <v>2601</v>
      </c>
      <c r="B1294" s="30" t="s">
        <v>2561</v>
      </c>
      <c r="C1294" s="24">
        <v>6.75</v>
      </c>
      <c r="D1294" s="18"/>
      <c r="E1294" s="17" t="s">
        <v>2510</v>
      </c>
      <c r="F1294" s="17"/>
      <c r="G1294" s="18"/>
      <c r="H1294" s="18"/>
    </row>
    <row r="1295" spans="1:8" ht="13.2">
      <c r="A1295" s="15" t="s">
        <v>2602</v>
      </c>
      <c r="B1295" s="38" t="s">
        <v>2603</v>
      </c>
      <c r="C1295" s="24">
        <v>6.75</v>
      </c>
      <c r="D1295" s="18"/>
      <c r="E1295" s="17" t="s">
        <v>2510</v>
      </c>
      <c r="F1295" s="17"/>
      <c r="G1295" s="18"/>
      <c r="H1295" s="18"/>
    </row>
    <row r="1296" spans="1:8" ht="13.2">
      <c r="A1296" s="15" t="s">
        <v>2604</v>
      </c>
      <c r="B1296" s="30" t="s">
        <v>2603</v>
      </c>
      <c r="C1296" s="24">
        <v>6.75</v>
      </c>
      <c r="D1296" s="18"/>
      <c r="E1296" s="17" t="s">
        <v>2510</v>
      </c>
      <c r="F1296" s="17"/>
      <c r="G1296" s="18"/>
      <c r="H1296" s="18"/>
    </row>
    <row r="1297" spans="1:8" ht="13.2">
      <c r="A1297" s="15" t="s">
        <v>2605</v>
      </c>
      <c r="B1297" s="30" t="s">
        <v>2606</v>
      </c>
      <c r="C1297" s="24">
        <v>6.75</v>
      </c>
      <c r="D1297" s="18"/>
      <c r="E1297" s="17" t="s">
        <v>2510</v>
      </c>
      <c r="F1297" s="17"/>
      <c r="G1297" s="18"/>
      <c r="H1297" s="18"/>
    </row>
    <row r="1298" spans="1:8" ht="13.2">
      <c r="A1298" s="15" t="s">
        <v>2607</v>
      </c>
      <c r="B1298" s="28" t="s">
        <v>2528</v>
      </c>
      <c r="C1298" s="24">
        <v>6.75</v>
      </c>
      <c r="D1298" s="26" t="str">
        <f>HYPERLINK("http://www.cnblogs.com/jie-dcai/p/3871169.html","sol at")</f>
        <v>sol at</v>
      </c>
      <c r="E1298" s="17" t="s">
        <v>2510</v>
      </c>
      <c r="F1298" s="17"/>
      <c r="G1298" s="18"/>
      <c r="H1298" s="18"/>
    </row>
    <row r="1299" spans="1:8" ht="13.2">
      <c r="A1299" s="15" t="s">
        <v>2608</v>
      </c>
      <c r="B1299" s="30" t="s">
        <v>2549</v>
      </c>
      <c r="C1299" s="24">
        <v>6.75</v>
      </c>
      <c r="D1299" s="18"/>
      <c r="E1299" s="24" t="s">
        <v>2510</v>
      </c>
      <c r="F1299" s="17"/>
      <c r="G1299" s="18"/>
      <c r="H1299" s="18"/>
    </row>
    <row r="1300" spans="1:8" ht="13.2">
      <c r="A1300" s="15" t="s">
        <v>2827</v>
      </c>
      <c r="B1300" s="30" t="s">
        <v>2800</v>
      </c>
      <c r="C1300" s="24">
        <v>6.75</v>
      </c>
      <c r="D1300" s="18"/>
      <c r="E1300" s="17" t="s">
        <v>2798</v>
      </c>
      <c r="F1300" s="17"/>
      <c r="G1300" s="18"/>
      <c r="H1300" s="18"/>
    </row>
    <row r="1301" spans="1:8" ht="13.2">
      <c r="A1301" s="15" t="s">
        <v>2828</v>
      </c>
      <c r="B1301" s="38" t="s">
        <v>2826</v>
      </c>
      <c r="C1301" s="24">
        <v>6.75</v>
      </c>
      <c r="D1301" s="18"/>
      <c r="E1301" s="17" t="s">
        <v>2798</v>
      </c>
      <c r="F1301" s="17"/>
      <c r="G1301" s="18"/>
      <c r="H1301" s="18"/>
    </row>
    <row r="1302" spans="1:8" ht="13.2">
      <c r="A1302" s="15" t="s">
        <v>2890</v>
      </c>
      <c r="B1302" s="30" t="s">
        <v>2891</v>
      </c>
      <c r="C1302" s="24">
        <v>6.75</v>
      </c>
      <c r="D1302" s="18"/>
      <c r="E1302" s="17" t="s">
        <v>2865</v>
      </c>
      <c r="F1302" s="17"/>
      <c r="G1302" s="18"/>
      <c r="H1302" s="18"/>
    </row>
    <row r="1303" spans="1:8" ht="13.2">
      <c r="A1303" s="15" t="s">
        <v>2892</v>
      </c>
      <c r="B1303" s="30" t="s">
        <v>2878</v>
      </c>
      <c r="C1303" s="24">
        <v>6.75</v>
      </c>
      <c r="D1303" s="18"/>
      <c r="E1303" s="17" t="s">
        <v>2865</v>
      </c>
      <c r="F1303" s="17"/>
      <c r="G1303" s="18"/>
      <c r="H1303" s="18"/>
    </row>
    <row r="1304" spans="1:8" ht="13.2">
      <c r="A1304" s="15" t="s">
        <v>2994</v>
      </c>
      <c r="B1304" s="28" t="s">
        <v>2947</v>
      </c>
      <c r="C1304" s="24">
        <v>6.75</v>
      </c>
      <c r="D1304" s="18"/>
      <c r="E1304" s="17" t="s">
        <v>2948</v>
      </c>
      <c r="F1304" s="17"/>
      <c r="G1304" s="18"/>
      <c r="H1304" s="18"/>
    </row>
    <row r="1305" spans="1:8" ht="13.2">
      <c r="A1305" s="15" t="s">
        <v>2995</v>
      </c>
      <c r="B1305" s="41" t="s">
        <v>2996</v>
      </c>
      <c r="C1305" s="17">
        <v>6.75</v>
      </c>
      <c r="D1305" s="18"/>
      <c r="E1305" s="17" t="s">
        <v>2948</v>
      </c>
      <c r="F1305" s="17"/>
      <c r="G1305" s="18"/>
      <c r="H1305" s="18"/>
    </row>
    <row r="1306" spans="1:8" ht="13.2">
      <c r="A1306" s="15" t="s">
        <v>2997</v>
      </c>
      <c r="B1306" s="30" t="s">
        <v>2998</v>
      </c>
      <c r="C1306" s="24">
        <v>6.75</v>
      </c>
      <c r="D1306" s="18"/>
      <c r="E1306" s="17" t="s">
        <v>2948</v>
      </c>
      <c r="F1306" s="17"/>
      <c r="G1306" s="18"/>
      <c r="H1306" s="18"/>
    </row>
    <row r="1307" spans="1:8" ht="13.2">
      <c r="A1307" s="15" t="s">
        <v>2999</v>
      </c>
      <c r="B1307" s="38" t="s">
        <v>3000</v>
      </c>
      <c r="C1307" s="24">
        <v>6.75</v>
      </c>
      <c r="D1307" s="18"/>
      <c r="E1307" s="17" t="s">
        <v>2948</v>
      </c>
      <c r="F1307" s="17"/>
      <c r="G1307" s="18"/>
      <c r="H1307" s="18"/>
    </row>
    <row r="1308" spans="1:8" ht="13.2">
      <c r="A1308" s="15" t="s">
        <v>3045</v>
      </c>
      <c r="B1308" s="30" t="s">
        <v>3046</v>
      </c>
      <c r="C1308" s="24">
        <v>6.75</v>
      </c>
      <c r="D1308" s="18"/>
      <c r="E1308" s="17" t="s">
        <v>3041</v>
      </c>
      <c r="F1308" s="17"/>
      <c r="G1308" s="18"/>
      <c r="H1308" s="18"/>
    </row>
    <row r="1309" spans="1:8" ht="13.2">
      <c r="A1309" s="15" t="s">
        <v>3047</v>
      </c>
      <c r="B1309" s="30" t="s">
        <v>3048</v>
      </c>
      <c r="C1309" s="24">
        <v>6.75</v>
      </c>
      <c r="D1309" s="18"/>
      <c r="E1309" s="17" t="s">
        <v>3041</v>
      </c>
      <c r="F1309" s="17"/>
      <c r="G1309" s="18"/>
      <c r="H1309" s="18"/>
    </row>
    <row r="1310" spans="1:8" ht="13.2">
      <c r="A1310" s="15" t="s">
        <v>3049</v>
      </c>
      <c r="B1310" s="30" t="s">
        <v>3050</v>
      </c>
      <c r="C1310" s="24">
        <v>6.75</v>
      </c>
      <c r="D1310" s="18"/>
      <c r="E1310" s="17" t="s">
        <v>3041</v>
      </c>
      <c r="F1310" s="17"/>
      <c r="G1310" s="18"/>
      <c r="H1310" s="18"/>
    </row>
    <row r="1311" spans="1:8" ht="13.2">
      <c r="A1311" s="15" t="s">
        <v>3092</v>
      </c>
      <c r="B1311" s="28" t="s">
        <v>3093</v>
      </c>
      <c r="C1311" s="24">
        <v>6.75</v>
      </c>
      <c r="D1311" s="18"/>
      <c r="E1311" s="17" t="s">
        <v>3065</v>
      </c>
      <c r="F1311" s="17"/>
      <c r="G1311" s="18"/>
      <c r="H1311" s="18"/>
    </row>
    <row r="1312" spans="1:8" ht="13.2">
      <c r="A1312" s="15" t="s">
        <v>3235</v>
      </c>
      <c r="B1312" s="38" t="s">
        <v>3221</v>
      </c>
      <c r="C1312" s="24">
        <v>6.75</v>
      </c>
      <c r="D1312" s="18"/>
      <c r="E1312" s="17" t="s">
        <v>3214</v>
      </c>
      <c r="F1312" s="17"/>
      <c r="G1312" s="18"/>
      <c r="H1312" s="18"/>
    </row>
    <row r="1313" spans="1:8" ht="13.2">
      <c r="A1313" s="15" t="s">
        <v>3236</v>
      </c>
      <c r="B1313" s="38" t="s">
        <v>3237</v>
      </c>
      <c r="C1313" s="24">
        <v>6.75</v>
      </c>
      <c r="D1313" s="18"/>
      <c r="E1313" s="17" t="s">
        <v>3214</v>
      </c>
      <c r="F1313" s="17"/>
      <c r="G1313" s="18"/>
      <c r="H1313" s="18"/>
    </row>
    <row r="1314" spans="1:8" ht="13.2">
      <c r="A1314" s="15" t="s">
        <v>3450</v>
      </c>
      <c r="B1314" s="30" t="s">
        <v>3451</v>
      </c>
      <c r="C1314" s="24">
        <v>6.75</v>
      </c>
      <c r="D1314" s="18"/>
      <c r="E1314" s="17" t="s">
        <v>3439</v>
      </c>
      <c r="F1314" s="17"/>
      <c r="G1314" s="18"/>
      <c r="H1314" s="18"/>
    </row>
    <row r="1315" spans="1:8" ht="13.2">
      <c r="A1315" s="19" t="str">
        <f>HYPERLINK("http://codeforces.com/contest/369/problem/D","CF369-D2-D")</f>
        <v>CF369-D2-D</v>
      </c>
      <c r="B1315" s="29" t="s">
        <v>3494</v>
      </c>
      <c r="C1315" s="17">
        <v>6.75</v>
      </c>
      <c r="D1315" s="18"/>
      <c r="E1315" s="17" t="s">
        <v>3467</v>
      </c>
      <c r="F1315" s="17"/>
      <c r="G1315" s="18"/>
      <c r="H1315" s="18"/>
    </row>
    <row r="1316" spans="1:8" ht="13.2">
      <c r="A1316" s="15" t="s">
        <v>661</v>
      </c>
      <c r="B1316" s="28" t="s">
        <v>657</v>
      </c>
      <c r="C1316" s="24">
        <v>6.75</v>
      </c>
      <c r="D1316" s="18"/>
      <c r="E1316" s="17" t="s">
        <v>655</v>
      </c>
      <c r="F1316" s="17"/>
      <c r="G1316" s="18"/>
      <c r="H1316" s="18"/>
    </row>
    <row r="1317" spans="1:8" ht="13.2">
      <c r="A1317" s="15" t="s">
        <v>662</v>
      </c>
      <c r="B1317" s="28" t="s">
        <v>663</v>
      </c>
      <c r="C1317" s="24">
        <v>6.75</v>
      </c>
      <c r="D1317" s="18"/>
      <c r="E1317" s="24" t="s">
        <v>655</v>
      </c>
      <c r="F1317" s="17"/>
      <c r="G1317" s="18"/>
      <c r="H1317" s="18"/>
    </row>
    <row r="1318" spans="1:8" ht="13.2">
      <c r="A1318" s="15" t="s">
        <v>664</v>
      </c>
      <c r="B1318" s="38" t="s">
        <v>665</v>
      </c>
      <c r="C1318" s="24">
        <v>6.75</v>
      </c>
      <c r="D1318" s="26" t="str">
        <f>HYPERLINK("https://blog.csdn.net/accelerator_/article/details/22990113","Sol")</f>
        <v>Sol</v>
      </c>
      <c r="E1318" s="17" t="s">
        <v>655</v>
      </c>
      <c r="F1318" s="17"/>
      <c r="G1318" s="18"/>
      <c r="H1318" s="18"/>
    </row>
    <row r="1319" spans="1:8" ht="13.2">
      <c r="A1319" s="15" t="s">
        <v>3683</v>
      </c>
      <c r="B1319" s="28" t="s">
        <v>3684</v>
      </c>
      <c r="C1319" s="24">
        <v>6.75</v>
      </c>
      <c r="D1319" s="18"/>
      <c r="E1319" s="17" t="s">
        <v>3650</v>
      </c>
      <c r="F1319" s="17"/>
      <c r="G1319" s="18"/>
      <c r="H1319" s="18"/>
    </row>
    <row r="1320" spans="1:8" ht="13.2">
      <c r="A1320" s="19" t="str">
        <f>HYPERLINK("http://codeforces.com/contest/190/problem/E", "CF190-D2-E")</f>
        <v>CF190-D2-E</v>
      </c>
      <c r="B1320" s="20" t="s">
        <v>3657</v>
      </c>
      <c r="C1320" s="21">
        <v>6.75</v>
      </c>
      <c r="D1320" s="26" t="str">
        <f>HYPERLINK("https://github.com/tmwilliamlin168/CompetitiveProgramming/blob/master/CodeForces/CF190-D2-E.cpp", "SolToMe")</f>
        <v>SolToMe</v>
      </c>
      <c r="E1320" s="17" t="s">
        <v>3650</v>
      </c>
      <c r="F1320" s="17"/>
      <c r="G1320" s="18"/>
      <c r="H1320" s="18"/>
    </row>
    <row r="1321" spans="1:8" ht="13.2">
      <c r="A1321" s="15" t="s">
        <v>3685</v>
      </c>
      <c r="B1321" s="30" t="s">
        <v>3686</v>
      </c>
      <c r="C1321" s="24">
        <v>6.75</v>
      </c>
      <c r="D1321" s="18"/>
      <c r="E1321" s="24" t="s">
        <v>3650</v>
      </c>
      <c r="F1321" s="17"/>
      <c r="G1321" s="18"/>
      <c r="H1321" s="18"/>
    </row>
    <row r="1322" spans="1:8" ht="13.2">
      <c r="A1322" s="15" t="s">
        <v>3800</v>
      </c>
      <c r="B1322" s="28" t="s">
        <v>3801</v>
      </c>
      <c r="C1322" s="24">
        <v>6.75</v>
      </c>
      <c r="D1322" s="18" t="s">
        <v>3802</v>
      </c>
      <c r="E1322" s="17" t="s">
        <v>3784</v>
      </c>
      <c r="F1322" s="17"/>
      <c r="G1322" s="18"/>
      <c r="H1322" s="18"/>
    </row>
    <row r="1323" spans="1:8" ht="13.2">
      <c r="A1323" s="19" t="str">
        <f>HYPERLINK("http://codeforces.com/contest/358/problem/E","CF358-D2-E")</f>
        <v>CF358-D2-E</v>
      </c>
      <c r="B1323" s="29" t="s">
        <v>3962</v>
      </c>
      <c r="C1323" s="24">
        <v>6.75</v>
      </c>
      <c r="D1323" s="18"/>
      <c r="E1323" s="17" t="s">
        <v>3955</v>
      </c>
      <c r="F1323" s="17"/>
      <c r="G1323" s="18"/>
      <c r="H1323" s="18"/>
    </row>
    <row r="1324" spans="1:8" ht="13.2">
      <c r="A1324" s="15" t="s">
        <v>4165</v>
      </c>
      <c r="B1324" s="30" t="s">
        <v>4166</v>
      </c>
      <c r="C1324" s="24">
        <v>6.75</v>
      </c>
      <c r="D1324" s="18"/>
      <c r="E1324" s="17" t="s">
        <v>4144</v>
      </c>
      <c r="F1324" s="17"/>
      <c r="G1324" s="18"/>
      <c r="H1324" s="18"/>
    </row>
    <row r="1325" spans="1:8" ht="13.2">
      <c r="A1325" s="15" t="s">
        <v>4167</v>
      </c>
      <c r="B1325" s="39" t="s">
        <v>4164</v>
      </c>
      <c r="C1325" s="24">
        <v>6.75</v>
      </c>
      <c r="D1325" s="18"/>
      <c r="E1325" s="17" t="s">
        <v>4144</v>
      </c>
      <c r="F1325" s="17"/>
      <c r="G1325" s="18"/>
      <c r="H1325" s="18"/>
    </row>
    <row r="1326" spans="1:8" ht="13.2">
      <c r="A1326" s="15" t="s">
        <v>4168</v>
      </c>
      <c r="B1326" s="58" t="s">
        <v>4169</v>
      </c>
      <c r="C1326" s="17">
        <v>6.75</v>
      </c>
      <c r="D1326" s="18"/>
      <c r="E1326" s="17" t="s">
        <v>4144</v>
      </c>
      <c r="F1326" s="17"/>
      <c r="G1326" s="18"/>
      <c r="H1326" s="18"/>
    </row>
    <row r="1327" spans="1:8" ht="13.2">
      <c r="A1327" s="19" t="str">
        <f>HYPERLINK("http://codeforces.com/contest/277/problem/E","CF277-D1-E")</f>
        <v>CF277-D1-E</v>
      </c>
      <c r="B1327" s="29" t="s">
        <v>4245</v>
      </c>
      <c r="C1327" s="17">
        <v>6.75</v>
      </c>
      <c r="D1327" s="18"/>
      <c r="E1327" s="17" t="s">
        <v>4238</v>
      </c>
      <c r="F1327" s="17"/>
      <c r="G1327" s="18"/>
      <c r="H1327" s="18"/>
    </row>
    <row r="1328" spans="1:8" ht="13.2">
      <c r="A1328" s="15" t="s">
        <v>724</v>
      </c>
      <c r="B1328" s="38" t="s">
        <v>721</v>
      </c>
      <c r="C1328" s="24">
        <v>6.75</v>
      </c>
      <c r="D1328" s="18"/>
      <c r="E1328" s="17" t="s">
        <v>719</v>
      </c>
      <c r="F1328" s="17"/>
      <c r="G1328" s="18"/>
      <c r="H1328" s="18"/>
    </row>
    <row r="1329" spans="1:8" ht="13.2">
      <c r="A1329" s="15" t="s">
        <v>4466</v>
      </c>
      <c r="B1329" s="38" t="s">
        <v>4467</v>
      </c>
      <c r="C1329" s="24">
        <v>6.75</v>
      </c>
      <c r="D1329" s="18"/>
      <c r="E1329" s="17" t="s">
        <v>4454</v>
      </c>
      <c r="F1329" s="17"/>
      <c r="G1329" s="18"/>
      <c r="H1329" s="18"/>
    </row>
    <row r="1330" spans="1:8" ht="13.2">
      <c r="A1330" s="15" t="s">
        <v>4591</v>
      </c>
      <c r="B1330" s="29" t="s">
        <v>4530</v>
      </c>
      <c r="C1330" s="24">
        <v>6.75</v>
      </c>
      <c r="D1330" s="26" t="str">
        <f>HYPERLINK("https://apps.topcoder.com/forums//?module=Thread&amp;threadID=743163&amp;start=0","Explantation")</f>
        <v>Explantation</v>
      </c>
      <c r="E1330" s="17" t="s">
        <v>4531</v>
      </c>
      <c r="F1330" s="17"/>
      <c r="G1330" s="18"/>
      <c r="H1330" s="18"/>
    </row>
    <row r="1331" spans="1:8" ht="13.2">
      <c r="A1331" s="15" t="s">
        <v>4592</v>
      </c>
      <c r="B1331" s="29" t="s">
        <v>4530</v>
      </c>
      <c r="C1331" s="24">
        <v>6.75</v>
      </c>
      <c r="D1331" s="18"/>
      <c r="E1331" s="17" t="s">
        <v>4531</v>
      </c>
      <c r="F1331" s="17"/>
      <c r="G1331" s="18"/>
      <c r="H1331" s="18"/>
    </row>
    <row r="1332" spans="1:8" ht="13.2">
      <c r="A1332" s="15" t="s">
        <v>4593</v>
      </c>
      <c r="B1332" s="29" t="s">
        <v>4594</v>
      </c>
      <c r="C1332" s="24">
        <v>6.75</v>
      </c>
      <c r="D1332" s="18" t="s">
        <v>2519</v>
      </c>
      <c r="E1332" s="17" t="s">
        <v>4531</v>
      </c>
      <c r="F1332" s="17"/>
      <c r="G1332" s="18"/>
      <c r="H1332" s="18"/>
    </row>
    <row r="1333" spans="1:8" ht="13.2">
      <c r="A1333" s="19" t="str">
        <f>HYPERLINK("https://onlinejudge.org/index.php?option=onlinejudge&amp;page=show_problem&amp;problem=1568","UVA 10627")</f>
        <v>UVA 10627</v>
      </c>
      <c r="B1333" s="28" t="s">
        <v>4777</v>
      </c>
      <c r="C1333" s="24">
        <v>6.75</v>
      </c>
      <c r="D1333" s="26" t="str">
        <f>HYPERLINK("http://www.voidcn.com/article/p-qcwodmzg-bha.html","Sol")</f>
        <v>Sol</v>
      </c>
      <c r="E1333" s="17" t="s">
        <v>4778</v>
      </c>
      <c r="F1333" s="17"/>
      <c r="G1333" s="18"/>
      <c r="H1333" s="18"/>
    </row>
    <row r="1334" spans="1:8" ht="13.2">
      <c r="A1334" s="15" t="s">
        <v>4886</v>
      </c>
      <c r="B1334" s="34" t="s">
        <v>4884</v>
      </c>
      <c r="C1334" s="17">
        <v>6.75</v>
      </c>
      <c r="D1334" s="18"/>
      <c r="E1334" s="17" t="s">
        <v>4885</v>
      </c>
      <c r="F1334" s="17"/>
      <c r="G1334" s="18"/>
      <c r="H1334" s="18"/>
    </row>
    <row r="1335" spans="1:8" ht="13.2">
      <c r="A1335" s="15" t="s">
        <v>4901</v>
      </c>
      <c r="B1335" s="29" t="s">
        <v>4902</v>
      </c>
      <c r="C1335" s="24">
        <v>6.75</v>
      </c>
      <c r="D1335" s="18"/>
      <c r="E1335" s="17" t="s">
        <v>4893</v>
      </c>
      <c r="F1335" s="17"/>
      <c r="G1335" s="18"/>
      <c r="H1335" s="18"/>
    </row>
    <row r="1336" spans="1:8" ht="13.2">
      <c r="A1336" s="15" t="s">
        <v>801</v>
      </c>
      <c r="B1336" s="28" t="s">
        <v>797</v>
      </c>
      <c r="C1336" s="24">
        <v>6.75</v>
      </c>
      <c r="D1336" s="18"/>
      <c r="E1336" s="17" t="s">
        <v>798</v>
      </c>
      <c r="F1336" s="17"/>
      <c r="G1336" s="18"/>
      <c r="H1336" s="18"/>
    </row>
    <row r="1337" spans="1:8" ht="13.2">
      <c r="A1337" s="19" t="str">
        <f>HYPERLINK("http://codeforces.com/contest/305/problem/D","CF305-D2-D")</f>
        <v>CF305-D2-D</v>
      </c>
      <c r="B1337" s="29" t="s">
        <v>4964</v>
      </c>
      <c r="C1337" s="17">
        <v>6.75</v>
      </c>
      <c r="D1337" s="18"/>
      <c r="E1337" s="17" t="s">
        <v>4958</v>
      </c>
      <c r="F1337" s="17"/>
      <c r="G1337" s="18"/>
      <c r="H1337" s="18"/>
    </row>
    <row r="1338" spans="1:8" ht="13.2">
      <c r="A1338" s="15" t="s">
        <v>5178</v>
      </c>
      <c r="B1338" s="28" t="s">
        <v>5179</v>
      </c>
      <c r="C1338" s="24">
        <v>6.75</v>
      </c>
      <c r="D1338" s="18"/>
      <c r="E1338" s="17" t="s">
        <v>5168</v>
      </c>
      <c r="F1338" s="17"/>
      <c r="G1338" s="18"/>
      <c r="H1338" s="18"/>
    </row>
    <row r="1339" spans="1:8" ht="13.2">
      <c r="A1339" s="15" t="s">
        <v>5180</v>
      </c>
      <c r="B1339" s="28" t="s">
        <v>5179</v>
      </c>
      <c r="C1339" s="24">
        <v>6.75</v>
      </c>
      <c r="D1339" s="18"/>
      <c r="E1339" s="17" t="s">
        <v>5168</v>
      </c>
      <c r="F1339" s="17"/>
      <c r="G1339" s="18"/>
      <c r="H1339" s="18"/>
    </row>
    <row r="1340" spans="1:8" ht="13.2">
      <c r="A1340" s="15" t="s">
        <v>5181</v>
      </c>
      <c r="B1340" s="28" t="s">
        <v>5182</v>
      </c>
      <c r="C1340" s="24">
        <v>6.75</v>
      </c>
      <c r="D1340" s="18"/>
      <c r="E1340" s="17" t="s">
        <v>5168</v>
      </c>
      <c r="F1340" s="17"/>
      <c r="G1340" s="18"/>
      <c r="H1340" s="18"/>
    </row>
    <row r="1341" spans="1:8" ht="13.2">
      <c r="A1341" s="15" t="s">
        <v>5183</v>
      </c>
      <c r="B1341" s="29" t="s">
        <v>5184</v>
      </c>
      <c r="C1341" s="24">
        <v>6.75</v>
      </c>
      <c r="D1341" s="18"/>
      <c r="E1341" s="17" t="s">
        <v>5168</v>
      </c>
      <c r="F1341" s="17"/>
      <c r="G1341" s="18"/>
      <c r="H1341" s="18"/>
    </row>
    <row r="1342" spans="1:8" ht="13.2">
      <c r="A1342" s="15" t="s">
        <v>5185</v>
      </c>
      <c r="B1342" s="29" t="s">
        <v>5186</v>
      </c>
      <c r="C1342" s="24">
        <v>6.75</v>
      </c>
      <c r="D1342" s="18"/>
      <c r="E1342" s="17" t="s">
        <v>5168</v>
      </c>
      <c r="F1342" s="17"/>
      <c r="G1342" s="18"/>
      <c r="H1342" s="18"/>
    </row>
    <row r="1343" spans="1:8" ht="13.2">
      <c r="A1343" s="15" t="s">
        <v>5187</v>
      </c>
      <c r="B1343" s="29" t="s">
        <v>5188</v>
      </c>
      <c r="C1343" s="24">
        <v>6.75</v>
      </c>
      <c r="D1343" s="18"/>
      <c r="E1343" s="17" t="s">
        <v>5168</v>
      </c>
      <c r="F1343" s="17"/>
      <c r="G1343" s="18"/>
      <c r="H1343" s="18"/>
    </row>
    <row r="1344" spans="1:8" ht="13.2">
      <c r="A1344" s="19" t="str">
        <f>HYPERLINK("http://codeforces.com/contest/107/problem/D","CF107-D1-D")</f>
        <v>CF107-D1-D</v>
      </c>
      <c r="B1344" s="29" t="s">
        <v>5267</v>
      </c>
      <c r="C1344" s="17">
        <v>6.75</v>
      </c>
      <c r="D1344" s="18"/>
      <c r="E1344" s="17" t="s">
        <v>5246</v>
      </c>
      <c r="F1344" s="17"/>
      <c r="G1344" s="18"/>
      <c r="H1344" s="18"/>
    </row>
    <row r="1345" spans="1:8" ht="13.2">
      <c r="A1345" s="19" t="str">
        <f>HYPERLINK("http://codeforces.com/contest/993/problem/D", "CF993-D1-D")</f>
        <v>CF993-D1-D</v>
      </c>
      <c r="B1345" s="20" t="s">
        <v>822</v>
      </c>
      <c r="C1345" s="21">
        <v>6.75</v>
      </c>
      <c r="D1345" s="26" t="str">
        <f>HYPERLINK("https://github.com/tmwilliamlin168/CompetitiveProgramming/blob/master/CodeForces/CF0993-D1-D.cpp", "Sol")</f>
        <v>Sol</v>
      </c>
      <c r="E1345" s="17" t="s">
        <v>805</v>
      </c>
      <c r="F1345" s="17"/>
      <c r="G1345" s="18"/>
      <c r="H1345" s="18"/>
    </row>
    <row r="1346" spans="1:8" ht="13.2">
      <c r="A1346" s="15" t="s">
        <v>5327</v>
      </c>
      <c r="B1346" s="29" t="s">
        <v>5309</v>
      </c>
      <c r="C1346" s="24">
        <v>6.75</v>
      </c>
      <c r="D1346" s="18"/>
      <c r="E1346" s="17" t="s">
        <v>5310</v>
      </c>
      <c r="F1346" s="17"/>
      <c r="G1346" s="18"/>
      <c r="H1346" s="18"/>
    </row>
    <row r="1347" spans="1:8" ht="13.2">
      <c r="A1347" s="15" t="s">
        <v>5362</v>
      </c>
      <c r="B1347" s="29" t="s">
        <v>5349</v>
      </c>
      <c r="C1347" s="24">
        <v>6.75</v>
      </c>
      <c r="D1347" s="18"/>
      <c r="E1347" s="17" t="s">
        <v>5346</v>
      </c>
      <c r="F1347" s="17"/>
      <c r="G1347" s="18"/>
      <c r="H1347" s="18"/>
    </row>
    <row r="1348" spans="1:8" ht="13.2">
      <c r="A1348" s="15" t="s">
        <v>5363</v>
      </c>
      <c r="B1348" s="38" t="s">
        <v>5364</v>
      </c>
      <c r="C1348" s="24">
        <v>6.75</v>
      </c>
      <c r="D1348" s="18"/>
      <c r="E1348" s="17" t="s">
        <v>5346</v>
      </c>
      <c r="F1348" s="17"/>
      <c r="G1348" s="18"/>
      <c r="H1348" s="18"/>
    </row>
    <row r="1349" spans="1:8" ht="13.2">
      <c r="A1349" s="15" t="s">
        <v>5365</v>
      </c>
      <c r="B1349" s="29" t="s">
        <v>5366</v>
      </c>
      <c r="C1349" s="24">
        <v>6.75</v>
      </c>
      <c r="D1349" s="18"/>
      <c r="E1349" s="17" t="s">
        <v>5346</v>
      </c>
      <c r="F1349" s="17"/>
      <c r="G1349" s="18"/>
      <c r="H1349" s="18"/>
    </row>
    <row r="1350" spans="1:8" ht="13.2">
      <c r="A1350" s="15" t="s">
        <v>5442</v>
      </c>
      <c r="B1350" s="30" t="s">
        <v>5420</v>
      </c>
      <c r="C1350" s="24">
        <v>6.75</v>
      </c>
      <c r="D1350" s="18"/>
      <c r="E1350" s="17" t="s">
        <v>5414</v>
      </c>
      <c r="F1350" s="17"/>
      <c r="G1350" s="18"/>
      <c r="H1350" s="18"/>
    </row>
    <row r="1351" spans="1:8" ht="13.2">
      <c r="A1351" s="15" t="s">
        <v>5443</v>
      </c>
      <c r="B1351" s="38" t="s">
        <v>5444</v>
      </c>
      <c r="C1351" s="24">
        <v>6.75</v>
      </c>
      <c r="D1351" s="18"/>
      <c r="E1351" s="17" t="s">
        <v>5414</v>
      </c>
      <c r="F1351" s="17"/>
      <c r="G1351" s="18"/>
      <c r="H1351" s="18"/>
    </row>
    <row r="1352" spans="1:8" ht="13.2">
      <c r="A1352" s="15" t="s">
        <v>5499</v>
      </c>
      <c r="B1352" s="30" t="s">
        <v>5500</v>
      </c>
      <c r="C1352" s="24">
        <v>6.75</v>
      </c>
      <c r="D1352" s="18"/>
      <c r="E1352" s="17" t="s">
        <v>5501</v>
      </c>
      <c r="F1352" s="17"/>
      <c r="G1352" s="18"/>
      <c r="H1352" s="18"/>
    </row>
    <row r="1353" spans="1:8" ht="13.2">
      <c r="A1353" s="19" t="str">
        <f>HYPERLINK("http://codeforces.com/contest/711/problem/E","CF711-D2-E")</f>
        <v>CF711-D2-E</v>
      </c>
      <c r="B1353" s="15" t="s">
        <v>5546</v>
      </c>
      <c r="C1353" s="24">
        <v>6.75</v>
      </c>
      <c r="D1353" s="18"/>
      <c r="E1353" s="17" t="s">
        <v>5524</v>
      </c>
      <c r="F1353" s="17"/>
      <c r="G1353" s="18"/>
      <c r="H1353" s="18"/>
    </row>
    <row r="1354" spans="1:8" ht="13.2">
      <c r="A1354" s="15" t="s">
        <v>5631</v>
      </c>
      <c r="B1354" s="43" t="s">
        <v>5632</v>
      </c>
      <c r="C1354" s="24">
        <v>6.75</v>
      </c>
      <c r="D1354" s="18" t="s">
        <v>5633</v>
      </c>
      <c r="E1354" s="17" t="s">
        <v>5626</v>
      </c>
      <c r="F1354" s="17"/>
      <c r="G1354" s="18"/>
      <c r="H1354" s="18"/>
    </row>
    <row r="1355" spans="1:8" ht="13.2">
      <c r="A1355" s="15" t="s">
        <v>3307</v>
      </c>
      <c r="B1355" s="18" t="s">
        <v>3308</v>
      </c>
      <c r="C1355" s="31">
        <v>6.7</v>
      </c>
      <c r="D1355" s="18" t="s">
        <v>2354</v>
      </c>
      <c r="E1355" s="17" t="s">
        <v>3257</v>
      </c>
      <c r="F1355" s="17" t="s">
        <v>173</v>
      </c>
      <c r="G1355" s="18"/>
      <c r="H1355" s="18"/>
    </row>
    <row r="1356" spans="1:8" ht="13.2">
      <c r="A1356" s="15" t="s">
        <v>1932</v>
      </c>
      <c r="B1356" s="30" t="s">
        <v>1933</v>
      </c>
      <c r="C1356" s="24">
        <v>6.7</v>
      </c>
      <c r="D1356" s="26" t="str">
        <f>HYPERLINK("https://github.com/dasannagariraja/CompetitiveProgramming/blob/master/TopCoder/SRM532-D1-500.cpp","Sol")</f>
        <v>Sol</v>
      </c>
      <c r="E1356" s="17" t="s">
        <v>1909</v>
      </c>
      <c r="F1356" s="17" t="s">
        <v>154</v>
      </c>
      <c r="G1356" s="18"/>
      <c r="H1356" s="18"/>
    </row>
    <row r="1357" spans="1:8" ht="13.2">
      <c r="A1357" s="19" t="str">
        <f>HYPERLINK("http://codeforces.com/contest/909/problem/F","CF909-D2-F")</f>
        <v>CF909-D2-F</v>
      </c>
      <c r="B1357" s="18" t="s">
        <v>171</v>
      </c>
      <c r="C1357" s="17">
        <v>6.7</v>
      </c>
      <c r="D1357" s="18"/>
      <c r="E1357" s="17" t="s">
        <v>125</v>
      </c>
      <c r="F1357" s="17" t="s">
        <v>139</v>
      </c>
      <c r="G1357" s="18"/>
      <c r="H1357" s="18"/>
    </row>
    <row r="1358" spans="1:8" ht="13.2">
      <c r="A1358" s="19" t="str">
        <f>HYPERLINK("http://agc025.contest.atcoder.jp/tasks/agc025_d","AtCoder025-AGC-D")</f>
        <v>AtCoder025-AGC-D</v>
      </c>
      <c r="B1358" s="15" t="s">
        <v>3309</v>
      </c>
      <c r="C1358" s="17">
        <v>6.7</v>
      </c>
      <c r="D1358" s="18"/>
      <c r="E1358" s="17" t="s">
        <v>3257</v>
      </c>
      <c r="F1358" s="17" t="s">
        <v>139</v>
      </c>
      <c r="G1358" s="18"/>
      <c r="H1358" s="18"/>
    </row>
    <row r="1359" spans="1:8" ht="13.2">
      <c r="A1359" s="19" t="str">
        <f>HYPERLINK("https://codeforces.com/contest/1061/problem/F","CF1061-D2-F")</f>
        <v>CF1061-D2-F</v>
      </c>
      <c r="B1359" s="15" t="s">
        <v>5367</v>
      </c>
      <c r="C1359" s="17">
        <v>6.7</v>
      </c>
      <c r="D1359" s="18"/>
      <c r="E1359" s="17" t="s">
        <v>5346</v>
      </c>
      <c r="F1359" s="17" t="s">
        <v>139</v>
      </c>
      <c r="G1359" s="18"/>
      <c r="H1359" s="18"/>
    </row>
    <row r="1360" spans="1:8" ht="13.2">
      <c r="A1360" s="19" t="str">
        <f>HYPERLINK("http://codeforces.com/contest/986/problem/C","CF986-D1-C")</f>
        <v>CF986-D1-C</v>
      </c>
      <c r="B1360" s="20" t="s">
        <v>3310</v>
      </c>
      <c r="C1360" s="21">
        <v>6.6</v>
      </c>
      <c r="D1360" s="18"/>
      <c r="E1360" s="17" t="s">
        <v>3257</v>
      </c>
      <c r="F1360" s="17" t="s">
        <v>3311</v>
      </c>
      <c r="G1360" s="18"/>
      <c r="H1360" s="18"/>
    </row>
    <row r="1361" spans="1:8" ht="13.2">
      <c r="A1361" s="15" t="s">
        <v>5925</v>
      </c>
      <c r="B1361" s="28" t="s">
        <v>5926</v>
      </c>
      <c r="C1361" s="24">
        <v>6.6</v>
      </c>
      <c r="D1361" s="26" t="str">
        <f>HYPERLINK("https://github.com/omaryasser/Competitive-Programming/blob/master/SPOJ%20solutions/COT2%20-%20Count%20on%20a%20tree%20II.cpp","Sol")</f>
        <v>Sol</v>
      </c>
      <c r="E1361" s="17" t="s">
        <v>5915</v>
      </c>
      <c r="F1361" s="17" t="s">
        <v>173</v>
      </c>
      <c r="G1361" s="18"/>
      <c r="H1361" s="18"/>
    </row>
    <row r="1362" spans="1:8" ht="13.2">
      <c r="A1362" s="19" t="str">
        <f>HYPERLINK("http://codeforces.com/problemset/problem/815/C","CF815-D1-C")</f>
        <v>CF815-D1-C</v>
      </c>
      <c r="B1362" s="15" t="s">
        <v>6152</v>
      </c>
      <c r="C1362" s="17">
        <v>6.6</v>
      </c>
      <c r="D1362" s="26" t="str">
        <f>HYPERLINK(" http://codeforces.com/blog/entry/18523","Try, then read")</f>
        <v>Try, then read</v>
      </c>
      <c r="E1362" s="17" t="s">
        <v>6151</v>
      </c>
      <c r="F1362" s="17" t="s">
        <v>173</v>
      </c>
      <c r="G1362" s="18"/>
      <c r="H1362" s="18"/>
    </row>
    <row r="1363" spans="1:8" ht="13.2">
      <c r="A1363" s="19" t="str">
        <f>HYPERLINK("http://codeforces.com/problemset/gymProblem/101064/B","CF101064-GYM-B")</f>
        <v>CF101064-GYM-B</v>
      </c>
      <c r="B1363" s="29" t="s">
        <v>1934</v>
      </c>
      <c r="C1363" s="17">
        <v>6.6</v>
      </c>
      <c r="D1363" s="26" t="str">
        <f>HYPERLINK("https://github.com/mostafa-saad/MyCompetitiveProgramming/blob/master/Codeforces/CF101064-GYM-B.txt","Sol")</f>
        <v>Sol</v>
      </c>
      <c r="E1363" s="17" t="s">
        <v>1909</v>
      </c>
      <c r="F1363" s="17" t="s">
        <v>173</v>
      </c>
      <c r="G1363" s="18"/>
      <c r="H1363" s="18"/>
    </row>
    <row r="1364" spans="1:8" ht="13.2">
      <c r="A1364" s="19" t="str">
        <f>HYPERLINK("https://community.topcoder.com/stat?c=problem_statement&amp;pm=3501","TC(DRIVING)")</f>
        <v>TC(DRIVING)</v>
      </c>
      <c r="B1364" s="29" t="s">
        <v>915</v>
      </c>
      <c r="C1364" s="24">
        <v>6.6</v>
      </c>
      <c r="D1364" s="26" t="str">
        <f>HYPERLINK("https://www.topcoder.com/tc?module=Static&amp;d1=match_editorials&amp;d2=tccc05_online_rd_2","Editorial")</f>
        <v>Editorial</v>
      </c>
      <c r="E1364" s="17" t="s">
        <v>910</v>
      </c>
      <c r="F1364" s="17" t="s">
        <v>154</v>
      </c>
      <c r="G1364" s="18"/>
      <c r="H1364" s="18"/>
    </row>
    <row r="1365" spans="1:8" ht="13.2">
      <c r="A1365" s="19" t="str">
        <f>HYPERLINK("http://codeforces.com/contest/719/problem/E","CF719-D2-E")</f>
        <v>CF719-D2-E</v>
      </c>
      <c r="B1365" s="15" t="s">
        <v>1086</v>
      </c>
      <c r="C1365" s="24">
        <v>6.6</v>
      </c>
      <c r="D1365" s="18"/>
      <c r="E1365" s="17" t="s">
        <v>1018</v>
      </c>
      <c r="F1365" s="17" t="s">
        <v>154</v>
      </c>
      <c r="G1365" s="18"/>
      <c r="H1365" s="18"/>
    </row>
    <row r="1366" spans="1:8" ht="13.2">
      <c r="A1366" s="19" t="str">
        <f>HYPERLINK("https://codeforces.com/gym/102028/problem/J","CF102028-GYM-J")</f>
        <v>CF102028-GYM-J</v>
      </c>
      <c r="B1366" s="15" t="s">
        <v>4595</v>
      </c>
      <c r="C1366" s="17">
        <v>6.6</v>
      </c>
      <c r="D1366" s="26" t="str">
        <f>HYPERLINK("https://github.com/WaleedAbdelhakim/Competitive-Programming/blob/master/CodeForces/CF102028-GYM-J.cpp","Sol(no editorial)")</f>
        <v>Sol(no editorial)</v>
      </c>
      <c r="E1366" s="17" t="s">
        <v>4531</v>
      </c>
      <c r="F1366" s="17" t="s">
        <v>154</v>
      </c>
      <c r="G1366" s="18"/>
      <c r="H1366" s="18"/>
    </row>
    <row r="1367" spans="1:8" ht="13.2">
      <c r="A1367" s="15" t="s">
        <v>3161</v>
      </c>
      <c r="B1367" s="28" t="s">
        <v>6548</v>
      </c>
      <c r="C1367" s="24">
        <v>6.6</v>
      </c>
      <c r="D1367" s="26" t="str">
        <f>HYPERLINK("https://github.com/mostafa-saad/MyCompetitiveProgramming/blob/master/SPOJ/SPOJ_RAIN1.txt","Sol")</f>
        <v>Sol</v>
      </c>
      <c r="E1367" s="17" t="s">
        <v>3140</v>
      </c>
      <c r="F1367" s="17" t="s">
        <v>1164</v>
      </c>
      <c r="G1367" s="18"/>
      <c r="H1367" s="18"/>
    </row>
    <row r="1368" spans="1:8" ht="13.2">
      <c r="A1368" s="19" t="str">
        <f>HYPERLINK("https://icpcarchive.ecs.baylor.edu/index.php?option=com_onlinejudge&amp;Itemid=8&amp;category=683&amp;page=show_problem&amp;problem=5248","LIVEARCHIVE 7236")</f>
        <v>LIVEARCHIVE 7236</v>
      </c>
      <c r="B1368" s="20" t="s">
        <v>6466</v>
      </c>
      <c r="C1368" s="17">
        <v>6.6</v>
      </c>
      <c r="D1368" s="26" t="str">
        <f>HYPERLINK("https://github.com/mostafa-saad/MyCompetitiveProgramming/blob/master/LiveArchive/LIVEARCHIVE_7236.txt","Sol")</f>
        <v>Sol</v>
      </c>
      <c r="E1368" s="17" t="s">
        <v>6459</v>
      </c>
      <c r="F1368" s="17" t="s">
        <v>139</v>
      </c>
      <c r="G1368" s="18"/>
      <c r="H1368" s="18"/>
    </row>
    <row r="1369" spans="1:8" ht="13.2">
      <c r="A1369" s="15" t="s">
        <v>1728</v>
      </c>
      <c r="B1369" s="30" t="s">
        <v>1729</v>
      </c>
      <c r="C1369" s="17">
        <v>6.6</v>
      </c>
      <c r="D1369" s="18"/>
      <c r="E1369" s="17" t="s">
        <v>1730</v>
      </c>
      <c r="F1369" s="17" t="s">
        <v>139</v>
      </c>
      <c r="G1369" s="18"/>
      <c r="H1369" s="18"/>
    </row>
    <row r="1370" spans="1:8" ht="13.2">
      <c r="A1370" s="19" t="str">
        <f>HYPERLINK("http://codeforces.com/gym/101808/problem/D","CF101808-gym-D")</f>
        <v>CF101808-gym-D</v>
      </c>
      <c r="B1370" s="20" t="s">
        <v>2086</v>
      </c>
      <c r="C1370" s="17">
        <v>6.6</v>
      </c>
      <c r="D1370" s="26" t="str">
        <f>HYPERLINK("https://github.com/MetalBall887/Competitive-Programming/blob/master/CodeForces/CF101808-gym-D.cpp","Sol")</f>
        <v>Sol</v>
      </c>
      <c r="E1370" s="17" t="s">
        <v>2074</v>
      </c>
      <c r="F1370" s="17" t="s">
        <v>139</v>
      </c>
      <c r="G1370" s="18"/>
      <c r="H1370" s="18"/>
    </row>
    <row r="1371" spans="1:8" ht="13.2">
      <c r="A1371" s="19" t="str">
        <f>HYPERLINK("https://agc010.contest.atcoder.jp/tasks/agc010_d","AtCoder010-AGC-D")</f>
        <v>AtCoder010-AGC-D</v>
      </c>
      <c r="B1371" s="15" t="s">
        <v>2406</v>
      </c>
      <c r="C1371" s="17">
        <v>6.6</v>
      </c>
      <c r="D1371" s="18"/>
      <c r="E1371" s="17" t="s">
        <v>2394</v>
      </c>
      <c r="F1371" s="17" t="s">
        <v>139</v>
      </c>
      <c r="G1371" s="18"/>
      <c r="H1371" s="18"/>
    </row>
    <row r="1372" spans="1:8" ht="13.2">
      <c r="A1372" s="19" t="str">
        <f>HYPERLINK("https://codeforces.com/contest/1143/problem/F","CF1143-D2-F")</f>
        <v>CF1143-D2-F</v>
      </c>
      <c r="B1372" s="15" t="s">
        <v>3094</v>
      </c>
      <c r="C1372" s="17">
        <v>6.6</v>
      </c>
      <c r="D1372" s="18"/>
      <c r="E1372" s="17" t="s">
        <v>3065</v>
      </c>
      <c r="F1372" s="17" t="s">
        <v>139</v>
      </c>
      <c r="G1372" s="18"/>
      <c r="H1372" s="18"/>
    </row>
    <row r="1373" spans="1:8" ht="13.2">
      <c r="A1373" s="19" t="str">
        <f>HYPERLINK("https://codeforces.com/contest/1239/problem/D","CF1239-D1-D")</f>
        <v>CF1239-D1-D</v>
      </c>
      <c r="B1373" s="20" t="s">
        <v>4346</v>
      </c>
      <c r="C1373" s="21">
        <v>6.6</v>
      </c>
      <c r="D1373" s="18"/>
      <c r="E1373" s="17" t="s">
        <v>4344</v>
      </c>
      <c r="F1373" s="17" t="s">
        <v>139</v>
      </c>
      <c r="G1373" s="18"/>
      <c r="H1373" s="18"/>
    </row>
    <row r="1374" spans="1:8" ht="13.2">
      <c r="A1374" s="19" t="str">
        <f>HYPERLINK("http://codeforces.com/contest/627/problem/D","CF627-D12-D")</f>
        <v>CF627-D12-D</v>
      </c>
      <c r="B1374" s="15" t="s">
        <v>823</v>
      </c>
      <c r="C1374" s="24">
        <v>6.6</v>
      </c>
      <c r="D1374" s="18"/>
      <c r="E1374" s="17" t="s">
        <v>805</v>
      </c>
      <c r="F1374" s="17" t="s">
        <v>139</v>
      </c>
      <c r="G1374" s="18"/>
      <c r="H1374" s="18"/>
    </row>
    <row r="1375" spans="1:8" ht="13.2">
      <c r="A1375" s="19" t="str">
        <f>HYPERLINK("https://codeforces.com/contest/989/problem/D","CF989-D2-D")</f>
        <v>CF989-D2-D</v>
      </c>
      <c r="B1375" s="23" t="s">
        <v>818</v>
      </c>
      <c r="C1375" s="17">
        <v>6.6</v>
      </c>
      <c r="D1375" s="18"/>
      <c r="E1375" s="17" t="s">
        <v>805</v>
      </c>
      <c r="F1375" s="17" t="s">
        <v>139</v>
      </c>
      <c r="G1375" s="18"/>
      <c r="H1375" s="18"/>
    </row>
    <row r="1376" spans="1:8" ht="13.2">
      <c r="A1376" s="19" t="str">
        <f>HYPERLINK("http://agc032.contest.atcoder.jp/tasks/agc032_d","AtCoder032-AGC-D")</f>
        <v>AtCoder032-AGC-D</v>
      </c>
      <c r="B1376" s="15" t="s">
        <v>1348</v>
      </c>
      <c r="C1376" s="17">
        <v>6.6</v>
      </c>
      <c r="D1376" s="18"/>
      <c r="E1376" s="17" t="s">
        <v>1337</v>
      </c>
      <c r="F1376" s="17" t="s">
        <v>201</v>
      </c>
      <c r="G1376" s="18"/>
      <c r="H1376" s="18"/>
    </row>
    <row r="1377" spans="1:8" ht="13.2">
      <c r="A1377" s="19" t="str">
        <f>HYPERLINK("http://agc027.contest.atcoder.jp/tasks/agc027_d","AtCoder027-AGC-D")</f>
        <v>AtCoder027-AGC-D</v>
      </c>
      <c r="B1377" s="15" t="s">
        <v>2175</v>
      </c>
      <c r="C1377" s="17">
        <v>6.6</v>
      </c>
      <c r="D1377" s="18"/>
      <c r="E1377" s="17" t="s">
        <v>2153</v>
      </c>
      <c r="F1377" s="17" t="s">
        <v>201</v>
      </c>
      <c r="G1377" s="18"/>
      <c r="H1377" s="18"/>
    </row>
    <row r="1378" spans="1:8" ht="13.2">
      <c r="A1378" s="19" t="str">
        <f>HYPERLINK("http://poj.org/problem?id=1279","PKU 1279")</f>
        <v>PKU 1279</v>
      </c>
      <c r="B1378" s="29" t="s">
        <v>3043</v>
      </c>
      <c r="C1378" s="17">
        <v>6.6</v>
      </c>
      <c r="D1378" s="26" t="str">
        <f>HYPERLINK("https://github.com/quangloc99/CompetitiveProgramming/blob/master/POJ/1279.cpp","Sol")</f>
        <v>Sol</v>
      </c>
      <c r="E1378" s="17" t="s">
        <v>3041</v>
      </c>
      <c r="F1378" s="17" t="s">
        <v>201</v>
      </c>
      <c r="G1378" s="18"/>
      <c r="H1378" s="18"/>
    </row>
    <row r="1379" spans="1:8" ht="13.2">
      <c r="A1379" s="15" t="s">
        <v>3095</v>
      </c>
      <c r="B1379" s="30" t="s">
        <v>3096</v>
      </c>
      <c r="C1379" s="24">
        <v>6.6</v>
      </c>
      <c r="D1379" s="18"/>
      <c r="E1379" s="17" t="s">
        <v>3065</v>
      </c>
      <c r="F1379" s="17"/>
      <c r="G1379" s="18"/>
      <c r="H1379" s="18"/>
    </row>
    <row r="1380" spans="1:8" ht="13.2">
      <c r="A1380" s="15" t="s">
        <v>2609</v>
      </c>
      <c r="B1380" s="30" t="s">
        <v>6549</v>
      </c>
      <c r="C1380" s="24">
        <v>6.5</v>
      </c>
      <c r="D1380" s="26" t="str">
        <f>HYPERLINK("https://github.com/shanto86/Training/blob/master/TopCoder/SRM433-D1-500.cpp","Sol")</f>
        <v>Sol</v>
      </c>
      <c r="E1380" s="17" t="s">
        <v>2510</v>
      </c>
      <c r="F1380" s="17" t="s">
        <v>255</v>
      </c>
      <c r="G1380" s="18"/>
      <c r="H1380" s="18"/>
    </row>
    <row r="1381" spans="1:8" ht="13.2">
      <c r="A1381" s="15" t="s">
        <v>5593</v>
      </c>
      <c r="B1381" s="28" t="s">
        <v>5594</v>
      </c>
      <c r="C1381" s="17">
        <v>6.5</v>
      </c>
      <c r="D1381" s="26" t="str">
        <f>HYPERLINK("https://github.com/omaryasser/Competitive-Programming/blob/master/UVA%20Solutions/11440%20-%20Help%20Tomisu.cpp","Sol")</f>
        <v>Sol</v>
      </c>
      <c r="E1381" s="17" t="s">
        <v>5575</v>
      </c>
      <c r="F1381" s="17" t="s">
        <v>229</v>
      </c>
      <c r="G1381" s="18"/>
      <c r="H1381" s="18"/>
    </row>
    <row r="1382" spans="1:8" ht="13.2">
      <c r="A1382" s="19" t="str">
        <f>HYPERLINK("https://www.hackerrank.com/challenges/meeting-point","HACKR meeting-point")</f>
        <v>HACKR meeting-point</v>
      </c>
      <c r="B1382" s="28" t="s">
        <v>172</v>
      </c>
      <c r="C1382" s="17">
        <v>6.5</v>
      </c>
      <c r="D1382" s="26" t="str">
        <f>HYPERLINK("https://github.com/mostafa-saad/MyCompetitiveProgramming/blob/master/HACKERRANK/HACKR-meeting-point.txt","Sol")</f>
        <v>Sol</v>
      </c>
      <c r="E1382" s="17" t="s">
        <v>125</v>
      </c>
      <c r="F1382" s="17" t="s">
        <v>173</v>
      </c>
      <c r="G1382" s="18"/>
      <c r="H1382" s="18"/>
    </row>
    <row r="1383" spans="1:8" ht="13.2">
      <c r="A1383" s="19" t="str">
        <f>HYPERLINK("http://codeforces.com/contest/178/problem/F3","CF178-D12-F3")</f>
        <v>CF178-D12-F3</v>
      </c>
      <c r="B1383" s="15" t="s">
        <v>1417</v>
      </c>
      <c r="C1383" s="17">
        <v>6.5</v>
      </c>
      <c r="D1383" s="26" t="str">
        <f>HYPERLINK("https://github.com/mostafa-saad/MyCompetitiveProgramming/blob/master/Codeforces/CF178-D12-F3.txt","Sol")</f>
        <v>Sol</v>
      </c>
      <c r="E1383" s="17" t="s">
        <v>1337</v>
      </c>
      <c r="F1383" s="17" t="s">
        <v>173</v>
      </c>
      <c r="G1383" s="18"/>
      <c r="H1383" s="18"/>
    </row>
    <row r="1384" spans="1:8" ht="13.2">
      <c r="A1384" s="19" t="str">
        <f>HYPERLINK("https://www.codechef.com/problems/COINDENO", "CODECHEF COINDENO")</f>
        <v>CODECHEF COINDENO</v>
      </c>
      <c r="B1384" s="20" t="s">
        <v>1418</v>
      </c>
      <c r="C1384" s="21">
        <v>6.5</v>
      </c>
      <c r="D1384" s="26" t="str">
        <f>HYPERLINK("https://github.com/tmwilliamlin168/CompetitiveProgramming/blob/master/CodeChef/COINDENO.cpp", "Sol")</f>
        <v>Sol</v>
      </c>
      <c r="E1384" s="17" t="s">
        <v>1337</v>
      </c>
      <c r="F1384" s="17" t="s">
        <v>173</v>
      </c>
      <c r="G1384" s="18"/>
      <c r="H1384" s="18"/>
    </row>
    <row r="1385" spans="1:8" ht="13.2">
      <c r="A1385" s="19" t="str">
        <f>HYPERLINK("http://codeforces.com/contest/37/problem/D","CF37-D12-D")</f>
        <v>CF37-D12-D</v>
      </c>
      <c r="B1385" s="29" t="s">
        <v>1913</v>
      </c>
      <c r="C1385" s="17">
        <v>6.5</v>
      </c>
      <c r="D1385" s="26" t="str">
        <f>HYPERLINK("https://github.com/Huvok/CompetitiveProgramming/blob/master/Codeforces/CF37-D12-D.cpp", "Sol")</f>
        <v>Sol</v>
      </c>
      <c r="E1385" s="17" t="s">
        <v>1909</v>
      </c>
      <c r="F1385" s="17" t="s">
        <v>173</v>
      </c>
      <c r="G1385" s="18"/>
      <c r="H1385" s="18"/>
    </row>
    <row r="1386" spans="1:8" ht="13.2">
      <c r="A1386" s="19" t="str">
        <f>HYPERLINK("https://open.kattis.com/problems/factorfree","Livearchive 8257")</f>
        <v>Livearchive 8257</v>
      </c>
      <c r="B1386" s="15" t="s">
        <v>3312</v>
      </c>
      <c r="C1386" s="17">
        <v>6.5</v>
      </c>
      <c r="D1386" s="26" t="str">
        <f>HYPERLINK("https://github.com/quangloc99/CompetitiveProgramming/blob/master/Livearchive/8257.cpp","Sol")</f>
        <v>Sol</v>
      </c>
      <c r="E1386" s="17" t="s">
        <v>3257</v>
      </c>
      <c r="F1386" s="17" t="s">
        <v>173</v>
      </c>
      <c r="G1386" s="18"/>
      <c r="H1386" s="18"/>
    </row>
    <row r="1387" spans="1:8" ht="13.2">
      <c r="A1387" s="19" t="str">
        <f>HYPERLINK("http://codeforces.com/contest/626/problem/F","CF626-D12-F")</f>
        <v>CF626-D12-F</v>
      </c>
      <c r="B1387" s="15" t="s">
        <v>6427</v>
      </c>
      <c r="C1387" s="24">
        <v>6.5</v>
      </c>
      <c r="D1387" s="18"/>
      <c r="E1387" s="17" t="s">
        <v>6426</v>
      </c>
      <c r="F1387" s="17" t="s">
        <v>1053</v>
      </c>
      <c r="G1387" s="18"/>
      <c r="H1387" s="18"/>
    </row>
    <row r="1388" spans="1:8" ht="13.2">
      <c r="A1388" s="19" t="str">
        <f>HYPERLINK("http://codeforces.com/gym/101492/problem/C","CF101492-gym-C")</f>
        <v>CF101492-gym-C</v>
      </c>
      <c r="B1388" s="15" t="s">
        <v>1087</v>
      </c>
      <c r="C1388" s="17">
        <v>6.5</v>
      </c>
      <c r="D1388" s="26" t="str">
        <f>HYPERLINK("https://github.com/mostafa-saad/MyCompetitiveProgramming/blob/master/Codeforces/CF101492-GYM-C.txt","Sol")</f>
        <v>Sol</v>
      </c>
      <c r="E1388" s="17" t="s">
        <v>1018</v>
      </c>
      <c r="F1388" s="17" t="s">
        <v>1053</v>
      </c>
      <c r="G1388" s="18"/>
      <c r="H1388" s="18"/>
    </row>
    <row r="1389" spans="1:8" ht="13.2">
      <c r="A1389" s="19" t="str">
        <f>HYPERLINK("http://codeforces.com/problemset/problem/645/E","CF645-D12-E")</f>
        <v>CF645-D12-E</v>
      </c>
      <c r="B1389" s="29" t="s">
        <v>1419</v>
      </c>
      <c r="C1389" s="17">
        <v>6.5</v>
      </c>
      <c r="D1389" s="18"/>
      <c r="E1389" s="17" t="s">
        <v>1337</v>
      </c>
      <c r="F1389" s="17" t="s">
        <v>1420</v>
      </c>
      <c r="G1389" s="18"/>
      <c r="H1389" s="18"/>
    </row>
    <row r="1390" spans="1:8" ht="13.2">
      <c r="A1390" s="19" t="str">
        <f>HYPERLINK("http://codeforces.com/contest/936/problem/C","CF936-D1-C")</f>
        <v>CF936-D1-C</v>
      </c>
      <c r="B1390" s="18" t="s">
        <v>174</v>
      </c>
      <c r="C1390" s="17">
        <v>6.5</v>
      </c>
      <c r="D1390" s="26" t="str">
        <f>HYPERLINK("https://codeforces.com/blog/entry/58056?#comment-417467","Another Sol")</f>
        <v>Another Sol</v>
      </c>
      <c r="E1390" s="17" t="s">
        <v>125</v>
      </c>
      <c r="F1390" s="17" t="s">
        <v>154</v>
      </c>
      <c r="G1390" s="18"/>
      <c r="H1390" s="18"/>
    </row>
    <row r="1391" spans="1:8" ht="13.2">
      <c r="A1391" s="19" t="str">
        <f>HYPERLINK("https://hanoi18.kattis.com/problems/jurassicjungle","kattis hanoi18.jurassicjungle")</f>
        <v>kattis hanoi18.jurassicjungle</v>
      </c>
      <c r="B1391" s="20" t="s">
        <v>175</v>
      </c>
      <c r="C1391" s="21">
        <v>6.5</v>
      </c>
      <c r="D1391" s="26" t="str">
        <f>HYPERLINK("https://github.com/nya-nya-meow/CompetitiveProgramming/blob/master/Kattis/hanoi18.jurassicjungle.cpp","Sol")</f>
        <v>Sol</v>
      </c>
      <c r="E1391" s="17" t="s">
        <v>125</v>
      </c>
      <c r="F1391" s="17" t="s">
        <v>154</v>
      </c>
      <c r="G1391" s="18"/>
      <c r="H1391" s="18"/>
    </row>
    <row r="1392" spans="1:8" ht="13.2">
      <c r="A1392" s="19" t="str">
        <f>HYPERLINK("https://codeforces.com/contest/1100/problem/D","CF1100-D2-D")</f>
        <v>CF1100-D2-D</v>
      </c>
      <c r="B1392" s="23" t="s">
        <v>169</v>
      </c>
      <c r="C1392" s="17">
        <v>6.5</v>
      </c>
      <c r="D1392" s="18"/>
      <c r="E1392" s="17" t="s">
        <v>125</v>
      </c>
      <c r="F1392" s="17" t="s">
        <v>154</v>
      </c>
      <c r="G1392" s="18"/>
      <c r="H1392" s="18"/>
    </row>
    <row r="1393" spans="1:8" ht="13.2">
      <c r="A1393" s="19" t="str">
        <f>HYPERLINK("https://codeforces.com/gym/102154/problem/C","CF102154-GYM-C")</f>
        <v>CF102154-GYM-C</v>
      </c>
      <c r="B1393" s="15" t="s">
        <v>176</v>
      </c>
      <c r="C1393" s="17">
        <v>6.5</v>
      </c>
      <c r="D1393" s="26" t="str">
        <f>HYPERLINK("https://github.com/guskal01/CompetitiveProgramming/blob/master/CodeForces/CF102154-GYM-C.cpp","Sol")</f>
        <v>Sol</v>
      </c>
      <c r="E1393" s="17" t="s">
        <v>125</v>
      </c>
      <c r="F1393" s="17" t="s">
        <v>154</v>
      </c>
      <c r="G1393" s="18"/>
      <c r="H1393" s="18"/>
    </row>
    <row r="1394" spans="1:8" ht="13.2">
      <c r="A1394" s="19" t="str">
        <f>HYPERLINK("https://codeforces.com/contest/1129/problem/C","CF1129-D1-C")</f>
        <v>CF1129-D1-C</v>
      </c>
      <c r="B1394" s="20" t="s">
        <v>5826</v>
      </c>
      <c r="C1394" s="21">
        <v>6.5</v>
      </c>
      <c r="D1394" s="18"/>
      <c r="E1394" s="17" t="s">
        <v>5794</v>
      </c>
      <c r="F1394" s="17" t="s">
        <v>154</v>
      </c>
      <c r="G1394" s="18"/>
      <c r="H1394" s="18"/>
    </row>
    <row r="1395" spans="1:8" ht="13.2">
      <c r="A1395" s="19" t="str">
        <f>HYPERLINK("http://codeforces.com/problemset/problem/1073/G", "CF1073-D12-G")</f>
        <v>CF1073-D12-G</v>
      </c>
      <c r="B1395" s="37" t="s">
        <v>5814</v>
      </c>
      <c r="C1395" s="21">
        <v>6.5</v>
      </c>
      <c r="D1395" s="26" t="str">
        <f>HYPERLINK("https://github.com/goswami-rahul/competitive-coding/blob/master/CompetitiveProgramming/codeforces/CF1073-D12-G.cpp","Sol")</f>
        <v>Sol</v>
      </c>
      <c r="E1395" s="17" t="s">
        <v>5794</v>
      </c>
      <c r="F1395" s="17" t="s">
        <v>154</v>
      </c>
      <c r="G1395" s="18"/>
      <c r="H1395" s="18"/>
    </row>
    <row r="1396" spans="1:8" ht="13.2">
      <c r="A1396" s="19" t="str">
        <f>HYPERLINK("http://codeforces.com/contest/873/problem/F","CF873-D2-F")</f>
        <v>CF873-D2-F</v>
      </c>
      <c r="B1396" s="28" t="s">
        <v>5827</v>
      </c>
      <c r="C1396" s="17">
        <v>6.5</v>
      </c>
      <c r="D1396" s="18"/>
      <c r="E1396" s="17" t="s">
        <v>5794</v>
      </c>
      <c r="F1396" s="17" t="s">
        <v>154</v>
      </c>
      <c r="G1396" s="18"/>
      <c r="H1396" s="18"/>
    </row>
    <row r="1397" spans="1:8" ht="13.2">
      <c r="A1397" s="15" t="s">
        <v>5818</v>
      </c>
      <c r="B1397" s="15" t="s">
        <v>5856</v>
      </c>
      <c r="C1397" s="17">
        <v>6.5</v>
      </c>
      <c r="D1397" s="26" t="str">
        <f>HYPERLINK("https://github.com/WaleedAbdelhakim/Competitive-Programming/blob/master/CodeForces/CF102028-GYM-K.cpp","Sol(no editorial)")</f>
        <v>Sol(no editorial)</v>
      </c>
      <c r="E1397" s="17" t="s">
        <v>5857</v>
      </c>
      <c r="F1397" s="17" t="s">
        <v>154</v>
      </c>
      <c r="G1397" s="18"/>
      <c r="H1397" s="18"/>
    </row>
    <row r="1398" spans="1:8" ht="13.2">
      <c r="A1398" s="15" t="s">
        <v>957</v>
      </c>
      <c r="B1398" s="15" t="s">
        <v>958</v>
      </c>
      <c r="C1398" s="17">
        <v>6.5</v>
      </c>
      <c r="D1398" s="26" t="str">
        <f>HYPERLINK("https://github.com/mostafa-saad/MyCompetitiveProgramming/blob/master/SPOJ/SPOJ_SUBSET.txt","Sol")</f>
        <v>Sol</v>
      </c>
      <c r="E1398" s="17" t="s">
        <v>951</v>
      </c>
      <c r="F1398" s="17" t="s">
        <v>154</v>
      </c>
      <c r="G1398" s="18"/>
      <c r="H1398" s="18"/>
    </row>
    <row r="1399" spans="1:8" ht="13.2">
      <c r="A1399" s="19" t="str">
        <f>HYPERLINK("http://codeforces.com/contest/839/problem/E","CF839-D2-E")</f>
        <v>CF839-D2-E</v>
      </c>
      <c r="B1399" s="30" t="s">
        <v>959</v>
      </c>
      <c r="C1399" s="17">
        <v>6.5</v>
      </c>
      <c r="D1399" s="26" t="str">
        <f>HYPERLINK("https://github.com/mostafa-saad/MyCompetitiveProgramming/blob/master/Codeforces/CF839-D2-E.txt","Sol - must read")</f>
        <v>Sol - must read</v>
      </c>
      <c r="E1399" s="17" t="s">
        <v>951</v>
      </c>
      <c r="F1399" s="17" t="s">
        <v>154</v>
      </c>
      <c r="G1399" s="18"/>
      <c r="H1399" s="18"/>
    </row>
    <row r="1400" spans="1:8" ht="13.2">
      <c r="A1400" s="19" t="str">
        <f>HYPERLINK("http://codeforces.com/contest/440/problem/D","CF440-D12-D")</f>
        <v>CF440-D12-D</v>
      </c>
      <c r="B1400" s="38" t="s">
        <v>6550</v>
      </c>
      <c r="C1400" s="17">
        <v>6.5</v>
      </c>
      <c r="D1400" s="26" t="str">
        <f>HYPERLINK("https://github.com/s6007589/competitive-programming/blob/master/CF440-D12-D.cpp","Sol")</f>
        <v>Sol</v>
      </c>
      <c r="E1400" s="17" t="s">
        <v>6151</v>
      </c>
      <c r="F1400" s="17" t="s">
        <v>154</v>
      </c>
      <c r="G1400" s="18"/>
      <c r="H1400" s="18"/>
    </row>
    <row r="1401" spans="1:8" ht="13.2">
      <c r="A1401" s="15" t="s">
        <v>6282</v>
      </c>
      <c r="B1401" s="30" t="s">
        <v>6276</v>
      </c>
      <c r="C1401" s="17">
        <v>6.5</v>
      </c>
      <c r="D1401" s="18"/>
      <c r="E1401" s="24" t="s">
        <v>6275</v>
      </c>
      <c r="F1401" s="17" t="s">
        <v>154</v>
      </c>
      <c r="G1401" s="18"/>
      <c r="H1401" s="18"/>
    </row>
    <row r="1402" spans="1:8" ht="13.2">
      <c r="A1402" s="19" t="str">
        <f>HYPERLINK("https://codeforces.com/contest/828/problem/F","CF828-D2-F")</f>
        <v>CF828-D2-F</v>
      </c>
      <c r="B1402" s="25" t="s">
        <v>6325</v>
      </c>
      <c r="C1402" s="17">
        <v>6.5</v>
      </c>
      <c r="D1402" s="18"/>
      <c r="E1402" s="17" t="s">
        <v>6311</v>
      </c>
      <c r="F1402" s="17" t="s">
        <v>154</v>
      </c>
      <c r="G1402" s="18"/>
      <c r="H1402" s="18"/>
    </row>
    <row r="1403" spans="1:8" ht="13.2">
      <c r="A1403" s="19" t="str">
        <f>HYPERLINK("http://codeforces.com/contest/367/problem/E","CF367-D1-E")</f>
        <v>CF367-D1-E</v>
      </c>
      <c r="B1403" s="15" t="s">
        <v>6428</v>
      </c>
      <c r="C1403" s="24">
        <v>6.5</v>
      </c>
      <c r="D1403" s="26" t="str">
        <f>HYPERLINK("https://github.com/Triplem5ds/Competitve-Programming/blob/master/Codeforces/CF367-D1-E.cc","Find O(NNM) Sol")</f>
        <v>Find O(NNM) Sol</v>
      </c>
      <c r="E1403" s="17" t="s">
        <v>6426</v>
      </c>
      <c r="F1403" s="17" t="s">
        <v>154</v>
      </c>
      <c r="G1403" s="18"/>
      <c r="H1403" s="18"/>
    </row>
    <row r="1404" spans="1:8" ht="13.2">
      <c r="A1404" s="19" t="str">
        <f>HYPERLINK("http://codeforces.com/contest/787/problem/D","CF787-D2-D")</f>
        <v>CF787-D2-D</v>
      </c>
      <c r="B1404" s="38" t="s">
        <v>1088</v>
      </c>
      <c r="C1404" s="17">
        <v>6.5</v>
      </c>
      <c r="D1404" s="26" t="str">
        <f>HYPERLINK("https://github.com/Huvok/CompetitiveProgramming/blob/master/Codeforces/CF787-D2-D.cpp","Sol")</f>
        <v>Sol</v>
      </c>
      <c r="E1404" s="17" t="s">
        <v>1018</v>
      </c>
      <c r="F1404" s="17" t="s">
        <v>154</v>
      </c>
      <c r="G1404" s="18"/>
      <c r="H1404" s="18"/>
    </row>
    <row r="1405" spans="1:8" ht="13.2">
      <c r="A1405" s="19" t="str">
        <f>HYPERLINK("https://atcoder.jp/contests/dp/tasks/dp_w","Atcoder-DP-Intervals")</f>
        <v>Atcoder-DP-Intervals</v>
      </c>
      <c r="B1405" s="15" t="s">
        <v>1040</v>
      </c>
      <c r="C1405" s="17">
        <v>6.5</v>
      </c>
      <c r="D1405" s="18"/>
      <c r="E1405" s="17" t="s">
        <v>1018</v>
      </c>
      <c r="F1405" s="17" t="s">
        <v>154</v>
      </c>
      <c r="G1405" s="18"/>
      <c r="H1405" s="18"/>
    </row>
    <row r="1406" spans="1:8" ht="13.2">
      <c r="A1406" s="19" t="str">
        <f>HYPERLINK("https://codeforces.com/contest/911/problem/G","CF911-D2-G")</f>
        <v>CF911-D2-G</v>
      </c>
      <c r="B1406" s="29" t="s">
        <v>1089</v>
      </c>
      <c r="C1406" s="17">
        <v>6.5</v>
      </c>
      <c r="D1406" s="26" t="str">
        <f>HYPERLINK("https://github.com/mostafa-saad/MyCompetitiveProgramming/blob/master/Codeforces/CF911-D2-G.txt","Sol")</f>
        <v>Sol</v>
      </c>
      <c r="E1406" s="17" t="s">
        <v>1018</v>
      </c>
      <c r="F1406" s="17" t="s">
        <v>154</v>
      </c>
      <c r="G1406" s="18"/>
      <c r="H1406" s="18"/>
    </row>
    <row r="1407" spans="1:8" ht="13.2">
      <c r="A1407" s="19" t="str">
        <f>HYPERLINK("https://www.hackerrank.com/contests/monthly/challenges/alien-languages/problem","HACKER alien-languages")</f>
        <v>HACKER alien-languages</v>
      </c>
      <c r="B1407" s="15" t="s">
        <v>6429</v>
      </c>
      <c r="C1407" s="17">
        <v>6.5</v>
      </c>
      <c r="D1407" s="26" t="str">
        <f>HYPERLINK("https://github.com/HeartBlue/CompetitiveProgramming/blob/master/HACKR/HACKR%20alien-languages.cpp","Sol")</f>
        <v>Sol</v>
      </c>
      <c r="E1407" s="17" t="s">
        <v>6430</v>
      </c>
      <c r="F1407" s="17" t="s">
        <v>154</v>
      </c>
      <c r="G1407" s="18"/>
      <c r="H1407" s="18"/>
    </row>
    <row r="1408" spans="1:8" ht="13.2">
      <c r="A1408" s="15" t="s">
        <v>6467</v>
      </c>
      <c r="B1408" s="15" t="s">
        <v>6468</v>
      </c>
      <c r="C1408" s="17">
        <v>6.5</v>
      </c>
      <c r="D1408" s="26" t="str">
        <f>HYPERLINK("https://www.quora.com/How-do-I-solve-SPOJ-Two-Paths-problem","Editorial")</f>
        <v>Editorial</v>
      </c>
      <c r="E1408" s="17" t="s">
        <v>6459</v>
      </c>
      <c r="F1408" s="17" t="s">
        <v>154</v>
      </c>
      <c r="G1408" s="18"/>
      <c r="H1408" s="18"/>
    </row>
    <row r="1409" spans="1:8" ht="13.2">
      <c r="A1409" s="19" t="str">
        <f>HYPERLINK("http://codeforces.com/contest/993/problem/E", "CF993-D1-E")</f>
        <v>CF993-D1-E</v>
      </c>
      <c r="B1409" s="20" t="s">
        <v>6525</v>
      </c>
      <c r="C1409" s="21">
        <v>6.5</v>
      </c>
      <c r="D1409" s="26" t="str">
        <f>HYPERLINK("http://codeforces.com/contest/993/submission/43802408","Browse others solutions if new to fft/nnt")</f>
        <v>Browse others solutions if new to fft/nnt</v>
      </c>
      <c r="E1409" s="17" t="s">
        <v>6511</v>
      </c>
      <c r="F1409" s="17" t="s">
        <v>154</v>
      </c>
      <c r="G1409" s="18"/>
      <c r="H1409" s="18"/>
    </row>
    <row r="1410" spans="1:8" ht="13.2">
      <c r="A1410" s="19" t="str">
        <f>HYPERLINK("https://onlinejudge.org/index.php?option=onlinejudge&amp;Itemid=8&amp;page=show_problem&amp;problem=2418","UVA 11423")</f>
        <v>UVA 11423</v>
      </c>
      <c r="B1410" s="28" t="s">
        <v>1222</v>
      </c>
      <c r="C1410" s="17">
        <v>6.5</v>
      </c>
      <c r="D1410" s="26" t="str">
        <f>HYPERLINK("https://github.com/shashank0107/CompetitiveProgramming/blob/master/UVA/11423.cpp","Sol")</f>
        <v>Sol</v>
      </c>
      <c r="E1410" s="17" t="s">
        <v>1223</v>
      </c>
      <c r="F1410" s="17" t="s">
        <v>154</v>
      </c>
      <c r="G1410" s="18"/>
      <c r="H1410" s="18"/>
    </row>
    <row r="1411" spans="1:8" ht="13.2">
      <c r="A1411" s="19" t="str">
        <f>HYPERLINK("https://www.codechef.com/problems/TEMPQUE","CODECHEF TEMPQUE")</f>
        <v>CODECHEF TEMPQUE</v>
      </c>
      <c r="B1411" s="29" t="s">
        <v>1234</v>
      </c>
      <c r="C1411" s="24">
        <v>6.5</v>
      </c>
      <c r="D1411" s="18"/>
      <c r="E1411" s="17" t="s">
        <v>1223</v>
      </c>
      <c r="F1411" s="17" t="s">
        <v>154</v>
      </c>
      <c r="G1411" s="18"/>
      <c r="H1411" s="18"/>
    </row>
    <row r="1412" spans="1:8" ht="13.2">
      <c r="A1412" s="19" t="str">
        <f>HYPERLINK("http://codeforces.com/contest/384/problem/E","CF384-D2-E")</f>
        <v>CF384-D2-E</v>
      </c>
      <c r="B1412" s="29" t="s">
        <v>1240</v>
      </c>
      <c r="C1412" s="17">
        <v>6.5</v>
      </c>
      <c r="D1412" s="18"/>
      <c r="E1412" s="17" t="s">
        <v>1223</v>
      </c>
      <c r="F1412" s="17" t="s">
        <v>154</v>
      </c>
      <c r="G1412" s="18"/>
      <c r="H1412" s="18"/>
    </row>
    <row r="1413" spans="1:8" ht="13.2">
      <c r="A1413" s="15" t="s">
        <v>1241</v>
      </c>
      <c r="B1413" s="28" t="s">
        <v>1242</v>
      </c>
      <c r="C1413" s="17">
        <v>6.5</v>
      </c>
      <c r="D1413" s="26" t="str">
        <f>HYPERLINK("https://www.quora.com/How-can-I-solve-a-KPMATRIX-problem-on-SPOJ","Sol")</f>
        <v>Sol</v>
      </c>
      <c r="E1413" s="17" t="s">
        <v>1223</v>
      </c>
      <c r="F1413" s="17" t="s">
        <v>154</v>
      </c>
      <c r="G1413" s="18"/>
      <c r="H1413" s="18"/>
    </row>
    <row r="1414" spans="1:8" ht="13.2">
      <c r="A1414" s="15" t="s">
        <v>1243</v>
      </c>
      <c r="B1414" s="28" t="s">
        <v>1244</v>
      </c>
      <c r="C1414" s="17">
        <v>6.5</v>
      </c>
      <c r="D1414" s="26" t="str">
        <f>HYPERLINK("https://github.com/mostafa-saad/MyCompetitiveProgramming/blob/master/SPOJ/SPOJ_INCDSEQ.txt","Sol")</f>
        <v>Sol</v>
      </c>
      <c r="E1414" s="17" t="s">
        <v>1223</v>
      </c>
      <c r="F1414" s="17" t="s">
        <v>154</v>
      </c>
      <c r="G1414" s="18"/>
      <c r="H1414" s="18"/>
    </row>
    <row r="1415" spans="1:8" ht="13.2">
      <c r="A1415" s="19" t="str">
        <f>HYPERLINK("http://codeforces.com/contest/888/problem/F","CF888-D12-F")</f>
        <v>CF888-D12-F</v>
      </c>
      <c r="B1415" s="15" t="s">
        <v>1348</v>
      </c>
      <c r="C1415" s="17">
        <v>6.5</v>
      </c>
      <c r="D1415" s="18"/>
      <c r="E1415" s="17" t="s">
        <v>1337</v>
      </c>
      <c r="F1415" s="17" t="s">
        <v>154</v>
      </c>
      <c r="G1415" s="18"/>
      <c r="H1415" s="18"/>
    </row>
    <row r="1416" spans="1:8" ht="13.2">
      <c r="A1416" s="19" t="str">
        <f>HYPERLINK("https://community.topcoder.com/stat?c=problem_statement&amp;pm=10902","SRM469-D1-1000")</f>
        <v>SRM469-D1-1000</v>
      </c>
      <c r="B1416" s="15" t="s">
        <v>1348</v>
      </c>
      <c r="C1416" s="17">
        <v>6.5</v>
      </c>
      <c r="D1416" s="18"/>
      <c r="E1416" s="17" t="s">
        <v>1337</v>
      </c>
      <c r="F1416" s="17" t="s">
        <v>154</v>
      </c>
      <c r="G1416" s="18"/>
      <c r="H1416" s="18"/>
    </row>
    <row r="1417" spans="1:8" ht="13.2">
      <c r="A1417" s="15" t="s">
        <v>1421</v>
      </c>
      <c r="B1417" s="15" t="s">
        <v>1422</v>
      </c>
      <c r="C1417" s="17">
        <v>6.5</v>
      </c>
      <c r="D1417" s="26" t="str">
        <f>HYPERLINK("https://github.com/mostafa-saad/MyCompetitiveProgramming/blob/master/Timus/TIMUS_1223.txt","Sol")</f>
        <v>Sol</v>
      </c>
      <c r="E1417" s="17" t="s">
        <v>1337</v>
      </c>
      <c r="F1417" s="17" t="s">
        <v>154</v>
      </c>
      <c r="G1417" s="18"/>
      <c r="H1417" s="18"/>
    </row>
    <row r="1418" spans="1:8" ht="13.2">
      <c r="A1418" s="19" t="str">
        <f>HYPERLINK("https://code.google.com/codejam/contest/188266/dashboard#s=p2","CODEJAM 09-R1A-C")</f>
        <v>CODEJAM 09-R1A-C</v>
      </c>
      <c r="B1418" s="28" t="s">
        <v>1698</v>
      </c>
      <c r="C1418" s="17">
        <v>6.5</v>
      </c>
      <c r="D1418" s="26" t="str">
        <f>HYPERLINK("https://github.com/mostafa-saad/MyCompetitiveProgramming/blob/master/GoogleCodeJam/CODEJAM-09-R1A-C.txt","Sol")</f>
        <v>Sol</v>
      </c>
      <c r="E1418" s="17" t="s">
        <v>1691</v>
      </c>
      <c r="F1418" s="17" t="s">
        <v>154</v>
      </c>
      <c r="G1418" s="18"/>
      <c r="H1418" s="18"/>
    </row>
    <row r="1419" spans="1:8" ht="13.2">
      <c r="A1419" s="19" t="str">
        <f>HYPERLINK("https://csacademy.com/contest/archive/task/escaping-courses/","CSA-fii-code-2020-round-2-E")</f>
        <v>CSA-fii-code-2020-round-2-E</v>
      </c>
      <c r="B1419" s="20" t="s">
        <v>361</v>
      </c>
      <c r="C1419" s="21">
        <v>6.5</v>
      </c>
      <c r="D1419" s="18"/>
      <c r="E1419" s="17" t="s">
        <v>332</v>
      </c>
      <c r="F1419" s="17" t="s">
        <v>154</v>
      </c>
      <c r="G1419" s="18"/>
      <c r="H1419" s="18"/>
    </row>
    <row r="1420" spans="1:8" ht="13.2">
      <c r="A1420" s="15" t="s">
        <v>2035</v>
      </c>
      <c r="B1420" s="30" t="s">
        <v>2036</v>
      </c>
      <c r="C1420" s="24">
        <v>6.5</v>
      </c>
      <c r="D1420" s="18"/>
      <c r="E1420" s="17" t="s">
        <v>2026</v>
      </c>
      <c r="F1420" s="17" t="s">
        <v>154</v>
      </c>
      <c r="G1420" s="18"/>
      <c r="H1420" s="18"/>
    </row>
    <row r="1421" spans="1:8" ht="13.2">
      <c r="A1421" s="19" t="str">
        <f>HYPERLINK("http://codeforces.com/gym/101620","CF101620-gym-G")</f>
        <v>CF101620-gym-G</v>
      </c>
      <c r="B1421" s="15" t="s">
        <v>2087</v>
      </c>
      <c r="C1421" s="17">
        <v>6.5</v>
      </c>
      <c r="D1421" s="26" t="str">
        <f>HYPERLINK("https://github.com/nya-nya-meow/CompetitiveProgramming/blob/master/CodeForces/CF101620-GYM-G%20-%20Gambling%20guide.cpp","Sol")</f>
        <v>Sol</v>
      </c>
      <c r="E1421" s="17" t="s">
        <v>2074</v>
      </c>
      <c r="F1421" s="17" t="s">
        <v>154</v>
      </c>
      <c r="G1421" s="18"/>
      <c r="H1421" s="18"/>
    </row>
    <row r="1422" spans="1:8" ht="13.2">
      <c r="A1422" s="19" t="str">
        <f>HYPERLINK("https://beta.atcoder.jp/contests/arc103/tasks/arc103_b","AtCoder103-ARC-D")</f>
        <v>AtCoder103-ARC-D</v>
      </c>
      <c r="B1422" s="20" t="s">
        <v>2176</v>
      </c>
      <c r="C1422" s="21">
        <v>6.5</v>
      </c>
      <c r="D1422" s="18"/>
      <c r="E1422" s="17" t="s">
        <v>2153</v>
      </c>
      <c r="F1422" s="17" t="s">
        <v>154</v>
      </c>
      <c r="G1422" s="18"/>
      <c r="H1422" s="18"/>
    </row>
    <row r="1423" spans="1:8" ht="13.2">
      <c r="A1423" s="15" t="s">
        <v>2407</v>
      </c>
      <c r="B1423" s="15" t="s">
        <v>2408</v>
      </c>
      <c r="C1423" s="17">
        <v>6.5</v>
      </c>
      <c r="D1423" s="26" t="str">
        <f>HYPERLINK("https://github.com/aviroop123/CompetitiveProgramming/blob/master/SPOJ/SPOJ%20GAME2.cpp","Sol")</f>
        <v>Sol</v>
      </c>
      <c r="E1423" s="17" t="s">
        <v>2394</v>
      </c>
      <c r="F1423" s="17" t="s">
        <v>154</v>
      </c>
      <c r="G1423" s="18"/>
      <c r="H1423" s="18"/>
    </row>
    <row r="1424" spans="1:8" ht="13.2">
      <c r="A1424" s="19" t="str">
        <f>HYPERLINK("http://codeforces.com/contest/142/problem/D","CF142-D1-D")</f>
        <v>CF142-D1-D</v>
      </c>
      <c r="B1424" s="28" t="s">
        <v>2449</v>
      </c>
      <c r="C1424" s="31">
        <v>6.5</v>
      </c>
      <c r="D1424" s="18"/>
      <c r="E1424" s="17" t="s">
        <v>2442</v>
      </c>
      <c r="F1424" s="17" t="s">
        <v>154</v>
      </c>
      <c r="G1424" s="18"/>
      <c r="H1424" s="18"/>
    </row>
    <row r="1425" spans="1:8" ht="16.5" customHeight="1">
      <c r="A1425" s="19" t="str">
        <f>HYPERLINK("https://atcoder.jp/contests/agc043/tasks/agc043_c","AtCoder043-AGC-C")</f>
        <v>AtCoder043-AGC-C</v>
      </c>
      <c r="B1425" s="20" t="s">
        <v>2468</v>
      </c>
      <c r="C1425" s="21">
        <v>6.5</v>
      </c>
      <c r="D1425" s="18"/>
      <c r="E1425" s="17" t="s">
        <v>2467</v>
      </c>
      <c r="F1425" s="17" t="s">
        <v>154</v>
      </c>
      <c r="G1425" s="18"/>
      <c r="H1425" s="18"/>
    </row>
    <row r="1426" spans="1:8" ht="13.2">
      <c r="A1426" s="19" t="str">
        <f>HYPERLINK("https://codeforces.com/gym/101908/problem/B","CF101908-GYM-B")</f>
        <v>CF101908-GYM-B</v>
      </c>
      <c r="B1426" s="20" t="s">
        <v>2468</v>
      </c>
      <c r="C1426" s="21">
        <v>6.5</v>
      </c>
      <c r="D1426" s="26" t="str">
        <f>HYPERLINK("https://github.com/mostafa-saad/MyCompetitiveProgramming/blob/master/Codeforces/CF101908-GYM-B.txt","Sol")</f>
        <v>Sol</v>
      </c>
      <c r="E1426" s="17" t="s">
        <v>2467</v>
      </c>
      <c r="F1426" s="17" t="s">
        <v>154</v>
      </c>
      <c r="G1426" s="18"/>
      <c r="H1426" s="18"/>
    </row>
    <row r="1427" spans="1:8" ht="13.2">
      <c r="A1427" s="19" t="str">
        <f>HYPERLINK("https://www.codechef.com/COOK98A/problems/GHVSSI", "CODECHEF GHVSSI")</f>
        <v>CODECHEF GHVSSI</v>
      </c>
      <c r="B1427" s="15" t="s">
        <v>2476</v>
      </c>
      <c r="C1427" s="17">
        <v>6.5</v>
      </c>
      <c r="D1427" s="26" t="str">
        <f>HYPERLINK("https://github.com/mostafa-saad/MyCompetitiveProgramming/blob/master/CodeChef/CODECHEF-GHVSSI.txt","Sol")</f>
        <v>Sol</v>
      </c>
      <c r="E1427" s="17" t="s">
        <v>2467</v>
      </c>
      <c r="F1427" s="17" t="s">
        <v>154</v>
      </c>
      <c r="G1427" s="18"/>
      <c r="H1427" s="18"/>
    </row>
    <row r="1428" spans="1:8" ht="13.2">
      <c r="A1428" s="19" t="str">
        <f>HYPERLINK("http://agc017.contest.atcoder.jp/tasks/agc017_d","AtCoder017-AGC-D")</f>
        <v>AtCoder017-AGC-D</v>
      </c>
      <c r="B1428" s="15" t="s">
        <v>2477</v>
      </c>
      <c r="C1428" s="17">
        <v>6.5</v>
      </c>
      <c r="D1428" s="18"/>
      <c r="E1428" s="17" t="s">
        <v>2467</v>
      </c>
      <c r="F1428" s="17" t="s">
        <v>154</v>
      </c>
      <c r="G1428" s="18"/>
      <c r="H1428" s="18"/>
    </row>
    <row r="1429" spans="1:8" ht="13.2">
      <c r="A1429" s="15" t="s">
        <v>2611</v>
      </c>
      <c r="B1429" s="15" t="s">
        <v>2612</v>
      </c>
      <c r="C1429" s="21">
        <v>6.5</v>
      </c>
      <c r="D1429" s="18" t="s">
        <v>2613</v>
      </c>
      <c r="E1429" s="17" t="s">
        <v>2510</v>
      </c>
      <c r="F1429" s="17" t="s">
        <v>154</v>
      </c>
      <c r="G1429" s="18"/>
      <c r="H1429" s="18"/>
    </row>
    <row r="1430" spans="1:8" ht="13.2">
      <c r="A1430" s="19" t="str">
        <f>HYPERLINK("http://codeforces.com/contest/876/problem/F","CF876-D12-F")</f>
        <v>CF876-D12-F</v>
      </c>
      <c r="B1430" s="15" t="s">
        <v>581</v>
      </c>
      <c r="C1430" s="17">
        <v>6.5</v>
      </c>
      <c r="D1430" s="18"/>
      <c r="E1430" s="17" t="s">
        <v>575</v>
      </c>
      <c r="F1430" s="17" t="s">
        <v>154</v>
      </c>
      <c r="G1430" s="18"/>
      <c r="H1430" s="18"/>
    </row>
    <row r="1431" spans="1:8" ht="13.2">
      <c r="A1431" s="19" t="str">
        <f>HYPERLINK("http://codeforces.com/contest/15/problem/D","CF15-D12-D")</f>
        <v>CF15-D12-D</v>
      </c>
      <c r="B1431" s="15" t="s">
        <v>582</v>
      </c>
      <c r="C1431" s="17">
        <v>6.5</v>
      </c>
      <c r="D1431" s="26" t="str">
        <f>HYPERLINK("https://ideone.com/EJxa2E","Sol")</f>
        <v>Sol</v>
      </c>
      <c r="E1431" s="17" t="s">
        <v>575</v>
      </c>
      <c r="F1431" s="17" t="s">
        <v>154</v>
      </c>
      <c r="G1431" s="18"/>
      <c r="H1431" s="18"/>
    </row>
    <row r="1432" spans="1:8" ht="13.2">
      <c r="A1432" s="15" t="s">
        <v>3163</v>
      </c>
      <c r="B1432" s="28" t="s">
        <v>3164</v>
      </c>
      <c r="C1432" s="24">
        <v>6.5</v>
      </c>
      <c r="D1432" s="26" t="str">
        <f>HYPERLINK("https://github.com/mostafa-saad/MyCompetitiveProgramming/blob/master/UVA/UVA_10043.txt","Sol")</f>
        <v>Sol</v>
      </c>
      <c r="E1432" s="17" t="s">
        <v>3140</v>
      </c>
      <c r="F1432" s="17" t="s">
        <v>154</v>
      </c>
      <c r="G1432" s="18"/>
      <c r="H1432" s="18"/>
    </row>
    <row r="1433" spans="1:8" ht="13.2">
      <c r="A1433" s="15" t="s">
        <v>3165</v>
      </c>
      <c r="B1433" s="28" t="s">
        <v>3166</v>
      </c>
      <c r="C1433" s="24">
        <v>6.5</v>
      </c>
      <c r="D1433" s="26" t="str">
        <f>HYPERLINK("https://www.quora.com/What-is-the-approach-to-solve-2051-cell-phone-CERC07C-on-SPOJ","Editorial")</f>
        <v>Editorial</v>
      </c>
      <c r="E1433" s="17" t="s">
        <v>3140</v>
      </c>
      <c r="F1433" s="17" t="s">
        <v>154</v>
      </c>
      <c r="G1433" s="18"/>
      <c r="H1433" s="18"/>
    </row>
    <row r="1434" spans="1:8" ht="13.2">
      <c r="A1434" s="15" t="s">
        <v>3167</v>
      </c>
      <c r="B1434" s="29" t="s">
        <v>3168</v>
      </c>
      <c r="C1434" s="24">
        <v>6.5</v>
      </c>
      <c r="D1434" s="26" t="str">
        <f>HYPERLINK("https://github.com/DrSchwad/CompetitiveProgramming/blob/master/UVA/UVA%2012226.cpp","Sol")</f>
        <v>Sol</v>
      </c>
      <c r="E1434" s="17" t="s">
        <v>3140</v>
      </c>
      <c r="F1434" s="17" t="s">
        <v>154</v>
      </c>
      <c r="G1434" s="18"/>
      <c r="H1434" s="18"/>
    </row>
    <row r="1435" spans="1:8" ht="13.2">
      <c r="A1435" s="19" t="str">
        <f>HYPERLINK("http://codeforces.com/contest/911/problem/F","CF911-D12-F")</f>
        <v>CF911-D12-F</v>
      </c>
      <c r="B1435" s="29" t="s">
        <v>3632</v>
      </c>
      <c r="C1435" s="17">
        <v>6.5</v>
      </c>
      <c r="D1435" s="18"/>
      <c r="E1435" s="17" t="s">
        <v>3633</v>
      </c>
      <c r="F1435" s="17" t="s">
        <v>154</v>
      </c>
      <c r="G1435" s="18"/>
      <c r="H1435" s="18"/>
    </row>
    <row r="1436" spans="1:8" ht="13.2">
      <c r="A1436" s="19" t="str">
        <f>HYPERLINK("https://uva.onlinejudge.org/index.php?option=com_onlinejudge&amp;Itemid=8&amp;page=show_problem&amp;problem=470","UVA 529")</f>
        <v>UVA 529</v>
      </c>
      <c r="B1436" s="29" t="s">
        <v>3687</v>
      </c>
      <c r="C1436" s="17">
        <v>6.5</v>
      </c>
      <c r="D1436" s="26" t="str">
        <f>HYPERLINK("https://github.com/mostafa-saad/MyCompetitiveProgramming/blob/master/UVA/UVA_529.txt","Sol")</f>
        <v>Sol</v>
      </c>
      <c r="E1436" s="17" t="s">
        <v>3650</v>
      </c>
      <c r="F1436" s="17" t="s">
        <v>154</v>
      </c>
      <c r="G1436" s="18"/>
      <c r="H1436" s="18"/>
    </row>
    <row r="1437" spans="1:8" ht="13.2">
      <c r="A1437" s="19" t="str">
        <f>HYPERLINK("http://codeforces.com/contest/884/problem/E","CF884-D12-E")</f>
        <v>CF884-D12-E</v>
      </c>
      <c r="B1437" s="15" t="s">
        <v>3897</v>
      </c>
      <c r="C1437" s="17">
        <v>6.5</v>
      </c>
      <c r="D1437" s="18"/>
      <c r="E1437" s="17" t="s">
        <v>3883</v>
      </c>
      <c r="F1437" s="17" t="s">
        <v>154</v>
      </c>
      <c r="G1437" s="18"/>
      <c r="H1437" s="18"/>
    </row>
    <row r="1438" spans="1:8" ht="13.2">
      <c r="A1438" s="15" t="s">
        <v>3963</v>
      </c>
      <c r="B1438" s="29" t="s">
        <v>3964</v>
      </c>
      <c r="C1438" s="24">
        <v>6.5</v>
      </c>
      <c r="D1438" s="18"/>
      <c r="E1438" s="17" t="s">
        <v>3955</v>
      </c>
      <c r="F1438" s="17" t="s">
        <v>154</v>
      </c>
      <c r="G1438" s="18"/>
      <c r="H1438" s="18"/>
    </row>
    <row r="1439" spans="1:8" ht="13.2">
      <c r="A1439" s="19" t="str">
        <f>HYPERLINK("http://codeforces.com/problemset/problem/888/G","CF888-D12-G")</f>
        <v>CF888-D12-G</v>
      </c>
      <c r="B1439" s="15" t="s">
        <v>4296</v>
      </c>
      <c r="C1439" s="17">
        <v>6.5</v>
      </c>
      <c r="D1439" s="18"/>
      <c r="E1439" s="17" t="s">
        <v>4275</v>
      </c>
      <c r="F1439" s="17" t="s">
        <v>154</v>
      </c>
      <c r="G1439" s="18"/>
      <c r="H1439" s="18"/>
    </row>
    <row r="1440" spans="1:8" ht="13.2">
      <c r="A1440" s="19" t="str">
        <f>HYPERLINK("http://codeforces.com/contest/850/problem/B","CF850-D1-B")</f>
        <v>CF850-D1-B</v>
      </c>
      <c r="B1440" s="15" t="s">
        <v>4596</v>
      </c>
      <c r="C1440" s="31">
        <v>6.5</v>
      </c>
      <c r="D1440" s="18"/>
      <c r="E1440" s="17" t="s">
        <v>4531</v>
      </c>
      <c r="F1440" s="17" t="s">
        <v>154</v>
      </c>
      <c r="G1440" s="18"/>
      <c r="H1440" s="18"/>
    </row>
    <row r="1441" spans="1:8" ht="13.2">
      <c r="A1441" s="15" t="s">
        <v>4903</v>
      </c>
      <c r="B1441" s="28" t="s">
        <v>4904</v>
      </c>
      <c r="C1441" s="24">
        <v>6.5</v>
      </c>
      <c r="D1441" s="26" t="str">
        <f>HYPERLINK("http://codeforces.com/blog/entry/22712","CF616E editorial")</f>
        <v>CF616E editorial</v>
      </c>
      <c r="E1441" s="17" t="s">
        <v>4893</v>
      </c>
      <c r="F1441" s="17" t="s">
        <v>154</v>
      </c>
      <c r="G1441" s="18"/>
      <c r="H1441" s="18"/>
    </row>
    <row r="1442" spans="1:8" ht="13.2">
      <c r="A1442" s="19" t="str">
        <f>HYPERLINK("http://codeforces.com/contest/147/problem/B","CF147-D12-B")</f>
        <v>CF147-D12-B</v>
      </c>
      <c r="B1442" s="15" t="s">
        <v>5268</v>
      </c>
      <c r="C1442" s="17">
        <v>6.5</v>
      </c>
      <c r="D1442" s="26" t="str">
        <f>HYPERLINK("https://github.com/WaleedAbdelhakim/Competitive-Programming/blob/master/CodeForces/CF147-D12-B.cpp","Sol")</f>
        <v>Sol</v>
      </c>
      <c r="E1442" s="17" t="s">
        <v>5246</v>
      </c>
      <c r="F1442" s="17" t="s">
        <v>154</v>
      </c>
      <c r="G1442" s="18"/>
      <c r="H1442" s="18"/>
    </row>
    <row r="1443" spans="1:8" ht="13.2">
      <c r="A1443" s="15" t="s">
        <v>5269</v>
      </c>
      <c r="B1443" s="28" t="s">
        <v>5270</v>
      </c>
      <c r="C1443" s="24">
        <v>6.5</v>
      </c>
      <c r="D1443" s="26" t="str">
        <f>HYPERLINK("https://github.com/mostafa-saad/MyCompetitiveProgramming/blob/master/TopCoder/SRM306-D1-1000.txt","Sol")</f>
        <v>Sol</v>
      </c>
      <c r="E1443" s="17" t="s">
        <v>5246</v>
      </c>
      <c r="F1443" s="17" t="s">
        <v>154</v>
      </c>
      <c r="G1443" s="18"/>
      <c r="H1443" s="18"/>
    </row>
    <row r="1444" spans="1:8" ht="13.2">
      <c r="A1444" s="19" t="str">
        <f>HYPERLINK("http://agc002.contest.atcoder.jp/tasks/agc002_d#","AtCoder002-AGC-D")</f>
        <v>AtCoder002-AGC-D</v>
      </c>
      <c r="B1444" s="18" t="s">
        <v>824</v>
      </c>
      <c r="C1444" s="17">
        <v>6.5</v>
      </c>
      <c r="D1444" s="26" t="str">
        <f>HYPERLINK("https://github.com/mostafa-saad/MyCompetitiveProgramming/blob/master/AtCoder/AtCoder002-AGC-D.txt","Sol-must read")</f>
        <v>Sol-must read</v>
      </c>
      <c r="E1444" s="17" t="s">
        <v>805</v>
      </c>
      <c r="F1444" s="17" t="s">
        <v>154</v>
      </c>
      <c r="G1444" s="18"/>
      <c r="H1444" s="18"/>
    </row>
    <row r="1445" spans="1:8" ht="13.2">
      <c r="A1445" s="19" t="str">
        <f>HYPERLINK("http://codeforces.com/contest/449/problem/C","CF449-D1-C")</f>
        <v>CF449-D1-C</v>
      </c>
      <c r="B1445" s="30" t="s">
        <v>5445</v>
      </c>
      <c r="C1445" s="17">
        <v>6.5</v>
      </c>
      <c r="D1445" s="18"/>
      <c r="E1445" s="17" t="s">
        <v>5414</v>
      </c>
      <c r="F1445" s="17" t="s">
        <v>154</v>
      </c>
      <c r="G1445" s="18"/>
      <c r="H1445" s="18"/>
    </row>
    <row r="1446" spans="1:8" ht="13.2">
      <c r="A1446" s="19" t="str">
        <f>HYPERLINK("http://codeforces.com/contest/17/problem/D","CF17-D12-D")</f>
        <v>CF17-D12-D</v>
      </c>
      <c r="B1446" s="29" t="s">
        <v>5547</v>
      </c>
      <c r="C1446" s="17">
        <v>6.5</v>
      </c>
      <c r="D1446" s="26" t="str">
        <f>HYPERLINK("https://github.com/Huvok/CompetitiveProgramming/blob/master/Codeforces/CF17-D12-D.cpp","Sol")</f>
        <v>Sol</v>
      </c>
      <c r="E1446" s="17" t="s">
        <v>5524</v>
      </c>
      <c r="F1446" s="17" t="s">
        <v>154</v>
      </c>
      <c r="G1446" s="18"/>
      <c r="H1446" s="18"/>
    </row>
    <row r="1447" spans="1:8" ht="13.2">
      <c r="A1447" s="15" t="s">
        <v>2450</v>
      </c>
      <c r="B1447" s="28" t="s">
        <v>2451</v>
      </c>
      <c r="C1447" s="24">
        <v>6.5</v>
      </c>
      <c r="D1447" s="26" t="str">
        <f>HYPERLINK("https://github.com/Youssef-Abdel-Meguid/CompetitiveProgramming/blob/master/Topcoder/SRM396-D1-1000.cpp?fbclid=IwAR0ggSPkrogLh1kS7cdvOn5z5f0eut0qqhV-NkpByMHezdlRTI94eAKiIc4","Sol")</f>
        <v>Sol</v>
      </c>
      <c r="E1447" s="17" t="s">
        <v>2442</v>
      </c>
      <c r="F1447" s="17" t="s">
        <v>1164</v>
      </c>
      <c r="G1447" s="18"/>
      <c r="H1447" s="18"/>
    </row>
    <row r="1448" spans="1:8" ht="13.2">
      <c r="A1448" s="19" t="str">
        <f>HYPERLINK("http://codeforces.com/contest/2/problem/C","CF2-D12-C")</f>
        <v>CF2-D12-C</v>
      </c>
      <c r="B1448" s="29" t="s">
        <v>2829</v>
      </c>
      <c r="C1448" s="17">
        <v>6.5</v>
      </c>
      <c r="D1448" s="26" t="str">
        <f>HYPERLINK("https://github.com/osamahatem/CompetitiveProgramming/blob/master/Codeforces/2C.%20Commentator%20problem.cpp","Sol")</f>
        <v>Sol</v>
      </c>
      <c r="E1448" s="17" t="s">
        <v>2798</v>
      </c>
      <c r="F1448" s="17" t="s">
        <v>1164</v>
      </c>
      <c r="G1448" s="18"/>
      <c r="H1448" s="18"/>
    </row>
    <row r="1449" spans="1:8" ht="13.2">
      <c r="A1449" s="19" t="str">
        <f>HYPERLINK("http://codeforces.com/contest/547/problem/E","CF547-D1-E")</f>
        <v>CF547-D1-E</v>
      </c>
      <c r="B1449" s="15" t="s">
        <v>6408</v>
      </c>
      <c r="C1449" s="24">
        <v>6.5</v>
      </c>
      <c r="D1449" s="18"/>
      <c r="E1449" s="17" t="s">
        <v>6397</v>
      </c>
      <c r="F1449" s="17" t="s">
        <v>196</v>
      </c>
      <c r="G1449" s="18"/>
      <c r="H1449" s="18"/>
    </row>
    <row r="1450" spans="1:8" ht="13.2">
      <c r="A1450" s="19" t="str">
        <f>HYPERLINK("http://codeforces.com/contest/5/problem/E","CF5-D12-E")</f>
        <v>CF5-D12-E</v>
      </c>
      <c r="B1450" s="29" t="s">
        <v>1245</v>
      </c>
      <c r="C1450" s="17">
        <v>6.5</v>
      </c>
      <c r="D1450" s="26" t="str">
        <f>HYPERLINK("https://github.com/mostafa-saad/MyCompetitiveProgramming/blob/master/Codeforces/CF5-D12-E.txt","Sol")</f>
        <v>Sol</v>
      </c>
      <c r="E1450" s="17" t="s">
        <v>1223</v>
      </c>
      <c r="F1450" s="17" t="s">
        <v>196</v>
      </c>
      <c r="G1450" s="18"/>
      <c r="H1450" s="18"/>
    </row>
    <row r="1451" spans="1:8" ht="13.2">
      <c r="A1451" s="19" t="str">
        <f>HYPERLINK("http://codeforces.com/contest/161/problem/C","CF161-D12-C")</f>
        <v>CF161-D12-C</v>
      </c>
      <c r="B1451" s="29" t="s">
        <v>514</v>
      </c>
      <c r="C1451" s="17">
        <v>6.5</v>
      </c>
      <c r="D1451" s="26" t="str">
        <f>HYPERLINK("https://github.com/thackerhelik/Codeforces/blob/master/CF161-D12-C.cpp","Prove your solution")</f>
        <v>Prove your solution</v>
      </c>
      <c r="E1451" s="17" t="s">
        <v>503</v>
      </c>
      <c r="F1451" s="17" t="s">
        <v>196</v>
      </c>
      <c r="G1451" s="18"/>
      <c r="H1451" s="18"/>
    </row>
    <row r="1452" spans="1:8" ht="13.2">
      <c r="A1452" s="15" t="s">
        <v>4297</v>
      </c>
      <c r="B1452" s="29" t="s">
        <v>4298</v>
      </c>
      <c r="C1452" s="17">
        <v>6.5</v>
      </c>
      <c r="D1452" s="26" t="str">
        <f>HYPERLINK("https://github.com/tanmoy13/CompetitveProgramming/blob/master/Online-Judge-Solutions/UVA/10805%20-%20Cockroach%20Escape%20Networks.cpp","Sol")</f>
        <v>Sol</v>
      </c>
      <c r="E1452" s="17" t="s">
        <v>4275</v>
      </c>
      <c r="F1452" s="17" t="s">
        <v>196</v>
      </c>
      <c r="G1452" s="18"/>
      <c r="H1452" s="18"/>
    </row>
    <row r="1453" spans="1:8" ht="13.2">
      <c r="A1453" s="19" t="str">
        <f>HYPERLINK("https://hanoi18.kattis.com/problems/hanoi18.dividedoughnut","kattis hanoi18.dividedoughnut")</f>
        <v>kattis hanoi18.dividedoughnut</v>
      </c>
      <c r="B1453" s="20" t="s">
        <v>825</v>
      </c>
      <c r="C1453" s="21">
        <v>6.5</v>
      </c>
      <c r="D1453" s="26" t="str">
        <f>HYPERLINK("https://github.com/nya-nya-meow/CompetitiveProgramming/blob/d9223c8ed33dda8127462c847fcfa517172fa997/Kattis/hanoi18.dividedoughnut.cpp","Sol")</f>
        <v>Sol</v>
      </c>
      <c r="E1453" s="17" t="s">
        <v>805</v>
      </c>
      <c r="F1453" s="17" t="s">
        <v>196</v>
      </c>
      <c r="G1453" s="18"/>
      <c r="H1453" s="18"/>
    </row>
    <row r="1454" spans="1:8" ht="13.2">
      <c r="A1454" s="19" t="str">
        <f>HYPERLINK("http://codeforces.com/contest/341/problem/D","CF341-D1-D")</f>
        <v>CF341-D1-D</v>
      </c>
      <c r="B1454" s="29" t="s">
        <v>1246</v>
      </c>
      <c r="C1454" s="17">
        <v>6.5</v>
      </c>
      <c r="D1454" s="18"/>
      <c r="E1454" s="17" t="s">
        <v>1223</v>
      </c>
      <c r="F1454" s="17" t="s">
        <v>1112</v>
      </c>
      <c r="G1454" s="18"/>
      <c r="H1454" s="18"/>
    </row>
    <row r="1455" spans="1:8" ht="13.2">
      <c r="A1455" s="19" t="str">
        <f>HYPERLINK("https://hanoi18.kattis.com/problems/grabagraph","kattis hanoi18.grabagraph")</f>
        <v>kattis hanoi18.grabagraph</v>
      </c>
      <c r="B1455" s="20" t="s">
        <v>177</v>
      </c>
      <c r="C1455" s="21">
        <v>6.5</v>
      </c>
      <c r="D1455" s="26" t="str">
        <f>HYPERLINK("https://github.com/mostafa-saad/MyCompetitiveProgramming/blob/master/Kattis/kattis-hanoi18.grabagraph.txt","Sol")</f>
        <v>Sol</v>
      </c>
      <c r="E1455" s="17" t="s">
        <v>125</v>
      </c>
      <c r="F1455" s="17" t="s">
        <v>139</v>
      </c>
      <c r="G1455" s="18"/>
      <c r="H1455" s="18"/>
    </row>
    <row r="1456" spans="1:8" ht="13.2">
      <c r="A1456" s="19" t="str">
        <f>HYPERLINK("http://codeforces.com/contest/611/problem/E","CF611-D12-E")</f>
        <v>CF611-D12-E</v>
      </c>
      <c r="B1456" s="15" t="s">
        <v>178</v>
      </c>
      <c r="C1456" s="24">
        <v>6.5</v>
      </c>
      <c r="D1456" s="18"/>
      <c r="E1456" s="17" t="s">
        <v>125</v>
      </c>
      <c r="F1456" s="17" t="s">
        <v>139</v>
      </c>
      <c r="G1456" s="18"/>
      <c r="H1456" s="18"/>
    </row>
    <row r="1457" spans="1:8" ht="13.2">
      <c r="A1457" s="19" t="str">
        <f>HYPERLINK("https://codeforces.com/contest/1230/problem/F","CF1230-D2-F")</f>
        <v>CF1230-D2-F</v>
      </c>
      <c r="B1457" s="15" t="s">
        <v>179</v>
      </c>
      <c r="C1457" s="17">
        <v>6.5</v>
      </c>
      <c r="D1457" s="18"/>
      <c r="E1457" s="17" t="s">
        <v>125</v>
      </c>
      <c r="F1457" s="17" t="s">
        <v>139</v>
      </c>
      <c r="G1457" s="18"/>
      <c r="H1457" s="18"/>
    </row>
    <row r="1458" spans="1:8" ht="13.2">
      <c r="A1458" s="15" t="s">
        <v>180</v>
      </c>
      <c r="B1458" s="15" t="s">
        <v>181</v>
      </c>
      <c r="C1458" s="17">
        <v>6.5</v>
      </c>
      <c r="D1458" s="18"/>
      <c r="E1458" s="17" t="s">
        <v>125</v>
      </c>
      <c r="F1458" s="17" t="s">
        <v>139</v>
      </c>
      <c r="G1458" s="18"/>
      <c r="H1458" s="18"/>
    </row>
    <row r="1459" spans="1:8" ht="13.2">
      <c r="A1459" s="19" t="str">
        <f>HYPERLINK("https://codeforces.com/contest/1045/problem/B","CF1045-D12-B")</f>
        <v>CF1045-D12-B</v>
      </c>
      <c r="B1459" s="20" t="s">
        <v>5710</v>
      </c>
      <c r="C1459" s="17">
        <v>6.5</v>
      </c>
      <c r="D1459" s="18"/>
      <c r="E1459" s="17" t="s">
        <v>5702</v>
      </c>
      <c r="F1459" s="17" t="s">
        <v>139</v>
      </c>
      <c r="G1459" s="18"/>
      <c r="H1459" s="18"/>
    </row>
    <row r="1460" spans="1:8" ht="13.2">
      <c r="A1460" s="19" t="str">
        <f>HYPERLINK("https://codeforces.com/contest/1080/problem/E","CF1080-D2-E")</f>
        <v>CF1080-D2-E</v>
      </c>
      <c r="B1460" s="15" t="s">
        <v>5858</v>
      </c>
      <c r="C1460" s="17">
        <v>6.5</v>
      </c>
      <c r="D1460" s="18"/>
      <c r="E1460" s="17" t="s">
        <v>5857</v>
      </c>
      <c r="F1460" s="17" t="s">
        <v>139</v>
      </c>
      <c r="G1460" s="18"/>
      <c r="H1460" s="18"/>
    </row>
    <row r="1461" spans="1:8" ht="13.2">
      <c r="A1461" s="19" t="str">
        <f>HYPERLINK("https://codeforces.com/contest/840/problem/D","CF840-D1-D")</f>
        <v>CF840-D1-D</v>
      </c>
      <c r="B1461" s="15" t="s">
        <v>5927</v>
      </c>
      <c r="C1461" s="17">
        <v>6.5</v>
      </c>
      <c r="D1461" s="18" t="s">
        <v>5928</v>
      </c>
      <c r="E1461" s="17" t="s">
        <v>5915</v>
      </c>
      <c r="F1461" s="17" t="s">
        <v>139</v>
      </c>
      <c r="G1461" s="18"/>
      <c r="H1461" s="18"/>
    </row>
    <row r="1462" spans="1:8" ht="13.2">
      <c r="A1462" s="19" t="str">
        <f>HYPERLINK("http://codeforces.com/contest/33/problem/E","CF733-D2-E")</f>
        <v>CF733-D2-E</v>
      </c>
      <c r="B1462" s="15" t="s">
        <v>5966</v>
      </c>
      <c r="C1462" s="17">
        <v>6.5</v>
      </c>
      <c r="D1462" s="18"/>
      <c r="E1462" s="17" t="s">
        <v>5958</v>
      </c>
      <c r="F1462" s="17" t="s">
        <v>139</v>
      </c>
      <c r="G1462" s="18"/>
      <c r="H1462" s="18"/>
    </row>
    <row r="1463" spans="1:8" ht="13.2">
      <c r="A1463" s="15" t="s">
        <v>960</v>
      </c>
      <c r="B1463" s="29" t="s">
        <v>961</v>
      </c>
      <c r="C1463" s="24">
        <v>6.5</v>
      </c>
      <c r="D1463" s="26" t="str">
        <f>HYPERLINK("https://github.com/DrSchwad/CompetitiveProgramming/blob/master/TopCoder/SRM307-D1-1000.cpp","Sol")</f>
        <v>Sol</v>
      </c>
      <c r="E1463" s="17" t="s">
        <v>951</v>
      </c>
      <c r="F1463" s="17" t="s">
        <v>139</v>
      </c>
      <c r="G1463" s="18"/>
      <c r="H1463" s="18"/>
    </row>
    <row r="1464" spans="1:8" ht="13.2">
      <c r="A1464" s="19" t="str">
        <f>HYPERLINK("https://codeforces.com/contest/1252/problem/E","CF1252-D12-E")</f>
        <v>CF1252-D12-E</v>
      </c>
      <c r="B1464" s="15" t="s">
        <v>6041</v>
      </c>
      <c r="C1464" s="17">
        <v>6.5</v>
      </c>
      <c r="D1464" s="18"/>
      <c r="E1464" s="17" t="s">
        <v>6040</v>
      </c>
      <c r="F1464" s="17" t="s">
        <v>139</v>
      </c>
      <c r="G1464" s="18"/>
      <c r="H1464" s="18"/>
    </row>
    <row r="1465" spans="1:8" ht="13.2">
      <c r="A1465" s="19" t="str">
        <f>HYPERLINK("https://codeforces.com/contest/703/problem/E","CF703-D2-E")</f>
        <v>CF703-D2-E</v>
      </c>
      <c r="B1465" s="15" t="s">
        <v>6080</v>
      </c>
      <c r="C1465" s="17">
        <v>6.5</v>
      </c>
      <c r="D1465" s="18"/>
      <c r="E1465" s="17" t="s">
        <v>6075</v>
      </c>
      <c r="F1465" s="17" t="s">
        <v>139</v>
      </c>
      <c r="G1465" s="18"/>
      <c r="H1465" s="18"/>
    </row>
    <row r="1466" spans="1:8" ht="13.2">
      <c r="A1466" s="19" t="str">
        <f>HYPERLINK("https://codeforces.com/contest/1245/problem/F","CF1245-D2-F")</f>
        <v>CF1245-D2-F</v>
      </c>
      <c r="B1466" s="20" t="s">
        <v>6122</v>
      </c>
      <c r="C1466" s="21">
        <v>6.5</v>
      </c>
      <c r="D1466" s="18"/>
      <c r="E1466" s="17" t="s">
        <v>6118</v>
      </c>
      <c r="F1466" s="17" t="s">
        <v>139</v>
      </c>
      <c r="G1466" s="18"/>
      <c r="H1466" s="18"/>
    </row>
    <row r="1467" spans="1:8" ht="13.2">
      <c r="A1467" s="19" t="str">
        <f>HYPERLINK("https://codeforces.com/contest/1143/problem/E","CF1143-D2-E")</f>
        <v>CF1143-D2-E</v>
      </c>
      <c r="B1467" s="23" t="s">
        <v>998</v>
      </c>
      <c r="C1467" s="17">
        <v>6.5</v>
      </c>
      <c r="D1467" s="18"/>
      <c r="E1467" s="17" t="s">
        <v>997</v>
      </c>
      <c r="F1467" s="17" t="s">
        <v>139</v>
      </c>
      <c r="G1467" s="18"/>
      <c r="H1467" s="18"/>
    </row>
    <row r="1468" spans="1:8" ht="13.2">
      <c r="A1468" s="19" t="str">
        <f>HYPERLINK("http://codeforces.com/contest/515/problem/E","CF515-D2-E")</f>
        <v>CF515-D2-E</v>
      </c>
      <c r="B1468" s="15" t="s">
        <v>999</v>
      </c>
      <c r="C1468" s="17">
        <v>6.5</v>
      </c>
      <c r="D1468" s="18"/>
      <c r="E1468" s="17" t="s">
        <v>997</v>
      </c>
      <c r="F1468" s="17" t="s">
        <v>139</v>
      </c>
      <c r="G1468" s="18"/>
      <c r="H1468" s="18"/>
    </row>
    <row r="1469" spans="1:8" ht="13.2">
      <c r="A1469" s="19" t="str">
        <f>HYPERLINK("https://codeforces.com/contest/1146/problem/G","CF1146-D12-G")</f>
        <v>CF1146-D12-G</v>
      </c>
      <c r="B1469" s="15" t="s">
        <v>6248</v>
      </c>
      <c r="C1469" s="21">
        <v>6.5</v>
      </c>
      <c r="D1469" s="18"/>
      <c r="E1469" s="17" t="s">
        <v>6246</v>
      </c>
      <c r="F1469" s="17" t="s">
        <v>139</v>
      </c>
      <c r="G1469" s="18"/>
      <c r="H1469" s="18"/>
    </row>
    <row r="1470" spans="1:8" ht="13.2">
      <c r="A1470" s="19" t="str">
        <f>HYPERLINK("https://www.facebook.com/hackercup/problem/448364075989193/","FbHkrCup 19-R1-С")</f>
        <v>FbHkrCup 19-R1-С</v>
      </c>
      <c r="B1470" s="15" t="s">
        <v>6252</v>
      </c>
      <c r="C1470" s="17">
        <v>6.5</v>
      </c>
      <c r="D1470" s="18"/>
      <c r="E1470" s="17" t="s">
        <v>6246</v>
      </c>
      <c r="F1470" s="17" t="s">
        <v>139</v>
      </c>
      <c r="G1470" s="18"/>
      <c r="H1470" s="18"/>
    </row>
    <row r="1471" spans="1:8" ht="13.2">
      <c r="A1471" s="19" t="str">
        <f>HYPERLINK("https://codeforces.com/contest/808/problem/F","CF808-D12-F")</f>
        <v>CF808-D12-F</v>
      </c>
      <c r="B1471" s="15" t="s">
        <v>6253</v>
      </c>
      <c r="C1471" s="17">
        <v>6.5</v>
      </c>
      <c r="D1471" s="18"/>
      <c r="E1471" s="17" t="s">
        <v>6246</v>
      </c>
      <c r="F1471" s="17" t="s">
        <v>139</v>
      </c>
      <c r="G1471" s="18"/>
      <c r="H1471" s="18"/>
    </row>
    <row r="1472" spans="1:8" ht="13.2">
      <c r="A1472" s="19" t="str">
        <f>HYPERLINK("http://codeforces.com/contest/138/problem/C","CF138-D1-C")</f>
        <v>CF138-D1-C</v>
      </c>
      <c r="B1472" s="15" t="s">
        <v>6274</v>
      </c>
      <c r="C1472" s="24">
        <v>6.5</v>
      </c>
      <c r="D1472" s="18"/>
      <c r="E1472" s="17" t="s">
        <v>6275</v>
      </c>
      <c r="F1472" s="17" t="s">
        <v>139</v>
      </c>
      <c r="G1472" s="18"/>
      <c r="H1472" s="18"/>
    </row>
    <row r="1473" spans="1:8" ht="13.2">
      <c r="A1473" s="19" t="str">
        <f>HYPERLINK("http://www.codechef.com/problems/GERALD2","CODECHEF GERALD2")</f>
        <v>CODECHEF GERALD2</v>
      </c>
      <c r="B1473" s="30" t="s">
        <v>6320</v>
      </c>
      <c r="C1473" s="40">
        <v>6.5</v>
      </c>
      <c r="D1473" s="18"/>
      <c r="E1473" s="17" t="s">
        <v>6311</v>
      </c>
      <c r="F1473" s="17" t="s">
        <v>139</v>
      </c>
      <c r="G1473" s="18"/>
      <c r="H1473" s="18"/>
    </row>
    <row r="1474" spans="1:8" ht="13.2">
      <c r="A1474" s="15" t="s">
        <v>6374</v>
      </c>
      <c r="B1474" s="15" t="s">
        <v>6375</v>
      </c>
      <c r="C1474" s="17">
        <v>6.5</v>
      </c>
      <c r="D1474" s="26" t="str">
        <f>HYPERLINK("https://github.com/mostafa-saad/MyCompetitiveProgramming/blob/master/SPOJ/SPOJ_TRAKA.txt","Sol")</f>
        <v>Sol</v>
      </c>
      <c r="E1474" s="17" t="s">
        <v>6362</v>
      </c>
      <c r="F1474" s="17" t="s">
        <v>139</v>
      </c>
      <c r="G1474" s="18"/>
      <c r="H1474" s="18"/>
    </row>
    <row r="1475" spans="1:8" ht="13.2">
      <c r="A1475" s="19" t="str">
        <f>HYPERLINK("https://www.hackerrank.com/contests/university-codesprint-5/challenges/sword-profit","HACKR sword-profit")</f>
        <v>HACKR sword-profit</v>
      </c>
      <c r="B1475" s="20" t="s">
        <v>6376</v>
      </c>
      <c r="C1475" s="21">
        <v>6.5</v>
      </c>
      <c r="D1475" s="26" t="str">
        <f>HYPERLINK("https://github.com/SpeedOfMagic/CompetitiveProgramming/blob/master/UC/5-sword-profit.cpp","Sol")</f>
        <v>Sol</v>
      </c>
      <c r="E1475" s="17" t="s">
        <v>6362</v>
      </c>
      <c r="F1475" s="17" t="s">
        <v>139</v>
      </c>
      <c r="G1475" s="18"/>
      <c r="H1475" s="18"/>
    </row>
    <row r="1476" spans="1:8" ht="13.2">
      <c r="A1476" s="15" t="s">
        <v>6377</v>
      </c>
      <c r="B1476" s="15" t="s">
        <v>6378</v>
      </c>
      <c r="C1476" s="17">
        <v>6.5</v>
      </c>
      <c r="D1476" s="26" t="str">
        <f>HYPERLINK("https://github.com/mostafa-saad/MyCompetitiveProgramming/blob/master/SPOJ/SPOJ_BAABO.txt","Sol")</f>
        <v>Sol</v>
      </c>
      <c r="E1476" s="17" t="s">
        <v>6362</v>
      </c>
      <c r="F1476" s="17" t="s">
        <v>139</v>
      </c>
      <c r="G1476" s="18"/>
      <c r="H1476" s="18"/>
    </row>
    <row r="1477" spans="1:8" ht="13.2">
      <c r="A1477" s="19" t="str">
        <f>HYPERLINK("https://codeforces.com/contest/678/problem/F","CF678-D12-F")</f>
        <v>CF678-D12-F</v>
      </c>
      <c r="B1477" s="15" t="s">
        <v>6409</v>
      </c>
      <c r="C1477" s="17">
        <v>6.5</v>
      </c>
      <c r="D1477" s="18"/>
      <c r="E1477" s="17" t="s">
        <v>6397</v>
      </c>
      <c r="F1477" s="17" t="s">
        <v>139</v>
      </c>
      <c r="G1477" s="18"/>
      <c r="H1477" s="18"/>
    </row>
    <row r="1478" spans="1:8" ht="13.2">
      <c r="A1478" s="19" t="str">
        <f>HYPERLINK("https://codeforces.com/contest/1239/problem/C","CF1239-D1-C")</f>
        <v>CF1239-D1-C</v>
      </c>
      <c r="B1478" s="15" t="s">
        <v>1017</v>
      </c>
      <c r="C1478" s="17">
        <v>6.5</v>
      </c>
      <c r="D1478" s="18"/>
      <c r="E1478" s="17" t="s">
        <v>1018</v>
      </c>
      <c r="F1478" s="17" t="s">
        <v>139</v>
      </c>
      <c r="G1478" s="18"/>
      <c r="H1478" s="18"/>
    </row>
    <row r="1479" spans="1:8" ht="13.2">
      <c r="A1479" s="19" t="str">
        <f>HYPERLINK("http://codeforces.com/contest/893/problem/F","CF893-D12-F")</f>
        <v>CF893-D12-F</v>
      </c>
      <c r="B1479" s="37" t="s">
        <v>1090</v>
      </c>
      <c r="C1479" s="17">
        <v>6.5</v>
      </c>
      <c r="D1479" s="18"/>
      <c r="E1479" s="17" t="s">
        <v>1018</v>
      </c>
      <c r="F1479" s="17" t="s">
        <v>139</v>
      </c>
      <c r="G1479" s="18"/>
      <c r="H1479" s="18"/>
    </row>
    <row r="1480" spans="1:8" ht="13.2">
      <c r="A1480" s="19" t="str">
        <f>HYPERLINK("https://www.codechef.com/JUNE19A/problems/COOLCHEF","Codechef COOLCHEF")</f>
        <v>Codechef COOLCHEF</v>
      </c>
      <c r="B1480" s="20" t="s">
        <v>1091</v>
      </c>
      <c r="C1480" s="21">
        <v>6.5</v>
      </c>
      <c r="D1480" s="18"/>
      <c r="E1480" s="17" t="s">
        <v>1018</v>
      </c>
      <c r="F1480" s="17" t="s">
        <v>139</v>
      </c>
      <c r="G1480" s="18"/>
      <c r="H1480" s="18"/>
    </row>
    <row r="1481" spans="1:8" ht="13.2">
      <c r="A1481" s="19" t="str">
        <f>HYPERLINK("https://codeforces.com/contest/1208/problem/F", "CF1208-D12-F")</f>
        <v>CF1208-D12-F</v>
      </c>
      <c r="B1481" s="20" t="s">
        <v>6444</v>
      </c>
      <c r="C1481" s="17">
        <v>6.5</v>
      </c>
      <c r="D1481" s="26" t="str">
        <f>HYPERLINK("https://github.com/fiv2001/CompetitiveProgramming/blob/master/Codeforces/CF1208-D12-F.cpp", "Sol")</f>
        <v>Sol</v>
      </c>
      <c r="E1481" s="17" t="s">
        <v>6441</v>
      </c>
      <c r="F1481" s="17" t="s">
        <v>139</v>
      </c>
      <c r="G1481" s="18"/>
      <c r="H1481" s="18"/>
    </row>
    <row r="1482" spans="1:8" ht="13.2">
      <c r="A1482" s="19" t="str">
        <f>HYPERLINK("https://olymp.innopolis.ru/ooui/informatics/upload/2018-2019/inno-2019-final-en.pdf","Innopolis 19-Final-B")</f>
        <v>Innopolis 19-Final-B</v>
      </c>
      <c r="B1482" s="15" t="s">
        <v>6450</v>
      </c>
      <c r="C1482" s="17">
        <v>6.5</v>
      </c>
      <c r="D1482" s="18" t="s">
        <v>6451</v>
      </c>
      <c r="E1482" s="17" t="s">
        <v>6441</v>
      </c>
      <c r="F1482" s="17" t="s">
        <v>139</v>
      </c>
      <c r="G1482" s="18"/>
      <c r="H1482" s="18"/>
    </row>
    <row r="1483" spans="1:8" ht="13.2">
      <c r="A1483" s="19" t="str">
        <f>HYPERLINK("http://codeforces.com/contest/543/problem/D","CF543-D1-D")</f>
        <v>CF543-D1-D</v>
      </c>
      <c r="B1483" s="29" t="s">
        <v>6469</v>
      </c>
      <c r="C1483" s="17">
        <v>6.5</v>
      </c>
      <c r="D1483" s="18"/>
      <c r="E1483" s="17" t="s">
        <v>6459</v>
      </c>
      <c r="F1483" s="17" t="s">
        <v>139</v>
      </c>
      <c r="G1483" s="18"/>
      <c r="H1483" s="18"/>
    </row>
    <row r="1484" spans="1:8" ht="13.2">
      <c r="A1484" s="19" t="str">
        <f>HYPERLINK("https://www.codechef.com/FEB19A/problems/XDCOMP","CODECHEF XDCOMP")</f>
        <v>CODECHEF XDCOMP</v>
      </c>
      <c r="B1484" s="20" t="s">
        <v>6470</v>
      </c>
      <c r="C1484" s="17">
        <v>6.5</v>
      </c>
      <c r="D1484" s="18"/>
      <c r="E1484" s="17" t="s">
        <v>6459</v>
      </c>
      <c r="F1484" s="17" t="s">
        <v>139</v>
      </c>
      <c r="G1484" s="18"/>
      <c r="H1484" s="18"/>
    </row>
    <row r="1485" spans="1:8" ht="13.2">
      <c r="A1485" s="19" t="str">
        <f>HYPERLINK("http://codeforces.com/contest/349/problem/D","CF349-D2-D")</f>
        <v>CF349-D2-D</v>
      </c>
      <c r="B1485" s="15" t="s">
        <v>6471</v>
      </c>
      <c r="C1485" s="24">
        <v>6.5</v>
      </c>
      <c r="D1485" s="18"/>
      <c r="E1485" s="17" t="s">
        <v>6459</v>
      </c>
      <c r="F1485" s="17" t="s">
        <v>139</v>
      </c>
      <c r="G1485" s="18"/>
      <c r="H1485" s="18"/>
    </row>
    <row r="1486" spans="1:8" ht="13.2">
      <c r="A1486" s="19" t="str">
        <f>HYPERLINK("http://codeforces.com/contest/444/problem/D","CF444-D1-D")</f>
        <v>CF444-D1-D</v>
      </c>
      <c r="B1486" s="15" t="s">
        <v>6506</v>
      </c>
      <c r="C1486" s="24">
        <v>6.5</v>
      </c>
      <c r="D1486" s="18"/>
      <c r="E1486" s="17" t="s">
        <v>6505</v>
      </c>
      <c r="F1486" s="17" t="s">
        <v>139</v>
      </c>
      <c r="G1486" s="18"/>
      <c r="H1486" s="18"/>
    </row>
    <row r="1487" spans="1:8" ht="13.2">
      <c r="A1487" s="19" t="str">
        <f>HYPERLINK("http://codeforces.com/contest/301/problem/D","CF301-D1-D")</f>
        <v>CF301-D1-D</v>
      </c>
      <c r="B1487" s="15" t="s">
        <v>1247</v>
      </c>
      <c r="C1487" s="17">
        <v>6.5</v>
      </c>
      <c r="D1487" s="18"/>
      <c r="E1487" s="17" t="s">
        <v>1223</v>
      </c>
      <c r="F1487" s="17" t="s">
        <v>139</v>
      </c>
      <c r="G1487" s="18"/>
      <c r="H1487" s="18"/>
    </row>
    <row r="1488" spans="1:8" ht="13.2">
      <c r="A1488" s="19" t="str">
        <f>HYPERLINK("https://codeforces.com/contest/1131/problem/E","CF1131-D2-E")</f>
        <v>CF1131-D2-E</v>
      </c>
      <c r="B1488" s="15" t="s">
        <v>1348</v>
      </c>
      <c r="C1488" s="17">
        <v>6.5</v>
      </c>
      <c r="D1488" s="18"/>
      <c r="E1488" s="17" t="s">
        <v>1337</v>
      </c>
      <c r="F1488" s="17" t="s">
        <v>139</v>
      </c>
      <c r="G1488" s="18"/>
      <c r="H1488" s="18"/>
    </row>
    <row r="1489" spans="1:8" ht="13.2">
      <c r="A1489" s="19" t="str">
        <f>HYPERLINK("https://codeforces.com/contest/1264/problem/D1", "CF1264-D1-D1")</f>
        <v>CF1264-D1-D1</v>
      </c>
      <c r="B1489" s="15" t="s">
        <v>1348</v>
      </c>
      <c r="C1489" s="17">
        <v>6.5</v>
      </c>
      <c r="D1489" s="18"/>
      <c r="E1489" s="17" t="s">
        <v>1337</v>
      </c>
      <c r="F1489" s="17" t="s">
        <v>139</v>
      </c>
      <c r="G1489" s="18"/>
      <c r="H1489" s="18"/>
    </row>
    <row r="1490" spans="1:8" ht="13.2">
      <c r="A1490" s="19" t="str">
        <f>HYPERLINK("http://codeforces.com/contest/845/problem/F","CF845-D12-F")</f>
        <v>CF845-D12-F</v>
      </c>
      <c r="B1490" s="15" t="s">
        <v>1348</v>
      </c>
      <c r="C1490" s="24">
        <v>6.5</v>
      </c>
      <c r="D1490" s="18"/>
      <c r="E1490" s="17" t="s">
        <v>1337</v>
      </c>
      <c r="F1490" s="17" t="s">
        <v>139</v>
      </c>
      <c r="G1490" s="18"/>
      <c r="H1490" s="18"/>
    </row>
    <row r="1491" spans="1:8" ht="13.2">
      <c r="A1491" s="19" t="str">
        <f>HYPERLINK("https://www.hackerrank.com/contests/codeagon/challenges/number-of-ways-1","HACKER number-of-ways-1")</f>
        <v>HACKER number-of-ways-1</v>
      </c>
      <c r="B1491" s="20" t="s">
        <v>1348</v>
      </c>
      <c r="C1491" s="21">
        <v>6.5</v>
      </c>
      <c r="D1491" s="18"/>
      <c r="E1491" s="17" t="s">
        <v>1337</v>
      </c>
      <c r="F1491" s="17" t="s">
        <v>139</v>
      </c>
      <c r="G1491" s="18"/>
      <c r="H1491" s="18"/>
    </row>
    <row r="1492" spans="1:8" ht="13.2">
      <c r="A1492" s="19" t="str">
        <f>HYPERLINK("https://codeforces.com/contest/1189/problem/E","CF1189-D2-F")</f>
        <v>CF1189-D2-F</v>
      </c>
      <c r="B1492" s="15" t="s">
        <v>1423</v>
      </c>
      <c r="C1492" s="17">
        <v>6.5</v>
      </c>
      <c r="D1492" s="18"/>
      <c r="E1492" s="17" t="s">
        <v>1337</v>
      </c>
      <c r="F1492" s="17" t="s">
        <v>139</v>
      </c>
      <c r="G1492" s="18"/>
      <c r="H1492" s="18"/>
    </row>
    <row r="1493" spans="1:8" ht="13.2">
      <c r="A1493" s="19" t="str">
        <f>HYPERLINK("http://codeforces.com/contest/1051/problem/E","CF1051-D12-E")</f>
        <v>CF1051-D12-E</v>
      </c>
      <c r="B1493" s="15" t="s">
        <v>1424</v>
      </c>
      <c r="C1493" s="17">
        <v>6.5</v>
      </c>
      <c r="D1493" s="18"/>
      <c r="E1493" s="17" t="s">
        <v>1337</v>
      </c>
      <c r="F1493" s="17" t="s">
        <v>139</v>
      </c>
      <c r="G1493" s="18"/>
      <c r="H1493" s="18"/>
    </row>
    <row r="1494" spans="1:8" ht="13.2">
      <c r="A1494" s="15" t="s">
        <v>1425</v>
      </c>
      <c r="B1494" s="16" t="s">
        <v>1426</v>
      </c>
      <c r="C1494" s="17">
        <v>6.5</v>
      </c>
      <c r="D1494" s="18"/>
      <c r="E1494" s="17" t="s">
        <v>1337</v>
      </c>
      <c r="F1494" s="17" t="s">
        <v>139</v>
      </c>
      <c r="G1494" s="18"/>
      <c r="H1494" s="18"/>
    </row>
    <row r="1495" spans="1:8" ht="13.2">
      <c r="A1495" s="19" t="str">
        <f>HYPERLINK("http://codeforces.com/contest/796/problem/E","CF796-D2-E")</f>
        <v>CF796-D2-E</v>
      </c>
      <c r="B1495" s="15" t="s">
        <v>1427</v>
      </c>
      <c r="C1495" s="17">
        <v>6.5</v>
      </c>
      <c r="D1495" s="18"/>
      <c r="E1495" s="17" t="s">
        <v>1337</v>
      </c>
      <c r="F1495" s="17" t="s">
        <v>139</v>
      </c>
      <c r="G1495" s="18"/>
      <c r="H1495" s="18"/>
    </row>
    <row r="1496" spans="1:8" ht="13.2">
      <c r="A1496" s="19" t="str">
        <f>HYPERLINK("https://codeforces.com/contest/1043/problem/F","CF1043-D12-F")</f>
        <v>CF1043-D12-F</v>
      </c>
      <c r="B1496" s="15" t="s">
        <v>1428</v>
      </c>
      <c r="C1496" s="17">
        <v>6.5</v>
      </c>
      <c r="D1496" s="26" t="str">
        <f>HYPERLINK("https://github.com/nya-nya-meow/CompetitiveProgramming/blob/master/CodeForces/CF1043-D12-F.cpp","Sol")</f>
        <v>Sol</v>
      </c>
      <c r="E1496" s="17" t="s">
        <v>1337</v>
      </c>
      <c r="F1496" s="17" t="s">
        <v>139</v>
      </c>
      <c r="G1496" s="18"/>
      <c r="H1496" s="18"/>
    </row>
    <row r="1497" spans="1:8" ht="13.2">
      <c r="A1497" s="15" t="s">
        <v>1429</v>
      </c>
      <c r="B1497" s="30" t="s">
        <v>1430</v>
      </c>
      <c r="C1497" s="33">
        <v>6.5</v>
      </c>
      <c r="D1497" s="26" t="str">
        <f>HYPERLINK("https://github.com/MetalBall887/Competitive-Programming/blob/master/TopCoder/SRM418-D1-500.cpp", "Sol (different but longer)")</f>
        <v>Sol (different but longer)</v>
      </c>
      <c r="E1497" s="17" t="s">
        <v>1337</v>
      </c>
      <c r="F1497" s="17" t="s">
        <v>139</v>
      </c>
      <c r="G1497" s="18"/>
      <c r="H1497" s="18"/>
    </row>
    <row r="1498" spans="1:8" ht="13.2">
      <c r="A1498" s="19" t="str">
        <f>HYPERLINK("http://codeforces.com/contest/17/problem/C","CF17-D12-C")</f>
        <v>CF17-D12-C</v>
      </c>
      <c r="B1498" s="15" t="s">
        <v>1431</v>
      </c>
      <c r="C1498" s="24">
        <v>6.5</v>
      </c>
      <c r="D1498" s="18"/>
      <c r="E1498" s="17" t="s">
        <v>1337</v>
      </c>
      <c r="F1498" s="17" t="s">
        <v>139</v>
      </c>
      <c r="G1498" s="18"/>
      <c r="H1498" s="18"/>
    </row>
    <row r="1499" spans="1:8" ht="13.2">
      <c r="A1499" s="19" t="str">
        <f>HYPERLINK("https://codeforces.com/problemset/problem/1032/F","CF1079-D2-F")</f>
        <v>CF1079-D2-F</v>
      </c>
      <c r="B1499" s="20" t="s">
        <v>1432</v>
      </c>
      <c r="C1499" s="21">
        <v>6.5</v>
      </c>
      <c r="D1499" s="18"/>
      <c r="E1499" s="17" t="s">
        <v>1337</v>
      </c>
      <c r="F1499" s="17" t="s">
        <v>139</v>
      </c>
      <c r="G1499" s="18"/>
      <c r="H1499" s="18"/>
    </row>
    <row r="1500" spans="1:8" ht="13.2">
      <c r="A1500" s="19" t="str">
        <f>HYPERLINK("https://codeforces.com/contest/1253/problem/E","CF1253-D2-E")</f>
        <v>CF1253-D2-E</v>
      </c>
      <c r="B1500" s="20" t="s">
        <v>1433</v>
      </c>
      <c r="C1500" s="21">
        <v>6.5</v>
      </c>
      <c r="D1500" s="26" t="str">
        <f>HYPERLINK("https://github.com/farmerboy95/CompetitiveProgramming/blob/master/Codeforces/CF1253-D2-E.cpp","Sl")</f>
        <v>Sl</v>
      </c>
      <c r="E1500" s="17" t="s">
        <v>1337</v>
      </c>
      <c r="F1500" s="17" t="s">
        <v>139</v>
      </c>
      <c r="G1500" s="18"/>
      <c r="H1500" s="18"/>
    </row>
    <row r="1501" spans="1:8" ht="13.2">
      <c r="A1501" s="19" t="str">
        <f>HYPERLINK("https://codeforces.com/contest/1088/problem/F","CF1088-D2-F")</f>
        <v>CF1088-D2-F</v>
      </c>
      <c r="B1501" s="15" t="s">
        <v>1434</v>
      </c>
      <c r="C1501" s="17">
        <v>6.5</v>
      </c>
      <c r="D1501" s="18"/>
      <c r="E1501" s="17" t="s">
        <v>1337</v>
      </c>
      <c r="F1501" s="17" t="s">
        <v>139</v>
      </c>
      <c r="G1501" s="18"/>
      <c r="H1501" s="18"/>
    </row>
    <row r="1502" spans="1:8" ht="13.2">
      <c r="A1502" s="19" t="str">
        <f>HYPERLINK("https://community.topcoder.com/stat?c=problem_statement&amp;pm=8595","TC(MONSTERSANDBUNNIES)")</f>
        <v>TC(MONSTERSANDBUNNIES)</v>
      </c>
      <c r="B1502" s="28" t="s">
        <v>1699</v>
      </c>
      <c r="C1502" s="24">
        <v>6.5</v>
      </c>
      <c r="D1502" s="18"/>
      <c r="E1502" s="17" t="s">
        <v>1691</v>
      </c>
      <c r="F1502" s="17" t="s">
        <v>139</v>
      </c>
      <c r="G1502" s="18"/>
      <c r="H1502" s="18"/>
    </row>
    <row r="1503" spans="1:8" ht="13.2">
      <c r="A1503" s="19" t="str">
        <f>HYPERLINK("https://codeforces.com/contest/1041/problem/F","CF1041-D2-F")</f>
        <v>CF1041-D2-F</v>
      </c>
      <c r="B1503" s="15" t="s">
        <v>362</v>
      </c>
      <c r="C1503" s="17">
        <v>6.5</v>
      </c>
      <c r="D1503" s="18"/>
      <c r="E1503" s="17" t="s">
        <v>332</v>
      </c>
      <c r="F1503" s="17" t="s">
        <v>139</v>
      </c>
      <c r="G1503" s="18"/>
      <c r="H1503" s="18"/>
    </row>
    <row r="1504" spans="1:8" ht="13.2">
      <c r="A1504" s="19" t="str">
        <f>HYPERLINK("http://codeforces.com/contest/365/problem/E","CF365-D2-E")</f>
        <v>CF365-D2-E</v>
      </c>
      <c r="B1504" s="15" t="s">
        <v>363</v>
      </c>
      <c r="C1504" s="24">
        <v>6.5</v>
      </c>
      <c r="D1504" s="26" t="str">
        <f>HYPERLINK("https://github.com/tmwilliamlin168/CompetitiveProgramming/blob/master/CodeForces/0365E.cpp", "Sol")</f>
        <v>Sol</v>
      </c>
      <c r="E1504" s="17" t="s">
        <v>332</v>
      </c>
      <c r="F1504" s="17" t="s">
        <v>139</v>
      </c>
      <c r="G1504" s="18"/>
      <c r="H1504" s="18"/>
    </row>
    <row r="1505" spans="1:8" ht="13.2">
      <c r="A1505" s="15" t="s">
        <v>1752</v>
      </c>
      <c r="B1505" s="16" t="s">
        <v>1753</v>
      </c>
      <c r="C1505" s="31">
        <v>6.5</v>
      </c>
      <c r="D1505" s="18" t="s">
        <v>1754</v>
      </c>
      <c r="E1505" s="17" t="s">
        <v>1751</v>
      </c>
      <c r="F1505" s="17" t="s">
        <v>139</v>
      </c>
      <c r="G1505" s="18"/>
      <c r="H1505" s="18"/>
    </row>
    <row r="1506" spans="1:8" ht="13.2">
      <c r="A1506" s="19" t="str">
        <f>HYPERLINK("https://www.codechef.com/problems/AMBALLS","CODECHEF AMBALLS")</f>
        <v>CODECHEF AMBALLS</v>
      </c>
      <c r="B1506" s="15" t="s">
        <v>1798</v>
      </c>
      <c r="C1506" s="17">
        <v>6.5</v>
      </c>
      <c r="D1506" s="18"/>
      <c r="E1506" s="17" t="s">
        <v>1793</v>
      </c>
      <c r="F1506" s="17" t="s">
        <v>139</v>
      </c>
      <c r="G1506" s="18"/>
      <c r="H1506" s="18"/>
    </row>
    <row r="1507" spans="1:8" ht="13.2">
      <c r="A1507" s="19" t="str">
        <f>HYPERLINK("https://csacademy.com/contest/round-40/task/restricted-permutations/","CSA40-D")</f>
        <v>CSA40-D</v>
      </c>
      <c r="B1507" s="15" t="s">
        <v>1799</v>
      </c>
      <c r="C1507" s="17">
        <v>6.5</v>
      </c>
      <c r="D1507" s="26" t="str">
        <f>HYPERLINK("https://github.com/nya-nya-meow/CompetitiveProgramming/blob/master/CSAcademy/CSA40-D.cpp","Sol")</f>
        <v>Sol</v>
      </c>
      <c r="E1507" s="17" t="s">
        <v>1793</v>
      </c>
      <c r="F1507" s="17" t="s">
        <v>139</v>
      </c>
      <c r="G1507" s="18"/>
      <c r="H1507" s="18"/>
    </row>
    <row r="1508" spans="1:8" ht="13.2">
      <c r="A1508" s="19" t="str">
        <f>HYPERLINK("http://codeforces.com/contest/454/problem/D","CF454-D2-D")</f>
        <v>CF454-D2-D</v>
      </c>
      <c r="B1508" s="28" t="s">
        <v>1818</v>
      </c>
      <c r="C1508" s="17">
        <v>6.5</v>
      </c>
      <c r="D1508" s="18"/>
      <c r="E1508" s="17" t="s">
        <v>1819</v>
      </c>
      <c r="F1508" s="17" t="s">
        <v>139</v>
      </c>
      <c r="G1508" s="18"/>
      <c r="H1508" s="18"/>
    </row>
    <row r="1509" spans="1:8" ht="13.2">
      <c r="A1509" s="15" t="s">
        <v>1834</v>
      </c>
      <c r="B1509" s="29" t="s">
        <v>1835</v>
      </c>
      <c r="C1509" s="24">
        <v>6.5</v>
      </c>
      <c r="D1509" s="26" t="str">
        <f>HYPERLINK("https://github.com/Ownography/CP/blob/master/UVA%201323","Sol")</f>
        <v>Sol</v>
      </c>
      <c r="E1509" s="17" t="s">
        <v>1819</v>
      </c>
      <c r="F1509" s="17" t="s">
        <v>139</v>
      </c>
      <c r="G1509" s="18"/>
      <c r="H1509" s="18"/>
    </row>
    <row r="1510" spans="1:8" ht="13.2">
      <c r="A1510" s="19" t="str">
        <f>HYPERLINK("https://codeforces.com/contest/1313/problem/D","CF1313-D2-D")</f>
        <v>CF1313-D2-D</v>
      </c>
      <c r="B1510" s="20" t="s">
        <v>1836</v>
      </c>
      <c r="C1510" s="21">
        <v>6.5</v>
      </c>
      <c r="D1510" s="18"/>
      <c r="E1510" s="17" t="s">
        <v>1819</v>
      </c>
      <c r="F1510" s="17" t="s">
        <v>139</v>
      </c>
      <c r="G1510" s="18"/>
      <c r="H1510" s="18"/>
    </row>
    <row r="1511" spans="1:8" ht="13.2">
      <c r="A1511" s="15" t="s">
        <v>1837</v>
      </c>
      <c r="B1511" s="18" t="s">
        <v>1838</v>
      </c>
      <c r="C1511" s="24">
        <v>6.5</v>
      </c>
      <c r="D1511" s="26" t="str">
        <f>HYPERLINK("https://github.com/MedoN11/CompetitiveProgramming/blob/master/TopCoder/SRM549-D2-1000.java","Sol")</f>
        <v>Sol</v>
      </c>
      <c r="E1511" s="17" t="s">
        <v>1819</v>
      </c>
      <c r="F1511" s="17" t="s">
        <v>139</v>
      </c>
      <c r="G1511" s="18"/>
      <c r="H1511" s="18"/>
    </row>
    <row r="1512" spans="1:8" ht="13.2">
      <c r="A1512" s="19" t="str">
        <f>HYPERLINK("https://codeforces.com/contest/1185/problem/G2","CF1185-D2-G2")</f>
        <v>CF1185-D2-G2</v>
      </c>
      <c r="B1512" s="15" t="s">
        <v>1913</v>
      </c>
      <c r="C1512" s="17">
        <v>6.5</v>
      </c>
      <c r="D1512" s="18"/>
      <c r="E1512" s="17" t="s">
        <v>1909</v>
      </c>
      <c r="F1512" s="17" t="s">
        <v>139</v>
      </c>
      <c r="G1512" s="18"/>
      <c r="H1512" s="18"/>
    </row>
    <row r="1513" spans="1:8" ht="13.2">
      <c r="A1513" s="19" t="str">
        <f>HYPERLINK("https://codeforces.com/contest/1204/problem/E", "CF1204-D2-E")</f>
        <v>CF1204-D2-E</v>
      </c>
      <c r="B1513" s="20" t="s">
        <v>1913</v>
      </c>
      <c r="C1513" s="21">
        <v>6.5</v>
      </c>
      <c r="D1513" s="18"/>
      <c r="E1513" s="17" t="s">
        <v>1909</v>
      </c>
      <c r="F1513" s="17" t="s">
        <v>139</v>
      </c>
      <c r="G1513" s="18"/>
      <c r="H1513" s="18"/>
    </row>
    <row r="1514" spans="1:8" ht="13.2">
      <c r="A1514" s="19" t="str">
        <f>HYPERLINK("https://codeforces.com/contest/1237/problem/F","CF1237-D12-F")</f>
        <v>CF1237-D12-F</v>
      </c>
      <c r="B1514" s="20" t="s">
        <v>1913</v>
      </c>
      <c r="C1514" s="21">
        <v>6.5</v>
      </c>
      <c r="D1514" s="18"/>
      <c r="E1514" s="17" t="s">
        <v>1909</v>
      </c>
      <c r="F1514" s="17" t="s">
        <v>139</v>
      </c>
      <c r="G1514" s="18"/>
      <c r="H1514" s="18"/>
    </row>
    <row r="1515" spans="1:8" ht="13.2">
      <c r="A1515" s="19" t="str">
        <f>HYPERLINK("http://codeforces.com/contest/659/problem/G","CF659-D2-G")</f>
        <v>CF659-D2-G</v>
      </c>
      <c r="B1515" s="29" t="s">
        <v>1913</v>
      </c>
      <c r="C1515" s="17">
        <v>6.5</v>
      </c>
      <c r="D1515" s="18"/>
      <c r="E1515" s="17" t="s">
        <v>1909</v>
      </c>
      <c r="F1515" s="17" t="s">
        <v>139</v>
      </c>
      <c r="G1515" s="18"/>
      <c r="H1515" s="18"/>
    </row>
    <row r="1516" spans="1:8" ht="13.2">
      <c r="A1516" s="19" t="str">
        <f>HYPERLINK("http://codeforces.com/contest/129/problem/E","CF129-D12-E")</f>
        <v>CF129-D12-E</v>
      </c>
      <c r="B1516" s="15" t="s">
        <v>1935</v>
      </c>
      <c r="C1516" s="17">
        <v>6.5</v>
      </c>
      <c r="D1516" s="26" t="str">
        <f>HYPERLINK("https://github.com/IbraheemTuffaha/Competitive-Programming/blob/master/Codeforces/2018-Nov-15/CF129-D2-E.cpp","Sol")</f>
        <v>Sol</v>
      </c>
      <c r="E1516" s="17" t="s">
        <v>1909</v>
      </c>
      <c r="F1516" s="17" t="s">
        <v>139</v>
      </c>
      <c r="G1516" s="18"/>
      <c r="H1516" s="18"/>
    </row>
    <row r="1517" spans="1:8" ht="13.2">
      <c r="A1517" s="19" t="str">
        <f>HYPERLINK("https://www.codechef.com/problems/SEAEQ","CODECHEF SEAEQ")</f>
        <v>CODECHEF SEAEQ</v>
      </c>
      <c r="B1517" s="18" t="s">
        <v>1936</v>
      </c>
      <c r="C1517" s="17">
        <v>6.5</v>
      </c>
      <c r="D1517" s="18"/>
      <c r="E1517" s="17" t="s">
        <v>1909</v>
      </c>
      <c r="F1517" s="17" t="s">
        <v>139</v>
      </c>
      <c r="G1517" s="18"/>
      <c r="H1517" s="18"/>
    </row>
    <row r="1518" spans="1:8" ht="13.2">
      <c r="A1518" s="19" t="str">
        <f>HYPERLINK("http://codeforces.com/contest/128/problem/C","CF128-D1-C")</f>
        <v>CF128-D1-C</v>
      </c>
      <c r="B1518" s="18" t="s">
        <v>1937</v>
      </c>
      <c r="C1518" s="17">
        <v>6.5</v>
      </c>
      <c r="D1518" s="26" t="str">
        <f>HYPERLINK("https://github.com/mostafa-saad/MyCompetitiveProgramming/blob/master/Codeforces/CF128-D1-C.txt","Sol")</f>
        <v>Sol</v>
      </c>
      <c r="E1518" s="17" t="s">
        <v>1909</v>
      </c>
      <c r="F1518" s="17" t="s">
        <v>139</v>
      </c>
      <c r="G1518" s="18"/>
      <c r="H1518" s="18"/>
    </row>
    <row r="1519" spans="1:8" ht="13.2">
      <c r="A1519" s="19" t="str">
        <f>HYPERLINK("http://codeforces.com/contest/317/problem/D","CF317-D1-D")</f>
        <v>CF317-D1-D</v>
      </c>
      <c r="B1519" s="29" t="s">
        <v>1990</v>
      </c>
      <c r="C1519" s="17">
        <v>6.5</v>
      </c>
      <c r="D1519" s="26" t="str">
        <f>HYPERLINK("https://github.com/tmwilliamlin168/CompetitiveProgramming/blob/master/CodeForces/CF317-D1-D.cpp", "SolToMe")</f>
        <v>SolToMe</v>
      </c>
      <c r="E1519" s="17" t="s">
        <v>1989</v>
      </c>
      <c r="F1519" s="17" t="s">
        <v>139</v>
      </c>
      <c r="G1519" s="18"/>
      <c r="H1519" s="18"/>
    </row>
    <row r="1520" spans="1:8" ht="13.2">
      <c r="A1520" s="19" t="str">
        <f>HYPERLINK("https://codeforces.com/contest/1097/problem/D","CF1097-D12-D")</f>
        <v>CF1097-D12-D</v>
      </c>
      <c r="B1520" s="37" t="s">
        <v>2037</v>
      </c>
      <c r="C1520" s="17">
        <v>6.5</v>
      </c>
      <c r="D1520" s="18"/>
      <c r="E1520" s="17" t="s">
        <v>2026</v>
      </c>
      <c r="F1520" s="17" t="s">
        <v>139</v>
      </c>
      <c r="G1520" s="18"/>
      <c r="H1520" s="18"/>
    </row>
    <row r="1521" spans="1:8" ht="13.2">
      <c r="A1521" s="19" t="str">
        <f>HYPERLINK("http://codeforces.com/contest/297/problem/C", "CF297-D1-C")</f>
        <v>CF297-D1-C</v>
      </c>
      <c r="B1521" s="20" t="s">
        <v>2177</v>
      </c>
      <c r="C1521" s="21">
        <v>6.5</v>
      </c>
      <c r="D1521" s="18"/>
      <c r="E1521" s="17" t="s">
        <v>2153</v>
      </c>
      <c r="F1521" s="17" t="s">
        <v>139</v>
      </c>
      <c r="G1521" s="18"/>
      <c r="H1521" s="18"/>
    </row>
    <row r="1522" spans="1:8" ht="13.2">
      <c r="A1522" s="19" t="str">
        <f>HYPERLINK("https://atcoder.jp/contests/agc028/tasks/agc028_c","AtCoder028-AGC-C")</f>
        <v>AtCoder028-AGC-C</v>
      </c>
      <c r="B1522" s="20" t="s">
        <v>2178</v>
      </c>
      <c r="C1522" s="21">
        <v>6.5</v>
      </c>
      <c r="D1522" s="18"/>
      <c r="E1522" s="17" t="s">
        <v>2153</v>
      </c>
      <c r="F1522" s="17" t="s">
        <v>139</v>
      </c>
      <c r="G1522" s="18"/>
      <c r="H1522" s="18"/>
    </row>
    <row r="1523" spans="1:8" ht="13.2">
      <c r="A1523" s="19" t="str">
        <f>HYPERLINK("https://www.hackerrank.com/challenges/the-white-lotus-and-caterpillar-game","HACKR the-white-lotus-and-caterpillar-game")</f>
        <v>HACKR the-white-lotus-and-caterpillar-game</v>
      </c>
      <c r="B1523" s="29" t="s">
        <v>2409</v>
      </c>
      <c r="C1523" s="17">
        <v>6.5</v>
      </c>
      <c r="D1523" s="26" t="str">
        <f>HYPERLINK("https://github.com/MetalBall887/Competitive-Programming/blob/master/HACKERRANK/HACKR%20the-white-lotus-and-caterpillar-game.cpp","Sol")</f>
        <v>Sol</v>
      </c>
      <c r="E1523" s="17" t="s">
        <v>2394</v>
      </c>
      <c r="F1523" s="17" t="s">
        <v>139</v>
      </c>
      <c r="G1523" s="18"/>
      <c r="H1523" s="18"/>
    </row>
    <row r="1524" spans="1:8" ht="13.2">
      <c r="A1524" s="19" t="str">
        <f>HYPERLINK("https://www.hackerrank.com/contests/world-codesprint-april/challenges/move-the-coins","HACKR MOVE-THE-COINS")</f>
        <v>HACKR MOVE-THE-COINS</v>
      </c>
      <c r="B1524" s="28" t="s">
        <v>2452</v>
      </c>
      <c r="C1524" s="24">
        <v>6.5</v>
      </c>
      <c r="D1524" s="18"/>
      <c r="E1524" s="17" t="s">
        <v>2442</v>
      </c>
      <c r="F1524" s="17" t="s">
        <v>139</v>
      </c>
      <c r="G1524" s="18"/>
      <c r="H1524" s="18"/>
    </row>
    <row r="1525" spans="1:8" ht="13.2">
      <c r="A1525" s="19" t="str">
        <f>HYPERLINK("http://codeforces.com/contest/305/problem/E","CF305-D2-E")</f>
        <v>CF305-D2-E</v>
      </c>
      <c r="B1525" s="32" t="s">
        <v>2468</v>
      </c>
      <c r="C1525" s="17">
        <v>6.5</v>
      </c>
      <c r="D1525" s="18"/>
      <c r="E1525" s="17" t="s">
        <v>2467</v>
      </c>
      <c r="F1525" s="17" t="s">
        <v>139</v>
      </c>
      <c r="G1525" s="18"/>
      <c r="H1525" s="18"/>
    </row>
    <row r="1526" spans="1:8" ht="13.2">
      <c r="A1526" s="19" t="str">
        <f>HYPERLINK("https://onlinejudge.org/index.php?option=com_onlinejudge&amp;Itemid=8&amp;page=show_problem&amp;problem=4124","UVA 1378")</f>
        <v>UVA 1378</v>
      </c>
      <c r="B1526" s="38" t="s">
        <v>2478</v>
      </c>
      <c r="C1526" s="24">
        <v>6.5</v>
      </c>
      <c r="D1526" s="26" t="str">
        <f>HYPERLINK("https://blog.csdn.net/y1196645376/article/details/52150885","Sol")</f>
        <v>Sol</v>
      </c>
      <c r="E1526" s="17" t="s">
        <v>2467</v>
      </c>
      <c r="F1526" s="17" t="s">
        <v>139</v>
      </c>
      <c r="G1526" s="18"/>
      <c r="H1526" s="18"/>
    </row>
    <row r="1527" spans="1:8" ht="13.2">
      <c r="A1527" s="19" t="str">
        <f>HYPERLINK("http://codeforces.com/gym/101630","CF101630-gym-A")</f>
        <v>CF101630-gym-A</v>
      </c>
      <c r="B1527" s="15" t="s">
        <v>2830</v>
      </c>
      <c r="C1527" s="17">
        <v>6.5</v>
      </c>
      <c r="D1527" s="18"/>
      <c r="E1527" s="17" t="s">
        <v>2798</v>
      </c>
      <c r="F1527" s="17" t="s">
        <v>139</v>
      </c>
      <c r="G1527" s="18"/>
      <c r="H1527" s="18"/>
    </row>
    <row r="1528" spans="1:8" ht="13.2">
      <c r="A1528" s="15" t="s">
        <v>2893</v>
      </c>
      <c r="B1528" s="39" t="s">
        <v>6551</v>
      </c>
      <c r="C1528" s="40">
        <v>6.5</v>
      </c>
      <c r="D1528" s="26" t="str">
        <f>HYPERLINK("https://github.com/DrSchwad/CompetitiveProgramming/blob/master/TopCoder/SRM313-D1-1000.cpp","Sol")</f>
        <v>Sol</v>
      </c>
      <c r="E1528" s="17" t="s">
        <v>2865</v>
      </c>
      <c r="F1528" s="17" t="s">
        <v>139</v>
      </c>
      <c r="G1528" s="18"/>
      <c r="H1528" s="18"/>
    </row>
    <row r="1529" spans="1:8" ht="13.2">
      <c r="A1529" s="15" t="s">
        <v>583</v>
      </c>
      <c r="B1529" s="15" t="s">
        <v>584</v>
      </c>
      <c r="C1529" s="17">
        <v>6.5</v>
      </c>
      <c r="D1529" s="26" t="str">
        <f>HYPERLINK("https://github.com/mostafa-saad/MyCompetitiveProgramming/blob/master/SPOJ/SPOJ_SFLIP.txt","Sol")</f>
        <v>Sol</v>
      </c>
      <c r="E1529" s="17" t="s">
        <v>575</v>
      </c>
      <c r="F1529" s="17" t="s">
        <v>139</v>
      </c>
      <c r="G1529" s="18"/>
      <c r="H1529" s="18"/>
    </row>
    <row r="1530" spans="1:8" ht="13.2">
      <c r="A1530" s="19" t="str">
        <f>HYPERLINK("http://codeforces.com/contest/278/problem/D","CF278-D2-D")</f>
        <v>CF278-D2-D</v>
      </c>
      <c r="B1530" s="29" t="s">
        <v>3001</v>
      </c>
      <c r="C1530" s="17">
        <v>6.5</v>
      </c>
      <c r="D1530" s="18"/>
      <c r="E1530" s="17" t="s">
        <v>2948</v>
      </c>
      <c r="F1530" s="17" t="s">
        <v>139</v>
      </c>
      <c r="G1530" s="18"/>
      <c r="H1530" s="18"/>
    </row>
    <row r="1531" spans="1:8" ht="13.2">
      <c r="A1531" s="15" t="s">
        <v>3002</v>
      </c>
      <c r="B1531" s="30" t="s">
        <v>2961</v>
      </c>
      <c r="C1531" s="17">
        <v>6.5</v>
      </c>
      <c r="D1531" s="26" t="str">
        <f>HYPERLINK("https://github.com/mostafa-saad/MyCompetitiveProgramming/blob/master/UVA/UVA_10406.txt","Sol")</f>
        <v>Sol</v>
      </c>
      <c r="E1531" s="17" t="s">
        <v>2948</v>
      </c>
      <c r="F1531" s="17" t="s">
        <v>139</v>
      </c>
      <c r="G1531" s="18"/>
      <c r="H1531" s="18"/>
    </row>
    <row r="1532" spans="1:8" ht="13.2">
      <c r="A1532" s="15" t="s">
        <v>3051</v>
      </c>
      <c r="B1532" s="30" t="s">
        <v>3052</v>
      </c>
      <c r="C1532" s="24">
        <v>6.5</v>
      </c>
      <c r="D1532" s="26" t="str">
        <f>HYPERLINK("https://github.com/MetalBall887/Competitive-Programming/blob/master/UVA/UVA%2011265.cpp", "Sol")</f>
        <v>Sol</v>
      </c>
      <c r="E1532" s="17" t="s">
        <v>3041</v>
      </c>
      <c r="F1532" s="17" t="s">
        <v>139</v>
      </c>
      <c r="G1532" s="18"/>
      <c r="H1532" s="18"/>
    </row>
    <row r="1533" spans="1:8" ht="13.2">
      <c r="A1533" s="15" t="s">
        <v>3097</v>
      </c>
      <c r="B1533" s="30" t="s">
        <v>3098</v>
      </c>
      <c r="C1533" s="17">
        <v>6.5</v>
      </c>
      <c r="D1533" s="18"/>
      <c r="E1533" s="17" t="s">
        <v>3065</v>
      </c>
      <c r="F1533" s="17" t="s">
        <v>139</v>
      </c>
      <c r="G1533" s="18"/>
      <c r="H1533" s="18"/>
    </row>
    <row r="1534" spans="1:8" ht="13.2">
      <c r="A1534" s="19" t="str">
        <f>HYPERLINK("http://codeforces.com/contest/845/problem/E","CF845-D12-E")</f>
        <v>CF845-D12-E</v>
      </c>
      <c r="B1534" s="15" t="s">
        <v>3169</v>
      </c>
      <c r="C1534" s="17">
        <v>6.5</v>
      </c>
      <c r="D1534" s="18"/>
      <c r="E1534" s="17" t="s">
        <v>3140</v>
      </c>
      <c r="F1534" s="17" t="s">
        <v>139</v>
      </c>
      <c r="G1534" s="18"/>
      <c r="H1534" s="18"/>
    </row>
    <row r="1535" spans="1:8" ht="13.2">
      <c r="A1535" s="15" t="s">
        <v>3313</v>
      </c>
      <c r="B1535" s="18" t="s">
        <v>3314</v>
      </c>
      <c r="C1535" s="17">
        <v>6.5</v>
      </c>
      <c r="D1535" s="26" t="str">
        <f>HYPERLINK("https://github.com/aneesh2312/CompetitiveProgramming/blob/master/Timus/1040.cpp","Sol")</f>
        <v>Sol</v>
      </c>
      <c r="E1535" s="17" t="s">
        <v>3257</v>
      </c>
      <c r="F1535" s="17" t="s">
        <v>139</v>
      </c>
      <c r="G1535" s="18"/>
      <c r="H1535" s="18"/>
    </row>
    <row r="1536" spans="1:8" ht="13.2">
      <c r="A1536" s="19" t="str">
        <f>HYPERLINK("https://codeforces.com/contest/1098/problem/C","CF1098-D1-C")</f>
        <v>CF1098-D1-C</v>
      </c>
      <c r="B1536" s="23" t="s">
        <v>3315</v>
      </c>
      <c r="C1536" s="17">
        <v>6.5</v>
      </c>
      <c r="D1536" s="18"/>
      <c r="E1536" s="17" t="s">
        <v>3257</v>
      </c>
      <c r="F1536" s="17" t="s">
        <v>139</v>
      </c>
      <c r="G1536" s="18"/>
      <c r="H1536" s="18"/>
    </row>
    <row r="1537" spans="1:8" ht="13.2">
      <c r="A1537" s="19" t="str">
        <f>HYPERLINK("http://codeforces.com/contest/538/problem/E","CF538-D12-E")</f>
        <v>CF538-D12-E</v>
      </c>
      <c r="B1537" s="29" t="s">
        <v>3316</v>
      </c>
      <c r="C1537" s="17">
        <v>6.5</v>
      </c>
      <c r="D1537" s="18"/>
      <c r="E1537" s="17" t="s">
        <v>3257</v>
      </c>
      <c r="F1537" s="17" t="s">
        <v>139</v>
      </c>
      <c r="G1537" s="18"/>
      <c r="H1537" s="18"/>
    </row>
    <row r="1538" spans="1:8" ht="13.2">
      <c r="A1538" s="19" t="str">
        <f>HYPERLINK("https://onlinejudge.org/index.php?option=onlinejudge&amp;page=show_problem&amp;problem=1689","UVA 10748")</f>
        <v>UVA 10748</v>
      </c>
      <c r="B1538" s="30" t="s">
        <v>3495</v>
      </c>
      <c r="C1538" s="17">
        <v>6.5</v>
      </c>
      <c r="D1538" s="26" t="str">
        <f>HYPERLINK("http://www.algorithmist.com/index.php/UVa_10748","Sol")</f>
        <v>Sol</v>
      </c>
      <c r="E1538" s="17" t="s">
        <v>3467</v>
      </c>
      <c r="F1538" s="17" t="s">
        <v>139</v>
      </c>
      <c r="G1538" s="18"/>
      <c r="H1538" s="18"/>
    </row>
    <row r="1539" spans="1:8" ht="13.2">
      <c r="A1539" s="19" t="str">
        <f>HYPERLINK("http://codeforces.com/contest/659/problem/F","CF659-D2-F")</f>
        <v>CF659-D2-F</v>
      </c>
      <c r="B1539" s="29" t="s">
        <v>3688</v>
      </c>
      <c r="C1539" s="17">
        <v>6.5</v>
      </c>
      <c r="D1539" s="18"/>
      <c r="E1539" s="17" t="s">
        <v>3650</v>
      </c>
      <c r="F1539" s="17" t="s">
        <v>139</v>
      </c>
      <c r="G1539" s="18"/>
      <c r="H1539" s="18"/>
    </row>
    <row r="1540" spans="1:8" ht="13.2">
      <c r="A1540" s="19" t="str">
        <f>HYPERLINK("https://codeforces.com/contest/1159/problem/E","CF1159-D2-E")</f>
        <v>CF1159-D2-E</v>
      </c>
      <c r="B1540" s="20" t="s">
        <v>3689</v>
      </c>
      <c r="C1540" s="17">
        <v>6.5</v>
      </c>
      <c r="D1540" s="18"/>
      <c r="E1540" s="17" t="s">
        <v>3650</v>
      </c>
      <c r="F1540" s="17" t="s">
        <v>139</v>
      </c>
      <c r="G1540" s="18"/>
      <c r="H1540" s="18"/>
    </row>
    <row r="1541" spans="1:8" ht="13.2">
      <c r="A1541" s="19" t="str">
        <f>HYPERLINK("https://codeforces.com/contest/1174/problem/F", "CF1174-D2-F")</f>
        <v>CF1174-D2-F</v>
      </c>
      <c r="B1541" s="15" t="s">
        <v>3690</v>
      </c>
      <c r="C1541" s="53">
        <v>6.5</v>
      </c>
      <c r="D1541" s="18"/>
      <c r="E1541" s="17" t="s">
        <v>3650</v>
      </c>
      <c r="F1541" s="17" t="s">
        <v>139</v>
      </c>
      <c r="G1541" s="18"/>
      <c r="H1541" s="18"/>
    </row>
    <row r="1542" spans="1:8" ht="13.2">
      <c r="A1542" s="15" t="s">
        <v>3691</v>
      </c>
      <c r="B1542" s="41" t="s">
        <v>3692</v>
      </c>
      <c r="C1542" s="17">
        <v>6.5</v>
      </c>
      <c r="D1542" s="26" t="str">
        <f>HYPERLINK("https://github.com/Huvok/CompetitiveProgramming/blob/master/UVA/1343.cpp","Sol")</f>
        <v>Sol</v>
      </c>
      <c r="E1542" s="17" t="s">
        <v>3650</v>
      </c>
      <c r="F1542" s="17" t="s">
        <v>139</v>
      </c>
      <c r="G1542" s="18"/>
      <c r="H1542" s="18"/>
    </row>
    <row r="1543" spans="1:8" ht="13.2">
      <c r="A1543" s="19" t="str">
        <f>HYPERLINK("https://codeforces.com/contest/1166/problem/F","CF1166-D2-F")</f>
        <v>CF1166-D2-F</v>
      </c>
      <c r="B1543" s="15" t="s">
        <v>3898</v>
      </c>
      <c r="C1543" s="17">
        <v>6.5</v>
      </c>
      <c r="D1543" s="18"/>
      <c r="E1543" s="17" t="s">
        <v>3883</v>
      </c>
      <c r="F1543" s="17" t="s">
        <v>139</v>
      </c>
      <c r="G1543" s="18"/>
      <c r="H1543" s="18"/>
    </row>
    <row r="1544" spans="1:8" ht="13.2">
      <c r="A1544" s="19" t="str">
        <f>HYPERLINK("https://agc012.contest.atcoder.jp/tasks/agc012_d","AtCoder012-AGC-D")</f>
        <v>AtCoder012-AGC-D</v>
      </c>
      <c r="B1544" s="15" t="s">
        <v>3899</v>
      </c>
      <c r="C1544" s="17">
        <v>6.5</v>
      </c>
      <c r="D1544" s="26" t="str">
        <f>HYPERLINK("https://github.com/MetalBall887/Competitive-Programming/blob/master/AtCoder/AtCoder012-AGC-D.cpp","Sol")</f>
        <v>Sol</v>
      </c>
      <c r="E1544" s="17" t="s">
        <v>3883</v>
      </c>
      <c r="F1544" s="17" t="s">
        <v>139</v>
      </c>
      <c r="G1544" s="18"/>
      <c r="H1544" s="18"/>
    </row>
    <row r="1545" spans="1:8" ht="13.2">
      <c r="A1545" s="19" t="str">
        <f>HYPERLINK("http://codeforces.com/contest/1074/problem/D","CF1075-D2-F")</f>
        <v>CF1075-D2-F</v>
      </c>
      <c r="B1545" s="20" t="s">
        <v>3900</v>
      </c>
      <c r="C1545" s="21">
        <v>6.5</v>
      </c>
      <c r="D1545" s="18"/>
      <c r="E1545" s="17" t="s">
        <v>3883</v>
      </c>
      <c r="F1545" s="17" t="s">
        <v>139</v>
      </c>
      <c r="G1545" s="18"/>
      <c r="H1545" s="18"/>
    </row>
    <row r="1546" spans="1:8" ht="13.2">
      <c r="A1546" s="19" t="str">
        <f>HYPERLINK("http://codeforces.com/contest/60/problem/D","CF60-D12-D")</f>
        <v>CF60-D12-D</v>
      </c>
      <c r="B1546" s="15" t="s">
        <v>3901</v>
      </c>
      <c r="C1546" s="24">
        <v>6.5</v>
      </c>
      <c r="D1546" s="26" t="str">
        <f>HYPERLINK("https://github.com/farmerboy95/CompetitiveProgramming/blob/master/Codeforces/CF60-D12-D.cpp","sol (not as editorial)")</f>
        <v>sol (not as editorial)</v>
      </c>
      <c r="E1546" s="17" t="s">
        <v>3883</v>
      </c>
      <c r="F1546" s="17" t="s">
        <v>139</v>
      </c>
      <c r="G1546" s="18"/>
      <c r="H1546" s="18"/>
    </row>
    <row r="1547" spans="1:8" ht="13.2">
      <c r="A1547" s="19" t="str">
        <f>HYPERLINK("https://codeforces.com/gym/102001/problem/C","CF102001-Gym-C")</f>
        <v>CF102001-Gym-C</v>
      </c>
      <c r="B1547" s="15" t="s">
        <v>3965</v>
      </c>
      <c r="C1547" s="17">
        <v>6.5</v>
      </c>
      <c r="D1547" s="26" t="str">
        <f>HYPERLINK("https://github.com/quangloc99/CompetitiveProgramming/blob/master/Codeforces/CF102001-Gym-C.cpp","Sol")</f>
        <v>Sol</v>
      </c>
      <c r="E1547" s="17" t="s">
        <v>3955</v>
      </c>
      <c r="F1547" s="17" t="s">
        <v>139</v>
      </c>
      <c r="G1547" s="18"/>
      <c r="H1547" s="18"/>
    </row>
    <row r="1548" spans="1:8" ht="13.2">
      <c r="A1548" s="19" t="str">
        <f>HYPERLINK("https://codeforces.com/contest/1132/problem/G","CF1132-D12-G")</f>
        <v>CF1132-D12-G</v>
      </c>
      <c r="B1548" s="15" t="s">
        <v>3966</v>
      </c>
      <c r="C1548" s="17">
        <v>6.5</v>
      </c>
      <c r="D1548" s="18"/>
      <c r="E1548" s="17" t="s">
        <v>3955</v>
      </c>
      <c r="F1548" s="17" t="s">
        <v>139</v>
      </c>
      <c r="G1548" s="18"/>
      <c r="H1548" s="18"/>
    </row>
    <row r="1549" spans="1:8" ht="13.2">
      <c r="A1549" s="19" t="str">
        <f>HYPERLINK("https://codeforces.com/contest/1252/problem/L","CF1252-D12-L")</f>
        <v>CF1252-D12-L</v>
      </c>
      <c r="B1549" s="15" t="s">
        <v>4095</v>
      </c>
      <c r="C1549" s="17">
        <v>6.5</v>
      </c>
      <c r="D1549" s="26" t="str">
        <f>HYPERLINK("https://github.com/farmerboy95/CompetitiveProgramming/blob/master/Codeforces/CF1252-D12-L.cpp","Sol")</f>
        <v>Sol</v>
      </c>
      <c r="E1549" s="17" t="s">
        <v>4060</v>
      </c>
      <c r="F1549" s="17" t="s">
        <v>139</v>
      </c>
      <c r="G1549" s="18"/>
      <c r="H1549" s="18"/>
    </row>
    <row r="1550" spans="1:8" ht="13.2">
      <c r="A1550" s="19" t="str">
        <f>HYPERLINK("https://codeforces.com/contest/1139/problem/E","CF1139-D2-E")</f>
        <v>CF1139-D2-E</v>
      </c>
      <c r="B1550" s="15" t="s">
        <v>4149</v>
      </c>
      <c r="C1550" s="17">
        <v>6.5</v>
      </c>
      <c r="D1550" s="18"/>
      <c r="E1550" s="17" t="s">
        <v>4144</v>
      </c>
      <c r="F1550" s="17" t="s">
        <v>139</v>
      </c>
      <c r="G1550" s="18"/>
      <c r="H1550" s="18"/>
    </row>
    <row r="1551" spans="1:8" ht="13.2">
      <c r="A1551" s="19" t="str">
        <f>HYPERLINK("http://codeforces.com/contest/387/problem/D","CF387-D2-D")</f>
        <v>CF387-D2-D</v>
      </c>
      <c r="B1551" s="29" t="s">
        <v>4161</v>
      </c>
      <c r="C1551" s="17">
        <v>6.5</v>
      </c>
      <c r="D1551" s="18"/>
      <c r="E1551" s="17" t="s">
        <v>4144</v>
      </c>
      <c r="F1551" s="17" t="s">
        <v>139</v>
      </c>
      <c r="G1551" s="18"/>
      <c r="H1551" s="18"/>
    </row>
    <row r="1552" spans="1:8" ht="13.2">
      <c r="A1552" s="19" t="str">
        <f>HYPERLINK("http://codeforces.com/contest/818/problem/G","CF818-D12-G")</f>
        <v>CF818-D12-G</v>
      </c>
      <c r="B1552" s="15" t="s">
        <v>4245</v>
      </c>
      <c r="C1552" s="17">
        <v>6.5</v>
      </c>
      <c r="D1552" s="18"/>
      <c r="E1552" s="17" t="s">
        <v>4238</v>
      </c>
      <c r="F1552" s="17" t="s">
        <v>139</v>
      </c>
      <c r="G1552" s="18"/>
      <c r="H1552" s="18"/>
    </row>
    <row r="1553" spans="1:8" ht="13.2">
      <c r="A1553" s="15" t="s">
        <v>4249</v>
      </c>
      <c r="B1553" s="30" t="s">
        <v>4250</v>
      </c>
      <c r="C1553" s="24">
        <v>6.5</v>
      </c>
      <c r="D1553" s="18"/>
      <c r="E1553" s="17" t="s">
        <v>4238</v>
      </c>
      <c r="F1553" s="17" t="s">
        <v>139</v>
      </c>
      <c r="G1553" s="18"/>
      <c r="H1553" s="18"/>
    </row>
    <row r="1554" spans="1:8" ht="14.25" customHeight="1">
      <c r="A1554" s="15" t="s">
        <v>4412</v>
      </c>
      <c r="B1554" s="42" t="s">
        <v>4413</v>
      </c>
      <c r="C1554" s="17">
        <v>6.5</v>
      </c>
      <c r="D1554" s="18"/>
      <c r="E1554" s="17" t="s">
        <v>4411</v>
      </c>
      <c r="F1554" s="17" t="s">
        <v>139</v>
      </c>
      <c r="G1554" s="18"/>
      <c r="H1554" s="18"/>
    </row>
    <row r="1555" spans="1:8" ht="13.2">
      <c r="A1555" s="19" t="str">
        <f>HYPERLINK("http://codeforces.com/contest/406/problem/D","CF406-D1-D")</f>
        <v>CF406-D1-D</v>
      </c>
      <c r="B1555" s="43" t="s">
        <v>4468</v>
      </c>
      <c r="C1555" s="24">
        <v>6.5</v>
      </c>
      <c r="D1555" s="18"/>
      <c r="E1555" s="17" t="s">
        <v>4454</v>
      </c>
      <c r="F1555" s="17" t="s">
        <v>139</v>
      </c>
      <c r="G1555" s="18"/>
      <c r="H1555" s="18"/>
    </row>
    <row r="1556" spans="1:8" ht="13.2">
      <c r="A1556" s="19" t="str">
        <f>HYPERLINK("http://codeforces.com/contest/593/problem/D","CF593-D2-D")</f>
        <v>CF593-D2-D</v>
      </c>
      <c r="B1556" s="15" t="s">
        <v>4469</v>
      </c>
      <c r="C1556" s="24">
        <v>6.5</v>
      </c>
      <c r="D1556" s="18"/>
      <c r="E1556" s="17" t="s">
        <v>4454</v>
      </c>
      <c r="F1556" s="17" t="s">
        <v>139</v>
      </c>
      <c r="G1556" s="18"/>
      <c r="H1556" s="18"/>
    </row>
    <row r="1557" spans="1:8" ht="13.2">
      <c r="A1557" s="19" t="str">
        <f>HYPERLINK("https://codeforces.com/gym/101908/problem/L","CF101908-GYM-L")</f>
        <v>CF101908-GYM-L</v>
      </c>
      <c r="B1557" s="20" t="s">
        <v>4470</v>
      </c>
      <c r="C1557" s="21">
        <v>6.5</v>
      </c>
      <c r="D1557" s="26" t="str">
        <f>HYPERLINK("https://github.com/mostafa-saad/MyCompetitiveProgramming/blob/master/Codeforces/CF101908-GYM-L.txt","Sol")</f>
        <v>Sol</v>
      </c>
      <c r="E1557" s="17" t="s">
        <v>4454</v>
      </c>
      <c r="F1557" s="17" t="s">
        <v>139</v>
      </c>
      <c r="G1557" s="18"/>
      <c r="H1557" s="18"/>
    </row>
    <row r="1558" spans="1:8" ht="13.2">
      <c r="A1558" s="15" t="s">
        <v>4524</v>
      </c>
      <c r="B1558" s="43" t="s">
        <v>4522</v>
      </c>
      <c r="C1558" s="24">
        <v>6.5</v>
      </c>
      <c r="D1558" s="26" t="str">
        <f>HYPERLINK("https://github.com/aboodJAD/CompetitiveProgramming/blob/master/UVA/UVA%20308.cpp","Sol")</f>
        <v>Sol</v>
      </c>
      <c r="E1558" s="17" t="s">
        <v>4512</v>
      </c>
      <c r="F1558" s="17" t="s">
        <v>139</v>
      </c>
      <c r="G1558" s="18"/>
      <c r="H1558" s="18"/>
    </row>
    <row r="1559" spans="1:8" ht="13.2">
      <c r="A1559" s="19" t="str">
        <f>HYPERLINK("https://www.codechef.com/LTIME64A/problems/COINPART", "CODECHEF COINPART")</f>
        <v>CODECHEF COINPART</v>
      </c>
      <c r="B1559" s="20" t="s">
        <v>4597</v>
      </c>
      <c r="C1559" s="21">
        <v>6.5</v>
      </c>
      <c r="D1559" s="18"/>
      <c r="E1559" s="17" t="s">
        <v>4531</v>
      </c>
      <c r="F1559" s="17" t="s">
        <v>139</v>
      </c>
      <c r="G1559" s="18"/>
      <c r="H1559" s="18"/>
    </row>
    <row r="1560" spans="1:8" ht="13.2">
      <c r="A1560" s="19" t="str">
        <f>HYPERLINK("http://codeforces.com/contest/337/problem/E","CF337-D2-E")</f>
        <v>CF337-D2-E</v>
      </c>
      <c r="B1560" s="15" t="s">
        <v>6552</v>
      </c>
      <c r="C1560" s="17">
        <v>6.5</v>
      </c>
      <c r="D1560" s="26" t="str">
        <f>HYPERLINK("https://github.com/DrSchwad/CompetitiveProgramming/blob/master/CodeForces/CF337-D2-E.cpp","Sol")</f>
        <v>Sol</v>
      </c>
      <c r="E1560" s="17" t="s">
        <v>4531</v>
      </c>
      <c r="F1560" s="17" t="s">
        <v>139</v>
      </c>
      <c r="G1560" s="18"/>
      <c r="H1560" s="18"/>
    </row>
    <row r="1561" spans="1:8" ht="13.2">
      <c r="A1561" s="19" t="str">
        <f>HYPERLINK("https://codeforces.com/contest/1285/problem/F","CF1285-D2-F")</f>
        <v>CF1285-D2-F</v>
      </c>
      <c r="B1561" s="20" t="s">
        <v>4599</v>
      </c>
      <c r="C1561" s="21">
        <v>6.5</v>
      </c>
      <c r="D1561" s="18"/>
      <c r="E1561" s="17" t="s">
        <v>4531</v>
      </c>
      <c r="F1561" s="17" t="s">
        <v>139</v>
      </c>
      <c r="G1561" s="18"/>
      <c r="H1561" s="18"/>
    </row>
    <row r="1562" spans="1:8" ht="13.2">
      <c r="A1562" s="15" t="s">
        <v>4600</v>
      </c>
      <c r="B1562" s="29" t="s">
        <v>4601</v>
      </c>
      <c r="C1562" s="24">
        <v>6.5</v>
      </c>
      <c r="D1562" s="18"/>
      <c r="E1562" s="17" t="s">
        <v>4531</v>
      </c>
      <c r="F1562" s="17" t="s">
        <v>139</v>
      </c>
      <c r="G1562" s="18"/>
      <c r="H1562" s="18"/>
    </row>
    <row r="1563" spans="1:8" ht="13.2">
      <c r="A1563" s="19" t="str">
        <f>HYPERLINK("http://codeforces.com/gym/101741/problem/F","CF101741-gym-F")</f>
        <v>CF101741-gym-F</v>
      </c>
      <c r="B1563" s="15" t="s">
        <v>4602</v>
      </c>
      <c r="C1563" s="17">
        <v>6.5</v>
      </c>
      <c r="D1563" s="26" t="str">
        <f>HYPERLINK("https://github.com/ajfabian/Competitive-Programming/blob/master/CodeForces/CF101741-GYM-F/a.cpp","Sol")</f>
        <v>Sol</v>
      </c>
      <c r="E1563" s="17" t="s">
        <v>4531</v>
      </c>
      <c r="F1563" s="17" t="s">
        <v>139</v>
      </c>
      <c r="G1563" s="18"/>
      <c r="H1563" s="18"/>
    </row>
    <row r="1564" spans="1:8" ht="13.2">
      <c r="A1564" s="19" t="str">
        <f>HYPERLINK("http://codeforces.com/contest/1065/problem/E","CF1065-D12-E")</f>
        <v>CF1065-D12-E</v>
      </c>
      <c r="B1564" s="15" t="s">
        <v>4964</v>
      </c>
      <c r="C1564" s="17">
        <v>6.5</v>
      </c>
      <c r="D1564" s="18"/>
      <c r="E1564" s="17" t="s">
        <v>4958</v>
      </c>
      <c r="F1564" s="17" t="s">
        <v>139</v>
      </c>
      <c r="G1564" s="18"/>
      <c r="H1564" s="18"/>
    </row>
    <row r="1565" spans="1:8" ht="13.2">
      <c r="A1565" s="15" t="s">
        <v>5053</v>
      </c>
      <c r="B1565" s="18" t="s">
        <v>5054</v>
      </c>
      <c r="C1565" s="17">
        <v>6.5</v>
      </c>
      <c r="D1565" s="18"/>
      <c r="E1565" s="17" t="s">
        <v>5043</v>
      </c>
      <c r="F1565" s="17" t="s">
        <v>139</v>
      </c>
      <c r="G1565" s="18"/>
      <c r="H1565" s="18"/>
    </row>
    <row r="1566" spans="1:8" ht="13.2">
      <c r="A1566" s="15" t="s">
        <v>5148</v>
      </c>
      <c r="B1566" s="39" t="s">
        <v>5139</v>
      </c>
      <c r="C1566" s="17">
        <v>6.5</v>
      </c>
      <c r="D1566" s="26" t="str">
        <f>HYPERLINK("https://github.com/mostafa-saad/MyCompetitiveProgramming/blob/master/Timus/TIMUS_1675.txt","Sol")</f>
        <v>Sol</v>
      </c>
      <c r="E1566" s="17" t="s">
        <v>5134</v>
      </c>
      <c r="F1566" s="17" t="s">
        <v>139</v>
      </c>
      <c r="G1566" s="18"/>
      <c r="H1566" s="18"/>
    </row>
    <row r="1567" spans="1:8" ht="13.2">
      <c r="A1567" s="19" t="str">
        <f>HYPERLINK("http://codeforces.com/contest/439/problem/E","CF439-D2-E")</f>
        <v>CF439-D2-E</v>
      </c>
      <c r="B1567" s="18" t="s">
        <v>5149</v>
      </c>
      <c r="C1567" s="24">
        <v>6.5</v>
      </c>
      <c r="D1567" s="26" t="str">
        <f>HYPERLINK("https://github.com/osamahatem/CompetitiveProgramming/blob/master/Codeforces/439E.%20Devu%20and%20Birthday%20Celebration.cpp","Sol. Read Editorial.")</f>
        <v>Sol. Read Editorial.</v>
      </c>
      <c r="E1567" s="17" t="s">
        <v>5134</v>
      </c>
      <c r="F1567" s="17" t="s">
        <v>139</v>
      </c>
      <c r="G1567" s="18"/>
      <c r="H1567" s="18"/>
    </row>
    <row r="1568" spans="1:8" ht="13.2">
      <c r="A1568" s="19" t="str">
        <f>HYPERLINK("http://codeforces.com/contest/1008/problem/D", "CF1008-D2-D")</f>
        <v>CF1008-D2-D</v>
      </c>
      <c r="B1568" s="15" t="s">
        <v>5150</v>
      </c>
      <c r="C1568" s="17">
        <v>6.5</v>
      </c>
      <c r="D1568" s="18"/>
      <c r="E1568" s="17" t="s">
        <v>5134</v>
      </c>
      <c r="F1568" s="17" t="s">
        <v>139</v>
      </c>
      <c r="G1568" s="18"/>
      <c r="H1568" s="18"/>
    </row>
    <row r="1569" spans="1:8" ht="13.2">
      <c r="A1569" s="19" t="str">
        <f>HYPERLINK("https://codeforces.com/problemset/problem/1182/E","CF1182-D2-E")</f>
        <v>CF1182-D2-E</v>
      </c>
      <c r="B1569" s="20" t="s">
        <v>5271</v>
      </c>
      <c r="C1569" s="21">
        <v>6.5</v>
      </c>
      <c r="D1569" s="18"/>
      <c r="E1569" s="17" t="s">
        <v>5246</v>
      </c>
      <c r="F1569" s="17" t="s">
        <v>139</v>
      </c>
      <c r="G1569" s="18"/>
      <c r="H1569" s="18"/>
    </row>
    <row r="1570" spans="1:8" ht="13.2">
      <c r="A1570" s="19" t="str">
        <f>HYPERLINK("http://codeforces.com/contest/555/problem/D","CF555-D1-D")</f>
        <v>CF555-D1-D</v>
      </c>
      <c r="B1570" s="15" t="s">
        <v>826</v>
      </c>
      <c r="C1570" s="24">
        <v>6.5</v>
      </c>
      <c r="D1570" s="18"/>
      <c r="E1570" s="17" t="s">
        <v>805</v>
      </c>
      <c r="F1570" s="17" t="s">
        <v>139</v>
      </c>
      <c r="G1570" s="18"/>
      <c r="H1570" s="18"/>
    </row>
    <row r="1571" spans="1:8" ht="13.2">
      <c r="A1571" s="19" t="str">
        <f>HYPERLINK("http://codeforces.com/problemset/problem/1033/E", "CF1033-D12-E")</f>
        <v>CF1033-D12-E</v>
      </c>
      <c r="B1571" s="20" t="s">
        <v>827</v>
      </c>
      <c r="C1571" s="17">
        <v>6.5</v>
      </c>
      <c r="D1571" s="18"/>
      <c r="E1571" s="17" t="s">
        <v>805</v>
      </c>
      <c r="F1571" s="17" t="s">
        <v>139</v>
      </c>
      <c r="G1571" s="18"/>
      <c r="H1571" s="18"/>
    </row>
    <row r="1572" spans="1:8" ht="13.2">
      <c r="A1572" s="19" t="str">
        <f>HYPERLINK("http://codeforces.com/problemset/problem/832/E", "CF0832-D2-E")</f>
        <v>CF0832-D2-E</v>
      </c>
      <c r="B1572" s="15" t="s">
        <v>5328</v>
      </c>
      <c r="C1572" s="17">
        <v>6.5</v>
      </c>
      <c r="D1572" s="18"/>
      <c r="E1572" s="17" t="s">
        <v>5310</v>
      </c>
      <c r="F1572" s="17" t="s">
        <v>139</v>
      </c>
      <c r="G1572" s="18"/>
      <c r="H1572" s="18"/>
    </row>
    <row r="1573" spans="1:8" ht="13.2">
      <c r="A1573" s="19" t="str">
        <f>HYPERLINK("http://codeforces.com/contest/696/problem/C","CF696-D1-C")</f>
        <v>CF696-D1-C</v>
      </c>
      <c r="B1573" s="28" t="s">
        <v>5548</v>
      </c>
      <c r="C1573" s="24">
        <v>6.5</v>
      </c>
      <c r="D1573" s="18"/>
      <c r="E1573" s="17" t="s">
        <v>5524</v>
      </c>
      <c r="F1573" s="17" t="s">
        <v>139</v>
      </c>
      <c r="G1573" s="18"/>
      <c r="H1573" s="18"/>
    </row>
    <row r="1574" spans="1:8" ht="13.2">
      <c r="A1574" s="15" t="s">
        <v>3170</v>
      </c>
      <c r="B1574" s="28" t="s">
        <v>3171</v>
      </c>
      <c r="C1574" s="17">
        <v>6.5</v>
      </c>
      <c r="D1574" s="26" t="str">
        <f>HYPERLINK("https://github.com/mostafa-saad/MyCompetitiveProgramming/blob/master/UVA/UVA_303.txt","Sol")</f>
        <v>Sol</v>
      </c>
      <c r="E1574" s="17" t="s">
        <v>3140</v>
      </c>
      <c r="F1574" s="17" t="s">
        <v>227</v>
      </c>
      <c r="G1574" s="18"/>
      <c r="H1574" s="18"/>
    </row>
    <row r="1575" spans="1:8" ht="13.2">
      <c r="A1575" s="15" t="s">
        <v>1092</v>
      </c>
      <c r="B1575" s="28" t="s">
        <v>1093</v>
      </c>
      <c r="C1575" s="24">
        <v>6.5</v>
      </c>
      <c r="D1575" s="18"/>
      <c r="E1575" s="17" t="s">
        <v>1018</v>
      </c>
      <c r="F1575" s="17" t="s">
        <v>613</v>
      </c>
      <c r="G1575" s="18"/>
      <c r="H1575" s="18"/>
    </row>
    <row r="1576" spans="1:8" ht="13.2">
      <c r="A1576" s="19" t="str">
        <f>HYPERLINK("http://codeforces.com/contest/1000/problem/F", "CF1000-D12-F")</f>
        <v>CF1000-D12-F</v>
      </c>
      <c r="B1576" s="20" t="s">
        <v>5929</v>
      </c>
      <c r="C1576" s="21">
        <v>6.5</v>
      </c>
      <c r="D1576" s="26" t="str">
        <f>HYPERLINK("https://github.com/tmwilliamlin168/CompetitiveProgramming/blob/master/CodeForces/CF1000-D12-F.cpp", "Sol")</f>
        <v>Sol</v>
      </c>
      <c r="E1576" s="17" t="s">
        <v>5915</v>
      </c>
      <c r="F1576" s="17" t="s">
        <v>201</v>
      </c>
      <c r="G1576" s="18"/>
      <c r="H1576" s="18"/>
    </row>
    <row r="1577" spans="1:8" ht="13.2">
      <c r="A1577" s="19" t="str">
        <f>HYPERLINK("http://codeforces.com/contest/741/problem/D","CF741-D1-D")</f>
        <v>CF741-D1-D</v>
      </c>
      <c r="B1577" s="15" t="s">
        <v>5930</v>
      </c>
      <c r="C1577" s="17">
        <v>6.5</v>
      </c>
      <c r="D1577" s="18"/>
      <c r="E1577" s="17" t="s">
        <v>5915</v>
      </c>
      <c r="F1577" s="17" t="s">
        <v>201</v>
      </c>
      <c r="G1577" s="18"/>
      <c r="H1577" s="18"/>
    </row>
    <row r="1578" spans="1:8" ht="13.2">
      <c r="A1578" s="19" t="str">
        <f>HYPERLINK("https://codeforces.com/contest/731/problem/D","CF731-D2-D")</f>
        <v>CF731-D2-D</v>
      </c>
      <c r="B1578" s="20" t="s">
        <v>5967</v>
      </c>
      <c r="C1578" s="21">
        <v>6.5</v>
      </c>
      <c r="D1578" s="18"/>
      <c r="E1578" s="17" t="s">
        <v>5958</v>
      </c>
      <c r="F1578" s="17" t="s">
        <v>201</v>
      </c>
      <c r="G1578" s="18"/>
      <c r="H1578" s="18"/>
    </row>
    <row r="1579" spans="1:8" ht="13.2">
      <c r="A1579" s="19" t="str">
        <f>HYPERLINK("http://codeforces.com/contest/618/problem/D","CF618-D12-D")</f>
        <v>CF618-D12-D</v>
      </c>
      <c r="B1579" s="29" t="s">
        <v>6154</v>
      </c>
      <c r="C1579" s="17">
        <v>6.5</v>
      </c>
      <c r="D1579" s="18"/>
      <c r="E1579" s="17" t="s">
        <v>6151</v>
      </c>
      <c r="F1579" s="17" t="s">
        <v>201</v>
      </c>
      <c r="G1579" s="18"/>
      <c r="H1579" s="18"/>
    </row>
    <row r="1580" spans="1:8" ht="13.2">
      <c r="A1580" s="15" t="s">
        <v>6254</v>
      </c>
      <c r="B1580" s="39" t="s">
        <v>6255</v>
      </c>
      <c r="C1580" s="17">
        <v>6.5</v>
      </c>
      <c r="D1580" s="18"/>
      <c r="E1580" s="17" t="s">
        <v>6246</v>
      </c>
      <c r="F1580" s="17" t="s">
        <v>201</v>
      </c>
      <c r="G1580" s="18"/>
      <c r="H1580" s="18"/>
    </row>
    <row r="1581" spans="1:8" ht="13.2">
      <c r="A1581" s="19" t="str">
        <f>HYPERLINK("http://codeforces.com/problemset/problem/631/E","CF631-D2-E")</f>
        <v>CF631-D2-E</v>
      </c>
      <c r="B1581" s="15" t="s">
        <v>6379</v>
      </c>
      <c r="C1581" s="17">
        <v>6.5</v>
      </c>
      <c r="D1581" s="18"/>
      <c r="E1581" s="17" t="s">
        <v>6362</v>
      </c>
      <c r="F1581" s="17" t="s">
        <v>201</v>
      </c>
      <c r="G1581" s="18"/>
      <c r="H1581" s="18"/>
    </row>
    <row r="1582" spans="1:8" ht="13.2">
      <c r="A1582" s="19" t="str">
        <f>HYPERLINK("https://codeforces.com/contest/1114/problem/F","CF1114-D2-F")</f>
        <v>CF1114-D2-F</v>
      </c>
      <c r="B1582" s="15" t="s">
        <v>1094</v>
      </c>
      <c r="C1582" s="17">
        <v>6.5</v>
      </c>
      <c r="D1582" s="18"/>
      <c r="E1582" s="17" t="s">
        <v>1018</v>
      </c>
      <c r="F1582" s="17" t="s">
        <v>201</v>
      </c>
      <c r="G1582" s="18"/>
      <c r="H1582" s="18"/>
    </row>
    <row r="1583" spans="1:8" ht="13.2">
      <c r="A1583" s="19" t="str">
        <f>HYPERLINK("https://www.codechef.com/MAY19A/problems/TREDEG","CODECHEF TREDEG")</f>
        <v>CODECHEF TREDEG</v>
      </c>
      <c r="B1583" s="23" t="s">
        <v>6515</v>
      </c>
      <c r="C1583" s="17">
        <v>6.5</v>
      </c>
      <c r="D1583" s="18"/>
      <c r="E1583" s="17" t="s">
        <v>6511</v>
      </c>
      <c r="F1583" s="17" t="s">
        <v>201</v>
      </c>
      <c r="G1583" s="18"/>
      <c r="H1583" s="18"/>
    </row>
    <row r="1584" spans="1:8" ht="13.2">
      <c r="A1584" s="19" t="str">
        <f>HYPERLINK("http://codeforces.com/contest/276/problem/E","CF276-D2-E")</f>
        <v>CF276-D2-E</v>
      </c>
      <c r="B1584" s="29" t="s">
        <v>1248</v>
      </c>
      <c r="C1584" s="17">
        <v>6.5</v>
      </c>
      <c r="D1584" s="18"/>
      <c r="E1584" s="17" t="s">
        <v>1223</v>
      </c>
      <c r="F1584" s="17" t="s">
        <v>201</v>
      </c>
      <c r="G1584" s="18"/>
      <c r="H1584" s="18"/>
    </row>
    <row r="1585" spans="1:8" ht="13.2">
      <c r="A1585" s="15" t="s">
        <v>1249</v>
      </c>
      <c r="B1585" s="28" t="s">
        <v>1250</v>
      </c>
      <c r="C1585" s="24">
        <v>6.5</v>
      </c>
      <c r="D1585" s="18"/>
      <c r="E1585" s="17" t="s">
        <v>1223</v>
      </c>
      <c r="F1585" s="17" t="s">
        <v>201</v>
      </c>
      <c r="G1585" s="18"/>
      <c r="H1585" s="18"/>
    </row>
    <row r="1586" spans="1:8" ht="13.2">
      <c r="A1586" s="19" t="str">
        <f>HYPERLINK("http://codeforces.com/contest/1076/problem/F","CF1076-D12-F")</f>
        <v>CF1076-D12-F</v>
      </c>
      <c r="B1586" s="20" t="s">
        <v>2163</v>
      </c>
      <c r="C1586" s="21">
        <v>6.5</v>
      </c>
      <c r="D1586" s="18"/>
      <c r="E1586" s="17" t="s">
        <v>2153</v>
      </c>
      <c r="F1586" s="17" t="s">
        <v>201</v>
      </c>
      <c r="G1586" s="18"/>
      <c r="H1586" s="18"/>
    </row>
    <row r="1587" spans="1:8" ht="13.2">
      <c r="A1587" s="19" t="str">
        <f>HYPERLINK("https://codeforces.com/problemset/problem/962/E","CF962-D12-E")</f>
        <v>CF962-D12-E</v>
      </c>
      <c r="B1587" s="15" t="s">
        <v>2163</v>
      </c>
      <c r="C1587" s="17">
        <v>6.5</v>
      </c>
      <c r="D1587" s="18"/>
      <c r="E1587" s="17" t="s">
        <v>2153</v>
      </c>
      <c r="F1587" s="17" t="s">
        <v>201</v>
      </c>
      <c r="G1587" s="18"/>
      <c r="H1587" s="18"/>
    </row>
    <row r="1588" spans="1:8" ht="13.2">
      <c r="A1588" s="19" t="str">
        <f>HYPERLINK("http://codeforces.com/contest/76/problem/F","CF76-D12-F")</f>
        <v>CF76-D12-F</v>
      </c>
      <c r="B1588" s="15" t="s">
        <v>2603</v>
      </c>
      <c r="C1588" s="17">
        <v>6.5</v>
      </c>
      <c r="D1588" s="18"/>
      <c r="E1588" s="17" t="s">
        <v>2510</v>
      </c>
      <c r="F1588" s="17" t="s">
        <v>201</v>
      </c>
      <c r="G1588" s="18"/>
      <c r="H1588" s="18"/>
    </row>
    <row r="1589" spans="1:8" ht="13.2">
      <c r="A1589" s="15" t="s">
        <v>3099</v>
      </c>
      <c r="B1589" s="28" t="s">
        <v>3100</v>
      </c>
      <c r="C1589" s="24">
        <v>6.5</v>
      </c>
      <c r="D1589" s="26" t="str">
        <f>HYPERLINK("https://github.com/quangloc99/CompetitiveProgramming/blob/master/SPOJ/TFOSS.cpp","Sol")</f>
        <v>Sol</v>
      </c>
      <c r="E1589" s="17" t="s">
        <v>3065</v>
      </c>
      <c r="F1589" s="17" t="s">
        <v>201</v>
      </c>
      <c r="G1589" s="18"/>
      <c r="H1589" s="18"/>
    </row>
    <row r="1590" spans="1:8" ht="13.2">
      <c r="A1590" s="19" t="str">
        <f>HYPERLINK("https://codeforces.com/contest/1091/problem/E","CF1091-D12-E")</f>
        <v>CF1091-D12-E</v>
      </c>
      <c r="B1590" s="23" t="s">
        <v>3317</v>
      </c>
      <c r="C1590" s="17">
        <v>6.5</v>
      </c>
      <c r="D1590" s="18"/>
      <c r="E1590" s="17" t="s">
        <v>3257</v>
      </c>
      <c r="F1590" s="17" t="s">
        <v>201</v>
      </c>
      <c r="G1590" s="18"/>
      <c r="H1590" s="18"/>
    </row>
    <row r="1591" spans="1:8" ht="13.2">
      <c r="A1591" s="19" t="str">
        <f>HYPERLINK("http://codeforces.com/contest/913/problem/E","CF913-D12-E")</f>
        <v>CF913-D12-E</v>
      </c>
      <c r="B1591" s="15" t="s">
        <v>3803</v>
      </c>
      <c r="C1591" s="17">
        <v>6.5</v>
      </c>
      <c r="D1591" s="18"/>
      <c r="E1591" s="17" t="s">
        <v>3784</v>
      </c>
      <c r="F1591" s="17" t="s">
        <v>201</v>
      </c>
      <c r="G1591" s="18"/>
      <c r="H1591" s="18"/>
    </row>
    <row r="1592" spans="1:8" ht="13.2">
      <c r="A1592" s="19" t="str">
        <f>HYPERLINK("http://codeforces.com/contest/243/problem/C","CF243-D1-C")</f>
        <v>CF243-D1-C</v>
      </c>
      <c r="B1592" s="42" t="s">
        <v>4525</v>
      </c>
      <c r="C1592" s="17">
        <v>6.5</v>
      </c>
      <c r="D1592" s="18"/>
      <c r="E1592" s="17" t="s">
        <v>4512</v>
      </c>
      <c r="F1592" s="17" t="s">
        <v>201</v>
      </c>
      <c r="G1592" s="18"/>
      <c r="H1592" s="18"/>
    </row>
    <row r="1593" spans="1:8" ht="13.2">
      <c r="A1593" s="19" t="str">
        <f>HYPERLINK("https://codeforces.com/contest/1119/problem/E","CF1119-D12-E")</f>
        <v>CF1119-D12-E</v>
      </c>
      <c r="B1593" s="20" t="s">
        <v>4603</v>
      </c>
      <c r="C1593" s="17">
        <v>6.5</v>
      </c>
      <c r="D1593" s="18"/>
      <c r="E1593" s="17" t="s">
        <v>4531</v>
      </c>
      <c r="F1593" s="17" t="s">
        <v>201</v>
      </c>
      <c r="G1593" s="18"/>
      <c r="H1593" s="18"/>
    </row>
    <row r="1594" spans="1:8" ht="13.2">
      <c r="A1594" s="19" t="str">
        <f>HYPERLINK("http://codeforces.com/contest/194/problem/D","CF194-D2-D")</f>
        <v>CF194-D2-D</v>
      </c>
      <c r="B1594" s="23" t="s">
        <v>4766</v>
      </c>
      <c r="C1594" s="24">
        <v>6.5</v>
      </c>
      <c r="D1594" s="18"/>
      <c r="E1594" s="17" t="s">
        <v>4767</v>
      </c>
      <c r="F1594" s="17" t="s">
        <v>201</v>
      </c>
      <c r="G1594" s="18"/>
      <c r="H1594" s="18"/>
    </row>
    <row r="1595" spans="1:8" ht="13.2">
      <c r="A1595" s="15" t="s">
        <v>5368</v>
      </c>
      <c r="B1595" s="29" t="s">
        <v>5369</v>
      </c>
      <c r="C1595" s="24">
        <v>6.5</v>
      </c>
      <c r="D1595" s="26" t="str">
        <f>HYPERLINK("https://github.com/nya-nya-meow/CompetitiveProgramming/blob/54848346fa99124b64800ac7f8474f6b9b9d4970/TopCoder/SRM417-D2-1000%20-%20TripleJump.cpp","Sol")</f>
        <v>Sol</v>
      </c>
      <c r="E1595" s="17" t="s">
        <v>5346</v>
      </c>
      <c r="F1595" s="17" t="s">
        <v>201</v>
      </c>
      <c r="G1595" s="18"/>
      <c r="H1595" s="18"/>
    </row>
    <row r="1596" spans="1:8" ht="13.2">
      <c r="A1596" s="19" t="str">
        <f>HYPERLINK("http://codeforces.com/contest/251/problem/B","CF521-D1-B")</f>
        <v>CF521-D1-B</v>
      </c>
      <c r="B1596" s="29" t="s">
        <v>5968</v>
      </c>
      <c r="C1596" s="24">
        <v>6.5</v>
      </c>
      <c r="D1596" s="18"/>
      <c r="E1596" s="17" t="s">
        <v>5958</v>
      </c>
      <c r="F1596" s="17" t="s">
        <v>242</v>
      </c>
      <c r="G1596" s="18"/>
      <c r="H1596" s="18"/>
    </row>
    <row r="1597" spans="1:8" ht="13.2">
      <c r="A1597" s="19" t="str">
        <f>HYPERLINK("https://uva.onlinejudge.org/index.php?option=com_onlinejudge&amp;Itemid=8&amp;page=show_problem&amp;problem=3143","UVA 11992")</f>
        <v>UVA 11992</v>
      </c>
      <c r="B1597" s="15" t="s">
        <v>1095</v>
      </c>
      <c r="C1597" s="17">
        <v>6.5</v>
      </c>
      <c r="D1597" s="26" t="str">
        <f>HYPERLINK("https://github.com/amraboelkher/CompetitiveProgramming/blob/master/UVA/11992%20-%20Fast%20Matrix%20Operations.cpp","Sol")</f>
        <v>Sol</v>
      </c>
      <c r="E1597" s="17" t="s">
        <v>1018</v>
      </c>
      <c r="F1597" s="17" t="s">
        <v>242</v>
      </c>
      <c r="G1597" s="18"/>
      <c r="H1597" s="18"/>
    </row>
    <row r="1598" spans="1:8" ht="13.2">
      <c r="A1598" s="15" t="s">
        <v>3804</v>
      </c>
      <c r="B1598" s="16" t="s">
        <v>3805</v>
      </c>
      <c r="C1598" s="17">
        <v>6.5</v>
      </c>
      <c r="D1598" s="18"/>
      <c r="E1598" s="17" t="s">
        <v>3784</v>
      </c>
      <c r="F1598" s="17" t="s">
        <v>242</v>
      </c>
      <c r="G1598" s="18"/>
      <c r="H1598" s="18"/>
    </row>
    <row r="1599" spans="1:8" ht="13.2">
      <c r="A1599" s="15" t="s">
        <v>4393</v>
      </c>
      <c r="B1599" s="38" t="s">
        <v>4388</v>
      </c>
      <c r="C1599" s="17">
        <v>6.5</v>
      </c>
      <c r="D1599" s="18"/>
      <c r="E1599" s="17" t="s">
        <v>4379</v>
      </c>
      <c r="F1599" s="17" t="s">
        <v>242</v>
      </c>
      <c r="G1599" s="18"/>
      <c r="H1599" s="18"/>
    </row>
    <row r="1600" spans="1:8" ht="13.2">
      <c r="A1600" s="19" t="str">
        <f>HYPERLINK("http://codeforces.com/contest/1000/problem/G", "CF1000-D12-G")</f>
        <v>CF1000-D12-G</v>
      </c>
      <c r="B1600" s="20" t="s">
        <v>4471</v>
      </c>
      <c r="C1600" s="21">
        <v>6.5</v>
      </c>
      <c r="D1600" s="18"/>
      <c r="E1600" s="17" t="s">
        <v>4454</v>
      </c>
      <c r="F1600" s="17" t="s">
        <v>242</v>
      </c>
      <c r="G1600" s="18"/>
      <c r="H1600" s="18"/>
    </row>
    <row r="1601" spans="1:8" ht="13.2">
      <c r="A1601" s="19" t="str">
        <f>HYPERLINK("http://codeforces.com/contest/902/problem/D","CF902-D2-D")</f>
        <v>CF902-D2-D</v>
      </c>
      <c r="B1601" s="18" t="s">
        <v>4868</v>
      </c>
      <c r="C1601" s="17">
        <v>6.5</v>
      </c>
      <c r="D1601" s="26" t="str">
        <f>HYPERLINK("https://github.com/Huvok/CompetitiveProgramming/blob/master/Codeforces/CF902-D2-D.cpp","Sol")</f>
        <v>Sol</v>
      </c>
      <c r="E1601" s="17" t="s">
        <v>4867</v>
      </c>
      <c r="F1601" s="17" t="s">
        <v>242</v>
      </c>
      <c r="G1601" s="18"/>
      <c r="H1601" s="18"/>
    </row>
    <row r="1602" spans="1:8" ht="13.2">
      <c r="A1602" s="19" t="str">
        <f>HYPERLINK("https://codeforces.com/contest/1159/problem/D","CF1159-D2-D")</f>
        <v>CF1159-D2-D</v>
      </c>
      <c r="B1602" s="15" t="s">
        <v>182</v>
      </c>
      <c r="C1602" s="17">
        <v>6.5</v>
      </c>
      <c r="D1602" s="18"/>
      <c r="E1602" s="17" t="s">
        <v>125</v>
      </c>
      <c r="F1602" s="17"/>
      <c r="G1602" s="18"/>
      <c r="H1602" s="18"/>
    </row>
    <row r="1603" spans="1:8" ht="13.2">
      <c r="A1603" s="19" t="str">
        <f>HYPERLINK("https://icpcarchive.ecs.baylor.edu/index.php?option=onlinejudge&amp;page=show_problem&amp;problem=4352","LIVEARCHIVE 6341")</f>
        <v>LIVEARCHIVE 6341</v>
      </c>
      <c r="B1603" s="30" t="s">
        <v>916</v>
      </c>
      <c r="C1603" s="17">
        <v>6.5</v>
      </c>
      <c r="D1603" s="26" t="str">
        <f>HYPERLINK("https://github.com/arvindr9/CompetitiveProgramming/blob/master/LiveArchive/LIVEARCHIVE%206341.cpp","Sol")</f>
        <v>Sol</v>
      </c>
      <c r="E1603" s="24" t="s">
        <v>910</v>
      </c>
      <c r="F1603" s="17"/>
      <c r="G1603" s="18"/>
      <c r="H1603" s="18"/>
    </row>
    <row r="1604" spans="1:8" ht="13.2">
      <c r="A1604" s="19" t="str">
        <f>HYPERLINK("https://www.codechef.com/problems/PPTREE","CODECHEF PPTREE")</f>
        <v>CODECHEF PPTREE</v>
      </c>
      <c r="B1604" s="18" t="s">
        <v>5650</v>
      </c>
      <c r="C1604" s="17">
        <v>6.5</v>
      </c>
      <c r="D1604" s="18"/>
      <c r="E1604" s="17" t="s">
        <v>5643</v>
      </c>
      <c r="F1604" s="17"/>
      <c r="G1604" s="18"/>
      <c r="H1604" s="18"/>
    </row>
    <row r="1605" spans="1:8" ht="13.2">
      <c r="A1605" s="19" t="str">
        <f>HYPERLINK("https://www.codechef.com/problems/GERALD07","CODECHEF GERALD07")</f>
        <v>CODECHEF GERALD07</v>
      </c>
      <c r="B1605" s="18" t="s">
        <v>5881</v>
      </c>
      <c r="C1605" s="17">
        <v>6.5</v>
      </c>
      <c r="D1605" s="18"/>
      <c r="E1605" s="17" t="s">
        <v>5874</v>
      </c>
      <c r="F1605" s="17"/>
      <c r="G1605" s="18"/>
      <c r="H1605" s="18"/>
    </row>
    <row r="1606" spans="1:8" ht="13.2">
      <c r="A1606" s="19" t="str">
        <f>HYPERLINK("https://www.codechef.com/problems/CARDSHUF","CODECHEF CARDSHUF")</f>
        <v>CODECHEF CARDSHUF</v>
      </c>
      <c r="B1606" s="18" t="s">
        <v>5882</v>
      </c>
      <c r="C1606" s="17">
        <v>6.5</v>
      </c>
      <c r="D1606" s="18"/>
      <c r="E1606" s="17" t="s">
        <v>5874</v>
      </c>
      <c r="F1606" s="17"/>
      <c r="G1606" s="18"/>
      <c r="H1606" s="18"/>
    </row>
    <row r="1607" spans="1:8" ht="13.2">
      <c r="A1607" s="15" t="s">
        <v>5883</v>
      </c>
      <c r="B1607" s="28" t="s">
        <v>5884</v>
      </c>
      <c r="C1607" s="24">
        <v>6.5</v>
      </c>
      <c r="D1607" s="18"/>
      <c r="E1607" s="17" t="s">
        <v>5874</v>
      </c>
      <c r="F1607" s="17"/>
      <c r="G1607" s="18"/>
      <c r="H1607" s="18"/>
    </row>
    <row r="1608" spans="1:8" ht="13.2">
      <c r="A1608" s="15" t="s">
        <v>5945</v>
      </c>
      <c r="B1608" s="30" t="s">
        <v>5946</v>
      </c>
      <c r="C1608" s="24">
        <v>6.5</v>
      </c>
      <c r="D1608" s="26" t="str">
        <f>HYPERLINK("https://github.com/andmej/competitive_programming/blob/master/ICPC%20Live%20Archive/2945%20-%20Help%20R2-D2/2945.cpp","Sol (no editorial)")</f>
        <v>Sol (no editorial)</v>
      </c>
      <c r="E1608" s="17" t="s">
        <v>5947</v>
      </c>
      <c r="F1608" s="17"/>
      <c r="G1608" s="18"/>
      <c r="H1608" s="18"/>
    </row>
    <row r="1609" spans="1:8" ht="13.2">
      <c r="A1609" s="15" t="s">
        <v>5969</v>
      </c>
      <c r="B1609" s="16" t="s">
        <v>5970</v>
      </c>
      <c r="C1609" s="17">
        <v>6.5</v>
      </c>
      <c r="D1609" s="18"/>
      <c r="E1609" s="17" t="s">
        <v>5958</v>
      </c>
      <c r="F1609" s="17"/>
      <c r="G1609" s="18"/>
      <c r="H1609" s="18"/>
    </row>
    <row r="1610" spans="1:8" ht="13.2">
      <c r="A1610" s="19" t="str">
        <f>HYPERLINK("http://codeforces.com/contest/133/problem/D","CF133-D2-D")</f>
        <v>CF133-D2-D</v>
      </c>
      <c r="B1610" s="29" t="s">
        <v>5971</v>
      </c>
      <c r="C1610" s="24">
        <v>6.5</v>
      </c>
      <c r="D1610" s="18"/>
      <c r="E1610" s="17" t="s">
        <v>5958</v>
      </c>
      <c r="F1610" s="17"/>
      <c r="G1610" s="18"/>
      <c r="H1610" s="18"/>
    </row>
    <row r="1611" spans="1:8" ht="13.2">
      <c r="A1611" s="15" t="s">
        <v>6081</v>
      </c>
      <c r="B1611" s="28" t="s">
        <v>6077</v>
      </c>
      <c r="C1611" s="24">
        <v>6.5</v>
      </c>
      <c r="D1611" s="18"/>
      <c r="E1611" s="17" t="s">
        <v>6075</v>
      </c>
      <c r="F1611" s="17"/>
      <c r="G1611" s="18"/>
      <c r="H1611" s="18"/>
    </row>
    <row r="1612" spans="1:8" ht="13.2">
      <c r="A1612" s="19" t="str">
        <f>HYPERLINK("http://codeforces.com/contest/55/problem/D","CF55-D12-D")</f>
        <v>CF55-D12-D</v>
      </c>
      <c r="B1612" s="29" t="s">
        <v>6122</v>
      </c>
      <c r="C1612" s="17">
        <v>6.5</v>
      </c>
      <c r="D1612" s="18"/>
      <c r="E1612" s="17" t="s">
        <v>6118</v>
      </c>
      <c r="F1612" s="17"/>
      <c r="G1612" s="18"/>
      <c r="H1612" s="18"/>
    </row>
    <row r="1613" spans="1:8" ht="13.2">
      <c r="A1613" s="19" t="str">
        <f>HYPERLINK("http://codeforces.com/contest/215/problem/E","CF215-D2-E")</f>
        <v>CF215-D2-E</v>
      </c>
      <c r="B1613" s="29" t="s">
        <v>6123</v>
      </c>
      <c r="C1613" s="17">
        <v>6.5</v>
      </c>
      <c r="D1613" s="18"/>
      <c r="E1613" s="17" t="s">
        <v>6118</v>
      </c>
      <c r="F1613" s="17"/>
      <c r="G1613" s="18"/>
      <c r="H1613" s="18"/>
    </row>
    <row r="1614" spans="1:8" ht="13.2">
      <c r="A1614" s="19" t="str">
        <f>HYPERLINK("http://www.lightoj.com/volume_showproblem.php?problem=1252","lightoj 1252")</f>
        <v>lightoj 1252</v>
      </c>
      <c r="B1614" s="15" t="s">
        <v>6155</v>
      </c>
      <c r="C1614" s="17">
        <v>6.5</v>
      </c>
      <c r="D1614" s="18"/>
      <c r="E1614" s="17" t="s">
        <v>6151</v>
      </c>
      <c r="F1614" s="17"/>
      <c r="G1614" s="18"/>
      <c r="H1614" s="18"/>
    </row>
    <row r="1615" spans="1:8" ht="13.2">
      <c r="A1615" s="15" t="s">
        <v>6206</v>
      </c>
      <c r="B1615" s="60" t="s">
        <v>6207</v>
      </c>
      <c r="C1615" s="59">
        <v>6.5</v>
      </c>
      <c r="D1615" s="18"/>
      <c r="E1615" s="59" t="s">
        <v>6205</v>
      </c>
      <c r="F1615" s="17"/>
      <c r="G1615" s="18"/>
      <c r="H1615" s="18"/>
    </row>
    <row r="1616" spans="1:8" ht="13.2">
      <c r="A1616" s="15" t="s">
        <v>6283</v>
      </c>
      <c r="B1616" s="29" t="s">
        <v>6276</v>
      </c>
      <c r="C1616" s="24">
        <v>6.5</v>
      </c>
      <c r="D1616" s="18"/>
      <c r="E1616" s="17" t="s">
        <v>6275</v>
      </c>
      <c r="F1616" s="17"/>
      <c r="G1616" s="18"/>
      <c r="H1616" s="18"/>
    </row>
    <row r="1617" spans="1:8" ht="13.2">
      <c r="A1617" s="19" t="str">
        <f>HYPERLINK("https://csacademy.com/contest/round-47/task/expected-merge/","CSA47-D")</f>
        <v>CSA47-D</v>
      </c>
      <c r="B1617" s="28" t="s">
        <v>6284</v>
      </c>
      <c r="C1617" s="17">
        <v>6.5</v>
      </c>
      <c r="D1617" s="18"/>
      <c r="E1617" s="17" t="s">
        <v>6275</v>
      </c>
      <c r="F1617" s="17"/>
      <c r="G1617" s="18"/>
      <c r="H1617" s="18"/>
    </row>
    <row r="1618" spans="1:8" ht="13.2">
      <c r="A1618" s="19" t="str">
        <f>HYPERLINK("http://codeforces.com/contest/436/problem/F","CF436-D12-F")</f>
        <v>CF436-D12-F</v>
      </c>
      <c r="B1618" s="15" t="s">
        <v>6380</v>
      </c>
      <c r="C1618" s="24">
        <v>6.5</v>
      </c>
      <c r="D1618" s="18"/>
      <c r="E1618" s="17" t="s">
        <v>6362</v>
      </c>
      <c r="F1618" s="17"/>
      <c r="G1618" s="18"/>
      <c r="H1618" s="18"/>
    </row>
    <row r="1619" spans="1:8" ht="13.2">
      <c r="A1619" s="19" t="str">
        <f>HYPERLINK("http://codeforces.com/contest/420/problem/D","CF420-D1-D")</f>
        <v>CF420-D1-D</v>
      </c>
      <c r="B1619" s="29" t="s">
        <v>1096</v>
      </c>
      <c r="C1619" s="17">
        <v>6.5</v>
      </c>
      <c r="D1619" s="18"/>
      <c r="E1619" s="17" t="s">
        <v>1018</v>
      </c>
      <c r="F1619" s="17"/>
      <c r="G1619" s="18"/>
      <c r="H1619" s="18"/>
    </row>
    <row r="1620" spans="1:8" ht="13.2">
      <c r="A1620" s="19" t="str">
        <f>HYPERLINK("https://www.codechef.com/problems/BOMBING","CODECHEF BOMBING")</f>
        <v>CODECHEF BOMBING</v>
      </c>
      <c r="B1620" s="18" t="s">
        <v>1097</v>
      </c>
      <c r="C1620" s="17">
        <v>6.5</v>
      </c>
      <c r="D1620" s="18"/>
      <c r="E1620" s="17" t="s">
        <v>1018</v>
      </c>
      <c r="F1620" s="17"/>
      <c r="G1620" s="18"/>
      <c r="H1620" s="18"/>
    </row>
    <row r="1621" spans="1:8" ht="13.2">
      <c r="A1621" s="19" t="str">
        <f>HYPERLINK("https://www.codechef.com/problems/SLIS","CODECHEF SLIS")</f>
        <v>CODECHEF SLIS</v>
      </c>
      <c r="B1621" s="18" t="s">
        <v>1098</v>
      </c>
      <c r="C1621" s="17">
        <v>6.5</v>
      </c>
      <c r="D1621" s="18"/>
      <c r="E1621" s="17" t="s">
        <v>1018</v>
      </c>
      <c r="F1621" s="17"/>
      <c r="G1621" s="18"/>
      <c r="H1621" s="18"/>
    </row>
    <row r="1622" spans="1:8" ht="13.2">
      <c r="A1622" s="15" t="s">
        <v>1099</v>
      </c>
      <c r="B1622" s="28" t="s">
        <v>1100</v>
      </c>
      <c r="C1622" s="24">
        <v>6.5</v>
      </c>
      <c r="D1622" s="26" t="str">
        <f>HYPERLINK("https://github.com/stefdasca/CompetitiveProgramming/blob/master/SPOJ/XXXXXXXX.cpp","Sol")</f>
        <v>Sol</v>
      </c>
      <c r="E1622" s="17" t="s">
        <v>1018</v>
      </c>
      <c r="F1622" s="17"/>
      <c r="G1622" s="18"/>
      <c r="H1622" s="18"/>
    </row>
    <row r="1623" spans="1:8" ht="13.2">
      <c r="A1623" s="19" t="str">
        <f>HYPERLINK("http://codeforces.com/contest/833/problem/B","CF833-D1-B")</f>
        <v>CF833-D1-B</v>
      </c>
      <c r="B1623" s="25" t="s">
        <v>1040</v>
      </c>
      <c r="C1623" s="17">
        <v>6.5</v>
      </c>
      <c r="D1623" s="18"/>
      <c r="E1623" s="17" t="s">
        <v>1018</v>
      </c>
      <c r="F1623" s="17"/>
      <c r="G1623" s="18"/>
      <c r="H1623" s="18"/>
    </row>
    <row r="1624" spans="1:8" ht="13.2">
      <c r="A1624" s="19" t="str">
        <f>HYPERLINK("https://codeforces.com/contest/150/problem/C","CF150-D1-C")</f>
        <v>CF150-D1-C</v>
      </c>
      <c r="B1624" s="20" t="s">
        <v>1101</v>
      </c>
      <c r="C1624" s="21">
        <v>6.5</v>
      </c>
      <c r="D1624" s="26" t="str">
        <f>HYPERLINK("https://github.com/tmwilliamlin168/CompetitiveProgramming/blob/master/CodeForces/CF150-D1-C.java", "Sol")</f>
        <v>Sol</v>
      </c>
      <c r="E1624" s="17" t="s">
        <v>1018</v>
      </c>
      <c r="F1624" s="17"/>
      <c r="G1624" s="18"/>
      <c r="H1624" s="18"/>
    </row>
    <row r="1625" spans="1:8" ht="13.2">
      <c r="A1625" s="19" t="str">
        <f>HYPERLINK("http://codeforces.com/contest/580/problem/E","CF580-D2-E")</f>
        <v>CF580-D2-E</v>
      </c>
      <c r="B1625" s="18" t="s">
        <v>1102</v>
      </c>
      <c r="C1625" s="24">
        <v>6.5</v>
      </c>
      <c r="D1625" s="18"/>
      <c r="E1625" s="17" t="s">
        <v>1018</v>
      </c>
      <c r="F1625" s="17"/>
      <c r="G1625" s="18"/>
      <c r="H1625" s="18"/>
    </row>
    <row r="1626" spans="1:8" ht="13.2">
      <c r="A1626" s="19" t="str">
        <f>HYPERLINK("http://codeforces.com/contest/83/problem/G","CF803-D12-G")</f>
        <v>CF803-D12-G</v>
      </c>
      <c r="B1626" s="15" t="s">
        <v>1103</v>
      </c>
      <c r="C1626" s="17">
        <v>6.5</v>
      </c>
      <c r="D1626" s="18"/>
      <c r="E1626" s="17" t="s">
        <v>1018</v>
      </c>
      <c r="F1626" s="17"/>
      <c r="G1626" s="18"/>
      <c r="H1626" s="18"/>
    </row>
    <row r="1627" spans="1:8" ht="13.2">
      <c r="A1627" s="19" t="str">
        <f>HYPERLINK("https://www.codechef.com/MARCH18B/problems/PSHTRG","CODECHE PSHTRG")</f>
        <v>CODECHE PSHTRG</v>
      </c>
      <c r="B1627" s="18" t="s">
        <v>1104</v>
      </c>
      <c r="C1627" s="17">
        <v>6.5</v>
      </c>
      <c r="D1627" s="18"/>
      <c r="E1627" s="17" t="s">
        <v>1018</v>
      </c>
      <c r="F1627" s="17"/>
      <c r="G1627" s="18"/>
      <c r="H1627" s="18"/>
    </row>
    <row r="1628" spans="1:8" ht="13.2">
      <c r="A1628" s="15" t="s">
        <v>6472</v>
      </c>
      <c r="B1628" s="18" t="s">
        <v>6473</v>
      </c>
      <c r="C1628" s="31">
        <v>6.5</v>
      </c>
      <c r="D1628" s="18"/>
      <c r="E1628" s="17" t="s">
        <v>6459</v>
      </c>
      <c r="F1628" s="17"/>
      <c r="G1628" s="18"/>
      <c r="H1628" s="18"/>
    </row>
    <row r="1629" spans="1:8" ht="13.2">
      <c r="A1629" s="15" t="s">
        <v>6474</v>
      </c>
      <c r="B1629" s="15" t="s">
        <v>6475</v>
      </c>
      <c r="C1629" s="17">
        <v>6.5</v>
      </c>
      <c r="D1629" s="18"/>
      <c r="E1629" s="17" t="s">
        <v>6459</v>
      </c>
      <c r="F1629" s="17"/>
      <c r="G1629" s="18"/>
      <c r="H1629" s="18"/>
    </row>
    <row r="1630" spans="1:8" ht="13.2">
      <c r="A1630" s="19" t="str">
        <f>HYPERLINK("http://codeforces.com/problemset/gymProblem/100812/F","CF100182-GYM-F")</f>
        <v>CF100182-GYM-F</v>
      </c>
      <c r="B1630" s="15" t="s">
        <v>1222</v>
      </c>
      <c r="C1630" s="17">
        <v>6.5</v>
      </c>
      <c r="D1630" s="18"/>
      <c r="E1630" s="17" t="s">
        <v>1223</v>
      </c>
      <c r="F1630" s="17"/>
      <c r="G1630" s="18"/>
      <c r="H1630" s="18"/>
    </row>
    <row r="1631" spans="1:8" ht="13.2">
      <c r="A1631" s="19" t="str">
        <f>HYPERLINK("http://codeforces.com/contest/369/problem/E","CF369-D2-E")</f>
        <v>CF369-D2-E</v>
      </c>
      <c r="B1631" s="29" t="s">
        <v>1222</v>
      </c>
      <c r="C1631" s="17">
        <v>6.5</v>
      </c>
      <c r="D1631" s="18"/>
      <c r="E1631" s="17" t="s">
        <v>1223</v>
      </c>
      <c r="F1631" s="17"/>
      <c r="G1631" s="18"/>
      <c r="H1631" s="18"/>
    </row>
    <row r="1632" spans="1:8" ht="13.2">
      <c r="A1632" s="19" t="str">
        <f>HYPERLINK("http://codeforces.com/contest/540/problem/E","CF540-D2-E")</f>
        <v>CF540-D2-E</v>
      </c>
      <c r="B1632" s="45" t="s">
        <v>6553</v>
      </c>
      <c r="C1632" s="46">
        <v>6.5</v>
      </c>
      <c r="D1632" s="18"/>
      <c r="E1632" s="46" t="s">
        <v>1223</v>
      </c>
      <c r="F1632" s="17"/>
      <c r="G1632" s="18"/>
      <c r="H1632" s="18"/>
    </row>
    <row r="1633" spans="1:8" ht="13.2">
      <c r="A1633" s="19" t="str">
        <f>HYPERLINK("http://codeforces.com/contest/749/problem/E","CF749-D2-E")</f>
        <v>CF749-D2-E</v>
      </c>
      <c r="B1633" s="15" t="s">
        <v>1252</v>
      </c>
      <c r="C1633" s="24">
        <v>6.5</v>
      </c>
      <c r="D1633" s="18"/>
      <c r="E1633" s="17" t="s">
        <v>1223</v>
      </c>
      <c r="F1633" s="17"/>
      <c r="G1633" s="18"/>
      <c r="H1633" s="18"/>
    </row>
    <row r="1634" spans="1:8" ht="13.2">
      <c r="A1634" s="19" t="str">
        <f>HYPERLINK("https://atcoder.jp/contests/caddi2018/tasks/caddi2018_d","Atcoder-caddi2018-D")</f>
        <v>Atcoder-caddi2018-D</v>
      </c>
      <c r="B1634" s="15" t="s">
        <v>1348</v>
      </c>
      <c r="C1634" s="17">
        <v>6.5</v>
      </c>
      <c r="D1634" s="18"/>
      <c r="E1634" s="17" t="s">
        <v>1337</v>
      </c>
      <c r="F1634" s="17"/>
      <c r="G1634" s="18"/>
      <c r="H1634" s="18"/>
    </row>
    <row r="1635" spans="1:8" ht="13.2">
      <c r="A1635" s="19" t="str">
        <f>HYPERLINK("https://codeforces.com/contest/1068/problem/D","CF1068-D2-D")</f>
        <v>CF1068-D2-D</v>
      </c>
      <c r="B1635" s="15" t="s">
        <v>1348</v>
      </c>
      <c r="C1635" s="17">
        <v>6.5</v>
      </c>
      <c r="D1635" s="18"/>
      <c r="E1635" s="17" t="s">
        <v>1337</v>
      </c>
      <c r="F1635" s="17"/>
      <c r="G1635" s="18"/>
      <c r="H1635" s="18"/>
    </row>
    <row r="1636" spans="1:8" ht="13.2">
      <c r="A1636" s="19" t="str">
        <f>HYPERLINK("http://codeforces.com/contest/373/problem/E","CF373-D2-E")</f>
        <v>CF373-D2-E</v>
      </c>
      <c r="B1636" s="15" t="s">
        <v>1348</v>
      </c>
      <c r="C1636" s="24">
        <v>6.5</v>
      </c>
      <c r="D1636" s="18"/>
      <c r="E1636" s="17" t="s">
        <v>1337</v>
      </c>
      <c r="F1636" s="17"/>
      <c r="G1636" s="18"/>
      <c r="H1636" s="18"/>
    </row>
    <row r="1637" spans="1:8" ht="13.2">
      <c r="A1637" s="19" t="str">
        <f>HYPERLINK("http://codeforces.com/contest/480/problem/C","CF480-D1-C")</f>
        <v>CF480-D1-C</v>
      </c>
      <c r="B1637" s="20" t="s">
        <v>1348</v>
      </c>
      <c r="C1637" s="17">
        <v>6.5</v>
      </c>
      <c r="D1637" s="18"/>
      <c r="E1637" s="17" t="s">
        <v>1337</v>
      </c>
      <c r="F1637" s="17"/>
      <c r="G1637" s="18"/>
      <c r="H1637" s="18"/>
    </row>
    <row r="1638" spans="1:8" ht="13.2">
      <c r="A1638" s="19" t="str">
        <f>HYPERLINK("http://codeforces.com/problemset/problem/744/C","CF744-D1-C")</f>
        <v>CF744-D1-C</v>
      </c>
      <c r="B1638" s="18" t="s">
        <v>1348</v>
      </c>
      <c r="C1638" s="31">
        <v>6.5</v>
      </c>
      <c r="D1638" s="18"/>
      <c r="E1638" s="17" t="s">
        <v>1337</v>
      </c>
      <c r="F1638" s="17"/>
      <c r="G1638" s="18"/>
      <c r="H1638" s="18"/>
    </row>
    <row r="1639" spans="1:8" ht="13.2">
      <c r="A1639" s="19" t="str">
        <f>HYPERLINK("https://www.codechef.com/problems/KNICOV","CODECHEF KNICOV")</f>
        <v>CODECHEF KNICOV</v>
      </c>
      <c r="B1639" s="15" t="s">
        <v>1348</v>
      </c>
      <c r="C1639" s="24">
        <v>6.5</v>
      </c>
      <c r="D1639" s="18"/>
      <c r="E1639" s="17" t="s">
        <v>1337</v>
      </c>
      <c r="F1639" s="17"/>
      <c r="G1639" s="18"/>
      <c r="H1639" s="18"/>
    </row>
    <row r="1640" spans="1:8" ht="13.2">
      <c r="A1640" s="19" t="str">
        <f>HYPERLINK("https://www.facebook.com/hackercup/problem/271442536778669/", "FbHkrCup 18-R2-C")</f>
        <v>FbHkrCup 18-R2-C</v>
      </c>
      <c r="B1640" s="20" t="s">
        <v>1348</v>
      </c>
      <c r="C1640" s="21">
        <v>6.5</v>
      </c>
      <c r="D1640" s="18"/>
      <c r="E1640" s="17" t="s">
        <v>1337</v>
      </c>
      <c r="F1640" s="17"/>
      <c r="G1640" s="18"/>
      <c r="H1640" s="18"/>
    </row>
    <row r="1641" spans="1:8" ht="13.2">
      <c r="A1641" s="15" t="s">
        <v>1435</v>
      </c>
      <c r="B1641" s="29" t="s">
        <v>1348</v>
      </c>
      <c r="C1641" s="31">
        <v>6.5</v>
      </c>
      <c r="D1641" s="18"/>
      <c r="E1641" s="24" t="s">
        <v>1337</v>
      </c>
      <c r="F1641" s="17"/>
      <c r="G1641" s="18"/>
      <c r="H1641" s="18"/>
    </row>
    <row r="1642" spans="1:8" ht="13.2">
      <c r="A1642" s="19" t="str">
        <f>HYPERLINK("http://codeforces.com/contest/71/problem/E","CF71-D2-E")</f>
        <v>CF71-D2-E</v>
      </c>
      <c r="B1642" s="29" t="s">
        <v>1436</v>
      </c>
      <c r="C1642" s="17">
        <v>6.5</v>
      </c>
      <c r="D1642" s="18"/>
      <c r="E1642" s="17" t="s">
        <v>1337</v>
      </c>
      <c r="F1642" s="17"/>
      <c r="G1642" s="18"/>
      <c r="H1642" s="18"/>
    </row>
    <row r="1643" spans="1:8" ht="13.2">
      <c r="A1643" s="19" t="str">
        <f>HYPERLINK("http://codeforces.com/contest/536/problem/D","CF536-D1-D")</f>
        <v>CF536-D1-D</v>
      </c>
      <c r="B1643" s="15" t="s">
        <v>1437</v>
      </c>
      <c r="C1643" s="24">
        <v>6.5</v>
      </c>
      <c r="D1643" s="18"/>
      <c r="E1643" s="17" t="s">
        <v>1337</v>
      </c>
      <c r="F1643" s="17"/>
      <c r="G1643" s="18"/>
      <c r="H1643" s="18"/>
    </row>
    <row r="1644" spans="1:8" ht="13.2">
      <c r="A1644" s="19" t="str">
        <f>HYPERLINK("https://www.codechef.com/problems/DANYANUM","CODECHEF DANYANUM")</f>
        <v>CODECHEF DANYANUM</v>
      </c>
      <c r="B1644" s="15" t="s">
        <v>1438</v>
      </c>
      <c r="C1644" s="17">
        <v>6.5</v>
      </c>
      <c r="D1644" s="18"/>
      <c r="E1644" s="17" t="s">
        <v>1337</v>
      </c>
      <c r="F1644" s="17"/>
      <c r="G1644" s="18"/>
      <c r="H1644" s="18"/>
    </row>
    <row r="1645" spans="1:8" ht="13.2">
      <c r="A1645" s="15" t="s">
        <v>1439</v>
      </c>
      <c r="B1645" s="34" t="s">
        <v>1346</v>
      </c>
      <c r="C1645" s="17">
        <v>6.5</v>
      </c>
      <c r="D1645" s="18"/>
      <c r="E1645" s="17" t="s">
        <v>1337</v>
      </c>
      <c r="F1645" s="17"/>
      <c r="G1645" s="18"/>
      <c r="H1645" s="18"/>
    </row>
    <row r="1646" spans="1:8" ht="13.2">
      <c r="A1646" s="19" t="str">
        <f>HYPERLINK("http://codeforces.com/contest/697/problem/C", "CF697-D2-E")</f>
        <v>CF697-D2-E</v>
      </c>
      <c r="B1646" s="20" t="s">
        <v>1440</v>
      </c>
      <c r="C1646" s="21">
        <v>6.5</v>
      </c>
      <c r="D1646" s="26" t="str">
        <f>HYPERLINK("https://github.com/tmwilliamlin168/CompetitiveProgramming/blob/master/CodeForces/CF697-D12-E.cpp", "SolToMe")</f>
        <v>SolToMe</v>
      </c>
      <c r="E1646" s="17" t="s">
        <v>1337</v>
      </c>
      <c r="F1646" s="17"/>
      <c r="G1646" s="18"/>
      <c r="H1646" s="18"/>
    </row>
    <row r="1647" spans="1:8" ht="13.2">
      <c r="A1647" s="19" t="str">
        <f>HYPERLINK("http://community.topcoder.com/stat?c=problem_statement&amp;pm=6215","SRM302-D1-1000")</f>
        <v>SRM302-D1-1000</v>
      </c>
      <c r="B1647" s="20" t="s">
        <v>1441</v>
      </c>
      <c r="C1647" s="21">
        <v>6.5</v>
      </c>
      <c r="D1647" s="18"/>
      <c r="E1647" s="17" t="s">
        <v>1337</v>
      </c>
      <c r="F1647" s="17"/>
      <c r="G1647" s="18"/>
      <c r="H1647" s="18"/>
    </row>
    <row r="1648" spans="1:8" ht="13.2">
      <c r="A1648" s="15" t="s">
        <v>1700</v>
      </c>
      <c r="B1648" s="28" t="s">
        <v>1701</v>
      </c>
      <c r="C1648" s="24">
        <v>6.5</v>
      </c>
      <c r="D1648" s="18"/>
      <c r="E1648" s="17" t="s">
        <v>1691</v>
      </c>
      <c r="F1648" s="17"/>
      <c r="G1648" s="18"/>
      <c r="H1648" s="18"/>
    </row>
    <row r="1649" spans="1:8" ht="13.2">
      <c r="A1649" s="15" t="s">
        <v>364</v>
      </c>
      <c r="B1649" s="30" t="s">
        <v>338</v>
      </c>
      <c r="C1649" s="40">
        <v>6.5</v>
      </c>
      <c r="D1649" s="18"/>
      <c r="E1649" s="17" t="s">
        <v>332</v>
      </c>
      <c r="F1649" s="17"/>
      <c r="G1649" s="18"/>
      <c r="H1649" s="18"/>
    </row>
    <row r="1650" spans="1:8" ht="13.2">
      <c r="A1650" s="15" t="s">
        <v>1755</v>
      </c>
      <c r="B1650" s="30" t="s">
        <v>1756</v>
      </c>
      <c r="C1650" s="24">
        <v>6.5</v>
      </c>
      <c r="D1650" s="18"/>
      <c r="E1650" s="17" t="s">
        <v>1751</v>
      </c>
      <c r="F1650" s="17"/>
      <c r="G1650" s="18"/>
      <c r="H1650" s="18"/>
    </row>
    <row r="1651" spans="1:8" ht="13.2">
      <c r="A1651" s="15" t="s">
        <v>1769</v>
      </c>
      <c r="B1651" s="29" t="s">
        <v>1770</v>
      </c>
      <c r="C1651" s="24">
        <v>6.5</v>
      </c>
      <c r="D1651" s="18"/>
      <c r="E1651" s="17" t="s">
        <v>1768</v>
      </c>
      <c r="F1651" s="17"/>
      <c r="G1651" s="18"/>
      <c r="H1651" s="18"/>
    </row>
    <row r="1652" spans="1:8" ht="13.2">
      <c r="A1652" s="19" t="str">
        <f>HYPERLINK("http://codeforces.com/contest/413/problem/D","CF413-D12-D")</f>
        <v>CF413-D12-D</v>
      </c>
      <c r="B1652" s="28" t="s">
        <v>1818</v>
      </c>
      <c r="C1652" s="17">
        <v>6.5</v>
      </c>
      <c r="D1652" s="26" t="str">
        <f>HYPERLINK("https://github.com/arvindr9/CompetitiveProgramming/blob/master/CodeForces/CF413-D12-D.cpp","SolToMe")</f>
        <v>SolToMe</v>
      </c>
      <c r="E1652" s="17" t="s">
        <v>1819</v>
      </c>
      <c r="F1652" s="17"/>
      <c r="G1652" s="18"/>
      <c r="H1652" s="18"/>
    </row>
    <row r="1653" spans="1:8" ht="13.2">
      <c r="A1653" s="19" t="str">
        <f>HYPERLINK("https://codeforces.com/contest/743/problem/E","CF743-D2-E")</f>
        <v>CF743-D2-E</v>
      </c>
      <c r="B1653" s="20" t="s">
        <v>1818</v>
      </c>
      <c r="C1653" s="21">
        <v>6.5</v>
      </c>
      <c r="D1653" s="18"/>
      <c r="E1653" s="17" t="s">
        <v>1819</v>
      </c>
      <c r="F1653" s="17"/>
      <c r="G1653" s="18"/>
      <c r="H1653" s="18"/>
    </row>
    <row r="1654" spans="1:8" ht="13.2">
      <c r="A1654" s="19" t="str">
        <f>HYPERLINK("http://codeforces.com/contest/342/problem/D","CF342-D2-D")</f>
        <v>CF342-D2-D</v>
      </c>
      <c r="B1654" s="15" t="s">
        <v>1839</v>
      </c>
      <c r="C1654" s="24">
        <v>6.5</v>
      </c>
      <c r="D1654" s="18"/>
      <c r="E1654" s="17" t="s">
        <v>1819</v>
      </c>
      <c r="F1654" s="17"/>
      <c r="G1654" s="18"/>
      <c r="H1654" s="18"/>
    </row>
    <row r="1655" spans="1:8" ht="13.2">
      <c r="A1655" s="19" t="str">
        <f>HYPERLINK("https://www.codechef.com/problems/FAVGAME","CODECHEF FAVGAME")</f>
        <v>CODECHEF FAVGAME</v>
      </c>
      <c r="B1655" s="18" t="s">
        <v>1840</v>
      </c>
      <c r="C1655" s="17">
        <v>6.5</v>
      </c>
      <c r="D1655" s="18"/>
      <c r="E1655" s="17" t="s">
        <v>1819</v>
      </c>
      <c r="F1655" s="17"/>
      <c r="G1655" s="18"/>
      <c r="H1655" s="18"/>
    </row>
    <row r="1656" spans="1:8" ht="13.2">
      <c r="A1656" s="19" t="str">
        <f>HYPERLINK("http://codeforces.com/contest/403/problem/D","CF403-D1-D")</f>
        <v>CF403-D1-D</v>
      </c>
      <c r="B1656" s="29" t="s">
        <v>1913</v>
      </c>
      <c r="C1656" s="17">
        <v>6.5</v>
      </c>
      <c r="D1656" s="18"/>
      <c r="E1656" s="17" t="s">
        <v>1909</v>
      </c>
      <c r="F1656" s="17"/>
      <c r="G1656" s="18"/>
      <c r="H1656" s="18"/>
    </row>
    <row r="1657" spans="1:8" ht="13.2">
      <c r="A1657" s="15" t="s">
        <v>1938</v>
      </c>
      <c r="B1657" s="16" t="s">
        <v>1913</v>
      </c>
      <c r="C1657" s="17">
        <v>6.5</v>
      </c>
      <c r="D1657" s="18"/>
      <c r="E1657" s="17" t="s">
        <v>1909</v>
      </c>
      <c r="F1657" s="17"/>
      <c r="G1657" s="18"/>
      <c r="H1657" s="18"/>
    </row>
    <row r="1658" spans="1:8" ht="13.2">
      <c r="A1658" s="19" t="str">
        <f>HYPERLINK("http://codeforces.com/contest/499/problem/D","CF499-D2-D")</f>
        <v>CF499-D2-D</v>
      </c>
      <c r="B1658" s="23" t="s">
        <v>2025</v>
      </c>
      <c r="C1658" s="24">
        <v>6.5</v>
      </c>
      <c r="D1658" s="18"/>
      <c r="E1658" s="17" t="s">
        <v>2026</v>
      </c>
      <c r="F1658" s="17"/>
      <c r="G1658" s="18"/>
      <c r="H1658" s="18"/>
    </row>
    <row r="1659" spans="1:8" ht="13.2">
      <c r="A1659" s="15" t="s">
        <v>2038</v>
      </c>
      <c r="B1659" s="30" t="s">
        <v>2039</v>
      </c>
      <c r="C1659" s="24">
        <v>6.5</v>
      </c>
      <c r="D1659" s="26" t="str">
        <f>HYPERLINK("https://apps.topcoder.com/wiki/display/tc/SRM+614","Editorial")</f>
        <v>Editorial</v>
      </c>
      <c r="E1659" s="17" t="s">
        <v>2026</v>
      </c>
      <c r="F1659" s="17"/>
      <c r="G1659" s="18"/>
      <c r="H1659" s="18"/>
    </row>
    <row r="1660" spans="1:8" ht="13.2">
      <c r="A1660" s="15" t="s">
        <v>2040</v>
      </c>
      <c r="B1660" s="30" t="s">
        <v>2041</v>
      </c>
      <c r="C1660" s="24">
        <v>6.5</v>
      </c>
      <c r="D1660" s="18"/>
      <c r="E1660" s="17" t="s">
        <v>2026</v>
      </c>
      <c r="F1660" s="17"/>
      <c r="G1660" s="18"/>
      <c r="H1660" s="18"/>
    </row>
    <row r="1661" spans="1:8" ht="13.2">
      <c r="A1661" s="15" t="s">
        <v>515</v>
      </c>
      <c r="B1661" s="35" t="s">
        <v>502</v>
      </c>
      <c r="C1661" s="40">
        <v>6.5</v>
      </c>
      <c r="D1661" s="18"/>
      <c r="E1661" s="17" t="s">
        <v>503</v>
      </c>
      <c r="F1661" s="17"/>
      <c r="G1661" s="18"/>
      <c r="H1661" s="18"/>
    </row>
    <row r="1662" spans="1:8" ht="13.2">
      <c r="A1662" s="15" t="s">
        <v>516</v>
      </c>
      <c r="B1662" s="28" t="s">
        <v>502</v>
      </c>
      <c r="C1662" s="31">
        <v>6.5</v>
      </c>
      <c r="D1662" s="18"/>
      <c r="E1662" s="17" t="s">
        <v>503</v>
      </c>
      <c r="F1662" s="17"/>
      <c r="G1662" s="18"/>
      <c r="H1662" s="18"/>
    </row>
    <row r="1663" spans="1:8" ht="13.2">
      <c r="A1663" s="19" t="str">
        <f>HYPERLINK("http://codeforces.com/contest/144/problem/E","CF144-D2-E")</f>
        <v>CF144-D2-E</v>
      </c>
      <c r="B1663" s="15" t="s">
        <v>2169</v>
      </c>
      <c r="C1663" s="24">
        <v>6.5</v>
      </c>
      <c r="D1663" s="18"/>
      <c r="E1663" s="17" t="s">
        <v>2153</v>
      </c>
      <c r="F1663" s="17"/>
      <c r="G1663" s="18"/>
      <c r="H1663" s="18"/>
    </row>
    <row r="1664" spans="1:8" ht="13.2">
      <c r="A1664" s="15" t="s">
        <v>2179</v>
      </c>
      <c r="B1664" s="30" t="s">
        <v>2180</v>
      </c>
      <c r="C1664" s="40">
        <v>6.5</v>
      </c>
      <c r="D1664" s="18"/>
      <c r="E1664" s="17" t="s">
        <v>2153</v>
      </c>
      <c r="F1664" s="17"/>
      <c r="G1664" s="18"/>
      <c r="H1664" s="18"/>
    </row>
    <row r="1665" spans="1:8" ht="13.2">
      <c r="A1665" s="19" t="str">
        <f>HYPERLINK("http://codeforces.com/contest/273/problem/C","CF273-D1-C")</f>
        <v>CF273-D1-C</v>
      </c>
      <c r="B1665" s="29" t="s">
        <v>2181</v>
      </c>
      <c r="C1665" s="17">
        <v>6.5</v>
      </c>
      <c r="D1665" s="18"/>
      <c r="E1665" s="17" t="s">
        <v>2153</v>
      </c>
      <c r="F1665" s="17"/>
      <c r="G1665" s="18"/>
      <c r="H1665" s="18"/>
    </row>
    <row r="1666" spans="1:8" ht="13.2">
      <c r="A1666" s="19" t="str">
        <f>HYPERLINK("http://codeforces.com/contest/1054/problem/E","CF1054-D12-E")</f>
        <v>CF1054-D12-E</v>
      </c>
      <c r="B1666" s="15" t="s">
        <v>2182</v>
      </c>
      <c r="C1666" s="17">
        <v>6.5</v>
      </c>
      <c r="D1666" s="18"/>
      <c r="E1666" s="17" t="s">
        <v>2153</v>
      </c>
      <c r="F1666" s="17"/>
      <c r="G1666" s="18"/>
      <c r="H1666" s="18"/>
    </row>
    <row r="1667" spans="1:8" ht="13.2">
      <c r="A1667" s="15" t="s">
        <v>2183</v>
      </c>
      <c r="B1667" s="27" t="s">
        <v>2184</v>
      </c>
      <c r="C1667" s="17">
        <v>6.5</v>
      </c>
      <c r="D1667" s="18"/>
      <c r="E1667" s="17" t="s">
        <v>2153</v>
      </c>
      <c r="F1667" s="17"/>
      <c r="G1667" s="18"/>
      <c r="H1667" s="18"/>
    </row>
    <row r="1668" spans="1:8" ht="13.2">
      <c r="A1668" s="15" t="s">
        <v>2185</v>
      </c>
      <c r="B1668" s="16" t="s">
        <v>2186</v>
      </c>
      <c r="C1668" s="17">
        <v>6.5</v>
      </c>
      <c r="D1668" s="18"/>
      <c r="E1668" s="17" t="s">
        <v>2153</v>
      </c>
      <c r="F1668" s="17"/>
      <c r="G1668" s="18"/>
      <c r="H1668" s="18"/>
    </row>
    <row r="1669" spans="1:8" ht="13.2">
      <c r="A1669" s="15" t="s">
        <v>2614</v>
      </c>
      <c r="B1669" s="38" t="s">
        <v>2509</v>
      </c>
      <c r="C1669" s="24">
        <v>6.5</v>
      </c>
      <c r="D1669" s="18"/>
      <c r="E1669" s="17" t="s">
        <v>2510</v>
      </c>
      <c r="F1669" s="17"/>
      <c r="G1669" s="18"/>
      <c r="H1669" s="18"/>
    </row>
    <row r="1670" spans="1:8" ht="13.2">
      <c r="A1670" s="15" t="s">
        <v>2615</v>
      </c>
      <c r="B1670" s="28" t="s">
        <v>2509</v>
      </c>
      <c r="C1670" s="24">
        <v>6.5</v>
      </c>
      <c r="D1670" s="18"/>
      <c r="E1670" s="17" t="s">
        <v>2510</v>
      </c>
      <c r="F1670" s="17"/>
      <c r="G1670" s="18"/>
      <c r="H1670" s="18"/>
    </row>
    <row r="1671" spans="1:8" ht="13.2">
      <c r="A1671" s="15" t="s">
        <v>2616</v>
      </c>
      <c r="B1671" s="28" t="s">
        <v>2509</v>
      </c>
      <c r="C1671" s="24">
        <v>6.5</v>
      </c>
      <c r="D1671" s="18"/>
      <c r="E1671" s="17" t="s">
        <v>2510</v>
      </c>
      <c r="F1671" s="17"/>
      <c r="G1671" s="18"/>
      <c r="H1671" s="18"/>
    </row>
    <row r="1672" spans="1:8" ht="13.2">
      <c r="A1672" s="15" t="s">
        <v>2617</v>
      </c>
      <c r="B1672" s="30" t="s">
        <v>2509</v>
      </c>
      <c r="C1672" s="24">
        <v>6.5</v>
      </c>
      <c r="D1672" s="18"/>
      <c r="E1672" s="17" t="s">
        <v>2510</v>
      </c>
      <c r="F1672" s="17"/>
      <c r="G1672" s="18"/>
      <c r="H1672" s="18"/>
    </row>
    <row r="1673" spans="1:8" ht="13.2">
      <c r="A1673" s="15" t="s">
        <v>2618</v>
      </c>
      <c r="B1673" s="30" t="s">
        <v>2514</v>
      </c>
      <c r="C1673" s="24">
        <v>6.5</v>
      </c>
      <c r="D1673" s="18"/>
      <c r="E1673" s="17" t="s">
        <v>2510</v>
      </c>
      <c r="F1673" s="17"/>
      <c r="G1673" s="18"/>
      <c r="H1673" s="18"/>
    </row>
    <row r="1674" spans="1:8" ht="13.2">
      <c r="A1674" s="15" t="s">
        <v>2619</v>
      </c>
      <c r="B1674" s="28" t="s">
        <v>2561</v>
      </c>
      <c r="C1674" s="17">
        <v>6.5</v>
      </c>
      <c r="D1674" s="26" t="str">
        <f>HYPERLINK("https://www.cnblogs.com/lienus/p/4330618.html","Sol")</f>
        <v>Sol</v>
      </c>
      <c r="E1674" s="17" t="s">
        <v>2510</v>
      </c>
      <c r="F1674" s="17"/>
      <c r="G1674" s="18"/>
      <c r="H1674" s="18"/>
    </row>
    <row r="1675" spans="1:8" ht="13.2">
      <c r="A1675" s="15" t="s">
        <v>2620</v>
      </c>
      <c r="B1675" s="28" t="s">
        <v>2621</v>
      </c>
      <c r="C1675" s="24">
        <v>6.5</v>
      </c>
      <c r="D1675" s="18"/>
      <c r="E1675" s="17" t="s">
        <v>2510</v>
      </c>
      <c r="F1675" s="17"/>
      <c r="G1675" s="18"/>
      <c r="H1675" s="18"/>
    </row>
    <row r="1676" spans="1:8" ht="13.2">
      <c r="A1676" s="15" t="s">
        <v>2622</v>
      </c>
      <c r="B1676" s="34" t="s">
        <v>2623</v>
      </c>
      <c r="C1676" s="33">
        <v>6.5</v>
      </c>
      <c r="D1676" s="18"/>
      <c r="E1676" s="17" t="s">
        <v>2510</v>
      </c>
      <c r="F1676" s="17"/>
      <c r="G1676" s="18"/>
      <c r="H1676" s="18"/>
    </row>
    <row r="1677" spans="1:8" ht="13.2">
      <c r="A1677" s="15" t="s">
        <v>2624</v>
      </c>
      <c r="B1677" s="30" t="s">
        <v>2543</v>
      </c>
      <c r="C1677" s="24">
        <v>6.5</v>
      </c>
      <c r="D1677" s="18"/>
      <c r="E1677" s="17" t="s">
        <v>2510</v>
      </c>
      <c r="F1677" s="17"/>
      <c r="G1677" s="18"/>
      <c r="H1677" s="18"/>
    </row>
    <row r="1678" spans="1:8" ht="13.2">
      <c r="A1678" s="15" t="s">
        <v>2625</v>
      </c>
      <c r="B1678" s="30" t="s">
        <v>2589</v>
      </c>
      <c r="C1678" s="24">
        <v>6.5</v>
      </c>
      <c r="D1678" s="18"/>
      <c r="E1678" s="17" t="s">
        <v>2510</v>
      </c>
      <c r="F1678" s="17"/>
      <c r="G1678" s="18"/>
      <c r="H1678" s="18"/>
    </row>
    <row r="1679" spans="1:8" ht="13.2">
      <c r="A1679" s="15" t="s">
        <v>2626</v>
      </c>
      <c r="B1679" s="16" t="s">
        <v>2627</v>
      </c>
      <c r="C1679" s="17">
        <v>6.5</v>
      </c>
      <c r="D1679" s="18"/>
      <c r="E1679" s="17" t="s">
        <v>2510</v>
      </c>
      <c r="F1679" s="17"/>
      <c r="G1679" s="18"/>
      <c r="H1679" s="18"/>
    </row>
    <row r="1680" spans="1:8" ht="13.2">
      <c r="A1680" s="19" t="str">
        <f>HYPERLINK("http://codeforces.com/contest/975/problem/E","CF975-D2-E")</f>
        <v>CF975-D2-E</v>
      </c>
      <c r="B1680" s="16" t="s">
        <v>3003</v>
      </c>
      <c r="C1680" s="17">
        <v>6.5</v>
      </c>
      <c r="D1680" s="18"/>
      <c r="E1680" s="17" t="s">
        <v>2948</v>
      </c>
      <c r="F1680" s="17"/>
      <c r="G1680" s="18"/>
      <c r="H1680" s="18"/>
    </row>
    <row r="1681" spans="1:8" ht="13.2">
      <c r="A1681" s="15" t="s">
        <v>3004</v>
      </c>
      <c r="B1681" s="28" t="s">
        <v>2987</v>
      </c>
      <c r="C1681" s="24">
        <v>6.5</v>
      </c>
      <c r="D1681" s="18"/>
      <c r="E1681" s="17" t="s">
        <v>2948</v>
      </c>
      <c r="F1681" s="17"/>
      <c r="G1681" s="18"/>
      <c r="H1681" s="18"/>
    </row>
    <row r="1682" spans="1:8" ht="13.2">
      <c r="A1682" s="15" t="s">
        <v>3005</v>
      </c>
      <c r="B1682" s="30" t="s">
        <v>3006</v>
      </c>
      <c r="C1682" s="24">
        <v>6.5</v>
      </c>
      <c r="D1682" s="18"/>
      <c r="E1682" s="17" t="s">
        <v>2948</v>
      </c>
      <c r="F1682" s="17"/>
      <c r="G1682" s="18"/>
      <c r="H1682" s="18"/>
    </row>
    <row r="1683" spans="1:8" ht="13.2">
      <c r="A1683" s="15" t="s">
        <v>3053</v>
      </c>
      <c r="B1683" s="30" t="s">
        <v>3054</v>
      </c>
      <c r="C1683" s="24">
        <v>6.5</v>
      </c>
      <c r="D1683" s="26" t="str">
        <f>HYPERLINK("https://morris821028.github.io/2014/11/15/oj/uva/uva-10117/","Sol")</f>
        <v>Sol</v>
      </c>
      <c r="E1683" s="17" t="s">
        <v>3041</v>
      </c>
      <c r="F1683" s="17"/>
      <c r="G1683" s="18"/>
      <c r="H1683" s="18"/>
    </row>
    <row r="1684" spans="1:8" ht="13.2">
      <c r="A1684" s="15" t="s">
        <v>3101</v>
      </c>
      <c r="B1684" s="30" t="s">
        <v>3073</v>
      </c>
      <c r="C1684" s="24">
        <v>6.5</v>
      </c>
      <c r="D1684" s="18"/>
      <c r="E1684" s="17" t="s">
        <v>3065</v>
      </c>
      <c r="F1684" s="17"/>
      <c r="G1684" s="18"/>
      <c r="H1684" s="18"/>
    </row>
    <row r="1685" spans="1:8" ht="13.2">
      <c r="A1685" s="19" t="str">
        <f>HYPERLINK("https://www.codechef.com/problems/ADADET","CODECHEF ADADET")</f>
        <v>CODECHEF ADADET</v>
      </c>
      <c r="B1685" s="30" t="s">
        <v>3098</v>
      </c>
      <c r="C1685" s="17">
        <v>6.5</v>
      </c>
      <c r="D1685" s="18"/>
      <c r="E1685" s="17" t="s">
        <v>3065</v>
      </c>
      <c r="F1685" s="17"/>
      <c r="G1685" s="18"/>
      <c r="H1685" s="18"/>
    </row>
    <row r="1686" spans="1:8" ht="13.2">
      <c r="A1686" s="19" t="str">
        <f>HYPERLINK("https://onlinejudge.org/index.php?option=onlinejudge&amp;Itemid=8&amp;category=242&amp;page=show_problem&amp;problem=3199","UVA 12048")</f>
        <v>UVA 12048</v>
      </c>
      <c r="B1686" s="30" t="s">
        <v>3102</v>
      </c>
      <c r="C1686" s="24">
        <v>6.5</v>
      </c>
      <c r="D1686" s="26" t="str">
        <f>HYPERLINK("https://morris821028.github.io/2014/08/28/oj/uva/uva-12048/","Sol")</f>
        <v>Sol</v>
      </c>
      <c r="E1686" s="17" t="s">
        <v>3065</v>
      </c>
      <c r="F1686" s="17"/>
      <c r="G1686" s="18"/>
      <c r="H1686" s="18"/>
    </row>
    <row r="1687" spans="1:8" ht="13.2">
      <c r="A1687" s="19" t="str">
        <f>HYPERLINK("https://icpcarchive.ecs.baylor.edu/index.php?option=onlinejudge&amp;page=show_problem&amp;problem=3806","LIVEARCHIVE 5795")</f>
        <v>LIVEARCHIVE 5795</v>
      </c>
      <c r="B1687" s="28" t="s">
        <v>3172</v>
      </c>
      <c r="C1687" s="17">
        <v>6.5</v>
      </c>
      <c r="D1687" s="26" t="str">
        <f>HYPERLINK("https://gist.github.com/mejito/2166667","Sol (no editorial)")</f>
        <v>Sol (no editorial)</v>
      </c>
      <c r="E1687" s="24" t="s">
        <v>3140</v>
      </c>
      <c r="F1687" s="17"/>
      <c r="G1687" s="18"/>
      <c r="H1687" s="18"/>
    </row>
    <row r="1688" spans="1:8" ht="13.2">
      <c r="A1688" s="15" t="s">
        <v>3318</v>
      </c>
      <c r="B1688" s="15" t="s">
        <v>3302</v>
      </c>
      <c r="C1688" s="17">
        <v>6.5</v>
      </c>
      <c r="D1688" s="26" t="str">
        <f>HYPERLINK("https://github.com/aviroop123/CompetitiveProgramming/blob/master/CodeForces/CF997-D1-A.cpp","Sol")</f>
        <v>Sol</v>
      </c>
      <c r="E1688" s="17" t="s">
        <v>3257</v>
      </c>
      <c r="F1688" s="17"/>
      <c r="G1688" s="18"/>
      <c r="H1688" s="18"/>
    </row>
    <row r="1689" spans="1:8" ht="13.2">
      <c r="A1689" s="15" t="s">
        <v>3496</v>
      </c>
      <c r="B1689" s="30" t="s">
        <v>3466</v>
      </c>
      <c r="C1689" s="24">
        <v>6.5</v>
      </c>
      <c r="D1689" s="18"/>
      <c r="E1689" s="17" t="s">
        <v>3467</v>
      </c>
      <c r="F1689" s="17"/>
      <c r="G1689" s="18"/>
      <c r="H1689" s="18"/>
    </row>
    <row r="1690" spans="1:8" ht="13.2">
      <c r="A1690" s="19" t="str">
        <f>HYPERLINK("http://codeforces.com/contest/651/problem/E","CF651-D2-E")</f>
        <v>CF651-D2-E</v>
      </c>
      <c r="B1690" s="29" t="s">
        <v>3497</v>
      </c>
      <c r="C1690" s="17">
        <v>6.5</v>
      </c>
      <c r="D1690" s="18"/>
      <c r="E1690" s="17" t="s">
        <v>3467</v>
      </c>
      <c r="F1690" s="17"/>
      <c r="G1690" s="18"/>
      <c r="H1690" s="18"/>
    </row>
    <row r="1691" spans="1:8" ht="13.2">
      <c r="A1691" s="15" t="s">
        <v>3498</v>
      </c>
      <c r="B1691" s="29" t="s">
        <v>3499</v>
      </c>
      <c r="C1691" s="17">
        <v>6.5</v>
      </c>
      <c r="D1691" s="18"/>
      <c r="E1691" s="17" t="s">
        <v>3467</v>
      </c>
      <c r="F1691" s="17"/>
      <c r="G1691" s="18"/>
      <c r="H1691" s="18"/>
    </row>
    <row r="1692" spans="1:8" ht="13.2">
      <c r="A1692" s="15" t="s">
        <v>666</v>
      </c>
      <c r="B1692" s="15" t="s">
        <v>657</v>
      </c>
      <c r="C1692" s="17">
        <v>6.5</v>
      </c>
      <c r="D1692" s="18"/>
      <c r="E1692" s="17" t="s">
        <v>655</v>
      </c>
      <c r="F1692" s="17"/>
      <c r="G1692" s="18"/>
      <c r="H1692" s="18"/>
    </row>
    <row r="1693" spans="1:8" ht="13.2">
      <c r="A1693" s="15" t="s">
        <v>667</v>
      </c>
      <c r="B1693" s="43" t="s">
        <v>668</v>
      </c>
      <c r="C1693" s="24">
        <v>6.5</v>
      </c>
      <c r="D1693" s="26" t="str">
        <f>HYPERLINK("https://morris821028.github.io/2014/07/06/oj/uva/uva-10123/","Sol")</f>
        <v>Sol</v>
      </c>
      <c r="E1693" s="17" t="s">
        <v>655</v>
      </c>
      <c r="F1693" s="17"/>
      <c r="G1693" s="18"/>
      <c r="H1693" s="18"/>
    </row>
    <row r="1694" spans="1:8" ht="13.2">
      <c r="A1694" s="15" t="s">
        <v>3693</v>
      </c>
      <c r="B1694" s="28" t="s">
        <v>3649</v>
      </c>
      <c r="C1694" s="24">
        <v>6.5</v>
      </c>
      <c r="D1694" s="18"/>
      <c r="E1694" s="17" t="s">
        <v>3650</v>
      </c>
      <c r="F1694" s="17"/>
      <c r="G1694" s="18"/>
      <c r="H1694" s="18"/>
    </row>
    <row r="1695" spans="1:8" ht="13.2">
      <c r="A1695" s="15" t="s">
        <v>3694</v>
      </c>
      <c r="B1695" s="30" t="s">
        <v>3649</v>
      </c>
      <c r="C1695" s="24">
        <v>6.5</v>
      </c>
      <c r="D1695" s="18"/>
      <c r="E1695" s="17" t="s">
        <v>3650</v>
      </c>
      <c r="F1695" s="17"/>
      <c r="G1695" s="18"/>
      <c r="H1695" s="18"/>
    </row>
    <row r="1696" spans="1:8" ht="13.2">
      <c r="A1696" s="15" t="s">
        <v>3695</v>
      </c>
      <c r="B1696" s="23" t="s">
        <v>3649</v>
      </c>
      <c r="C1696" s="17">
        <v>6.5</v>
      </c>
      <c r="D1696" s="18"/>
      <c r="E1696" s="17" t="s">
        <v>3650</v>
      </c>
      <c r="F1696" s="17"/>
      <c r="G1696" s="18"/>
      <c r="H1696" s="18"/>
    </row>
    <row r="1697" spans="1:8" ht="13.2">
      <c r="A1697" s="19" t="str">
        <f>HYPERLINK("http://codeforces.com/contest/135/problem/D","CF135-D1-D")</f>
        <v>CF135-D1-D</v>
      </c>
      <c r="B1697" s="15" t="s">
        <v>3696</v>
      </c>
      <c r="C1697" s="24">
        <v>6.5</v>
      </c>
      <c r="D1697" s="18"/>
      <c r="E1697" s="17" t="s">
        <v>3650</v>
      </c>
      <c r="F1697" s="17"/>
      <c r="G1697" s="18"/>
      <c r="H1697" s="18"/>
    </row>
    <row r="1698" spans="1:8" ht="13.2">
      <c r="A1698" s="19" t="str">
        <f>HYPERLINK("http://codeforces.com/contest/441/problem/D","CF441-D2-D")</f>
        <v>CF441-D2-D</v>
      </c>
      <c r="B1698" s="29" t="s">
        <v>3697</v>
      </c>
      <c r="C1698" s="17">
        <v>6.5</v>
      </c>
      <c r="D1698" s="18"/>
      <c r="E1698" s="17" t="s">
        <v>3650</v>
      </c>
      <c r="F1698" s="17"/>
      <c r="G1698" s="18"/>
      <c r="H1698" s="18"/>
    </row>
    <row r="1699" spans="1:8" ht="13.2">
      <c r="A1699" s="19" t="str">
        <f>HYPERLINK("https://onlinejudge.org/index.php?option=onlinejudge&amp;Itemid=8&amp;page=show_problem&amp;problem=1207","UVA 10266")</f>
        <v>UVA 10266</v>
      </c>
      <c r="B1699" s="28" t="s">
        <v>3806</v>
      </c>
      <c r="C1699" s="24">
        <v>6.5</v>
      </c>
      <c r="D1699" s="18"/>
      <c r="E1699" s="17" t="s">
        <v>3784</v>
      </c>
      <c r="F1699" s="17"/>
      <c r="G1699" s="18"/>
      <c r="H1699" s="18"/>
    </row>
    <row r="1700" spans="1:8" ht="13.2">
      <c r="A1700" s="19" t="str">
        <f>HYPERLINK("https://onlinejudge.org/index.php?option=onlinejudge&amp;Itemid=8&amp;page=show_problem&amp;problem=4659","UVA 12794")</f>
        <v>UVA 12794</v>
      </c>
      <c r="B1700" s="30" t="s">
        <v>3807</v>
      </c>
      <c r="C1700" s="24">
        <v>6.5</v>
      </c>
      <c r="D1700" s="18"/>
      <c r="E1700" s="17" t="s">
        <v>3784</v>
      </c>
      <c r="F1700" s="17"/>
      <c r="G1700" s="18"/>
      <c r="H1700" s="18"/>
    </row>
    <row r="1701" spans="1:8" ht="13.2">
      <c r="A1701" s="15" t="s">
        <v>3808</v>
      </c>
      <c r="B1701" s="16" t="s">
        <v>3809</v>
      </c>
      <c r="C1701" s="17">
        <v>6.5</v>
      </c>
      <c r="D1701" s="18"/>
      <c r="E1701" s="17" t="s">
        <v>3784</v>
      </c>
      <c r="F1701" s="17"/>
      <c r="G1701" s="18"/>
      <c r="H1701" s="18"/>
    </row>
    <row r="1702" spans="1:8" ht="13.2">
      <c r="A1702" s="19" t="str">
        <f>HYPERLINK("https://www.hackerrank.com/contests/world-codesprint-13/challenges/landslide", "HACKR landslide")</f>
        <v>HACKR landslide</v>
      </c>
      <c r="B1702" s="20" t="s">
        <v>3902</v>
      </c>
      <c r="C1702" s="21">
        <v>6.5</v>
      </c>
      <c r="D1702" s="26" t="str">
        <f>HYPERLINK("https://github.com/tmwilliamlin168/CompetitiveProgramming/blob/master/Hackerrank/landslide.cpp", "Sol")</f>
        <v>Sol</v>
      </c>
      <c r="E1702" s="17" t="s">
        <v>3883</v>
      </c>
      <c r="F1702" s="17"/>
      <c r="G1702" s="18"/>
      <c r="H1702" s="18"/>
    </row>
    <row r="1703" spans="1:8" ht="13.2">
      <c r="A1703" s="19" t="str">
        <f>HYPERLINK("http://codeforces.com/contest/723/problem/F","CF723-D2-F")</f>
        <v>CF723-D2-F</v>
      </c>
      <c r="B1703" s="29" t="s">
        <v>3903</v>
      </c>
      <c r="C1703" s="24">
        <v>6.5</v>
      </c>
      <c r="D1703" s="18"/>
      <c r="E1703" s="17" t="s">
        <v>3883</v>
      </c>
      <c r="F1703" s="17"/>
      <c r="G1703" s="18"/>
      <c r="H1703" s="18"/>
    </row>
    <row r="1704" spans="1:8" ht="13.2">
      <c r="A1704" s="19" t="str">
        <f>HYPERLINK("https://onlinejudge.org/index.php?option=com_onlinejudge&amp;Itemid=8&amp;page=show_problem&amp;problem=4122","UVA 1376")</f>
        <v>UVA 1376</v>
      </c>
      <c r="B1704" s="15" t="s">
        <v>4096</v>
      </c>
      <c r="C1704" s="17">
        <v>6.5</v>
      </c>
      <c r="D1704" s="18"/>
      <c r="E1704" s="17" t="s">
        <v>4060</v>
      </c>
      <c r="F1704" s="17"/>
      <c r="G1704" s="18"/>
      <c r="H1704" s="18"/>
    </row>
    <row r="1705" spans="1:8" ht="13.2">
      <c r="A1705" s="19" t="str">
        <f>HYPERLINK("https://codejam.withgoogle.com/2018/challenges/0000000000007706/dashboard/0000000000045875", "CODEJAM 18-R2-C")</f>
        <v>CODEJAM 18-R2-C</v>
      </c>
      <c r="B1705" s="20" t="s">
        <v>4149</v>
      </c>
      <c r="C1705" s="21">
        <v>6.5</v>
      </c>
      <c r="D1705" s="26" t="str">
        <f>HYPERLINK("https://github.com/tmwilliamlin168/CompetitiveProgramming/blob/master/GoogleCodeJam/18-R2-C.java", "SolToMe")</f>
        <v>SolToMe</v>
      </c>
      <c r="E1705" s="17" t="s">
        <v>4144</v>
      </c>
      <c r="F1705" s="17"/>
      <c r="G1705" s="18"/>
      <c r="H1705" s="18"/>
    </row>
    <row r="1706" spans="1:8" ht="13.2">
      <c r="A1706" s="15" t="s">
        <v>4170</v>
      </c>
      <c r="B1706" s="18" t="s">
        <v>4149</v>
      </c>
      <c r="C1706" s="17">
        <v>6.5</v>
      </c>
      <c r="D1706" s="18"/>
      <c r="E1706" s="17" t="s">
        <v>4144</v>
      </c>
      <c r="F1706" s="17"/>
      <c r="G1706" s="18"/>
      <c r="H1706" s="18"/>
    </row>
    <row r="1707" spans="1:8" ht="13.2">
      <c r="A1707" s="15" t="s">
        <v>4171</v>
      </c>
      <c r="B1707" s="38" t="s">
        <v>4172</v>
      </c>
      <c r="C1707" s="17">
        <v>6.5</v>
      </c>
      <c r="D1707" s="18"/>
      <c r="E1707" s="17" t="s">
        <v>4144</v>
      </c>
      <c r="F1707" s="17"/>
      <c r="G1707" s="18"/>
      <c r="H1707" s="18"/>
    </row>
    <row r="1708" spans="1:8" ht="13.2">
      <c r="A1708" s="19" t="str">
        <f>HYPERLINK("https://www.hackerrank.com/contests/w38/challenges/cargo-delivery/", "HACKR cargo-delivery")</f>
        <v>HACKR cargo-delivery</v>
      </c>
      <c r="B1708" s="20" t="s">
        <v>4251</v>
      </c>
      <c r="C1708" s="21">
        <v>6.5</v>
      </c>
      <c r="D1708" s="26" t="str">
        <f>HYPERLINK("https://github.com/tmwilliamlin168/CompetitiveProgramming/blob/master/HackerRank/cargo-delivery.cpp", "Sol")</f>
        <v>Sol</v>
      </c>
      <c r="E1708" s="17" t="s">
        <v>4238</v>
      </c>
      <c r="F1708" s="17"/>
      <c r="G1708" s="18"/>
      <c r="H1708" s="18"/>
    </row>
    <row r="1709" spans="1:8" ht="13.2">
      <c r="A1709" s="15" t="s">
        <v>725</v>
      </c>
      <c r="B1709" s="28" t="s">
        <v>721</v>
      </c>
      <c r="C1709" s="24">
        <v>6.5</v>
      </c>
      <c r="D1709" s="18"/>
      <c r="E1709" s="17" t="s">
        <v>719</v>
      </c>
      <c r="F1709" s="17"/>
      <c r="G1709" s="18"/>
      <c r="H1709" s="18"/>
    </row>
    <row r="1710" spans="1:8" ht="13.2">
      <c r="A1710" s="15" t="s">
        <v>726</v>
      </c>
      <c r="B1710" s="28" t="s">
        <v>727</v>
      </c>
      <c r="C1710" s="24">
        <v>6.5</v>
      </c>
      <c r="D1710" s="18"/>
      <c r="E1710" s="17" t="s">
        <v>719</v>
      </c>
      <c r="F1710" s="17"/>
      <c r="G1710" s="18"/>
      <c r="H1710" s="18"/>
    </row>
    <row r="1711" spans="1:8" ht="13.2">
      <c r="A1711" s="15" t="s">
        <v>4299</v>
      </c>
      <c r="B1711" s="20" t="s">
        <v>4300</v>
      </c>
      <c r="C1711" s="21">
        <v>6.5</v>
      </c>
      <c r="D1711" s="18"/>
      <c r="E1711" s="17" t="s">
        <v>4275</v>
      </c>
      <c r="F1711" s="17"/>
      <c r="G1711" s="18"/>
      <c r="H1711" s="18"/>
    </row>
    <row r="1712" spans="1:8" ht="13.2">
      <c r="A1712" s="15" t="s">
        <v>4394</v>
      </c>
      <c r="B1712" s="23" t="s">
        <v>4385</v>
      </c>
      <c r="C1712" s="17">
        <v>6.5</v>
      </c>
      <c r="D1712" s="26" t="str">
        <f>HYPERLINK("https://github.com/HeartBlue/CompetitiveProgramming/blob/master/LIVEARCHIVE/LIVEARCHIVE%202973%20Map%20Labeler.cpp","Sol")</f>
        <v>Sol</v>
      </c>
      <c r="E1712" s="17" t="s">
        <v>4379</v>
      </c>
      <c r="F1712" s="17"/>
      <c r="G1712" s="18"/>
      <c r="H1712" s="18"/>
    </row>
    <row r="1713" spans="1:8" ht="13.2">
      <c r="A1713" s="15" t="s">
        <v>4395</v>
      </c>
      <c r="B1713" s="28" t="s">
        <v>4385</v>
      </c>
      <c r="C1713" s="24">
        <v>6.5</v>
      </c>
      <c r="D1713" s="26" t="str">
        <f>HYPERLINK("https://github.com/HeartBlue/CompetitiveProgramming/blob/master/LIVEARCHIVE/LIVEARCHIVE%206067%20Bit%20Magic.cpp","Sol")</f>
        <v>Sol</v>
      </c>
      <c r="E1713" s="24" t="s">
        <v>4379</v>
      </c>
      <c r="F1713" s="17"/>
      <c r="G1713" s="18"/>
      <c r="H1713" s="18"/>
    </row>
    <row r="1714" spans="1:8" ht="13.2">
      <c r="A1714" s="15" t="s">
        <v>4434</v>
      </c>
      <c r="B1714" s="29" t="s">
        <v>4427</v>
      </c>
      <c r="C1714" s="17">
        <v>6.5</v>
      </c>
      <c r="D1714" s="18"/>
      <c r="E1714" s="17" t="s">
        <v>4423</v>
      </c>
      <c r="F1714" s="17"/>
      <c r="G1714" s="18"/>
      <c r="H1714" s="18"/>
    </row>
    <row r="1715" spans="1:8" ht="13.2">
      <c r="A1715" s="15" t="s">
        <v>4435</v>
      </c>
      <c r="B1715" s="28" t="s">
        <v>4436</v>
      </c>
      <c r="C1715" s="24">
        <v>6.5</v>
      </c>
      <c r="D1715" s="26" t="str">
        <f>HYPERLINK("https://github.com/shanto86/Training/blob/master/LiveArchive/LIVEARCHIVE%204218.cpp","Sol")</f>
        <v>Sol</v>
      </c>
      <c r="E1715" s="24" t="s">
        <v>4423</v>
      </c>
      <c r="F1715" s="17"/>
      <c r="G1715" s="18"/>
      <c r="H1715" s="18"/>
    </row>
    <row r="1716" spans="1:8" ht="13.2">
      <c r="A1716" s="15" t="s">
        <v>4505</v>
      </c>
      <c r="B1716" s="29" t="s">
        <v>4503</v>
      </c>
      <c r="C1716" s="24">
        <v>6.5</v>
      </c>
      <c r="D1716" s="18"/>
      <c r="E1716" s="17" t="s">
        <v>4504</v>
      </c>
      <c r="F1716" s="17"/>
      <c r="G1716" s="18"/>
      <c r="H1716" s="18"/>
    </row>
    <row r="1717" spans="1:8" ht="13.2">
      <c r="A1717" s="19" t="str">
        <f>HYPERLINK("https://www.codechef.com/problems/ARIGEOM","CODECHEF ARIGEOM")</f>
        <v>CODECHEF ARIGEOM</v>
      </c>
      <c r="B1717" s="18" t="s">
        <v>4604</v>
      </c>
      <c r="C1717" s="17">
        <v>6.5</v>
      </c>
      <c r="D1717" s="18"/>
      <c r="E1717" s="17" t="s">
        <v>4531</v>
      </c>
      <c r="F1717" s="17"/>
      <c r="G1717" s="18"/>
      <c r="H1717" s="18"/>
    </row>
    <row r="1718" spans="1:8" ht="13.2">
      <c r="A1718" s="15" t="s">
        <v>4605</v>
      </c>
      <c r="B1718" s="34" t="s">
        <v>4606</v>
      </c>
      <c r="C1718" s="31">
        <v>6.5</v>
      </c>
      <c r="D1718" s="18"/>
      <c r="E1718" s="17" t="s">
        <v>4531</v>
      </c>
      <c r="F1718" s="17"/>
      <c r="G1718" s="18"/>
      <c r="H1718" s="18"/>
    </row>
    <row r="1719" spans="1:8" ht="13.2">
      <c r="A1719" s="15" t="s">
        <v>4607</v>
      </c>
      <c r="B1719" s="16" t="s">
        <v>4608</v>
      </c>
      <c r="C1719" s="17">
        <v>6.5</v>
      </c>
      <c r="D1719" s="18"/>
      <c r="E1719" s="17" t="s">
        <v>4531</v>
      </c>
      <c r="F1719" s="17"/>
      <c r="G1719" s="18"/>
      <c r="H1719" s="18"/>
    </row>
    <row r="1720" spans="1:8" ht="13.2">
      <c r="A1720" s="15" t="s">
        <v>4609</v>
      </c>
      <c r="B1720" s="34" t="s">
        <v>4541</v>
      </c>
      <c r="C1720" s="31">
        <v>6.5</v>
      </c>
      <c r="D1720" s="18"/>
      <c r="E1720" s="17" t="s">
        <v>4531</v>
      </c>
      <c r="F1720" s="17"/>
      <c r="G1720" s="18"/>
      <c r="H1720" s="18"/>
    </row>
    <row r="1721" spans="1:8" ht="13.2">
      <c r="A1721" s="15" t="s">
        <v>4869</v>
      </c>
      <c r="B1721" s="28" t="s">
        <v>4870</v>
      </c>
      <c r="C1721" s="24">
        <v>6.5</v>
      </c>
      <c r="D1721" s="18"/>
      <c r="E1721" s="17" t="s">
        <v>4867</v>
      </c>
      <c r="F1721" s="17"/>
      <c r="G1721" s="18"/>
      <c r="H1721" s="18"/>
    </row>
    <row r="1722" spans="1:8" ht="13.2">
      <c r="A1722" s="15" t="s">
        <v>4876</v>
      </c>
      <c r="B1722" s="29" t="s">
        <v>4877</v>
      </c>
      <c r="C1722" s="24">
        <v>6.5</v>
      </c>
      <c r="D1722" s="18"/>
      <c r="E1722" s="17" t="s">
        <v>4875</v>
      </c>
      <c r="F1722" s="17"/>
      <c r="G1722" s="18"/>
      <c r="H1722" s="18"/>
    </row>
    <row r="1723" spans="1:8" ht="13.2">
      <c r="A1723" s="15" t="s">
        <v>4887</v>
      </c>
      <c r="B1723" s="34" t="s">
        <v>4884</v>
      </c>
      <c r="C1723" s="31">
        <v>6.5</v>
      </c>
      <c r="D1723" s="18"/>
      <c r="E1723" s="17" t="s">
        <v>4885</v>
      </c>
      <c r="F1723" s="17"/>
      <c r="G1723" s="18"/>
      <c r="H1723" s="18"/>
    </row>
    <row r="1724" spans="1:8" ht="13.2">
      <c r="A1724" s="15" t="s">
        <v>4888</v>
      </c>
      <c r="B1724" s="34" t="s">
        <v>4884</v>
      </c>
      <c r="C1724" s="31">
        <v>6.5</v>
      </c>
      <c r="D1724" s="18"/>
      <c r="E1724" s="17" t="s">
        <v>4885</v>
      </c>
      <c r="F1724" s="17"/>
      <c r="G1724" s="18"/>
      <c r="H1724" s="18"/>
    </row>
    <row r="1725" spans="1:8" ht="13.2">
      <c r="A1725" s="15" t="s">
        <v>4980</v>
      </c>
      <c r="B1725" s="28" t="s">
        <v>4981</v>
      </c>
      <c r="C1725" s="24">
        <v>6.5</v>
      </c>
      <c r="D1725" s="18"/>
      <c r="E1725" s="17" t="s">
        <v>4958</v>
      </c>
      <c r="F1725" s="17"/>
      <c r="G1725" s="18"/>
      <c r="H1725" s="18"/>
    </row>
    <row r="1726" spans="1:8" ht="13.2">
      <c r="A1726" s="15" t="s">
        <v>4982</v>
      </c>
      <c r="B1726" s="29" t="s">
        <v>4983</v>
      </c>
      <c r="C1726" s="31">
        <v>6.5</v>
      </c>
      <c r="D1726" s="18"/>
      <c r="E1726" s="17" t="s">
        <v>4958</v>
      </c>
      <c r="F1726" s="17"/>
      <c r="G1726" s="18"/>
      <c r="H1726" s="18"/>
    </row>
    <row r="1727" spans="1:8" ht="13.2">
      <c r="A1727" s="15" t="s">
        <v>5055</v>
      </c>
      <c r="B1727" s="28" t="s">
        <v>5056</v>
      </c>
      <c r="C1727" s="24">
        <v>6.5</v>
      </c>
      <c r="D1727" s="18"/>
      <c r="E1727" s="17" t="s">
        <v>5043</v>
      </c>
      <c r="F1727" s="17"/>
      <c r="G1727" s="18"/>
      <c r="H1727" s="18"/>
    </row>
    <row r="1728" spans="1:8" ht="13.2">
      <c r="A1728" s="15" t="s">
        <v>5057</v>
      </c>
      <c r="B1728" s="28" t="s">
        <v>5058</v>
      </c>
      <c r="C1728" s="24">
        <v>6.5</v>
      </c>
      <c r="D1728" s="18"/>
      <c r="E1728" s="17" t="s">
        <v>5043</v>
      </c>
      <c r="F1728" s="17"/>
      <c r="G1728" s="18"/>
      <c r="H1728" s="18"/>
    </row>
    <row r="1729" spans="1:8" ht="13.2">
      <c r="A1729" s="19" t="str">
        <f>HYPERLINK("https://codeforces.com/contest/1096/problem/E","CF1096-D12-E")</f>
        <v>CF1096-D12-E</v>
      </c>
      <c r="B1729" s="15" t="s">
        <v>5139</v>
      </c>
      <c r="C1729" s="17">
        <v>6.5</v>
      </c>
      <c r="D1729" s="18"/>
      <c r="E1729" s="17" t="s">
        <v>5134</v>
      </c>
      <c r="F1729" s="17"/>
      <c r="G1729" s="18"/>
      <c r="H1729" s="18"/>
    </row>
    <row r="1730" spans="1:8" ht="13.2">
      <c r="A1730" s="15" t="s">
        <v>5189</v>
      </c>
      <c r="B1730" s="28" t="s">
        <v>5179</v>
      </c>
      <c r="C1730" s="24">
        <v>6.5</v>
      </c>
      <c r="D1730" s="18"/>
      <c r="E1730" s="17" t="s">
        <v>5168</v>
      </c>
      <c r="F1730" s="17"/>
      <c r="G1730" s="18"/>
      <c r="H1730" s="18"/>
    </row>
    <row r="1731" spans="1:8" ht="13.2">
      <c r="A1731" s="15" t="s">
        <v>5190</v>
      </c>
      <c r="B1731" s="43" t="s">
        <v>5191</v>
      </c>
      <c r="C1731" s="24">
        <v>6.5</v>
      </c>
      <c r="D1731" s="18"/>
      <c r="E1731" s="17" t="s">
        <v>5168</v>
      </c>
      <c r="F1731" s="17"/>
      <c r="G1731" s="18"/>
      <c r="H1731" s="18"/>
    </row>
    <row r="1732" spans="1:8" ht="13.2">
      <c r="A1732" s="19" t="str">
        <f>HYPERLINK("http://codeforces.com/contest/200/problem/A","CF200-D2-A")</f>
        <v>CF200-D2-A</v>
      </c>
      <c r="B1732" s="15" t="s">
        <v>5234</v>
      </c>
      <c r="C1732" s="24">
        <v>6.5</v>
      </c>
      <c r="D1732" s="18"/>
      <c r="E1732" s="17" t="s">
        <v>5235</v>
      </c>
      <c r="F1732" s="17"/>
      <c r="G1732" s="18"/>
      <c r="H1732" s="18"/>
    </row>
    <row r="1733" spans="1:8" ht="13.2">
      <c r="A1733" s="19" t="str">
        <f>HYPERLINK("https://www.codechef.com/problems/INMAT", "CODECHEF INMAT")</f>
        <v>CODECHEF INMAT</v>
      </c>
      <c r="B1733" s="29" t="s">
        <v>5236</v>
      </c>
      <c r="C1733" s="21">
        <v>6.5</v>
      </c>
      <c r="D1733" s="18"/>
      <c r="E1733" s="17" t="s">
        <v>5235</v>
      </c>
      <c r="F1733" s="17"/>
      <c r="G1733" s="18"/>
      <c r="H1733" s="18"/>
    </row>
    <row r="1734" spans="1:8" ht="13.2">
      <c r="A1734" s="15" t="s">
        <v>5329</v>
      </c>
      <c r="B1734" s="29" t="s">
        <v>5309</v>
      </c>
      <c r="C1734" s="24">
        <v>6.5</v>
      </c>
      <c r="D1734" s="18"/>
      <c r="E1734" s="17" t="s">
        <v>5310</v>
      </c>
      <c r="F1734" s="17"/>
      <c r="G1734" s="18"/>
      <c r="H1734" s="18"/>
    </row>
    <row r="1735" spans="1:8" ht="13.2">
      <c r="A1735" s="15" t="s">
        <v>5330</v>
      </c>
      <c r="B1735" s="29" t="s">
        <v>5331</v>
      </c>
      <c r="C1735" s="24">
        <v>6.5</v>
      </c>
      <c r="D1735" s="18"/>
      <c r="E1735" s="17" t="s">
        <v>5310</v>
      </c>
      <c r="F1735" s="17"/>
      <c r="G1735" s="18"/>
      <c r="H1735" s="18"/>
    </row>
    <row r="1736" spans="1:8" ht="13.2">
      <c r="A1736" s="19" t="str">
        <f>HYPERLINK("https://codeforces.com/contest/1096/problem/F","CF1096-D12-F")</f>
        <v>CF1096-D12-F</v>
      </c>
      <c r="B1736" s="15" t="s">
        <v>5349</v>
      </c>
      <c r="C1736" s="17">
        <v>6.5</v>
      </c>
      <c r="D1736" s="18"/>
      <c r="E1736" s="17" t="s">
        <v>5346</v>
      </c>
      <c r="F1736" s="17"/>
      <c r="G1736" s="18"/>
      <c r="H1736" s="18"/>
    </row>
    <row r="1737" spans="1:8" ht="13.2">
      <c r="A1737" s="15" t="s">
        <v>5370</v>
      </c>
      <c r="B1737" s="29" t="s">
        <v>5371</v>
      </c>
      <c r="C1737" s="24">
        <v>6.5</v>
      </c>
      <c r="D1737" s="18"/>
      <c r="E1737" s="17" t="s">
        <v>5346</v>
      </c>
      <c r="F1737" s="17"/>
      <c r="G1737" s="18"/>
      <c r="H1737" s="18"/>
    </row>
    <row r="1738" spans="1:8" ht="13.2">
      <c r="A1738" s="15" t="s">
        <v>5446</v>
      </c>
      <c r="B1738" s="28" t="s">
        <v>5447</v>
      </c>
      <c r="C1738" s="24">
        <v>6.5</v>
      </c>
      <c r="D1738" s="18"/>
      <c r="E1738" s="17" t="s">
        <v>5414</v>
      </c>
      <c r="F1738" s="17"/>
      <c r="G1738" s="18"/>
      <c r="H1738" s="18"/>
    </row>
    <row r="1739" spans="1:8" ht="13.2">
      <c r="A1739" s="19" t="str">
        <f>HYPERLINK("http://codeforces.com/gym/100963/attachments","CF1000963-GYM-J")</f>
        <v>CF1000963-GYM-J</v>
      </c>
      <c r="B1739" s="29" t="s">
        <v>5515</v>
      </c>
      <c r="C1739" s="17">
        <v>6.5</v>
      </c>
      <c r="D1739" s="18"/>
      <c r="E1739" s="17" t="s">
        <v>5512</v>
      </c>
      <c r="F1739" s="17"/>
      <c r="G1739" s="18"/>
      <c r="H1739" s="18"/>
    </row>
    <row r="1740" spans="1:8" ht="13.2">
      <c r="A1740" s="15" t="s">
        <v>5549</v>
      </c>
      <c r="B1740" s="30" t="s">
        <v>5550</v>
      </c>
      <c r="C1740" s="54">
        <v>6.5</v>
      </c>
      <c r="D1740" s="18"/>
      <c r="E1740" s="17" t="s">
        <v>5524</v>
      </c>
      <c r="F1740" s="17"/>
      <c r="G1740" s="18"/>
      <c r="H1740" s="18"/>
    </row>
    <row r="1741" spans="1:8" ht="13.2">
      <c r="A1741" s="19" t="str">
        <f>HYPERLINK("http://codeforces.com/gym/100155/problem/J","CF100155-GYM-J")</f>
        <v>CF100155-GYM-J</v>
      </c>
      <c r="B1741" s="15" t="s">
        <v>5551</v>
      </c>
      <c r="C1741" s="17">
        <v>6.5</v>
      </c>
      <c r="D1741" s="18"/>
      <c r="E1741" s="17" t="s">
        <v>5524</v>
      </c>
      <c r="F1741" s="17"/>
      <c r="G1741" s="18"/>
      <c r="H1741" s="18"/>
    </row>
    <row r="1742" spans="1:8" ht="13.2">
      <c r="A1742" s="15" t="s">
        <v>5595</v>
      </c>
      <c r="B1742" s="29" t="s">
        <v>5596</v>
      </c>
      <c r="C1742" s="24">
        <v>6.5</v>
      </c>
      <c r="D1742" s="18"/>
      <c r="E1742" s="17" t="s">
        <v>5575</v>
      </c>
      <c r="F1742" s="17"/>
      <c r="G1742" s="18"/>
      <c r="H1742" s="18"/>
    </row>
    <row r="1743" spans="1:8" ht="13.2">
      <c r="A1743" s="15" t="s">
        <v>5619</v>
      </c>
      <c r="B1743" s="28" t="s">
        <v>5620</v>
      </c>
      <c r="C1743" s="54">
        <v>6.5</v>
      </c>
      <c r="D1743" s="18"/>
      <c r="E1743" s="17" t="s">
        <v>5616</v>
      </c>
      <c r="F1743" s="17"/>
      <c r="G1743" s="18"/>
      <c r="H1743" s="18"/>
    </row>
    <row r="1744" spans="1:8" ht="13.2">
      <c r="A1744" s="15" t="s">
        <v>5634</v>
      </c>
      <c r="B1744" s="30" t="s">
        <v>5635</v>
      </c>
      <c r="C1744" s="24">
        <v>6.5</v>
      </c>
      <c r="D1744" s="18" t="s">
        <v>118</v>
      </c>
      <c r="E1744" s="17" t="s">
        <v>5626</v>
      </c>
      <c r="F1744" s="17"/>
      <c r="G1744" s="18"/>
      <c r="H1744" s="18"/>
    </row>
    <row r="1745" spans="1:8" ht="13.2">
      <c r="A1745" s="15" t="s">
        <v>5636</v>
      </c>
      <c r="B1745" s="28" t="s">
        <v>5637</v>
      </c>
      <c r="C1745" s="24">
        <v>6.5</v>
      </c>
      <c r="D1745" s="18"/>
      <c r="E1745" s="17" t="s">
        <v>5626</v>
      </c>
      <c r="F1745" s="17"/>
      <c r="G1745" s="18"/>
      <c r="H1745" s="18"/>
    </row>
    <row r="1746" spans="1:8" ht="13.2">
      <c r="A1746" s="19" t="str">
        <f>HYPERLINK("https://www.codechef.com/problems/GNUM","CODECHEF GNUM")</f>
        <v>CODECHEF GNUM</v>
      </c>
      <c r="B1746" s="18" t="s">
        <v>4097</v>
      </c>
      <c r="C1746" s="17">
        <v>6.4</v>
      </c>
      <c r="D1746" s="26" t="str">
        <f>HYPERLINK("https://github.com/goswami-rahul/competitive-coding/blob/master/CompetitiveProgramming/codechef/GNUM.cpp","Sol")</f>
        <v>Sol</v>
      </c>
      <c r="E1746" s="17" t="s">
        <v>4060</v>
      </c>
      <c r="F1746" s="17" t="s">
        <v>3311</v>
      </c>
      <c r="G1746" s="18"/>
      <c r="H1746" s="18"/>
    </row>
    <row r="1747" spans="1:8" ht="13.2">
      <c r="A1747" s="19" t="str">
        <f>HYPERLINK("http://codeforces.com/contest/919/problem/F","CF919-D2-F")</f>
        <v>CF919-D2-F</v>
      </c>
      <c r="B1747" s="15" t="s">
        <v>2410</v>
      </c>
      <c r="C1747" s="17">
        <v>6.4</v>
      </c>
      <c r="D1747" s="26" t="str">
        <f>HYPERLINK("https://github.com/MetalBall887/Competitive-Programming/blob/master/CodeForces/CF919-D2-F.cpp","Sol")</f>
        <v>Sol</v>
      </c>
      <c r="E1747" s="17" t="s">
        <v>2394</v>
      </c>
      <c r="F1747" s="17" t="s">
        <v>173</v>
      </c>
      <c r="G1747" s="18"/>
      <c r="H1747" s="18"/>
    </row>
    <row r="1748" spans="1:8" ht="13.2">
      <c r="A1748" s="19" t="str">
        <f>HYPERLINK("http://codeforces.com/contest/791/problem/D","CF791-D2-D")</f>
        <v>CF791-D2-D</v>
      </c>
      <c r="B1748" s="38" t="s">
        <v>6458</v>
      </c>
      <c r="C1748" s="17">
        <v>6.4</v>
      </c>
      <c r="D1748" s="18"/>
      <c r="E1748" s="17" t="s">
        <v>6459</v>
      </c>
      <c r="F1748" s="17" t="s">
        <v>1053</v>
      </c>
      <c r="G1748" s="18"/>
      <c r="H1748" s="18"/>
    </row>
    <row r="1749" spans="1:8" ht="13.2">
      <c r="A1749" s="19" t="str">
        <f>HYPERLINK("https://csacademy.com/contest/round-84/task/growing-trees/", "CSA84-E")</f>
        <v>CSA84-E</v>
      </c>
      <c r="B1749" s="20" t="s">
        <v>917</v>
      </c>
      <c r="C1749" s="21">
        <v>6.4</v>
      </c>
      <c r="D1749" s="26" t="str">
        <f>HYPERLINK("https://github.com/tmwilliamlin168/CompetitiveProgramming/blob/master/CSAcademy/84-E.cpp", "Sol")</f>
        <v>Sol</v>
      </c>
      <c r="E1749" s="17" t="s">
        <v>910</v>
      </c>
      <c r="F1749" s="17" t="s">
        <v>154</v>
      </c>
      <c r="G1749" s="18"/>
      <c r="H1749" s="18"/>
    </row>
    <row r="1750" spans="1:8" ht="13.2">
      <c r="A1750" s="19" t="str">
        <f>HYPERLINK("http://codeforces.com/problemset/problem/912/E","CF912-D2-E")</f>
        <v>CF912-D2-E</v>
      </c>
      <c r="B1750" s="15" t="s">
        <v>962</v>
      </c>
      <c r="C1750" s="17">
        <v>6.4</v>
      </c>
      <c r="D1750" s="18"/>
      <c r="E1750" s="17" t="s">
        <v>951</v>
      </c>
      <c r="F1750" s="17" t="s">
        <v>154</v>
      </c>
      <c r="G1750" s="18"/>
      <c r="H1750" s="18"/>
    </row>
    <row r="1751" spans="1:8" ht="13.2">
      <c r="A1751" s="15" t="s">
        <v>6256</v>
      </c>
      <c r="B1751" s="39" t="s">
        <v>6248</v>
      </c>
      <c r="C1751" s="17">
        <v>6.4</v>
      </c>
      <c r="D1751" s="26" t="str">
        <f>HYPERLINK("https://github.com/mostafa-saad/MyCompetitiveProgramming/blob/master/UVA/UVA_11765.txt","Sol")</f>
        <v>Sol</v>
      </c>
      <c r="E1751" s="17" t="s">
        <v>6246</v>
      </c>
      <c r="F1751" s="17" t="s">
        <v>154</v>
      </c>
      <c r="G1751" s="18"/>
      <c r="H1751" s="18"/>
    </row>
    <row r="1752" spans="1:8" ht="13.2">
      <c r="A1752" s="19" t="str">
        <f>HYPERLINK("http://codeforces.com/contest/538/problem/F","CF538-D12-F")</f>
        <v>CF538-D12-F</v>
      </c>
      <c r="B1752" s="29" t="s">
        <v>1253</v>
      </c>
      <c r="C1752" s="17">
        <v>6.4</v>
      </c>
      <c r="D1752" s="18"/>
      <c r="E1752" s="17" t="s">
        <v>1223</v>
      </c>
      <c r="F1752" s="17" t="s">
        <v>154</v>
      </c>
      <c r="G1752" s="18"/>
      <c r="H1752" s="18"/>
    </row>
    <row r="1753" spans="1:8" ht="13.2">
      <c r="A1753" s="15" t="s">
        <v>1254</v>
      </c>
      <c r="B1753" s="18" t="s">
        <v>1255</v>
      </c>
      <c r="C1753" s="17">
        <v>6.4</v>
      </c>
      <c r="D1753" s="26" t="str">
        <f>HYPERLINK("https://github.com/tr0j4n034/SPOJ/blob/master/CRAYON.cpp","Sol")</f>
        <v>Sol</v>
      </c>
      <c r="E1753" s="17" t="s">
        <v>1223</v>
      </c>
      <c r="F1753" s="17" t="s">
        <v>154</v>
      </c>
      <c r="G1753" s="18"/>
      <c r="H1753" s="18"/>
    </row>
    <row r="1754" spans="1:8" ht="13.2">
      <c r="A1754" s="19" t="str">
        <f>HYPERLINK("https://codeforces.com/contest/1247/problem/E","CF1247-D2-E")</f>
        <v>CF1247-D2-E</v>
      </c>
      <c r="B1754" s="15" t="s">
        <v>1442</v>
      </c>
      <c r="C1754" s="17">
        <v>6.4</v>
      </c>
      <c r="D1754" s="18"/>
      <c r="E1754" s="17" t="s">
        <v>1337</v>
      </c>
      <c r="F1754" s="17" t="s">
        <v>154</v>
      </c>
      <c r="G1754" s="18"/>
      <c r="H1754" s="18"/>
    </row>
    <row r="1755" spans="1:8" ht="13.2">
      <c r="A1755" s="19" t="str">
        <f>HYPERLINK("https://codeforces.com/contest/1209/problem/E2","CF1209-D12-E2")</f>
        <v>CF1209-D12-E2</v>
      </c>
      <c r="B1755" s="49" t="s">
        <v>1841</v>
      </c>
      <c r="C1755" s="50">
        <v>6.4</v>
      </c>
      <c r="D1755" s="26" t="str">
        <f>HYPERLINK("https://github.com/andriy-zhuk/CompetitiveProgramming/blob/master/Codeforces/CF1209-D12-E2.cpp","Sol")</f>
        <v>Sol</v>
      </c>
      <c r="E1755" s="17" t="s">
        <v>1819</v>
      </c>
      <c r="F1755" s="17" t="s">
        <v>154</v>
      </c>
      <c r="G1755" s="18"/>
      <c r="H1755" s="18"/>
    </row>
    <row r="1756" spans="1:8" ht="13.2">
      <c r="A1756" s="19" t="str">
        <f>HYPERLINK("http://codeforces.com/gym/101939/problem/K","CF101939-gym-K")</f>
        <v>CF101939-gym-K</v>
      </c>
      <c r="B1756" s="15" t="s">
        <v>3319</v>
      </c>
      <c r="C1756" s="17">
        <v>6.4</v>
      </c>
      <c r="D1756" s="26" t="str">
        <f>HYPERLINK("https://github.com/mostafa-saad/MyCompetitiveProgramming/blob/master/Codeforces/CF101939-GYM-K.txt","Sol")</f>
        <v>Sol</v>
      </c>
      <c r="E1756" s="17" t="s">
        <v>3257</v>
      </c>
      <c r="F1756" s="17" t="s">
        <v>154</v>
      </c>
      <c r="G1756" s="18"/>
      <c r="H1756" s="18"/>
    </row>
    <row r="1757" spans="1:8" ht="13.2">
      <c r="A1757" s="19" t="str">
        <f>HYPERLINK("https://codeforces.com/contest/1068/problem/F","CF1067-D12-F")</f>
        <v>CF1067-D12-F</v>
      </c>
      <c r="B1757" s="15" t="s">
        <v>138</v>
      </c>
      <c r="C1757" s="17">
        <v>6.4</v>
      </c>
      <c r="D1757" s="18"/>
      <c r="E1757" s="17" t="s">
        <v>125</v>
      </c>
      <c r="F1757" s="17" t="s">
        <v>139</v>
      </c>
      <c r="G1757" s="18"/>
      <c r="H1757" s="18"/>
    </row>
    <row r="1758" spans="1:8" ht="13.2">
      <c r="A1758" s="19" t="str">
        <f>HYPERLINK("https://codeforces.com/contest/1261/problem/E","CF1261-D1-E")</f>
        <v>CF1261-D1-E</v>
      </c>
      <c r="B1758" s="20" t="s">
        <v>183</v>
      </c>
      <c r="C1758" s="21">
        <v>6.4</v>
      </c>
      <c r="D1758" s="18"/>
      <c r="E1758" s="17" t="s">
        <v>125</v>
      </c>
      <c r="F1758" s="17" t="s">
        <v>139</v>
      </c>
      <c r="G1758" s="18"/>
      <c r="H1758" s="18"/>
    </row>
    <row r="1759" spans="1:8" ht="13.2">
      <c r="A1759" s="19" t="str">
        <f>HYPERLINK("https://codeforces.com/contest/932/problem/F","CF932-D1-F")</f>
        <v>CF932-D1-F</v>
      </c>
      <c r="B1759" s="15" t="s">
        <v>6361</v>
      </c>
      <c r="C1759" s="17">
        <v>6.4</v>
      </c>
      <c r="D1759" s="18"/>
      <c r="E1759" s="17" t="s">
        <v>6362</v>
      </c>
      <c r="F1759" s="17" t="s">
        <v>139</v>
      </c>
      <c r="G1759" s="18"/>
      <c r="H1759" s="18"/>
    </row>
    <row r="1760" spans="1:8" ht="13.2">
      <c r="A1760" s="19" t="str">
        <f>HYPERLINK("https://csacademy.com/contest/round-78/task/strange-matrix/","CSA78-D")</f>
        <v>CSA78-D</v>
      </c>
      <c r="B1760" s="15" t="s">
        <v>1040</v>
      </c>
      <c r="C1760" s="17">
        <v>6.4</v>
      </c>
      <c r="D1760" s="18"/>
      <c r="E1760" s="17" t="s">
        <v>1018</v>
      </c>
      <c r="F1760" s="17" t="s">
        <v>139</v>
      </c>
      <c r="G1760" s="18"/>
      <c r="H1760" s="18"/>
    </row>
    <row r="1761" spans="1:8" ht="13.2">
      <c r="A1761" s="19" t="str">
        <f>HYPERLINK("https://www.codechef.com/COOK107A/problems/SUBSETS", "CODECHEF SUBSETS")</f>
        <v>CODECHEF SUBSETS</v>
      </c>
      <c r="B1761" s="15" t="s">
        <v>6452</v>
      </c>
      <c r="C1761" s="17">
        <v>6.4</v>
      </c>
      <c r="D1761" s="26" t="str">
        <f>HYPERLINK("https://raw.githubusercontent.com/veljko02/CompetitiveProgramming/master/CodeChef/subsets.cpp","Sol")</f>
        <v>Sol</v>
      </c>
      <c r="E1761" s="17" t="s">
        <v>6441</v>
      </c>
      <c r="F1761" s="17" t="s">
        <v>139</v>
      </c>
      <c r="G1761" s="18"/>
      <c r="H1761" s="18"/>
    </row>
    <row r="1762" spans="1:8" ht="13.2">
      <c r="A1762" s="19" t="str">
        <f>HYPERLINK("http://codeforces.com/contest/570/problem/E","CF570-D2-E")</f>
        <v>CF570-D2-E</v>
      </c>
      <c r="B1762" s="18" t="s">
        <v>1800</v>
      </c>
      <c r="C1762" s="17">
        <v>6.4</v>
      </c>
      <c r="D1762" s="18"/>
      <c r="E1762" s="17" t="s">
        <v>1793</v>
      </c>
      <c r="F1762" s="17" t="s">
        <v>139</v>
      </c>
      <c r="G1762" s="18"/>
      <c r="H1762" s="18"/>
    </row>
    <row r="1763" spans="1:8" ht="13.2">
      <c r="A1763" s="15" t="s">
        <v>669</v>
      </c>
      <c r="B1763" s="29" t="s">
        <v>670</v>
      </c>
      <c r="C1763" s="17">
        <v>6.4</v>
      </c>
      <c r="D1763" s="26" t="str">
        <f>HYPERLINK("https://github.com/shanto86/Training/blob/master/TopCoder/SRM523-D1-1000.cpp","Sol")</f>
        <v>Sol</v>
      </c>
      <c r="E1763" s="17" t="s">
        <v>655</v>
      </c>
      <c r="F1763" s="17" t="s">
        <v>139</v>
      </c>
      <c r="G1763" s="18"/>
      <c r="H1763" s="18"/>
    </row>
    <row r="1764" spans="1:8" ht="13.2">
      <c r="A1764" s="19" t="str">
        <f>HYPERLINK("http://codeforces.com/problemset/gymProblem/101142/G","CF101142-gym-G")</f>
        <v>CF101142-gym-G</v>
      </c>
      <c r="B1764" s="43" t="s">
        <v>4458</v>
      </c>
      <c r="C1764" s="17">
        <v>6.4</v>
      </c>
      <c r="D1764" s="26" t="str">
        <f>HYPERLINK("https://github.com/BRAINOOOO/CompetitiveProgramming/blob/93e631948a1e52814850f1bc86f20c5ab9ed2fa2/CF/CF101142-gym-G","Sol")</f>
        <v>Sol</v>
      </c>
      <c r="E1764" s="17" t="s">
        <v>4454</v>
      </c>
      <c r="F1764" s="17" t="s">
        <v>139</v>
      </c>
      <c r="G1764" s="18"/>
      <c r="H1764" s="18"/>
    </row>
    <row r="1765" spans="1:8" ht="13.2">
      <c r="A1765" s="19" t="str">
        <f>HYPERLINK("https://codeforces.com/contest/1262/problem/F2","CF1262-D2-F2")</f>
        <v>CF1262-D2-F2</v>
      </c>
      <c r="B1765" s="20" t="s">
        <v>4964</v>
      </c>
      <c r="C1765" s="21">
        <v>6.4</v>
      </c>
      <c r="D1765" s="18"/>
      <c r="E1765" s="17" t="s">
        <v>4958</v>
      </c>
      <c r="F1765" s="17" t="s">
        <v>139</v>
      </c>
      <c r="G1765" s="18"/>
      <c r="H1765" s="18"/>
    </row>
    <row r="1766" spans="1:8" ht="13.2">
      <c r="A1766" s="15" t="s">
        <v>5372</v>
      </c>
      <c r="B1766" s="29" t="s">
        <v>5373</v>
      </c>
      <c r="C1766" s="17">
        <v>6.4</v>
      </c>
      <c r="D1766" s="18"/>
      <c r="E1766" s="17" t="s">
        <v>5346</v>
      </c>
      <c r="F1766" s="17" t="s">
        <v>139</v>
      </c>
      <c r="G1766" s="18"/>
      <c r="H1766" s="18"/>
    </row>
    <row r="1767" spans="1:8" ht="13.2">
      <c r="A1767" s="19" t="str">
        <f>HYPERLINK("https://codeforces.com/contest/1107/problem/G","CF1107-D12-G")</f>
        <v>CF1107-D12-G</v>
      </c>
      <c r="B1767" s="15" t="s">
        <v>1105</v>
      </c>
      <c r="C1767" s="17">
        <v>6.4</v>
      </c>
      <c r="D1767" s="18"/>
      <c r="E1767" s="17" t="s">
        <v>1018</v>
      </c>
      <c r="F1767" s="17" t="s">
        <v>201</v>
      </c>
      <c r="G1767" s="18"/>
      <c r="H1767" s="18"/>
    </row>
    <row r="1768" spans="1:8" ht="13.2">
      <c r="A1768" s="19" t="str">
        <f>HYPERLINK("http://codeforces.com/contest/181/problem/E","CF181-D2-E")</f>
        <v>CF181-D2-E</v>
      </c>
      <c r="B1768" s="29" t="s">
        <v>2411</v>
      </c>
      <c r="C1768" s="17">
        <v>6.4</v>
      </c>
      <c r="D1768" s="18"/>
      <c r="E1768" s="17" t="s">
        <v>2394</v>
      </c>
      <c r="F1768" s="17" t="s">
        <v>201</v>
      </c>
      <c r="G1768" s="18"/>
      <c r="H1768" s="18"/>
    </row>
    <row r="1769" spans="1:8" ht="13.2">
      <c r="A1769" s="19" t="str">
        <f>HYPERLINK("https://csacademy.com/contest/round-67/task/hamming-distances/","CSA67-E")</f>
        <v>CSA67-E</v>
      </c>
      <c r="B1769" s="18" t="s">
        <v>963</v>
      </c>
      <c r="C1769" s="17">
        <v>6.3</v>
      </c>
      <c r="D1769" s="18"/>
      <c r="E1769" s="17" t="s">
        <v>951</v>
      </c>
      <c r="F1769" s="17" t="s">
        <v>173</v>
      </c>
      <c r="G1769" s="18"/>
      <c r="H1769" s="18"/>
    </row>
    <row r="1770" spans="1:8" ht="13.2">
      <c r="A1770" s="19" t="str">
        <f>HYPERLINK("http://community.topcoder.com/stat?c=problem_statement&amp;pm=11504&amp;rd=14569","TC(SISTERSERASINGLETTERS)")</f>
        <v>TC(SISTERSERASINGLETTERS)</v>
      </c>
      <c r="B1770" s="28" t="s">
        <v>1719</v>
      </c>
      <c r="C1770" s="24">
        <v>6.3</v>
      </c>
      <c r="D1770" s="26" t="str">
        <f>HYPERLINK("https://github.com/nya-nya-meow/CompetitiveProgramming/blob/master/TopCoder/TC(SISTERSERASINGLETTERS).cpp","Find O(N^2) sol. Sol")</f>
        <v>Find O(N^2) sol. Sol</v>
      </c>
      <c r="E1770" s="17" t="s">
        <v>1716</v>
      </c>
      <c r="F1770" s="17" t="s">
        <v>173</v>
      </c>
      <c r="G1770" s="18"/>
      <c r="H1770" s="18"/>
    </row>
    <row r="1771" spans="1:8" ht="13.2">
      <c r="A1771" s="15" t="s">
        <v>3320</v>
      </c>
      <c r="B1771" s="18" t="s">
        <v>6554</v>
      </c>
      <c r="C1771" s="33">
        <v>6.3</v>
      </c>
      <c r="D1771" s="26" t="str">
        <f>HYPERLINK("https://github.com/stefdasca/CompetitiveProgramming/blob/master/TopCoder/SRM460-D2-1000.cpp","must read sol - also see editorials")</f>
        <v>must read sol - also see editorials</v>
      </c>
      <c r="E1771" s="17" t="s">
        <v>3257</v>
      </c>
      <c r="F1771" s="17" t="s">
        <v>173</v>
      </c>
      <c r="G1771" s="18"/>
      <c r="H1771" s="18"/>
    </row>
    <row r="1772" spans="1:8" ht="13.2">
      <c r="A1772" s="19" t="str">
        <f>HYPERLINK("http://codeforces.com/contest/160/problem/D","CF160-D2-D")</f>
        <v>CF160-D2-D</v>
      </c>
      <c r="B1772" s="29" t="s">
        <v>3904</v>
      </c>
      <c r="C1772" s="17">
        <v>6.3</v>
      </c>
      <c r="D1772" s="18"/>
      <c r="E1772" s="17" t="s">
        <v>3883</v>
      </c>
      <c r="F1772" s="17" t="s">
        <v>173</v>
      </c>
      <c r="G1772" s="18"/>
      <c r="H1772" s="18"/>
    </row>
    <row r="1773" spans="1:8" ht="13.2">
      <c r="A1773" s="15" t="s">
        <v>1801</v>
      </c>
      <c r="B1773" s="30" t="s">
        <v>1802</v>
      </c>
      <c r="C1773" s="24">
        <v>6.3</v>
      </c>
      <c r="D1773" s="18"/>
      <c r="E1773" s="17" t="s">
        <v>1793</v>
      </c>
      <c r="F1773" s="17" t="s">
        <v>1053</v>
      </c>
      <c r="G1773" s="18"/>
      <c r="H1773" s="18"/>
    </row>
    <row r="1774" spans="1:8" ht="13.2">
      <c r="A1774" s="19" t="str">
        <f>HYPERLINK("https://onlinejudge.org/index.php?option=onlinejudge&amp;Itemid=8&amp;page=show_problem&amp;problem=2749","UVA 11702")</f>
        <v>UVA 11702</v>
      </c>
      <c r="B1774" s="30" t="s">
        <v>918</v>
      </c>
      <c r="C1774" s="24">
        <v>6.3</v>
      </c>
      <c r="D1774" s="26" t="str">
        <f>HYPERLINK("https://github.com/marinvhs/coding/blob/master/uva/Volume%20CXVII/11702.cpp","Sol (no editorial)")</f>
        <v>Sol (no editorial)</v>
      </c>
      <c r="E1774" s="17" t="s">
        <v>910</v>
      </c>
      <c r="F1774" s="17" t="s">
        <v>154</v>
      </c>
      <c r="G1774" s="18"/>
      <c r="H1774" s="18"/>
    </row>
    <row r="1775" spans="1:8" ht="13.2">
      <c r="A1775" s="15" t="s">
        <v>5828</v>
      </c>
      <c r="B1775" s="15" t="s">
        <v>5808</v>
      </c>
      <c r="C1775" s="17">
        <v>6.3</v>
      </c>
      <c r="D1775" s="18"/>
      <c r="E1775" s="17" t="s">
        <v>5794</v>
      </c>
      <c r="F1775" s="17" t="s">
        <v>154</v>
      </c>
      <c r="G1775" s="18"/>
      <c r="H1775" s="18"/>
    </row>
    <row r="1776" spans="1:8" ht="13.2">
      <c r="A1776" s="19" t="str">
        <f>HYPERLINK("http://codeforces.com/contest/814/problem/E","CF814-D2-E")</f>
        <v>CF814-D2-E</v>
      </c>
      <c r="B1776" s="15" t="s">
        <v>1443</v>
      </c>
      <c r="C1776" s="17">
        <v>6.3</v>
      </c>
      <c r="D1776" s="18" t="s">
        <v>1115</v>
      </c>
      <c r="E1776" s="17" t="s">
        <v>1337</v>
      </c>
      <c r="F1776" s="17" t="s">
        <v>154</v>
      </c>
      <c r="G1776" s="18"/>
      <c r="H1776" s="18"/>
    </row>
    <row r="1777" spans="1:8" ht="13.2">
      <c r="A1777" s="19" t="str">
        <f>HYPERLINK("http://codeforces.com/contest/981/problem/E", "CF981-D12-E")</f>
        <v>CF981-D12-E</v>
      </c>
      <c r="B1777" s="20" t="s">
        <v>1444</v>
      </c>
      <c r="C1777" s="21">
        <v>6.3</v>
      </c>
      <c r="D1777" s="26" t="str">
        <f>HYPERLINK("https://github.com/tmwilliamlin168/CompetitiveProgramming/blob/master/CodeForces/CF981-D12-E.cpp", "Sol")</f>
        <v>Sol</v>
      </c>
      <c r="E1777" s="17" t="s">
        <v>1337</v>
      </c>
      <c r="F1777" s="17" t="s">
        <v>154</v>
      </c>
      <c r="G1777" s="18"/>
      <c r="H1777" s="18"/>
    </row>
    <row r="1778" spans="1:8" ht="13.2">
      <c r="A1778" s="19" t="str">
        <f>HYPERLINK("https://codeforces.com/contest/1199/problem/F","CF1199-D2-F")</f>
        <v>CF1199-D2-F</v>
      </c>
      <c r="B1778" s="20" t="s">
        <v>1735</v>
      </c>
      <c r="C1778" s="17">
        <v>6.3</v>
      </c>
      <c r="D1778" s="18"/>
      <c r="E1778" s="17" t="s">
        <v>1734</v>
      </c>
      <c r="F1778" s="17" t="s">
        <v>154</v>
      </c>
      <c r="G1778" s="18"/>
      <c r="H1778" s="18"/>
    </row>
    <row r="1779" spans="1:8" ht="13.2">
      <c r="A1779" s="15" t="s">
        <v>4347</v>
      </c>
      <c r="B1779" s="28" t="s">
        <v>4348</v>
      </c>
      <c r="C1779" s="24">
        <v>6.3</v>
      </c>
      <c r="D1779" s="26" t="str">
        <f>HYPERLINK("https://github.com/stefdasca/CompetitiveProgramming/blob/master/SPOJ/CHASE1.cpp","Sol")</f>
        <v>Sol</v>
      </c>
      <c r="E1779" s="17" t="s">
        <v>4344</v>
      </c>
      <c r="F1779" s="17" t="s">
        <v>154</v>
      </c>
      <c r="G1779" s="18"/>
      <c r="H1779" s="18"/>
    </row>
    <row r="1780" spans="1:8" ht="13.2">
      <c r="A1780" s="19" t="str">
        <f>HYPERLINK("https://atcoder.jp/contests/abc147/tasks/abc147_f","AtCoder147-ABC-F")</f>
        <v>AtCoder147-ABC-F</v>
      </c>
      <c r="B1780" s="23" t="s">
        <v>4610</v>
      </c>
      <c r="C1780" s="17">
        <v>6.3</v>
      </c>
      <c r="D1780" s="18"/>
      <c r="E1780" s="17" t="s">
        <v>4531</v>
      </c>
      <c r="F1780" s="17" t="s">
        <v>154</v>
      </c>
      <c r="G1780" s="18"/>
      <c r="H1780" s="18"/>
    </row>
    <row r="1781" spans="1:8" ht="13.2">
      <c r="A1781" s="19" t="str">
        <f>HYPERLINK("https://codeforces.com/gym/101992/problem/D","CF101992-GYM-D")</f>
        <v>CF101992-GYM-D</v>
      </c>
      <c r="B1781" s="15" t="s">
        <v>5151</v>
      </c>
      <c r="C1781" s="17">
        <v>6.3</v>
      </c>
      <c r="D1781" s="26" t="str">
        <f>HYPERLINK("https://ideone.com/bDMQGD","Sol")</f>
        <v>Sol</v>
      </c>
      <c r="E1781" s="17" t="s">
        <v>5134</v>
      </c>
      <c r="F1781" s="17" t="s">
        <v>154</v>
      </c>
      <c r="G1781" s="18"/>
      <c r="H1781" s="18"/>
    </row>
    <row r="1782" spans="1:8" ht="13.2">
      <c r="A1782" s="19" t="str">
        <f>HYPERLINK("https://codingcompetitions.withgoogle.com/codejam/round/0000000000051705/00000000000881de","CODEJAM 19-Qualification-D")</f>
        <v>CODEJAM 19-Qualification-D</v>
      </c>
      <c r="B1782" s="20" t="s">
        <v>184</v>
      </c>
      <c r="C1782" s="17">
        <v>6.3</v>
      </c>
      <c r="D1782" s="18"/>
      <c r="E1782" s="17" t="s">
        <v>125</v>
      </c>
      <c r="F1782" s="17" t="s">
        <v>139</v>
      </c>
      <c r="G1782" s="18"/>
      <c r="H1782" s="18"/>
    </row>
    <row r="1783" spans="1:8" ht="13.2">
      <c r="A1783" s="19" t="str">
        <f>HYPERLINK("http://codeforces.com/contest/877/problem/F","CF877-D2-F")</f>
        <v>CF877-D2-F</v>
      </c>
      <c r="B1783" s="15" t="s">
        <v>5931</v>
      </c>
      <c r="C1783" s="17">
        <v>6.3</v>
      </c>
      <c r="D1783" s="18"/>
      <c r="E1783" s="17" t="s">
        <v>5915</v>
      </c>
      <c r="F1783" s="17" t="s">
        <v>139</v>
      </c>
      <c r="G1783" s="18"/>
      <c r="H1783" s="18"/>
    </row>
    <row r="1784" spans="1:8" ht="13.2">
      <c r="A1784" s="19" t="str">
        <f>HYPERLINK("http://codeforces.com/contest/327/problem/E","CF327-D2-E")</f>
        <v>CF327-D2-E</v>
      </c>
      <c r="B1784" s="30" t="s">
        <v>964</v>
      </c>
      <c r="C1784" s="24">
        <v>6.3</v>
      </c>
      <c r="D1784" s="18"/>
      <c r="E1784" s="17" t="s">
        <v>951</v>
      </c>
      <c r="F1784" s="17" t="s">
        <v>139</v>
      </c>
      <c r="G1784" s="18"/>
      <c r="H1784" s="18"/>
    </row>
    <row r="1785" spans="1:8" ht="13.2">
      <c r="A1785" s="19" t="str">
        <f>HYPERLINK("https://www.codechef.com/MARCH19A/problems/MATPER/","CODECHEF MATPER")</f>
        <v>CODECHEF MATPER</v>
      </c>
      <c r="B1785" s="20" t="s">
        <v>965</v>
      </c>
      <c r="C1785" s="17">
        <v>6.3</v>
      </c>
      <c r="D1785" s="18"/>
      <c r="E1785" s="17" t="s">
        <v>951</v>
      </c>
      <c r="F1785" s="17" t="s">
        <v>139</v>
      </c>
      <c r="G1785" s="18"/>
      <c r="H1785" s="18"/>
    </row>
    <row r="1786" spans="1:8" ht="13.2">
      <c r="A1786" s="19" t="str">
        <f>HYPERLINK("https://www.hackerrank.com/contests/world-codesprint-5/challenges/mining","HACKR sprint5-mining")</f>
        <v>HACKR sprint5-mining</v>
      </c>
      <c r="B1786" s="15" t="s">
        <v>6361</v>
      </c>
      <c r="C1786" s="17">
        <v>6.3</v>
      </c>
      <c r="D1786" s="26" t="str">
        <f>HYPERLINK("https://github.com/tmwilliamlin168/CompetitiveProgramming/blob/master/HackerRank/mining.cpp", "Sol")</f>
        <v>Sol</v>
      </c>
      <c r="E1786" s="17" t="s">
        <v>6362</v>
      </c>
      <c r="F1786" s="17" t="s">
        <v>139</v>
      </c>
      <c r="G1786" s="18"/>
      <c r="H1786" s="18"/>
    </row>
    <row r="1787" spans="1:8" ht="13.2">
      <c r="A1787" s="19" t="str">
        <f>HYPERLINK("http://codeforces.com/contest/629/problem/E","CF629-D2-E")</f>
        <v>CF629-D2-E</v>
      </c>
      <c r="B1787" s="43" t="s">
        <v>6476</v>
      </c>
      <c r="C1787" s="24">
        <v>6.3</v>
      </c>
      <c r="D1787" s="18"/>
      <c r="E1787" s="17" t="s">
        <v>6459</v>
      </c>
      <c r="F1787" s="17" t="s">
        <v>139</v>
      </c>
      <c r="G1787" s="18"/>
      <c r="H1787" s="18"/>
    </row>
    <row r="1788" spans="1:8" ht="13.2">
      <c r="A1788" s="19" t="str">
        <f>HYPERLINK("https://codeforces.com/contest/1237/problem/E","CF1237-D12-E")</f>
        <v>CF1237-D12-E</v>
      </c>
      <c r="B1788" s="20" t="s">
        <v>1445</v>
      </c>
      <c r="C1788" s="21">
        <v>6.3</v>
      </c>
      <c r="D1788" s="18"/>
      <c r="E1788" s="17" t="s">
        <v>1337</v>
      </c>
      <c r="F1788" s="17" t="s">
        <v>139</v>
      </c>
      <c r="G1788" s="18"/>
      <c r="H1788" s="18"/>
    </row>
    <row r="1789" spans="1:8" ht="13.2">
      <c r="A1789" s="19" t="str">
        <f>HYPERLINK("https://atcoder.jp/contests/caddi2018/tasks/caddi2018_c","Atcoder-caddi2018-C")</f>
        <v>Atcoder-caddi2018-C</v>
      </c>
      <c r="B1789" s="15" t="s">
        <v>1446</v>
      </c>
      <c r="C1789" s="17">
        <v>6.3</v>
      </c>
      <c r="D1789" s="26" t="str">
        <f>HYPERLINK("https://github.com/fiv2001/CompetitiveProgramming/blob/master/Atcoder/Atcoder-caddi2018-C", "Sol")</f>
        <v>Sol</v>
      </c>
      <c r="E1789" s="17" t="s">
        <v>1337</v>
      </c>
      <c r="F1789" s="17" t="s">
        <v>139</v>
      </c>
      <c r="G1789" s="18"/>
      <c r="H1789" s="18"/>
    </row>
    <row r="1790" spans="1:8" ht="13.2">
      <c r="A1790" s="19" t="str">
        <f>HYPERLINK("https://codeforces.com/contest/940/problem/E", "CF940-D2-E")</f>
        <v>CF940-D2-E</v>
      </c>
      <c r="B1790" s="15" t="s">
        <v>1803</v>
      </c>
      <c r="C1790" s="17">
        <v>6.3</v>
      </c>
      <c r="D1790" s="18"/>
      <c r="E1790" s="17" t="s">
        <v>1793</v>
      </c>
      <c r="F1790" s="17" t="s">
        <v>139</v>
      </c>
      <c r="G1790" s="18"/>
      <c r="H1790" s="18"/>
    </row>
    <row r="1791" spans="1:8" ht="13.2">
      <c r="A1791" s="19" t="str">
        <f>HYPERLINK("https://codeforces.com/contest/1279/problem/E","CF1279-D12-E")</f>
        <v>CF1279-D12-E</v>
      </c>
      <c r="B1791" s="15" t="s">
        <v>1913</v>
      </c>
      <c r="C1791" s="17">
        <v>6.3</v>
      </c>
      <c r="D1791" s="18"/>
      <c r="E1791" s="17" t="s">
        <v>1909</v>
      </c>
      <c r="F1791" s="17" t="s">
        <v>139</v>
      </c>
      <c r="G1791" s="18"/>
      <c r="H1791" s="18"/>
    </row>
    <row r="1792" spans="1:8" ht="13.2">
      <c r="A1792" s="19" t="str">
        <f>HYPERLINK("https://onlinejudge.org/index.php?option=onlinejudge&amp;Itemid=8&amp;page=show_problem&amp;problem=1554","UVA 10613")</f>
        <v>UVA 10613</v>
      </c>
      <c r="B1792" s="28" t="s">
        <v>3173</v>
      </c>
      <c r="C1792" s="24">
        <v>6.3</v>
      </c>
      <c r="D1792" s="26" t="str">
        <f>HYPERLINK("https://github.com/DrSchwad/CompetitiveProgramming/blob/master/UVA/UVA%2010613.cpp","Sol")</f>
        <v>Sol</v>
      </c>
      <c r="E1792" s="17" t="s">
        <v>3140</v>
      </c>
      <c r="F1792" s="17" t="s">
        <v>139</v>
      </c>
      <c r="G1792" s="18"/>
      <c r="H1792" s="18"/>
    </row>
    <row r="1793" spans="1:8" ht="13.2">
      <c r="A1793" s="19" t="str">
        <f>HYPERLINK("https://codeforces.com/contest/782/problem/E","CF782-D2-E")</f>
        <v>CF782-D2-E</v>
      </c>
      <c r="B1793" s="20" t="s">
        <v>3282</v>
      </c>
      <c r="C1793" s="17">
        <v>6.3</v>
      </c>
      <c r="D1793" s="18"/>
      <c r="E1793" s="17" t="s">
        <v>3257</v>
      </c>
      <c r="F1793" s="17" t="s">
        <v>139</v>
      </c>
      <c r="G1793" s="18"/>
      <c r="H1793" s="18"/>
    </row>
    <row r="1794" spans="1:8" ht="13.2">
      <c r="A1794" s="19" t="str">
        <f>HYPERLINK("http://codeforces.com/contest/161/problem/E","CF161-D12-E")</f>
        <v>CF161-D12-E</v>
      </c>
      <c r="B1794" s="15" t="s">
        <v>671</v>
      </c>
      <c r="C1794" s="24">
        <v>6.3</v>
      </c>
      <c r="D1794" s="18"/>
      <c r="E1794" s="17" t="s">
        <v>655</v>
      </c>
      <c r="F1794" s="17" t="s">
        <v>139</v>
      </c>
      <c r="G1794" s="18"/>
      <c r="H1794" s="18"/>
    </row>
    <row r="1795" spans="1:8" ht="13.2">
      <c r="A1795" s="19" t="str">
        <f>HYPERLINK("https://atcoder.jp/contests/agc006/tasks/agc006_c","Atcoder006-AGC-C")</f>
        <v>Atcoder006-AGC-C</v>
      </c>
      <c r="B1795" s="20" t="s">
        <v>5272</v>
      </c>
      <c r="C1795" s="21">
        <v>6.3</v>
      </c>
      <c r="D1795" s="18"/>
      <c r="E1795" s="17" t="s">
        <v>5246</v>
      </c>
      <c r="F1795" s="17" t="s">
        <v>139</v>
      </c>
      <c r="G1795" s="18"/>
      <c r="H1795" s="18"/>
    </row>
    <row r="1796" spans="1:8" ht="13.2">
      <c r="A1796" s="19" t="str">
        <f>HYPERLINK("http://codeforces.com/contest/920/problem/G","CF920-D12-G")</f>
        <v>CF920-D12-G</v>
      </c>
      <c r="B1796" s="15" t="s">
        <v>828</v>
      </c>
      <c r="C1796" s="17">
        <v>6.3</v>
      </c>
      <c r="D1796" s="18"/>
      <c r="E1796" s="17" t="s">
        <v>805</v>
      </c>
      <c r="F1796" s="17" t="s">
        <v>139</v>
      </c>
      <c r="G1796" s="18"/>
      <c r="H1796" s="18"/>
    </row>
    <row r="1797" spans="1:8" ht="13.2">
      <c r="A1797" s="19" t="str">
        <f>HYPERLINK("https://codeforces.com/contest/1055/problem/D","CF1055-D12-D")</f>
        <v>CF1055-D12-D</v>
      </c>
      <c r="B1797" s="15" t="s">
        <v>5859</v>
      </c>
      <c r="C1797" s="17">
        <v>6.3</v>
      </c>
      <c r="D1797" s="18"/>
      <c r="E1797" s="17" t="s">
        <v>5857</v>
      </c>
      <c r="F1797" s="17" t="s">
        <v>201</v>
      </c>
      <c r="G1797" s="18"/>
      <c r="H1797" s="18"/>
    </row>
    <row r="1798" spans="1:8" ht="13.2">
      <c r="A1798" s="19" t="str">
        <f>HYPERLINK("https://www.codechef.com/problems/STICKS2/", "CODECHEF STICKS2")</f>
        <v>CODECHEF STICKS2</v>
      </c>
      <c r="B1798" s="20" t="s">
        <v>2187</v>
      </c>
      <c r="C1798" s="21">
        <v>6.3</v>
      </c>
      <c r="D1798" s="18"/>
      <c r="E1798" s="17" t="s">
        <v>2153</v>
      </c>
      <c r="F1798" s="17" t="s">
        <v>201</v>
      </c>
      <c r="G1798" s="18"/>
      <c r="H1798" s="18"/>
    </row>
    <row r="1799" spans="1:8" ht="13.2">
      <c r="A1799" s="15" t="s">
        <v>919</v>
      </c>
      <c r="B1799" s="29" t="s">
        <v>6555</v>
      </c>
      <c r="C1799" s="24">
        <v>6.3</v>
      </c>
      <c r="D1799" s="18"/>
      <c r="E1799" s="17" t="s">
        <v>910</v>
      </c>
      <c r="F1799" s="17"/>
      <c r="G1799" s="18"/>
      <c r="H1799" s="18"/>
    </row>
    <row r="1800" spans="1:8" ht="13.2">
      <c r="A1800" s="15" t="s">
        <v>921</v>
      </c>
      <c r="B1800" s="30" t="s">
        <v>922</v>
      </c>
      <c r="C1800" s="24">
        <v>6.3</v>
      </c>
      <c r="D1800" s="18"/>
      <c r="E1800" s="17" t="s">
        <v>910</v>
      </c>
      <c r="F1800" s="17"/>
      <c r="G1800" s="18"/>
      <c r="H1800" s="18"/>
    </row>
    <row r="1801" spans="1:8" ht="13.2">
      <c r="A1801" s="19" t="str">
        <f>HYPERLINK("http://codeforces.com/contest/490/problem/F","CF490-D2-F")</f>
        <v>CF490-D2-F</v>
      </c>
      <c r="B1801" s="29" t="s">
        <v>1447</v>
      </c>
      <c r="C1801" s="17">
        <v>6.3</v>
      </c>
      <c r="D1801" s="18"/>
      <c r="E1801" s="17" t="s">
        <v>1337</v>
      </c>
      <c r="F1801" s="17"/>
      <c r="G1801" s="18"/>
      <c r="H1801" s="18"/>
    </row>
    <row r="1802" spans="1:8" ht="13.2">
      <c r="A1802" s="15" t="s">
        <v>4252</v>
      </c>
      <c r="B1802" s="15" t="s">
        <v>4245</v>
      </c>
      <c r="C1802" s="17">
        <v>6.3</v>
      </c>
      <c r="D1802" s="18"/>
      <c r="E1802" s="17" t="s">
        <v>4238</v>
      </c>
      <c r="F1802" s="17"/>
      <c r="G1802" s="18"/>
      <c r="H1802" s="18"/>
    </row>
    <row r="1803" spans="1:8" ht="13.2">
      <c r="A1803" s="19" t="str">
        <f>HYPERLINK("http://codeforces.com/gym/100200/problem/C","CF100200-GYM-C")</f>
        <v>CF100200-GYM-C</v>
      </c>
      <c r="B1803" s="15" t="s">
        <v>2831</v>
      </c>
      <c r="C1803" s="24">
        <v>6.25</v>
      </c>
      <c r="D1803" s="26" t="str">
        <f>HYPERLINK("https://github.com/shanto86/Training/blob/master/CodeForces/CF100200-GYM-C.cpp","Sol")</f>
        <v>Sol</v>
      </c>
      <c r="E1803" s="17" t="s">
        <v>2798</v>
      </c>
      <c r="F1803" s="17" t="s">
        <v>255</v>
      </c>
      <c r="G1803" s="18"/>
      <c r="H1803" s="18"/>
    </row>
    <row r="1804" spans="1:8" ht="13.2">
      <c r="A1804" s="19" t="str">
        <f>HYPERLINK("http://codeforces.com/contest/165/problem/D","CF165-D2-D")</f>
        <v>CF165-D2-D</v>
      </c>
      <c r="B1804" s="43" t="s">
        <v>4472</v>
      </c>
      <c r="C1804" s="17">
        <v>6.25</v>
      </c>
      <c r="D1804" s="18"/>
      <c r="E1804" s="17" t="s">
        <v>4454</v>
      </c>
      <c r="F1804" s="17" t="s">
        <v>306</v>
      </c>
      <c r="G1804" s="18"/>
      <c r="H1804" s="18"/>
    </row>
    <row r="1805" spans="1:8" ht="13.2">
      <c r="A1805" s="19" t="str">
        <f>HYPERLINK("http://codeforces.com/contest/403/problem/C","CF403-D1-C")</f>
        <v>CF403-D1-C</v>
      </c>
      <c r="B1805" s="29" t="s">
        <v>4349</v>
      </c>
      <c r="C1805" s="17">
        <v>6.25</v>
      </c>
      <c r="D1805" s="18"/>
      <c r="E1805" s="24" t="s">
        <v>4344</v>
      </c>
      <c r="F1805" s="17" t="s">
        <v>1046</v>
      </c>
      <c r="G1805" s="18"/>
      <c r="H1805" s="18"/>
    </row>
    <row r="1806" spans="1:8" ht="13.2">
      <c r="A1806" s="19" t="str">
        <f>HYPERLINK("http://codeforces.com/contest/785/problem/D","CF785-D2-D")</f>
        <v>CF785-D2-D</v>
      </c>
      <c r="B1806" s="38" t="s">
        <v>5552</v>
      </c>
      <c r="C1806" s="17">
        <v>6.25</v>
      </c>
      <c r="D1806" s="26" t="str">
        <f>HYPERLINK("http://codeforces.com/contest/785/submission/25532936","Read this solution after trying")</f>
        <v>Read this solution after trying</v>
      </c>
      <c r="E1806" s="17" t="s">
        <v>5524</v>
      </c>
      <c r="F1806" s="17" t="s">
        <v>1046</v>
      </c>
      <c r="G1806" s="18"/>
      <c r="H1806" s="18"/>
    </row>
    <row r="1807" spans="1:8" ht="13.2">
      <c r="A1807" s="19" t="str">
        <f>HYPERLINK("http://codeforces.com/contest/280/problem/C","CF280-D1-C")</f>
        <v>CF280-D1-C</v>
      </c>
      <c r="B1807" s="29" t="s">
        <v>6285</v>
      </c>
      <c r="C1807" s="17">
        <v>6.25</v>
      </c>
      <c r="D1807" s="18"/>
      <c r="E1807" s="17" t="s">
        <v>6275</v>
      </c>
      <c r="F1807" s="17" t="s">
        <v>173</v>
      </c>
      <c r="G1807" s="18"/>
      <c r="H1807" s="18"/>
    </row>
    <row r="1808" spans="1:8" ht="13.2">
      <c r="A1808" s="15" t="s">
        <v>1106</v>
      </c>
      <c r="B1808" s="28" t="s">
        <v>1107</v>
      </c>
      <c r="C1808" s="24">
        <v>6.25</v>
      </c>
      <c r="D1808" s="26" t="str">
        <f>HYPERLINK("https://github.com/mostafa-saad/MyCompetitiveProgramming/blob/master/SPOJ/SPOJ_FREQUENT.txt","Sol")</f>
        <v>Sol</v>
      </c>
      <c r="E1808" s="17" t="s">
        <v>1018</v>
      </c>
      <c r="F1808" s="17" t="s">
        <v>173</v>
      </c>
      <c r="G1808" s="18"/>
      <c r="H1808" s="18"/>
    </row>
    <row r="1809" spans="1:8" ht="13.2">
      <c r="A1809" s="19" t="str">
        <f>HYPERLINK("http://codeforces.com/contest/680/problem/D","CF680-D2-D")</f>
        <v>CF680-D2-D</v>
      </c>
      <c r="B1809" s="29" t="s">
        <v>365</v>
      </c>
      <c r="C1809" s="17">
        <v>6.25</v>
      </c>
      <c r="D1809" s="18"/>
      <c r="E1809" s="17" t="s">
        <v>332</v>
      </c>
      <c r="F1809" s="17" t="s">
        <v>173</v>
      </c>
      <c r="G1809" s="18"/>
      <c r="H1809" s="18"/>
    </row>
    <row r="1810" spans="1:8" ht="13.2">
      <c r="A1810" s="15" t="s">
        <v>1842</v>
      </c>
      <c r="B1810" s="34" t="s">
        <v>1843</v>
      </c>
      <c r="C1810" s="33">
        <v>6.25</v>
      </c>
      <c r="D1810" s="26" t="str">
        <f>HYPERLINK("https://github.com/jebouin/CompetitiveProgramming/blob/master/TopCoder/SRM356-D1-500.cpp","Sol")</f>
        <v>Sol</v>
      </c>
      <c r="E1810" s="17" t="s">
        <v>1819</v>
      </c>
      <c r="F1810" s="17" t="s">
        <v>173</v>
      </c>
      <c r="G1810" s="18"/>
      <c r="H1810" s="18"/>
    </row>
    <row r="1811" spans="1:8" ht="13.2">
      <c r="A1811" s="19" t="str">
        <f>HYPERLINK("http://codeforces.com/contest/295/problem/C","CF295-D1-C")</f>
        <v>CF295-D1-C</v>
      </c>
      <c r="B1811" s="29" t="s">
        <v>1939</v>
      </c>
      <c r="C1811" s="17">
        <v>6.25</v>
      </c>
      <c r="D1811" s="18"/>
      <c r="E1811" s="17" t="s">
        <v>1909</v>
      </c>
      <c r="F1811" s="17" t="s">
        <v>173</v>
      </c>
      <c r="G1811" s="18"/>
      <c r="H1811" s="18"/>
    </row>
    <row r="1812" spans="1:8" ht="13.2">
      <c r="A1812" s="15" t="s">
        <v>1991</v>
      </c>
      <c r="B1812" s="41" t="s">
        <v>1992</v>
      </c>
      <c r="C1812" s="17">
        <v>6.25</v>
      </c>
      <c r="D1812" s="26" t="str">
        <f>HYPERLINK("https://github.com/mostafa-saad/MyCompetitiveProgramming/blob/master/SPOJ/SPOJ_XOINC.txt","Sol")</f>
        <v>Sol</v>
      </c>
      <c r="E1812" s="17" t="s">
        <v>1989</v>
      </c>
      <c r="F1812" s="17" t="s">
        <v>173</v>
      </c>
      <c r="G1812" s="18"/>
      <c r="H1812" s="18"/>
    </row>
    <row r="1813" spans="1:8" ht="13.2">
      <c r="A1813" s="19" t="str">
        <f>HYPERLINK("http://codeforces.com/contest/602/problem/D","CF602-D2-D")</f>
        <v>CF602-D2-D</v>
      </c>
      <c r="B1813" s="15" t="s">
        <v>4611</v>
      </c>
      <c r="C1813" s="24">
        <v>6.25</v>
      </c>
      <c r="D1813" s="26" t="str">
        <f>HYPERLINK("https://github.com/andriy-zhuk/CompetitiveProgramming/blob/master/Codeforces/CF602-D2-D.cpp","Sol (Another sol)")</f>
        <v>Sol (Another sol)</v>
      </c>
      <c r="E1813" s="17" t="s">
        <v>4531</v>
      </c>
      <c r="F1813" s="17" t="s">
        <v>173</v>
      </c>
      <c r="G1813" s="18"/>
      <c r="H1813" s="18"/>
    </row>
    <row r="1814" spans="1:8" ht="13.2">
      <c r="A1814" s="15" t="s">
        <v>5651</v>
      </c>
      <c r="B1814" s="28" t="s">
        <v>5652</v>
      </c>
      <c r="C1814" s="17">
        <v>6.25</v>
      </c>
      <c r="D1814" s="26" t="str">
        <f>HYPERLINK("https://github.com/mostafa-saad/MyCompetitiveProgramming/blob/master/LiveArchive/LiveArchive_5792.txt","Sol")</f>
        <v>Sol</v>
      </c>
      <c r="E1814" s="17" t="s">
        <v>5643</v>
      </c>
      <c r="F1814" s="17" t="s">
        <v>1053</v>
      </c>
      <c r="G1814" s="18"/>
      <c r="H1814" s="18"/>
    </row>
    <row r="1815" spans="1:8" ht="13.2">
      <c r="A1815" s="19" t="str">
        <f>HYPERLINK("https://agc027.contest.atcoder.jp/tasks/agc027_b", "AtCoder027-AGC-B")</f>
        <v>AtCoder027-AGC-B</v>
      </c>
      <c r="B1815" s="20" t="s">
        <v>2188</v>
      </c>
      <c r="C1815" s="21">
        <v>6.25</v>
      </c>
      <c r="D1815" s="18"/>
      <c r="E1815" s="17" t="s">
        <v>2153</v>
      </c>
      <c r="F1815" s="17" t="s">
        <v>1053</v>
      </c>
      <c r="G1815" s="18"/>
      <c r="H1815" s="18"/>
    </row>
    <row r="1816" spans="1:8" ht="13.2">
      <c r="A1816" s="19" t="str">
        <f>HYPERLINK("http://codeforces.com/contest/742/problem/E","CF742-D2-E")</f>
        <v>CF742-D2-E</v>
      </c>
      <c r="B1816" s="15" t="s">
        <v>3322</v>
      </c>
      <c r="C1816" s="24">
        <v>6.25</v>
      </c>
      <c r="D1816" s="26" t="str">
        <f>HYPERLINK("https://github.com/Huvok/CompetitiveProgramming/blob/master/Codeforces/CF742-D2-E.cpp","Sol")</f>
        <v>Sol</v>
      </c>
      <c r="E1816" s="17" t="s">
        <v>3257</v>
      </c>
      <c r="F1816" s="17" t="s">
        <v>1053</v>
      </c>
      <c r="G1816" s="18"/>
      <c r="H1816" s="18"/>
    </row>
    <row r="1817" spans="1:8" ht="13.2">
      <c r="A1817" s="19" t="str">
        <f>HYPERLINK("https://arc099.contest.atcoder.jp/tasks/arc099_c","AtCoder099-ARC-C")</f>
        <v>AtCoder099-ARC-C</v>
      </c>
      <c r="B1817" s="15" t="s">
        <v>3323</v>
      </c>
      <c r="C1817" s="17">
        <v>6.25</v>
      </c>
      <c r="D1817" s="26" t="str">
        <f>HYPERLINK("https://github.com/magdy-hasan/competitive-programming/blob/a3da17cbe2abde9b9eb7d3adef7b8326c9eb2ddf/atcoder/AtCoder099-ARC-C.cpp","Sol")</f>
        <v>Sol</v>
      </c>
      <c r="E1817" s="17" t="s">
        <v>3257</v>
      </c>
      <c r="F1817" s="17" t="s">
        <v>1053</v>
      </c>
      <c r="G1817" s="18"/>
      <c r="H1817" s="18"/>
    </row>
    <row r="1818" spans="1:8" ht="13.2">
      <c r="A1818" s="15" t="s">
        <v>185</v>
      </c>
      <c r="B1818" s="29" t="s">
        <v>186</v>
      </c>
      <c r="C1818" s="24">
        <v>6.25</v>
      </c>
      <c r="D1818" s="26" t="str">
        <f>HYPERLINK("https://github.com/thackerhelik/Topcoder/blob/master/SRM541-D1-500.cpp","Sol")</f>
        <v>Sol</v>
      </c>
      <c r="E1818" s="17" t="s">
        <v>125</v>
      </c>
      <c r="F1818" s="17" t="s">
        <v>154</v>
      </c>
      <c r="G1818" s="18"/>
      <c r="H1818" s="18"/>
    </row>
    <row r="1819" spans="1:8" ht="13.2">
      <c r="A1819" s="19" t="str">
        <f>HYPERLINK("http://codeforces.com/gym/102147/problem/D","CF102147-GYM-D")</f>
        <v>CF102147-GYM-D</v>
      </c>
      <c r="B1819" s="15" t="s">
        <v>187</v>
      </c>
      <c r="C1819" s="17">
        <v>6.25</v>
      </c>
      <c r="D1819" s="26" t="str">
        <f>HYPERLINK("https://github.com/guskal01/CompetitiveProgramming/blob/master/CodeForces/CF102147-GYM-D.cpp","Sol")</f>
        <v>Sol</v>
      </c>
      <c r="E1819" s="17" t="s">
        <v>125</v>
      </c>
      <c r="F1819" s="17" t="s">
        <v>154</v>
      </c>
      <c r="G1819" s="18"/>
      <c r="H1819" s="18"/>
    </row>
    <row r="1820" spans="1:8" ht="13.2">
      <c r="A1820" s="19" t="str">
        <f>HYPERLINK("https://www.hackerrank.com/contests/world-codesprint-5/challenges/mining","HACKER sprint5-mining")</f>
        <v>HACKER sprint5-mining</v>
      </c>
      <c r="B1820" s="37" t="s">
        <v>6106</v>
      </c>
      <c r="C1820" s="17">
        <v>6.25</v>
      </c>
      <c r="D1820" s="26" t="str">
        <f>HYPERLINK("https://github.com/mostafa-saad/MyCompetitiveProgramming/blob/master/HACKERRANK/HACKER-sprint5-mining.txt","Sol. Solve using each one of the 3 dp optimizations")</f>
        <v>Sol. Solve using each one of the 3 dp optimizations</v>
      </c>
      <c r="E1820" s="17" t="s">
        <v>6098</v>
      </c>
      <c r="F1820" s="17" t="s">
        <v>154</v>
      </c>
      <c r="G1820" s="18"/>
      <c r="H1820" s="18"/>
    </row>
    <row r="1821" spans="1:8" ht="13.2">
      <c r="A1821" s="19" t="str">
        <f>HYPERLINK("http://codeforces.com/problemset/problem/834/D","CF834-D2-D")</f>
        <v>CF834-D2-D</v>
      </c>
      <c r="B1821" s="15" t="s">
        <v>6107</v>
      </c>
      <c r="C1821" s="17">
        <v>6.25</v>
      </c>
      <c r="D1821" s="26" t="str">
        <f>HYPERLINK("https://github.com/jebouin/CompetitiveProgramming/blob/master/CodeForces/CF834-D2-D.cpp", "Sol")</f>
        <v>Sol</v>
      </c>
      <c r="E1821" s="17" t="s">
        <v>6098</v>
      </c>
      <c r="F1821" s="17" t="s">
        <v>154</v>
      </c>
      <c r="G1821" s="18"/>
      <c r="H1821" s="18"/>
    </row>
    <row r="1822" spans="1:8" ht="13.2">
      <c r="A1822" s="19" t="str">
        <f>HYPERLINK("https://codeforces.com/contest/1100/problem/E","CF1100-D2-E")</f>
        <v>CF1100-D2-E</v>
      </c>
      <c r="B1822" s="15" t="s">
        <v>6208</v>
      </c>
      <c r="C1822" s="17">
        <v>6.25</v>
      </c>
      <c r="D1822" s="18"/>
      <c r="E1822" s="17" t="s">
        <v>6205</v>
      </c>
      <c r="F1822" s="17" t="s">
        <v>154</v>
      </c>
      <c r="G1822" s="18"/>
      <c r="H1822" s="18"/>
    </row>
    <row r="1823" spans="1:8" ht="13.2">
      <c r="A1823" s="15" t="s">
        <v>6257</v>
      </c>
      <c r="B1823" s="39" t="s">
        <v>6258</v>
      </c>
      <c r="C1823" s="24">
        <v>6.25</v>
      </c>
      <c r="D1823" s="26" t="str">
        <f>HYPERLINK("https://github.com/mostafa-saad/MyCompetitiveProgramming/blob/master/UVA/UVA_11419.txt","Sol")</f>
        <v>Sol</v>
      </c>
      <c r="E1823" s="17" t="s">
        <v>6246</v>
      </c>
      <c r="F1823" s="17" t="s">
        <v>154</v>
      </c>
      <c r="G1823" s="18"/>
      <c r="H1823" s="18"/>
    </row>
    <row r="1824" spans="1:8" ht="13.2">
      <c r="A1824" s="19" t="str">
        <f>HYPERLINK("https://www.codechef.com/COOK108A/problems/EXPTPROD","CODECHEF EXPTPROD")</f>
        <v>CODECHEF EXPTPROD</v>
      </c>
      <c r="B1824" s="15" t="s">
        <v>6276</v>
      </c>
      <c r="C1824" s="17">
        <v>6.25</v>
      </c>
      <c r="D1824" s="26" t="str">
        <f>HYPERLINK("https://github.com/goswami-rahul/competitive-coding/blob/master/CompetitiveProgramming/codechef/EXPTPROD.cpp","Sol")</f>
        <v>Sol</v>
      </c>
      <c r="E1824" s="17" t="s">
        <v>6275</v>
      </c>
      <c r="F1824" s="17" t="s">
        <v>154</v>
      </c>
      <c r="G1824" s="18"/>
      <c r="H1824" s="18"/>
    </row>
    <row r="1825" spans="1:8" ht="13.2">
      <c r="A1825" s="19" t="str">
        <f>HYPERLINK("http://codeforces.com/contest/139/problem/E","CF139-D2-E")</f>
        <v>CF139-D2-E</v>
      </c>
      <c r="B1825" s="28" t="s">
        <v>6286</v>
      </c>
      <c r="C1825" s="17">
        <v>6.25</v>
      </c>
      <c r="D1825" s="18" t="s">
        <v>6287</v>
      </c>
      <c r="E1825" s="17" t="s">
        <v>6275</v>
      </c>
      <c r="F1825" s="17" t="s">
        <v>154</v>
      </c>
      <c r="G1825" s="18"/>
      <c r="H1825" s="18"/>
    </row>
    <row r="1826" spans="1:8" ht="13.2">
      <c r="A1826" s="19" t="str">
        <f>HYPERLINK("https://csacademy.com/contest/round-41/task/candles/","CSA41-E")</f>
        <v>CSA41-E</v>
      </c>
      <c r="B1826" s="15" t="s">
        <v>1108</v>
      </c>
      <c r="C1826" s="17">
        <v>6.25</v>
      </c>
      <c r="D1826" s="26" t="str">
        <f>HYPERLINK("https://github.com/FranciscoThiesen/CompetitiveProgramming/blob/master/CSAcademy/CSA41-E.cpp","Sol (not in editorial)")</f>
        <v>Sol (not in editorial)</v>
      </c>
      <c r="E1826" s="17" t="s">
        <v>1018</v>
      </c>
      <c r="F1826" s="17" t="s">
        <v>154</v>
      </c>
      <c r="G1826" s="18"/>
      <c r="H1826" s="18"/>
    </row>
    <row r="1827" spans="1:8" ht="13.2">
      <c r="A1827" s="19" t="str">
        <f>HYPERLINK("http://poj.org/problem?id=2991","PKU 2991")</f>
        <v>PKU 2991</v>
      </c>
      <c r="B1827" s="29" t="s">
        <v>1109</v>
      </c>
      <c r="C1827" s="17">
        <v>6.25</v>
      </c>
      <c r="D1827" s="26" t="str">
        <f>HYPERLINK("https://github.com/goswami-rahul/competitive-coding/blob/master/CompetitiveProgramming/poj/PKU-2991.cpp","Sol")</f>
        <v>Sol</v>
      </c>
      <c r="E1827" s="17" t="s">
        <v>1018</v>
      </c>
      <c r="F1827" s="17" t="s">
        <v>154</v>
      </c>
      <c r="G1827" s="18"/>
      <c r="H1827" s="18"/>
    </row>
    <row r="1828" spans="1:8" ht="13.2">
      <c r="A1828" s="19" t="str">
        <f>HYPERLINK("https://codeforces.com/contest/1110/problem/F","CF1110-D12-F")</f>
        <v>CF1110-D12-F</v>
      </c>
      <c r="B1828" s="15" t="s">
        <v>1110</v>
      </c>
      <c r="C1828" s="17">
        <v>6.25</v>
      </c>
      <c r="D1828" s="18"/>
      <c r="E1828" s="17" t="s">
        <v>1018</v>
      </c>
      <c r="F1828" s="17" t="s">
        <v>154</v>
      </c>
      <c r="G1828" s="18"/>
      <c r="H1828" s="18"/>
    </row>
    <row r="1829" spans="1:8" ht="13.2">
      <c r="A1829" s="19" t="str">
        <f>HYPERLINK("https://atcoder.jp/contests/arc100/tasks/arc100_c","Atcoder100-ARC-C")</f>
        <v>Atcoder100-ARC-C</v>
      </c>
      <c r="B1829" s="15" t="s">
        <v>6453</v>
      </c>
      <c r="C1829" s="17">
        <v>6.25</v>
      </c>
      <c r="D1829" s="18"/>
      <c r="E1829" s="17" t="s">
        <v>6441</v>
      </c>
      <c r="F1829" s="17" t="s">
        <v>154</v>
      </c>
      <c r="G1829" s="18"/>
      <c r="H1829" s="18"/>
    </row>
    <row r="1830" spans="1:8" ht="13.2">
      <c r="A1830" s="19" t="str">
        <f>HYPERLINK("https://www.hackerearth.com/practice/algorithms/dynamic-programming/2-dimensional/practice-problems/algorithm/uchiha-brothers-and-two-products-circuit/","HACKER uchiha-brothers-and-two-products-circuit")</f>
        <v>HACKER uchiha-brothers-and-two-products-circuit</v>
      </c>
      <c r="B1830" s="15" t="s">
        <v>6454</v>
      </c>
      <c r="C1830" s="17">
        <v>6.25</v>
      </c>
      <c r="D1830" s="26" t="str">
        <f>HYPERLINK("https://github.com/veljko02/CompetitiveProgramming/blob/master/HackerEarth/uchicha_brothers.cpp","Sol")</f>
        <v>Sol</v>
      </c>
      <c r="E1830" s="17" t="s">
        <v>6441</v>
      </c>
      <c r="F1830" s="17" t="s">
        <v>154</v>
      </c>
      <c r="G1830" s="18"/>
      <c r="H1830" s="18"/>
    </row>
    <row r="1831" spans="1:8" ht="13.2">
      <c r="A1831" s="19" t="str">
        <f>HYPERLINK("http://codeforces.com/contest/1060/problem/E","CF1060-D2-E")</f>
        <v>CF1060-D2-E</v>
      </c>
      <c r="B1831" s="20" t="s">
        <v>6477</v>
      </c>
      <c r="C1831" s="21">
        <v>6.25</v>
      </c>
      <c r="D1831" s="18"/>
      <c r="E1831" s="17" t="s">
        <v>6459</v>
      </c>
      <c r="F1831" s="17" t="s">
        <v>154</v>
      </c>
      <c r="G1831" s="18"/>
      <c r="H1831" s="18"/>
    </row>
    <row r="1832" spans="1:8" ht="13.2">
      <c r="A1832" s="19" t="str">
        <f>HYPERLINK("https://codeforces.com/contest/1146/problem/F","CF1146-D12-F")</f>
        <v>CF1146-D12-F</v>
      </c>
      <c r="B1832" s="15" t="s">
        <v>1348</v>
      </c>
      <c r="C1832" s="21">
        <v>6.25</v>
      </c>
      <c r="D1832" s="18"/>
      <c r="E1832" s="17" t="s">
        <v>1337</v>
      </c>
      <c r="F1832" s="17" t="s">
        <v>154</v>
      </c>
      <c r="G1832" s="18"/>
      <c r="H1832" s="18"/>
    </row>
    <row r="1833" spans="1:8" ht="13.2">
      <c r="A1833" s="15" t="s">
        <v>1940</v>
      </c>
      <c r="B1833" s="29" t="s">
        <v>1941</v>
      </c>
      <c r="C1833" s="31">
        <v>6.25</v>
      </c>
      <c r="D1833" s="18"/>
      <c r="E1833" s="17" t="s">
        <v>1909</v>
      </c>
      <c r="F1833" s="17" t="s">
        <v>154</v>
      </c>
      <c r="G1833" s="18"/>
      <c r="H1833" s="18"/>
    </row>
    <row r="1834" spans="1:8" ht="13.2">
      <c r="A1834" s="19" t="str">
        <f>HYPERLINK("http://codeforces.com/contest/1013/problem/D","CF1013-D2-D")</f>
        <v>CF1013-D2-D</v>
      </c>
      <c r="B1834" s="18" t="s">
        <v>2189</v>
      </c>
      <c r="C1834" s="17">
        <v>6.25</v>
      </c>
      <c r="D1834" s="18"/>
      <c r="E1834" s="17" t="s">
        <v>2153</v>
      </c>
      <c r="F1834" s="17" t="s">
        <v>154</v>
      </c>
      <c r="G1834" s="18"/>
      <c r="H1834" s="18"/>
    </row>
    <row r="1835" spans="1:8" ht="13.2">
      <c r="A1835" s="19" t="str">
        <f>HYPERLINK("https://atcoder.jp/contests/arc064/tasks/arc064_b","AtCoder064-ARC-D")</f>
        <v>AtCoder064-ARC-D</v>
      </c>
      <c r="B1835" s="15" t="s">
        <v>2412</v>
      </c>
      <c r="C1835" s="17">
        <v>6.25</v>
      </c>
      <c r="D1835" s="18"/>
      <c r="E1835" s="17" t="s">
        <v>2394</v>
      </c>
      <c r="F1835" s="17" t="s">
        <v>154</v>
      </c>
      <c r="G1835" s="18"/>
      <c r="H1835" s="18"/>
    </row>
    <row r="1836" spans="1:8" ht="13.2">
      <c r="A1836" s="19" t="str">
        <f>HYPERLINK("https://codeforces.com/contest/1199/problem/E","CF1199-D2-E")</f>
        <v>CF1199-D2-E</v>
      </c>
      <c r="B1836" s="20" t="s">
        <v>3324</v>
      </c>
      <c r="C1836" s="17">
        <v>6.25</v>
      </c>
      <c r="D1836" s="26" t="str">
        <f>HYPERLINK("https://github.com/Evilandrew228/CompetitiveProgramming/blob/master/CF1199-D2-E","Sol (!editorial)")</f>
        <v>Sol (!editorial)</v>
      </c>
      <c r="E1836" s="17" t="s">
        <v>3257</v>
      </c>
      <c r="F1836" s="17" t="s">
        <v>154</v>
      </c>
      <c r="G1836" s="18"/>
      <c r="H1836" s="18"/>
    </row>
    <row r="1837" spans="1:8" ht="13.2">
      <c r="A1837" s="19" t="str">
        <f>HYPERLINK("http://codeforces.com/gym/101484/problem/H","CF101484-GYM-H")</f>
        <v>CF101484-GYM-H</v>
      </c>
      <c r="B1837" s="15" t="s">
        <v>3325</v>
      </c>
      <c r="C1837" s="17">
        <v>6.25</v>
      </c>
      <c r="D1837" s="26" t="str">
        <f>HYPERLINK("https://github.com/HosamEissa/Competitive-programming-/blob/master/Codeforces/CF101484-GYM-H.cpp","Sol")</f>
        <v>Sol</v>
      </c>
      <c r="E1837" s="17" t="s">
        <v>3257</v>
      </c>
      <c r="F1837" s="17" t="s">
        <v>154</v>
      </c>
      <c r="G1837" s="18"/>
      <c r="H1837" s="18"/>
    </row>
    <row r="1838" spans="1:8" ht="13.2">
      <c r="A1838" s="15" t="s">
        <v>3452</v>
      </c>
      <c r="B1838" s="30" t="s">
        <v>3453</v>
      </c>
      <c r="C1838" s="17">
        <v>6.25</v>
      </c>
      <c r="D1838" s="26" t="str">
        <f>HYPERLINK("https://github.com/mostafa-saad/MyCompetitiveProgramming/blob/master/UVA/UVA_11090.txt","Sol")</f>
        <v>Sol</v>
      </c>
      <c r="E1838" s="17" t="s">
        <v>3439</v>
      </c>
      <c r="F1838" s="17" t="s">
        <v>154</v>
      </c>
      <c r="G1838" s="18"/>
      <c r="H1838" s="18"/>
    </row>
    <row r="1839" spans="1:8" ht="13.2">
      <c r="A1839" s="15" t="s">
        <v>672</v>
      </c>
      <c r="B1839" s="29" t="s">
        <v>673</v>
      </c>
      <c r="C1839" s="31">
        <v>6.25</v>
      </c>
      <c r="D1839" s="18"/>
      <c r="E1839" s="24" t="s">
        <v>655</v>
      </c>
      <c r="F1839" s="17" t="s">
        <v>154</v>
      </c>
      <c r="G1839" s="18"/>
      <c r="H1839" s="18"/>
    </row>
    <row r="1840" spans="1:8" ht="13.2">
      <c r="A1840" s="15" t="s">
        <v>3698</v>
      </c>
      <c r="B1840" s="16" t="s">
        <v>3699</v>
      </c>
      <c r="C1840" s="17">
        <v>6.25</v>
      </c>
      <c r="D1840" s="18"/>
      <c r="E1840" s="17" t="s">
        <v>3650</v>
      </c>
      <c r="F1840" s="17" t="s">
        <v>154</v>
      </c>
      <c r="G1840" s="18"/>
      <c r="H1840" s="18"/>
    </row>
    <row r="1841" spans="1:8" ht="13.2">
      <c r="A1841" s="19" t="str">
        <f>HYPERLINK("http://codeforces.com/contest/915/problem/F","CF915-D12-F")</f>
        <v>CF915-D12-F</v>
      </c>
      <c r="B1841" s="15" t="s">
        <v>3905</v>
      </c>
      <c r="C1841" s="17">
        <v>6.25</v>
      </c>
      <c r="D1841" s="18"/>
      <c r="E1841" s="17" t="s">
        <v>3883</v>
      </c>
      <c r="F1841" s="17" t="s">
        <v>154</v>
      </c>
      <c r="G1841" s="18"/>
      <c r="H1841" s="18"/>
    </row>
    <row r="1842" spans="1:8" ht="13.2">
      <c r="A1842" s="19" t="str">
        <f>HYPERLINK("http://codeforces.com/contest/723/problem/E","CF723-D2-E")</f>
        <v>CF723-D2-E</v>
      </c>
      <c r="B1842" s="29" t="s">
        <v>3967</v>
      </c>
      <c r="C1842" s="17">
        <v>6.25</v>
      </c>
      <c r="D1842" s="18"/>
      <c r="E1842" s="17" t="s">
        <v>3955</v>
      </c>
      <c r="F1842" s="17" t="s">
        <v>154</v>
      </c>
      <c r="G1842" s="18"/>
      <c r="H1842" s="18"/>
    </row>
    <row r="1843" spans="1:8" ht="13.2">
      <c r="A1843" s="19" t="str">
        <f>HYPERLINK("https://codeforces.com/contest/1038/problem/E","CF1038-D2-E")</f>
        <v>CF1038-D2-E</v>
      </c>
      <c r="B1843" s="23" t="s">
        <v>3968</v>
      </c>
      <c r="C1843" s="17">
        <v>6.25</v>
      </c>
      <c r="D1843" s="18"/>
      <c r="E1843" s="17" t="s">
        <v>3955</v>
      </c>
      <c r="F1843" s="17" t="s">
        <v>154</v>
      </c>
      <c r="G1843" s="18"/>
      <c r="H1843" s="18"/>
    </row>
    <row r="1844" spans="1:8" ht="13.2">
      <c r="A1844" s="15" t="s">
        <v>4173</v>
      </c>
      <c r="B1844" s="39" t="s">
        <v>4174</v>
      </c>
      <c r="C1844" s="17">
        <v>6.25</v>
      </c>
      <c r="D1844" s="26" t="str">
        <f>HYPERLINK("https://github.com/BRAINOOOO/CompetitiveProgramming/blob/master/UVA/V-6/UVA%20663.Cpp","Sol")</f>
        <v>Sol</v>
      </c>
      <c r="E1844" s="17" t="s">
        <v>4144</v>
      </c>
      <c r="F1844" s="17" t="s">
        <v>154</v>
      </c>
      <c r="G1844" s="18"/>
      <c r="H1844" s="18"/>
    </row>
    <row r="1845" spans="1:8" ht="13.2">
      <c r="A1845" s="19" t="str">
        <f>HYPERLINK("http://codeforces.com/contest/76/problem/A","CF76-D12-A")</f>
        <v>CF76-D12-A</v>
      </c>
      <c r="B1845" s="15" t="s">
        <v>4301</v>
      </c>
      <c r="C1845" s="17">
        <v>6.25</v>
      </c>
      <c r="D1845" s="18"/>
      <c r="E1845" s="17" t="s">
        <v>4275</v>
      </c>
      <c r="F1845" s="17" t="s">
        <v>154</v>
      </c>
      <c r="G1845" s="18"/>
      <c r="H1845" s="18"/>
    </row>
    <row r="1846" spans="1:8" ht="13.2">
      <c r="A1846" s="19" t="str">
        <f>HYPERLINK("https://codeforces.com/contest/1088/problem/D","CF1088-D2-D")</f>
        <v>CF1088-D2-D</v>
      </c>
      <c r="B1846" s="15" t="s">
        <v>4612</v>
      </c>
      <c r="C1846" s="17">
        <v>6.25</v>
      </c>
      <c r="D1846" s="18"/>
      <c r="E1846" s="17" t="s">
        <v>4531</v>
      </c>
      <c r="F1846" s="17" t="s">
        <v>154</v>
      </c>
      <c r="G1846" s="18"/>
      <c r="H1846" s="18"/>
    </row>
    <row r="1847" spans="1:8" ht="13.2">
      <c r="A1847" s="19" t="str">
        <f>HYPERLINK("https://codingcompetitions.withgoogle.com/codejam/round/0000000000051706/0000000000122837","CODEJAM 19-R1B-B")</f>
        <v>CODEJAM 19-R1B-B</v>
      </c>
      <c r="B1847" s="20" t="s">
        <v>4613</v>
      </c>
      <c r="C1847" s="17">
        <v>6.25</v>
      </c>
      <c r="D1847" s="18"/>
      <c r="E1847" s="17" t="s">
        <v>4531</v>
      </c>
      <c r="F1847" s="17" t="s">
        <v>154</v>
      </c>
      <c r="G1847" s="18"/>
      <c r="H1847" s="18"/>
    </row>
    <row r="1848" spans="1:8" ht="13.2">
      <c r="A1848" s="19" t="str">
        <f>HYPERLINK("https://codingcompetitions.withgoogle.com/codejam/round/00000000000516b9/0000000000134e91","CODEJAM 19-R1C-B")</f>
        <v>CODEJAM 19-R1C-B</v>
      </c>
      <c r="B1848" s="20" t="s">
        <v>4614</v>
      </c>
      <c r="C1848" s="17">
        <v>6.25</v>
      </c>
      <c r="D1848" s="18"/>
      <c r="E1848" s="17" t="s">
        <v>4531</v>
      </c>
      <c r="F1848" s="17" t="s">
        <v>154</v>
      </c>
      <c r="G1848" s="18"/>
      <c r="H1848" s="18"/>
    </row>
    <row r="1849" spans="1:8" ht="13.2">
      <c r="A1849" s="19" t="str">
        <f>HYPERLINK("https://atcoder.jp/contests/agc038/tasks/agc038_c","Atcoder038-AGC-C")</f>
        <v>Atcoder038-AGC-C</v>
      </c>
      <c r="B1849" s="15" t="s">
        <v>4817</v>
      </c>
      <c r="C1849" s="17">
        <v>6.25</v>
      </c>
      <c r="D1849" s="18"/>
      <c r="E1849" s="17" t="s">
        <v>4809</v>
      </c>
      <c r="F1849" s="17" t="s">
        <v>154</v>
      </c>
      <c r="G1849" s="18"/>
      <c r="H1849" s="18"/>
    </row>
    <row r="1850" spans="1:8" ht="13.2">
      <c r="A1850" s="19" t="str">
        <f>HYPERLINK("http://codeforces.com/contest/839/problem/D","CF839-D2-D")</f>
        <v>CF839-D2-D</v>
      </c>
      <c r="B1850" s="18" t="s">
        <v>5152</v>
      </c>
      <c r="C1850" s="17">
        <v>6.25</v>
      </c>
      <c r="D1850" s="26" t="str">
        <f>HYPERLINK("https://github.com/amrayman88/CompetitiveProgramming/blob/master/CodeForces/CF428-D2-D.cpp","Sol")</f>
        <v>Sol</v>
      </c>
      <c r="E1850" s="17" t="s">
        <v>5134</v>
      </c>
      <c r="F1850" s="17" t="s">
        <v>154</v>
      </c>
      <c r="G1850" s="18"/>
      <c r="H1850" s="18"/>
    </row>
    <row r="1851" spans="1:8" ht="13.2">
      <c r="A1851" s="15" t="s">
        <v>829</v>
      </c>
      <c r="B1851" s="29" t="s">
        <v>830</v>
      </c>
      <c r="C1851" s="24">
        <v>6.25</v>
      </c>
      <c r="D1851" s="26" t="str">
        <f>HYPERLINK("https://github.com/mostafa-saad/MyCompetitiveProgramming/blob/master/SPOJ/SPOJ_PATULJCI.txt","Sol")</f>
        <v>Sol</v>
      </c>
      <c r="E1851" s="17" t="s">
        <v>805</v>
      </c>
      <c r="F1851" s="17" t="s">
        <v>154</v>
      </c>
      <c r="G1851" s="18"/>
      <c r="H1851" s="18"/>
    </row>
    <row r="1852" spans="1:8" ht="13.2">
      <c r="A1852" s="19" t="str">
        <f>HYPERLINK("http://codeforces.com/contest/521/problem/C","CF521-D1-C")</f>
        <v>CF521-D1-C</v>
      </c>
      <c r="B1852" s="29" t="s">
        <v>5553</v>
      </c>
      <c r="C1852" s="17">
        <v>6.25</v>
      </c>
      <c r="D1852" s="26" t="str">
        <f>HYPERLINK("https://github.com/achrafmam2/CompetitiveProgramming/blob/master/Codeforces/CF521-D1-C.cc","SolToMe")</f>
        <v>SolToMe</v>
      </c>
      <c r="E1852" s="17" t="s">
        <v>5524</v>
      </c>
      <c r="F1852" s="17" t="s">
        <v>154</v>
      </c>
      <c r="G1852" s="18"/>
      <c r="H1852" s="18"/>
    </row>
    <row r="1853" spans="1:8" ht="13.2">
      <c r="A1853" s="19" t="str">
        <f>HYPERLINK("http://www.spoj.com/problems/SQFREE/","SPOJ SQFREE")</f>
        <v>SPOJ SQFREE</v>
      </c>
      <c r="B1853" s="28" t="s">
        <v>5621</v>
      </c>
      <c r="C1853" s="24">
        <v>6.25</v>
      </c>
      <c r="D1853" s="26" t="str">
        <f>HYPERLINK("https://github.com/Huvok/CompetitiveProgramming/blob/master/SPOJ/SQFREE.cpp", "Sol")</f>
        <v>Sol</v>
      </c>
      <c r="E1853" s="17" t="s">
        <v>5616</v>
      </c>
      <c r="F1853" s="17" t="s">
        <v>154</v>
      </c>
      <c r="G1853" s="18"/>
      <c r="H1853" s="18"/>
    </row>
    <row r="1854" spans="1:8" ht="13.2">
      <c r="A1854" s="19" t="str">
        <f>HYPERLINK("http://codeforces.com/contest/585/problem/D","CF585-D1-D")</f>
        <v>CF585-D1-D</v>
      </c>
      <c r="B1854" s="15" t="s">
        <v>966</v>
      </c>
      <c r="C1854" s="17">
        <v>6.25</v>
      </c>
      <c r="D1854" s="18"/>
      <c r="E1854" s="17" t="s">
        <v>951</v>
      </c>
      <c r="F1854" s="17" t="s">
        <v>196</v>
      </c>
      <c r="G1854" s="18"/>
      <c r="H1854" s="18"/>
    </row>
    <row r="1855" spans="1:8" ht="13.2">
      <c r="A1855" s="19" t="str">
        <f>HYPERLINK("http://codeforces.com/problemset/problem/899/F","CF899-D2-F")</f>
        <v>CF899-D2-F</v>
      </c>
      <c r="B1855" s="18" t="s">
        <v>1256</v>
      </c>
      <c r="C1855" s="17">
        <v>6.25</v>
      </c>
      <c r="D1855" s="18"/>
      <c r="E1855" s="17" t="s">
        <v>1223</v>
      </c>
      <c r="F1855" s="17" t="s">
        <v>196</v>
      </c>
      <c r="G1855" s="18"/>
      <c r="H1855" s="18"/>
    </row>
    <row r="1856" spans="1:8" ht="13.2">
      <c r="A1856" s="19" t="str">
        <f>HYPERLINK("http://codeforces.com/contest/813/problem/D","CF813-D12-D")</f>
        <v>CF813-D12-D</v>
      </c>
      <c r="B1856" s="18" t="s">
        <v>1804</v>
      </c>
      <c r="C1856" s="17">
        <v>6.25</v>
      </c>
      <c r="D1856" s="26" t="str">
        <f>HYPERLINK("https://github.com/tmwilliamlin168/CompetitiveProgramming/blob/master/CodeForces/CF813-D12-D.cpp", "Sol. Read Editorial for an interesting sol")</f>
        <v>Sol. Read Editorial for an interesting sol</v>
      </c>
      <c r="E1856" s="17" t="s">
        <v>1793</v>
      </c>
      <c r="F1856" s="17" t="s">
        <v>196</v>
      </c>
      <c r="G1856" s="18"/>
      <c r="H1856" s="18"/>
    </row>
    <row r="1857" spans="1:8" ht="13.2">
      <c r="A1857" s="19" t="str">
        <f>HYPERLINK("http://codeforces.com/contest/413/problem/E","CF413-D12-E")</f>
        <v>CF413-D12-E</v>
      </c>
      <c r="B1857" s="29" t="s">
        <v>585</v>
      </c>
      <c r="C1857" s="17">
        <v>6.25</v>
      </c>
      <c r="D1857" s="26" t="str">
        <f>HYPERLINK("https://github.com/sggutier/CompetitiveProgramming/blob/master/Codeforces/CF413-D12-E.cpp","Sol")</f>
        <v>Sol</v>
      </c>
      <c r="E1857" s="17" t="s">
        <v>575</v>
      </c>
      <c r="F1857" s="17" t="s">
        <v>196</v>
      </c>
      <c r="G1857" s="18"/>
      <c r="H1857" s="18"/>
    </row>
    <row r="1858" spans="1:8" ht="13.2">
      <c r="A1858" s="19" t="str">
        <f>HYPERLINK("http://codeforces.com/contest/313/problem/E","CF313-D2-E")</f>
        <v>CF313-D2-E</v>
      </c>
      <c r="B1858" s="29" t="s">
        <v>586</v>
      </c>
      <c r="C1858" s="17">
        <v>6.25</v>
      </c>
      <c r="D1858" s="26" t="str">
        <f>HYPERLINK("https://github.com/3agwa/CompetitiveProgramming/blob/master/CodeForces/CF313-D2-E.cpp","Sol. Try to prove")</f>
        <v>Sol. Try to prove</v>
      </c>
      <c r="E1858" s="17" t="s">
        <v>575</v>
      </c>
      <c r="F1858" s="17" t="s">
        <v>196</v>
      </c>
      <c r="G1858" s="18"/>
      <c r="H1858" s="18"/>
    </row>
    <row r="1859" spans="1:8" ht="13.2">
      <c r="A1859" s="19" t="str">
        <f>HYPERLINK("http://codeforces.com/contest/260/problem/D","CF260-D2-D")</f>
        <v>CF260-D2-D</v>
      </c>
      <c r="B1859" s="29" t="s">
        <v>3906</v>
      </c>
      <c r="C1859" s="17">
        <v>6.25</v>
      </c>
      <c r="D1859" s="18"/>
      <c r="E1859" s="17" t="s">
        <v>3883</v>
      </c>
      <c r="F1859" s="17" t="s">
        <v>196</v>
      </c>
      <c r="G1859" s="18"/>
      <c r="H1859" s="18"/>
    </row>
    <row r="1860" spans="1:8" ht="13.2">
      <c r="A1860" s="15" t="s">
        <v>4350</v>
      </c>
      <c r="B1860" s="29" t="s">
        <v>4351</v>
      </c>
      <c r="C1860" s="24">
        <v>6.25</v>
      </c>
      <c r="D1860" s="18"/>
      <c r="E1860" s="17" t="s">
        <v>4344</v>
      </c>
      <c r="F1860" s="17" t="s">
        <v>196</v>
      </c>
      <c r="G1860" s="18"/>
      <c r="H1860" s="18"/>
    </row>
    <row r="1861" spans="1:8" ht="13.2">
      <c r="A1861" s="19" t="str">
        <f>HYPERLINK("http://codeforces.com/contest/336/problem/D","CF336-D2-D")</f>
        <v>CF336-D2-D</v>
      </c>
      <c r="B1861" s="29" t="s">
        <v>4984</v>
      </c>
      <c r="C1861" s="17">
        <v>6.25</v>
      </c>
      <c r="D1861" s="18"/>
      <c r="E1861" s="17" t="s">
        <v>4958</v>
      </c>
      <c r="F1861" s="17" t="s">
        <v>196</v>
      </c>
      <c r="G1861" s="18"/>
      <c r="H1861" s="18"/>
    </row>
    <row r="1862" spans="1:8" ht="13.2">
      <c r="A1862" s="19" t="str">
        <f>HYPERLINK("http://codeforces.com/contest/914/problem/E","CF914-D12-E")</f>
        <v>CF914-D12-E</v>
      </c>
      <c r="B1862" s="18" t="s">
        <v>6348</v>
      </c>
      <c r="C1862" s="17">
        <v>6.25</v>
      </c>
      <c r="D1862" s="18"/>
      <c r="E1862" s="17" t="s">
        <v>6345</v>
      </c>
      <c r="F1862" s="17" t="s">
        <v>1112</v>
      </c>
      <c r="G1862" s="18"/>
      <c r="H1862" s="18"/>
    </row>
    <row r="1863" spans="1:8" ht="13.2">
      <c r="A1863" s="19" t="str">
        <f>HYPERLINK("http://codeforces.com/problemset/problem/813/E","CF813-D12-E")</f>
        <v>CF813-D12-E</v>
      </c>
      <c r="B1863" s="15" t="s">
        <v>1111</v>
      </c>
      <c r="C1863" s="17">
        <v>6.25</v>
      </c>
      <c r="D1863" s="26" t="str">
        <f>HYPERLINK("https://github.com/mostafa-saad/MyCompetitiveProgramming/blob/master/Codeforces/CF813-D12-E.txt","Sol")</f>
        <v>Sol</v>
      </c>
      <c r="E1863" s="17" t="s">
        <v>1018</v>
      </c>
      <c r="F1863" s="17" t="s">
        <v>1112</v>
      </c>
      <c r="G1863" s="18"/>
      <c r="H1863" s="18"/>
    </row>
    <row r="1864" spans="1:8" ht="13.2">
      <c r="A1864" s="19" t="str">
        <f>HYPERLINK("http://codeforces.com/contest/425/problem/D","CF425-D1-D")</f>
        <v>CF425-D1-D</v>
      </c>
      <c r="B1864" s="15" t="s">
        <v>188</v>
      </c>
      <c r="C1864" s="17">
        <v>6.25</v>
      </c>
      <c r="D1864" s="18"/>
      <c r="E1864" s="17" t="s">
        <v>125</v>
      </c>
      <c r="F1864" s="17" t="s">
        <v>139</v>
      </c>
      <c r="G1864" s="18"/>
      <c r="H1864" s="18"/>
    </row>
    <row r="1865" spans="1:8" ht="13.2">
      <c r="A1865" s="19" t="str">
        <f>HYPERLINK("https://beta.atcoder.jp/contests/arc092/tasks/arc092_b","Atcoder092-ARC-B")</f>
        <v>Atcoder092-ARC-B</v>
      </c>
      <c r="B1865" s="15" t="s">
        <v>189</v>
      </c>
      <c r="C1865" s="17">
        <v>6.25</v>
      </c>
      <c r="D1865" s="26" t="str">
        <f>HYPERLINK("https://github.com/thackerhelik/AtCoder/blob/master/AtCoder092-ARC-B.cpp","Sol")</f>
        <v>Sol</v>
      </c>
      <c r="E1865" s="17" t="s">
        <v>125</v>
      </c>
      <c r="F1865" s="17" t="s">
        <v>139</v>
      </c>
      <c r="G1865" s="18"/>
      <c r="H1865" s="18"/>
    </row>
    <row r="1866" spans="1:8" ht="13.2">
      <c r="A1866" s="19" t="str">
        <f>HYPERLINK("http://codeforces.com/contest/109/problem/D","CF109-D1-D")</f>
        <v>CF109-D1-D</v>
      </c>
      <c r="B1866" s="28" t="s">
        <v>190</v>
      </c>
      <c r="C1866" s="24">
        <v>6.25</v>
      </c>
      <c r="D1866" s="18"/>
      <c r="E1866" s="24" t="s">
        <v>125</v>
      </c>
      <c r="F1866" s="17" t="s">
        <v>139</v>
      </c>
      <c r="G1866" s="18"/>
      <c r="H1866" s="18"/>
    </row>
    <row r="1867" spans="1:8" ht="13.2">
      <c r="A1867" s="19" t="str">
        <f>HYPERLINK("http://codeforces.com/contest/1004/problem/D","CF1004-D2-D")</f>
        <v>CF1004-D2-D</v>
      </c>
      <c r="B1867" s="15" t="s">
        <v>191</v>
      </c>
      <c r="C1867" s="17">
        <v>6.25</v>
      </c>
      <c r="D1867" s="26" t="str">
        <f>HYPERLINK("https://github.com/IbraheemTuffaha/Competitive-Programming/blob/master/Codeforces/2018-Nov-16/CF1004-D2-D.cpp","Sol")</f>
        <v>Sol</v>
      </c>
      <c r="E1867" s="17" t="s">
        <v>125</v>
      </c>
      <c r="F1867" s="17" t="s">
        <v>139</v>
      </c>
      <c r="G1867" s="18"/>
      <c r="H1867" s="18"/>
    </row>
    <row r="1868" spans="1:8" ht="13.2">
      <c r="A1868" s="19" t="str">
        <f>HYPERLINK("https://www.codechef.com/problems/GPD","CODECHEF GPD")</f>
        <v>CODECHEF GPD</v>
      </c>
      <c r="B1868" s="23" t="s">
        <v>5653</v>
      </c>
      <c r="C1868" s="17">
        <v>6.25</v>
      </c>
      <c r="D1868" s="18"/>
      <c r="E1868" s="17" t="s">
        <v>5643</v>
      </c>
      <c r="F1868" s="17" t="s">
        <v>139</v>
      </c>
      <c r="G1868" s="18"/>
      <c r="H1868" s="18"/>
    </row>
    <row r="1869" spans="1:8" ht="13.2">
      <c r="A1869" s="19" t="str">
        <f>HYPERLINK("https://codeforces.com/contest/808/problem/G","CF808-D12-G")</f>
        <v>CF808-D12-G</v>
      </c>
      <c r="B1869" s="15" t="s">
        <v>5711</v>
      </c>
      <c r="C1869" s="17">
        <v>6.25</v>
      </c>
      <c r="D1869" s="18"/>
      <c r="E1869" s="17" t="s">
        <v>5702</v>
      </c>
      <c r="F1869" s="17" t="s">
        <v>139</v>
      </c>
      <c r="G1869" s="18"/>
      <c r="H1869" s="18"/>
    </row>
    <row r="1870" spans="1:8" ht="13.2">
      <c r="A1870" s="19" t="str">
        <f>HYPERLINK("http://codeforces.com/contest/7/problem/D","CF7-D12-D")</f>
        <v>CF7-D12-D</v>
      </c>
      <c r="B1870" s="15" t="s">
        <v>5860</v>
      </c>
      <c r="C1870" s="17">
        <v>6.25</v>
      </c>
      <c r="D1870" s="18"/>
      <c r="E1870" s="17" t="s">
        <v>5857</v>
      </c>
      <c r="F1870" s="17" t="s">
        <v>139</v>
      </c>
      <c r="G1870" s="18"/>
      <c r="H1870" s="18"/>
    </row>
    <row r="1871" spans="1:8" ht="13.2">
      <c r="A1871" s="19" t="str">
        <f>HYPERLINK("https://codeforces.com/gym/101627/problem/D","CF101627-GYM-D")</f>
        <v>CF101627-GYM-D</v>
      </c>
      <c r="B1871" s="15" t="s">
        <v>5861</v>
      </c>
      <c r="C1871" s="17">
        <v>6.25</v>
      </c>
      <c r="D1871" s="26" t="str">
        <f>HYPERLINK("https://github.com/zoooma13/Competitive-Programming/blob/master/D.%20Math%20Candies.cpp","Sol")</f>
        <v>Sol</v>
      </c>
      <c r="E1871" s="17" t="s">
        <v>5857</v>
      </c>
      <c r="F1871" s="17" t="s">
        <v>139</v>
      </c>
      <c r="G1871" s="18"/>
      <c r="H1871" s="18"/>
    </row>
    <row r="1872" spans="1:8" ht="13.2">
      <c r="A1872" s="19" t="str">
        <f>HYPERLINK("http://codeforces.com/contest/38/problem/G","CF38-D12-G")</f>
        <v>CF38-D12-G</v>
      </c>
      <c r="B1872" s="29" t="s">
        <v>5885</v>
      </c>
      <c r="C1872" s="17">
        <v>6.25</v>
      </c>
      <c r="D1872" s="18"/>
      <c r="E1872" s="17" t="s">
        <v>5874</v>
      </c>
      <c r="F1872" s="17" t="s">
        <v>139</v>
      </c>
      <c r="G1872" s="18"/>
      <c r="H1872" s="18"/>
    </row>
    <row r="1873" spans="1:8" ht="13.2">
      <c r="A1873" s="19" t="str">
        <f>HYPERLINK("http://codeforces.com/contest/558/problem/D","CF558-D2-D")</f>
        <v>CF558-D2-D</v>
      </c>
      <c r="B1873" s="15" t="s">
        <v>5962</v>
      </c>
      <c r="C1873" s="24">
        <v>6.25</v>
      </c>
      <c r="D1873" s="18"/>
      <c r="E1873" s="17" t="s">
        <v>5958</v>
      </c>
      <c r="F1873" s="17" t="s">
        <v>139</v>
      </c>
      <c r="G1873" s="18"/>
      <c r="H1873" s="18"/>
    </row>
    <row r="1874" spans="1:8" ht="13.2">
      <c r="A1874" s="19" t="str">
        <f>HYPERLINK("http://codeforces.com/contest/855/problem/E","CF855-D12-E")</f>
        <v>CF855-D12-E</v>
      </c>
      <c r="B1874" s="15" t="s">
        <v>6124</v>
      </c>
      <c r="C1874" s="17">
        <v>6.25</v>
      </c>
      <c r="D1874" s="18"/>
      <c r="E1874" s="17" t="s">
        <v>6118</v>
      </c>
      <c r="F1874" s="17" t="s">
        <v>139</v>
      </c>
      <c r="G1874" s="18"/>
      <c r="H1874" s="18"/>
    </row>
    <row r="1875" spans="1:8" ht="13.2">
      <c r="A1875" s="15" t="s">
        <v>6192</v>
      </c>
      <c r="B1875" s="28" t="s">
        <v>6193</v>
      </c>
      <c r="C1875" s="24">
        <v>6.25</v>
      </c>
      <c r="D1875" s="26" t="str">
        <f>HYPERLINK("https://github.com/mostafa-saad/MyCompetitiveProgramming/blob/master/SPOJ/SPOJ_TREEISO.txt","Sol")</f>
        <v>Sol</v>
      </c>
      <c r="E1875" s="17" t="s">
        <v>6194</v>
      </c>
      <c r="F1875" s="17" t="s">
        <v>139</v>
      </c>
      <c r="G1875" s="18"/>
      <c r="H1875" s="18"/>
    </row>
    <row r="1876" spans="1:8" ht="13.2">
      <c r="A1876" s="19" t="str">
        <f>HYPERLINK("http://codeforces.com/contest/1062/problem/E", "CF1062-D2-E")</f>
        <v>CF1062-D2-E</v>
      </c>
      <c r="B1876" s="20" t="s">
        <v>1000</v>
      </c>
      <c r="C1876" s="21">
        <v>6.25</v>
      </c>
      <c r="D1876" s="26" t="str">
        <f>HYPERLINK("https://github.com/Huvok/CompetitiveProgramming/blob/master/Codeforces/CF1062-D2-E.cpp","Sol")</f>
        <v>Sol</v>
      </c>
      <c r="E1876" s="17" t="s">
        <v>997</v>
      </c>
      <c r="F1876" s="17" t="s">
        <v>139</v>
      </c>
      <c r="G1876" s="18"/>
      <c r="H1876" s="18"/>
    </row>
    <row r="1877" spans="1:8" ht="13.2">
      <c r="A1877" s="19" t="str">
        <f>HYPERLINK("http://www.codechef.com/problems/QTREE","CODECHEF QTREE")</f>
        <v>CODECHEF QTREE</v>
      </c>
      <c r="B1877" s="29" t="s">
        <v>6314</v>
      </c>
      <c r="C1877" s="40">
        <v>6.25</v>
      </c>
      <c r="D1877" s="18"/>
      <c r="E1877" s="17" t="s">
        <v>6311</v>
      </c>
      <c r="F1877" s="17" t="s">
        <v>139</v>
      </c>
      <c r="G1877" s="18"/>
      <c r="H1877" s="18"/>
    </row>
    <row r="1878" spans="1:8" ht="13.2">
      <c r="A1878" s="19" t="str">
        <f>HYPERLINK("https://www.codechef.com/problems/CYCLRACE","CODECHEF CYCLRACE")</f>
        <v>CODECHEF CYCLRACE</v>
      </c>
      <c r="B1878" s="15" t="s">
        <v>6381</v>
      </c>
      <c r="C1878" s="24">
        <v>6.25</v>
      </c>
      <c r="D1878" s="26" t="str">
        <f>HYPERLINK("https://github.com/quangloc99/CompetitiveProgramming/blob/master/CODECHEF/CYCLRACE.cpp","Sol")</f>
        <v>Sol</v>
      </c>
      <c r="E1878" s="17" t="s">
        <v>6362</v>
      </c>
      <c r="F1878" s="17" t="s">
        <v>139</v>
      </c>
      <c r="G1878" s="18"/>
      <c r="H1878" s="18"/>
    </row>
    <row r="1879" spans="1:8" ht="13.2">
      <c r="A1879" s="19" t="str">
        <f>HYPERLINK("http://codeforces.com/contest/291/problem/E","CF291-D2-E")</f>
        <v>CF291-D2-E</v>
      </c>
      <c r="B1879" s="29" t="s">
        <v>6389</v>
      </c>
      <c r="C1879" s="17">
        <v>6.25</v>
      </c>
      <c r="D1879" s="26" t="str">
        <f>HYPERLINK("https://github.com/jebouin/CompetitiveProgramming/blob/master/CodeForces/CF291-D2-E.cpp","Sol")</f>
        <v>Sol</v>
      </c>
      <c r="E1879" s="17" t="s">
        <v>6390</v>
      </c>
      <c r="F1879" s="17" t="s">
        <v>139</v>
      </c>
      <c r="G1879" s="18"/>
      <c r="H1879" s="18"/>
    </row>
    <row r="1880" spans="1:8" ht="13.2">
      <c r="A1880" s="19" t="str">
        <f>HYPERLINK("https://www.codechef.com/problems/DOCSDEL", "CODECHEF DOCSDEL")</f>
        <v>CODECHEF DOCSDEL</v>
      </c>
      <c r="B1880" s="20" t="s">
        <v>6403</v>
      </c>
      <c r="C1880" s="21">
        <v>6.25</v>
      </c>
      <c r="D1880" s="26" t="str">
        <f>HYPERLINK("https://github.com/tmwilliamlin168/CompetitiveProgramming/blob/master/CodeChef/DOCSDEL.cpp", "Sol")</f>
        <v>Sol</v>
      </c>
      <c r="E1880" s="17" t="s">
        <v>6397</v>
      </c>
      <c r="F1880" s="17" t="s">
        <v>139</v>
      </c>
      <c r="G1880" s="18"/>
      <c r="H1880" s="18"/>
    </row>
    <row r="1881" spans="1:8" ht="13.2">
      <c r="A1881" s="19" t="str">
        <f>HYPERLINK("https://www.codechef.com/problems/CHEFAOR","CODECHEF CHEFAOR")</f>
        <v>CODECHEF CHEFAOR</v>
      </c>
      <c r="B1881" s="15" t="s">
        <v>6418</v>
      </c>
      <c r="C1881" s="17">
        <v>6.25</v>
      </c>
      <c r="D1881" s="26" t="str">
        <f>HYPERLINK("https://github.com/mostafa-saad/MyCompetitiveProgramming/blob/master/CodeChef/CODECHEF-CHEFAOR.txt","Find O(NK) Sol")</f>
        <v>Find O(NK) Sol</v>
      </c>
      <c r="E1881" s="17" t="s">
        <v>6419</v>
      </c>
      <c r="F1881" s="17" t="s">
        <v>139</v>
      </c>
      <c r="G1881" s="18"/>
      <c r="H1881" s="18"/>
    </row>
    <row r="1882" spans="1:8" ht="13.2">
      <c r="A1882" s="19" t="str">
        <f>HYPERLINK("http://codeforces.com/contest/462/problem/E","CF462-D2-E")</f>
        <v>CF462-D2-E</v>
      </c>
      <c r="B1882" s="15" t="s">
        <v>1017</v>
      </c>
      <c r="C1882" s="24">
        <v>6.25</v>
      </c>
      <c r="D1882" s="18"/>
      <c r="E1882" s="17" t="s">
        <v>1018</v>
      </c>
      <c r="F1882" s="17" t="s">
        <v>139</v>
      </c>
      <c r="G1882" s="18"/>
      <c r="H1882" s="18"/>
    </row>
    <row r="1883" spans="1:8" ht="13.2">
      <c r="A1883" s="19" t="str">
        <f>HYPERLINK("http://codeforces.com/contest/121/problem/E","CF121-D1-E")</f>
        <v>CF121-D1-E</v>
      </c>
      <c r="B1883" s="29" t="s">
        <v>1113</v>
      </c>
      <c r="C1883" s="17">
        <v>6.25</v>
      </c>
      <c r="D1883" s="18"/>
      <c r="E1883" s="17" t="s">
        <v>1018</v>
      </c>
      <c r="F1883" s="17" t="s">
        <v>139</v>
      </c>
      <c r="G1883" s="18"/>
      <c r="H1883" s="18"/>
    </row>
    <row r="1884" spans="1:8" ht="13.2">
      <c r="A1884" s="19" t="str">
        <f>HYPERLINK("https://codeforces.com/contest/1093/problem/G","CF1023-D12-G")</f>
        <v>CF1023-D12-G</v>
      </c>
      <c r="B1884" s="15" t="s">
        <v>1114</v>
      </c>
      <c r="C1884" s="17">
        <v>6.25</v>
      </c>
      <c r="D1884" s="18" t="s">
        <v>1115</v>
      </c>
      <c r="E1884" s="17" t="s">
        <v>1018</v>
      </c>
      <c r="F1884" s="17" t="s">
        <v>139</v>
      </c>
      <c r="G1884" s="18"/>
      <c r="H1884" s="18"/>
    </row>
    <row r="1885" spans="1:8" ht="13.2">
      <c r="A1885" s="19" t="str">
        <f>HYPERLINK("https://codeforces.com/contest/1093/problem/G","CF1093-D12-G")</f>
        <v>CF1093-D12-G</v>
      </c>
      <c r="B1885" s="15" t="s">
        <v>1116</v>
      </c>
      <c r="C1885" s="17">
        <v>6.25</v>
      </c>
      <c r="D1885" s="26" t="str">
        <f>HYPERLINK("https://codeforces.com/contest/1093/submission/47602077","Sol")</f>
        <v>Sol</v>
      </c>
      <c r="E1885" s="17" t="s">
        <v>1018</v>
      </c>
      <c r="F1885" s="17" t="s">
        <v>139</v>
      </c>
      <c r="G1885" s="18"/>
      <c r="H1885" s="18"/>
    </row>
    <row r="1886" spans="1:8" ht="13.2">
      <c r="A1886" s="15" t="s">
        <v>1117</v>
      </c>
      <c r="B1886" s="28" t="s">
        <v>1118</v>
      </c>
      <c r="C1886" s="24">
        <v>6.25</v>
      </c>
      <c r="D1886" s="26" t="str">
        <f>HYPERLINK("https://github.com/mostafa-saad/MyCompetitiveProgramming/blob/master/SPOJ/SPOJ_MKTHNUM.txt","Learn Persistent segment tree")</f>
        <v>Learn Persistent segment tree</v>
      </c>
      <c r="E1886" s="17" t="s">
        <v>1018</v>
      </c>
      <c r="F1886" s="17" t="s">
        <v>139</v>
      </c>
      <c r="G1886" s="18"/>
      <c r="H1886" s="18"/>
    </row>
    <row r="1887" spans="1:8" ht="13.2">
      <c r="A1887" s="19" t="str">
        <f>HYPERLINK("http://codeforces.com/contest/739/problem/C","CF739-D1-C")</f>
        <v>CF739-D1-C</v>
      </c>
      <c r="B1887" s="18" t="s">
        <v>1119</v>
      </c>
      <c r="C1887" s="24">
        <v>6.25</v>
      </c>
      <c r="D1887" s="18"/>
      <c r="E1887" s="17" t="s">
        <v>1018</v>
      </c>
      <c r="F1887" s="17" t="s">
        <v>139</v>
      </c>
      <c r="G1887" s="18"/>
      <c r="H1887" s="18"/>
    </row>
    <row r="1888" spans="1:8" ht="13.2">
      <c r="A1888" s="19" t="str">
        <f>HYPERLINK("https://www.hackerearth.com/problem/algorithm/berland-programming-contests-9c8b5165/description/","HACKER berland-programming-contests-9c8b5165")</f>
        <v>HACKER berland-programming-contests-9c8b5165</v>
      </c>
      <c r="B1888" s="15" t="s">
        <v>6444</v>
      </c>
      <c r="C1888" s="17">
        <v>6.25</v>
      </c>
      <c r="D1888" s="18"/>
      <c r="E1888" s="17" t="s">
        <v>6441</v>
      </c>
      <c r="F1888" s="17" t="s">
        <v>139</v>
      </c>
      <c r="G1888" s="18"/>
      <c r="H1888" s="18"/>
    </row>
    <row r="1889" spans="1:8" ht="13.2">
      <c r="A1889" s="19" t="str">
        <f>HYPERLINK("https://codeforces.com/contest/1092/problem/F","CF1092-D3-F")</f>
        <v>CF1092-D3-F</v>
      </c>
      <c r="B1889" s="20" t="s">
        <v>6478</v>
      </c>
      <c r="C1889" s="21">
        <v>6.25</v>
      </c>
      <c r="D1889" s="18"/>
      <c r="E1889" s="17" t="s">
        <v>6459</v>
      </c>
      <c r="F1889" s="17" t="s">
        <v>139</v>
      </c>
      <c r="G1889" s="18"/>
      <c r="H1889" s="18"/>
    </row>
    <row r="1890" spans="1:8" ht="13.2">
      <c r="A1890" s="19" t="str">
        <f>HYPERLINK("https://codeforces.com/contest/1206/problem/E","CF1206-D2-E")</f>
        <v>CF1206-D2-E</v>
      </c>
      <c r="B1890" s="23" t="s">
        <v>1448</v>
      </c>
      <c r="C1890" s="17">
        <v>6.25</v>
      </c>
      <c r="D1890" s="18"/>
      <c r="E1890" s="17" t="s">
        <v>1337</v>
      </c>
      <c r="F1890" s="17" t="s">
        <v>139</v>
      </c>
      <c r="G1890" s="18"/>
      <c r="H1890" s="18"/>
    </row>
    <row r="1891" spans="1:8" ht="13.2">
      <c r="A1891" s="19" t="str">
        <f>HYPERLINK("https://codeforces.com/contest/1178/problem/F1","CF1178-D12-F1")</f>
        <v>CF1178-D12-F1</v>
      </c>
      <c r="B1891" s="15" t="s">
        <v>1346</v>
      </c>
      <c r="C1891" s="17">
        <v>6.25</v>
      </c>
      <c r="D1891" s="18"/>
      <c r="E1891" s="17" t="s">
        <v>1337</v>
      </c>
      <c r="F1891" s="17" t="s">
        <v>139</v>
      </c>
      <c r="G1891" s="18"/>
      <c r="H1891" s="18"/>
    </row>
    <row r="1892" spans="1:8" ht="13.2">
      <c r="A1892" s="19" t="str">
        <f>HYPERLINK("https://codeforces.com/contest/1105/problem/E","CF1105-D2-E")</f>
        <v>CF1105-D2-E</v>
      </c>
      <c r="B1892" s="23" t="s">
        <v>1449</v>
      </c>
      <c r="C1892" s="17">
        <v>6.25</v>
      </c>
      <c r="D1892" s="18"/>
      <c r="E1892" s="17" t="s">
        <v>1337</v>
      </c>
      <c r="F1892" s="17" t="s">
        <v>139</v>
      </c>
      <c r="G1892" s="18"/>
      <c r="H1892" s="18"/>
    </row>
    <row r="1893" spans="1:8" ht="13.2">
      <c r="A1893" s="19" t="str">
        <f>HYPERLINK("http://codeforces.com/contest/569/problem/D","CF569-D2-D")</f>
        <v>CF569-D2-D</v>
      </c>
      <c r="B1893" s="29" t="s">
        <v>1450</v>
      </c>
      <c r="C1893" s="17">
        <v>6.25</v>
      </c>
      <c r="D1893" s="18"/>
      <c r="E1893" s="17" t="s">
        <v>1337</v>
      </c>
      <c r="F1893" s="17" t="s">
        <v>139</v>
      </c>
      <c r="G1893" s="18"/>
      <c r="H1893" s="18"/>
    </row>
    <row r="1894" spans="1:8" ht="13.2">
      <c r="A1894" s="19" t="str">
        <f>HYPERLINK("https://codeforces.com/gym/102190/attachments","CF102190-GYM-B")</f>
        <v>CF102190-GYM-B</v>
      </c>
      <c r="B1894" s="15" t="s">
        <v>1702</v>
      </c>
      <c r="C1894" s="17">
        <v>6.25</v>
      </c>
      <c r="D1894" s="26" t="str">
        <f>HYPERLINK("https://github.com/mostafa-saad/MyCompetitiveProgramming/blob/master/Codeforces/CF102190-GYM-B.txt","Sol")</f>
        <v>Sol</v>
      </c>
      <c r="E1894" s="17" t="s">
        <v>1691</v>
      </c>
      <c r="F1894" s="17" t="s">
        <v>139</v>
      </c>
      <c r="G1894" s="18"/>
      <c r="H1894" s="18"/>
    </row>
    <row r="1895" spans="1:8" ht="13.2">
      <c r="A1895" s="19" t="str">
        <f>HYPERLINK("http://codeforces.com/contest/351/problem/C", "CF351-D1-C")</f>
        <v>CF351-D1-C</v>
      </c>
      <c r="B1895" s="20" t="s">
        <v>1720</v>
      </c>
      <c r="C1895" s="21">
        <v>6.25</v>
      </c>
      <c r="D1895" s="26" t="str">
        <f>HYPERLINK("https://github.com/tmwilliamlin168/CompetitiveProgramming/blob/master/CodeForces/0351C.cpp", "Sol")</f>
        <v>Sol</v>
      </c>
      <c r="E1895" s="17" t="s">
        <v>1716</v>
      </c>
      <c r="F1895" s="17" t="s">
        <v>139</v>
      </c>
      <c r="G1895" s="18"/>
      <c r="H1895" s="18"/>
    </row>
    <row r="1896" spans="1:8" ht="13.2">
      <c r="A1896" s="19" t="str">
        <f>HYPERLINK("http://codeforces.com/contest/868/problem/D","CF868-D2-D")</f>
        <v>CF868-D2-D</v>
      </c>
      <c r="B1896" s="15" t="s">
        <v>359</v>
      </c>
      <c r="C1896" s="17">
        <v>6.25</v>
      </c>
      <c r="D1896" s="18"/>
      <c r="E1896" s="17" t="s">
        <v>332</v>
      </c>
      <c r="F1896" s="17" t="s">
        <v>139</v>
      </c>
      <c r="G1896" s="18"/>
      <c r="H1896" s="18"/>
    </row>
    <row r="1897" spans="1:8" ht="13.2">
      <c r="A1897" s="19" t="str">
        <f>HYPERLINK("http://codeforces.com/contest/835/problem/E","CF835-D2-E")</f>
        <v>CF835-D2-E</v>
      </c>
      <c r="B1897" s="15" t="s">
        <v>366</v>
      </c>
      <c r="C1897" s="17">
        <v>6.25</v>
      </c>
      <c r="D1897" s="18"/>
      <c r="E1897" s="17" t="s">
        <v>332</v>
      </c>
      <c r="F1897" s="17" t="s">
        <v>139</v>
      </c>
      <c r="G1897" s="18"/>
      <c r="H1897" s="18"/>
    </row>
    <row r="1898" spans="1:8" ht="13.2">
      <c r="A1898" s="19" t="str">
        <f>HYPERLINK("https://codeforces.com/contest/378/problem/E","CF378-D2-E")</f>
        <v>CF378-D2-E</v>
      </c>
      <c r="B1898" s="20" t="s">
        <v>1818</v>
      </c>
      <c r="C1898" s="21">
        <v>6.25</v>
      </c>
      <c r="D1898" s="18"/>
      <c r="E1898" s="17" t="s">
        <v>1819</v>
      </c>
      <c r="F1898" s="17" t="s">
        <v>139</v>
      </c>
      <c r="G1898" s="18"/>
      <c r="H1898" s="18"/>
    </row>
    <row r="1899" spans="1:8" ht="13.2">
      <c r="A1899" s="19" t="str">
        <f>HYPERLINK("https://www.hackerrank.com/contests/hack-the-interview-u-s-2/challenges/charity","HACKR charity")</f>
        <v>HACKR charity</v>
      </c>
      <c r="B1899" s="15" t="s">
        <v>1818</v>
      </c>
      <c r="C1899" s="17">
        <v>6.25</v>
      </c>
      <c r="D1899" s="18"/>
      <c r="E1899" s="17" t="s">
        <v>1819</v>
      </c>
      <c r="F1899" s="17" t="s">
        <v>139</v>
      </c>
      <c r="G1899" s="18"/>
      <c r="H1899" s="18"/>
    </row>
    <row r="1900" spans="1:8" ht="13.2">
      <c r="A1900" s="19" t="str">
        <f>HYPERLINK("http://codeforces.com/contest/907/problem/E","CF907-D2-E")</f>
        <v>CF907-D2-E</v>
      </c>
      <c r="B1900" s="15" t="s">
        <v>1844</v>
      </c>
      <c r="C1900" s="17">
        <v>6.25</v>
      </c>
      <c r="D1900" s="26" t="str">
        <f>HYPERLINK("https://github.com/goswami-rahul/competitive-coding/blob/master/CompetitiveProgramming/codeforces/CF907-D2-E.cpp","Sol")</f>
        <v>Sol</v>
      </c>
      <c r="E1900" s="17" t="s">
        <v>1819</v>
      </c>
      <c r="F1900" s="17" t="s">
        <v>139</v>
      </c>
      <c r="G1900" s="18"/>
      <c r="H1900" s="18"/>
    </row>
    <row r="1901" spans="1:8" ht="13.2">
      <c r="A1901" s="19" t="str">
        <f>HYPERLINK("http://codeforces.com/contest/602/problem/E","CF602-D2-E")</f>
        <v>CF602-D2-E</v>
      </c>
      <c r="B1901" s="29" t="s">
        <v>2076</v>
      </c>
      <c r="C1901" s="17">
        <v>6.25</v>
      </c>
      <c r="D1901" s="18"/>
      <c r="E1901" s="17" t="s">
        <v>2074</v>
      </c>
      <c r="F1901" s="17" t="s">
        <v>139</v>
      </c>
      <c r="G1901" s="18"/>
      <c r="H1901" s="18"/>
    </row>
    <row r="1902" spans="1:8" ht="13.2">
      <c r="A1902" s="19" t="str">
        <f>HYPERLINK("http://codeforces.com/contest/799/problem/E","CF799-D12-E")</f>
        <v>CF799-D12-E</v>
      </c>
      <c r="B1902" s="15" t="s">
        <v>2163</v>
      </c>
      <c r="C1902" s="17">
        <v>6.25</v>
      </c>
      <c r="D1902" s="18"/>
      <c r="E1902" s="17" t="s">
        <v>2153</v>
      </c>
      <c r="F1902" s="17" t="s">
        <v>139</v>
      </c>
      <c r="G1902" s="18"/>
      <c r="H1902" s="18"/>
    </row>
    <row r="1903" spans="1:8" ht="13.2">
      <c r="A1903" s="19" t="str">
        <f>HYPERLINK("https://codeforces.com/contest/1132/problem/E","CF1132-D12-E")</f>
        <v>CF1132-D12-E</v>
      </c>
      <c r="B1903" s="15" t="s">
        <v>2190</v>
      </c>
      <c r="C1903" s="17">
        <v>6.25</v>
      </c>
      <c r="D1903" s="18" t="s">
        <v>2160</v>
      </c>
      <c r="E1903" s="17" t="s">
        <v>2153</v>
      </c>
      <c r="F1903" s="17" t="s">
        <v>139</v>
      </c>
      <c r="G1903" s="18"/>
      <c r="H1903" s="18"/>
    </row>
    <row r="1904" spans="1:8" ht="13.2">
      <c r="A1904" s="19" t="str">
        <f>HYPERLINK("https://codeforces.com/contest/1059/problem/E","CF1059-D2-E")</f>
        <v>CF1059-D2-E</v>
      </c>
      <c r="B1904" s="15" t="s">
        <v>2191</v>
      </c>
      <c r="C1904" s="17">
        <v>6.25</v>
      </c>
      <c r="D1904" s="18"/>
      <c r="E1904" s="17" t="s">
        <v>2153</v>
      </c>
      <c r="F1904" s="17" t="s">
        <v>139</v>
      </c>
      <c r="G1904" s="18"/>
      <c r="H1904" s="18"/>
    </row>
    <row r="1905" spans="1:8" ht="13.2">
      <c r="A1905" s="19" t="str">
        <f>HYPERLINK("http://codeforces.com/contest/404/problem/E","CF404-D2-E")</f>
        <v>CF404-D2-E</v>
      </c>
      <c r="B1905" s="15" t="s">
        <v>2192</v>
      </c>
      <c r="C1905" s="24">
        <v>6.25</v>
      </c>
      <c r="D1905" s="18"/>
      <c r="E1905" s="17" t="s">
        <v>2153</v>
      </c>
      <c r="F1905" s="17" t="s">
        <v>139</v>
      </c>
      <c r="G1905" s="18"/>
      <c r="H1905" s="18"/>
    </row>
    <row r="1906" spans="1:8" ht="13.2">
      <c r="A1906" s="19" t="str">
        <f>HYPERLINK("https://atcoder.jp/contests/abc143/tasks/abc143_f","AtCoder143-ABC-F")</f>
        <v>AtCoder143-ABC-F</v>
      </c>
      <c r="B1906" s="20" t="s">
        <v>2193</v>
      </c>
      <c r="C1906" s="21">
        <v>6.25</v>
      </c>
      <c r="D1906" s="18" t="s">
        <v>2194</v>
      </c>
      <c r="E1906" s="17" t="s">
        <v>2153</v>
      </c>
      <c r="F1906" s="17" t="s">
        <v>139</v>
      </c>
      <c r="G1906" s="18"/>
      <c r="H1906" s="18"/>
    </row>
    <row r="1907" spans="1:8" ht="13.2">
      <c r="A1907" s="15" t="s">
        <v>2195</v>
      </c>
      <c r="B1907" s="41" t="s">
        <v>2196</v>
      </c>
      <c r="C1907" s="17">
        <v>6.25</v>
      </c>
      <c r="D1907" s="18"/>
      <c r="E1907" s="17" t="s">
        <v>2153</v>
      </c>
      <c r="F1907" s="17" t="s">
        <v>139</v>
      </c>
      <c r="G1907" s="18"/>
      <c r="H1907" s="18"/>
    </row>
    <row r="1908" spans="1:8" ht="13.2">
      <c r="A1908" s="15" t="s">
        <v>2197</v>
      </c>
      <c r="B1908" s="34" t="s">
        <v>2198</v>
      </c>
      <c r="C1908" s="31">
        <v>6.25</v>
      </c>
      <c r="D1908" s="18"/>
      <c r="E1908" s="17" t="s">
        <v>2153</v>
      </c>
      <c r="F1908" s="17" t="s">
        <v>139</v>
      </c>
      <c r="G1908" s="18"/>
      <c r="H1908" s="18"/>
    </row>
    <row r="1909" spans="1:8" ht="13.2">
      <c r="A1909" s="19" t="str">
        <f>HYPERLINK("https://codeforces.com/problemset/problem/996/E","CF996-D2-E")</f>
        <v>CF996-D2-E</v>
      </c>
      <c r="B1909" s="23" t="s">
        <v>2199</v>
      </c>
      <c r="C1909" s="17">
        <v>6.25</v>
      </c>
      <c r="D1909" s="18"/>
      <c r="E1909" s="17" t="s">
        <v>2153</v>
      </c>
      <c r="F1909" s="17" t="s">
        <v>139</v>
      </c>
      <c r="G1909" s="18"/>
      <c r="H1909" s="18"/>
    </row>
    <row r="1910" spans="1:8" ht="13.2">
      <c r="A1910" s="19" t="str">
        <f>HYPERLINK("https://atcoder.jp/contests/agc030/tasks/agc030_b","AtCoder030-AGC-B")</f>
        <v>AtCoder030-AGC-B</v>
      </c>
      <c r="B1910" s="15" t="s">
        <v>2200</v>
      </c>
      <c r="C1910" s="17">
        <v>6.25</v>
      </c>
      <c r="D1910" s="18"/>
      <c r="E1910" s="17" t="s">
        <v>2153</v>
      </c>
      <c r="F1910" s="17" t="s">
        <v>139</v>
      </c>
      <c r="G1910" s="18"/>
      <c r="H1910" s="18"/>
    </row>
    <row r="1911" spans="1:8" ht="13.2">
      <c r="A1911" s="15" t="s">
        <v>2201</v>
      </c>
      <c r="B1911" s="29" t="s">
        <v>2202</v>
      </c>
      <c r="C1911" s="17">
        <v>6.25</v>
      </c>
      <c r="D1911" s="18"/>
      <c r="E1911" s="24" t="s">
        <v>2153</v>
      </c>
      <c r="F1911" s="17" t="s">
        <v>139</v>
      </c>
      <c r="G1911" s="18"/>
      <c r="H1911" s="18"/>
    </row>
    <row r="1912" spans="1:8" ht="13.2">
      <c r="A1912" s="15" t="s">
        <v>2479</v>
      </c>
      <c r="B1912" s="29" t="s">
        <v>2480</v>
      </c>
      <c r="C1912" s="17">
        <v>6.25</v>
      </c>
      <c r="D1912" s="26" t="str">
        <f>HYPERLINK("https://github.com/mostafa-saad/MyCompetitiveProgramming/blob/master/UVA/UVA_11840.txt","Sol")</f>
        <v>Sol</v>
      </c>
      <c r="E1912" s="17" t="s">
        <v>2467</v>
      </c>
      <c r="F1912" s="17" t="s">
        <v>139</v>
      </c>
      <c r="G1912" s="18"/>
      <c r="H1912" s="18"/>
    </row>
    <row r="1913" spans="1:8" ht="13.2">
      <c r="A1913" s="15" t="s">
        <v>2481</v>
      </c>
      <c r="B1913" s="39" t="s">
        <v>2482</v>
      </c>
      <c r="C1913" s="17">
        <v>6.25</v>
      </c>
      <c r="D1913" s="26" t="str">
        <f>HYPERLINK("https://github.com/arvindr9/CompetitiveProgramming/blob/master/TopCoder/SRM389-D1-1000.cpp","Sol")</f>
        <v>Sol</v>
      </c>
      <c r="E1913" s="17" t="s">
        <v>2467</v>
      </c>
      <c r="F1913" s="17" t="s">
        <v>139</v>
      </c>
      <c r="G1913" s="18"/>
      <c r="H1913" s="18"/>
    </row>
    <row r="1914" spans="1:8" ht="13.2">
      <c r="A1914" s="15" t="s">
        <v>2628</v>
      </c>
      <c r="B1914" s="16" t="s">
        <v>2629</v>
      </c>
      <c r="C1914" s="17">
        <v>6.25</v>
      </c>
      <c r="D1914" s="18"/>
      <c r="E1914" s="17" t="s">
        <v>2510</v>
      </c>
      <c r="F1914" s="17" t="s">
        <v>139</v>
      </c>
      <c r="G1914" s="18"/>
      <c r="H1914" s="18"/>
    </row>
    <row r="1915" spans="1:8" ht="13.2">
      <c r="A1915" s="15" t="s">
        <v>2832</v>
      </c>
      <c r="B1915" s="15" t="s">
        <v>2833</v>
      </c>
      <c r="C1915" s="24">
        <v>6.25</v>
      </c>
      <c r="D1915" s="26" t="str">
        <f>HYPERLINK("https://github.com/mostafa-saad/MyCompetitiveProgramming/blob/master/UVA/UVA_10792.txt","Sol")</f>
        <v>Sol</v>
      </c>
      <c r="E1915" s="17" t="s">
        <v>2798</v>
      </c>
      <c r="F1915" s="17" t="s">
        <v>139</v>
      </c>
      <c r="G1915" s="18"/>
      <c r="H1915" s="18"/>
    </row>
    <row r="1916" spans="1:8" ht="13.2">
      <c r="A1916" s="15" t="s">
        <v>2895</v>
      </c>
      <c r="B1916" s="30" t="s">
        <v>2896</v>
      </c>
      <c r="C1916" s="24">
        <v>6.25</v>
      </c>
      <c r="D1916" s="26" t="str">
        <f>HYPERLINK("https://github.com/mostafa-saad/MyCompetitiveProgramming/blob/master/TopCoder/SRM355-D1-500.txt","Sol")</f>
        <v>Sol</v>
      </c>
      <c r="E1916" s="24" t="s">
        <v>2865</v>
      </c>
      <c r="F1916" s="17" t="s">
        <v>139</v>
      </c>
      <c r="G1916" s="18"/>
      <c r="H1916" s="18"/>
    </row>
    <row r="1917" spans="1:8" ht="13.2">
      <c r="A1917" s="19" t="str">
        <f>HYPERLINK("https://codeforces.com/gym/100488/problem/L","CF100488-GYM-L")</f>
        <v>CF100488-GYM-L</v>
      </c>
      <c r="B1917" s="23" t="s">
        <v>587</v>
      </c>
      <c r="C1917" s="17">
        <v>6.25</v>
      </c>
      <c r="D1917" s="26" t="str">
        <f>HYPERLINK("https://github.com/mostafa-saad/MyCompetitiveProgramming/blob/master/Codeforces/CF100488-GYM-L.txt","Sol")</f>
        <v>Sol</v>
      </c>
      <c r="E1917" s="17" t="s">
        <v>575</v>
      </c>
      <c r="F1917" s="17" t="s">
        <v>139</v>
      </c>
      <c r="G1917" s="18"/>
      <c r="H1917" s="18"/>
    </row>
    <row r="1918" spans="1:8" ht="13.2">
      <c r="A1918" s="19" t="str">
        <f>HYPERLINK("http://codeforces.com/contest/707/problem/E","CF707-D2-E")</f>
        <v>CF707-D2-E</v>
      </c>
      <c r="B1918" s="29" t="s">
        <v>588</v>
      </c>
      <c r="C1918" s="17">
        <v>6.25</v>
      </c>
      <c r="D1918" s="18"/>
      <c r="E1918" s="17" t="s">
        <v>575</v>
      </c>
      <c r="F1918" s="17" t="s">
        <v>139</v>
      </c>
      <c r="G1918" s="18"/>
      <c r="H1918" s="18"/>
    </row>
    <row r="1919" spans="1:8" ht="13.2">
      <c r="A1919" s="19" t="str">
        <f>HYPERLINK("http://codeforces.com/contest/500/problem/E","CF500-D12-E")</f>
        <v>CF500-D12-E</v>
      </c>
      <c r="B1919" s="15" t="s">
        <v>589</v>
      </c>
      <c r="C1919" s="17">
        <v>6.25</v>
      </c>
      <c r="D1919" s="26" t="str">
        <f>HYPERLINK("https://github.com/miguelAlessandro/CompetitiveProgramming/blob/master/codeforces/CF500-D12-E.cpp","Sol. Read the 2 editorials")</f>
        <v>Sol. Read the 2 editorials</v>
      </c>
      <c r="E1919" s="17" t="s">
        <v>575</v>
      </c>
      <c r="F1919" s="17" t="s">
        <v>139</v>
      </c>
      <c r="G1919" s="18"/>
      <c r="H1919" s="18"/>
    </row>
    <row r="1920" spans="1:8" ht="13.2">
      <c r="A1920" s="19" t="str">
        <f>HYPERLINK("https://codeforces.com/contest/875/problem/D", "CF875-D1-D")</f>
        <v>CF875-D1-D</v>
      </c>
      <c r="B1920" s="15" t="s">
        <v>590</v>
      </c>
      <c r="C1920" s="17">
        <v>6.25</v>
      </c>
      <c r="D1920" s="18"/>
      <c r="E1920" s="17" t="s">
        <v>575</v>
      </c>
      <c r="F1920" s="17" t="s">
        <v>139</v>
      </c>
      <c r="G1920" s="18"/>
      <c r="H1920" s="18"/>
    </row>
    <row r="1921" spans="1:8" ht="13.2">
      <c r="A1921" s="19" t="str">
        <f>HYPERLINK("http://codeforces.com/contest/1074/problem/C","CF1075-D2-E")</f>
        <v>CF1075-D2-E</v>
      </c>
      <c r="B1921" s="20" t="s">
        <v>3007</v>
      </c>
      <c r="C1921" s="21">
        <v>6.25</v>
      </c>
      <c r="D1921" s="18"/>
      <c r="E1921" s="17" t="s">
        <v>2948</v>
      </c>
      <c r="F1921" s="17" t="s">
        <v>139</v>
      </c>
      <c r="G1921" s="18"/>
      <c r="H1921" s="18"/>
    </row>
    <row r="1922" spans="1:8" ht="13.2">
      <c r="A1922" s="15" t="s">
        <v>3174</v>
      </c>
      <c r="B1922" s="18" t="s">
        <v>3139</v>
      </c>
      <c r="C1922" s="17">
        <v>6.25</v>
      </c>
      <c r="D1922" s="26" t="str">
        <f>HYPERLINK("https://github.com/mostafa-saad/MyCompetitiveProgramming/blob/master/UVA/UVA_1468.txt","Sol")</f>
        <v>Sol</v>
      </c>
      <c r="E1922" s="17" t="s">
        <v>3140</v>
      </c>
      <c r="F1922" s="17" t="s">
        <v>139</v>
      </c>
      <c r="G1922" s="18"/>
      <c r="H1922" s="18"/>
    </row>
    <row r="1923" spans="1:8" ht="13.2">
      <c r="A1923" s="19" t="str">
        <f>HYPERLINK("https://onlinejudge.org/index.php?option=com_onlinejudge&amp;Itemid=8&amp;category=117&amp;page=show_problem&amp;problem=2751","UVA 11704")</f>
        <v>UVA 11704</v>
      </c>
      <c r="B1923" s="28" t="s">
        <v>3175</v>
      </c>
      <c r="C1923" s="17">
        <v>6.25</v>
      </c>
      <c r="D1923" s="26" t="str">
        <f>HYPERLINK("https://github.com/DrSchwad/CompetitiveProgramming/blob/master/UVA/UVA%2011704.cpp","Sol")</f>
        <v>Sol</v>
      </c>
      <c r="E1923" s="17" t="s">
        <v>3140</v>
      </c>
      <c r="F1923" s="17" t="s">
        <v>139</v>
      </c>
      <c r="G1923" s="18"/>
      <c r="H1923" s="18"/>
    </row>
    <row r="1924" spans="1:8" ht="13.2">
      <c r="A1924" s="19" t="str">
        <f>HYPERLINK("https://csacademy.com/contest/round-67/task/falling-balls/","CSA67-D")</f>
        <v>CSA67-D</v>
      </c>
      <c r="B1924" s="15" t="s">
        <v>3176</v>
      </c>
      <c r="C1924" s="17">
        <v>6.25</v>
      </c>
      <c r="D1924" s="18"/>
      <c r="E1924" s="17" t="s">
        <v>3140</v>
      </c>
      <c r="F1924" s="17" t="s">
        <v>139</v>
      </c>
      <c r="G1924" s="18"/>
      <c r="H1924" s="18"/>
    </row>
    <row r="1925" spans="1:8" ht="13.2">
      <c r="A1925" s="19" t="str">
        <f>HYPERLINK("https://codeforces.com/contest/1243/problem/E","CF1243-D2-E")</f>
        <v>CF1243-D2-E</v>
      </c>
      <c r="B1925" s="20" t="s">
        <v>3326</v>
      </c>
      <c r="C1925" s="17">
        <v>6.25</v>
      </c>
      <c r="D1925" s="26" t="str">
        <f>HYPERLINK("https://github.com/farmerboy95/CompetitiveProgramming/blob/master/Codeforces/CF1242-D1-C.cpp","Sol")</f>
        <v>Sol</v>
      </c>
      <c r="E1925" s="17" t="s">
        <v>3257</v>
      </c>
      <c r="F1925" s="17" t="s">
        <v>139</v>
      </c>
      <c r="G1925" s="18"/>
      <c r="H1925" s="18"/>
    </row>
    <row r="1926" spans="1:8" ht="13.2">
      <c r="A1926" s="15" t="s">
        <v>3327</v>
      </c>
      <c r="B1926" s="34" t="s">
        <v>3328</v>
      </c>
      <c r="C1926" s="33">
        <v>6.25</v>
      </c>
      <c r="D1926" s="18" t="s">
        <v>3329</v>
      </c>
      <c r="E1926" s="17" t="s">
        <v>3257</v>
      </c>
      <c r="F1926" s="17" t="s">
        <v>139</v>
      </c>
      <c r="G1926" s="18"/>
      <c r="H1926" s="18"/>
    </row>
    <row r="1927" spans="1:8" ht="13.2">
      <c r="A1927" s="19" t="str">
        <f>HYPERLINK("http://codeforces.com/contest/1037/problem/E","CF1037-D12-E")</f>
        <v>CF1037-D12-E</v>
      </c>
      <c r="B1927" s="20" t="s">
        <v>3500</v>
      </c>
      <c r="C1927" s="21">
        <v>6.25</v>
      </c>
      <c r="D1927" s="18"/>
      <c r="E1927" s="17" t="s">
        <v>3467</v>
      </c>
      <c r="F1927" s="17" t="s">
        <v>139</v>
      </c>
      <c r="G1927" s="18"/>
      <c r="H1927" s="18"/>
    </row>
    <row r="1928" spans="1:8" ht="13.2">
      <c r="A1928" s="19" t="str">
        <f>HYPERLINK("http://codeforces.com/contest/686/problem/D","CF686-D2-D")</f>
        <v>CF686-D2-D</v>
      </c>
      <c r="B1928" s="29" t="s">
        <v>3700</v>
      </c>
      <c r="C1928" s="17">
        <v>6.25</v>
      </c>
      <c r="D1928" s="18" t="s">
        <v>3701</v>
      </c>
      <c r="E1928" s="17" t="s">
        <v>3650</v>
      </c>
      <c r="F1928" s="17" t="s">
        <v>139</v>
      </c>
      <c r="G1928" s="18"/>
      <c r="H1928" s="18"/>
    </row>
    <row r="1929" spans="1:8" ht="13.2">
      <c r="A1929" s="19" t="str">
        <f>HYPERLINK("http://poj.org/problem?id=3308","PKU 3308")</f>
        <v>PKU 3308</v>
      </c>
      <c r="B1929" s="28" t="s">
        <v>4098</v>
      </c>
      <c r="C1929" s="24">
        <v>6.25</v>
      </c>
      <c r="D1929" s="26" t="str">
        <f>HYPERLINK("https://github.com/mostafa-saad/MyCompetitiveProgramming/blob/master/PKU/PKU_3308.txt","Sol")</f>
        <v>Sol</v>
      </c>
      <c r="E1929" s="17" t="s">
        <v>4060</v>
      </c>
      <c r="F1929" s="17" t="s">
        <v>139</v>
      </c>
      <c r="G1929" s="18"/>
      <c r="H1929" s="18"/>
    </row>
    <row r="1930" spans="1:8" ht="13.2">
      <c r="A1930" s="19" t="str">
        <f>HYPERLINK("https://www.spoj.com/problems/ADAPATH/","SPOJ ADAPATH")</f>
        <v>SPOJ ADAPATH</v>
      </c>
      <c r="B1930" s="15" t="s">
        <v>4149</v>
      </c>
      <c r="C1930" s="17">
        <v>6.25</v>
      </c>
      <c r="D1930" s="26" t="str">
        <f>HYPERLINK("https://github.com/goswami-rahul/competitive-coding/blob/master/CompetitiveProgramming/spoj/ADAPATH.cpp","Sol")</f>
        <v>Sol</v>
      </c>
      <c r="E1930" s="17" t="s">
        <v>4144</v>
      </c>
      <c r="F1930" s="17" t="s">
        <v>139</v>
      </c>
      <c r="G1930" s="18"/>
      <c r="H1930" s="18"/>
    </row>
    <row r="1931" spans="1:8" ht="13.2">
      <c r="A1931" s="19" t="str">
        <f>HYPERLINK("https://codeforces.com/contest/1250/problem/N","CF1250-D12-N")</f>
        <v>CF1250-D12-N</v>
      </c>
      <c r="B1931" s="20" t="s">
        <v>4414</v>
      </c>
      <c r="C1931" s="21">
        <v>6.25</v>
      </c>
      <c r="D1931" s="18" t="s">
        <v>1166</v>
      </c>
      <c r="E1931" s="17" t="s">
        <v>4411</v>
      </c>
      <c r="F1931" s="17" t="s">
        <v>139</v>
      </c>
      <c r="G1931" s="18"/>
      <c r="H1931" s="18"/>
    </row>
    <row r="1932" spans="1:8" ht="13.2">
      <c r="A1932" s="19" t="str">
        <f>HYPERLINK("http://codeforces.com/contest/466/problem/E","CF466-D2-E")</f>
        <v>CF466-D2-E</v>
      </c>
      <c r="B1932" s="43" t="s">
        <v>4473</v>
      </c>
      <c r="C1932" s="24">
        <v>6.25</v>
      </c>
      <c r="D1932" s="18"/>
      <c r="E1932" s="17" t="s">
        <v>4454</v>
      </c>
      <c r="F1932" s="17" t="s">
        <v>139</v>
      </c>
      <c r="G1932" s="18"/>
      <c r="H1932" s="18"/>
    </row>
    <row r="1933" spans="1:8" ht="13.2">
      <c r="A1933" s="19" t="str">
        <f>HYPERLINK("https://codeforces.com/contest/1130/problem/E","CF1130-D2-E")</f>
        <v>CF1130-D2-E</v>
      </c>
      <c r="B1933" s="20" t="s">
        <v>4615</v>
      </c>
      <c r="C1933" s="21">
        <v>6.25</v>
      </c>
      <c r="D1933" s="18"/>
      <c r="E1933" s="17" t="s">
        <v>4531</v>
      </c>
      <c r="F1933" s="17" t="s">
        <v>139</v>
      </c>
      <c r="G1933" s="18"/>
      <c r="H1933" s="18"/>
    </row>
    <row r="1934" spans="1:8" ht="13.2">
      <c r="A1934" s="19" t="str">
        <f>HYPERLINK("https://codeforces.com/contest/803/problem/F","CF803-D12-F")</f>
        <v>CF803-D12-F</v>
      </c>
      <c r="B1934" s="15" t="s">
        <v>5621</v>
      </c>
      <c r="C1934" s="17">
        <v>6.25</v>
      </c>
      <c r="D1934" s="18"/>
      <c r="E1934" s="17" t="s">
        <v>5616</v>
      </c>
      <c r="F1934" s="17" t="s">
        <v>139</v>
      </c>
      <c r="G1934" s="18"/>
      <c r="H1934" s="18"/>
    </row>
    <row r="1935" spans="1:8" ht="13.2">
      <c r="A1935" s="15" t="s">
        <v>2897</v>
      </c>
      <c r="B1935" s="29" t="s">
        <v>2871</v>
      </c>
      <c r="C1935" s="24">
        <v>6.25</v>
      </c>
      <c r="D1935" s="26" t="str">
        <f>HYPERLINK("https://github.com/Huvok/CompetitiveProgramming/blob/master/PKU/1066.cpp","Sol")</f>
        <v>Sol</v>
      </c>
      <c r="E1935" s="17" t="s">
        <v>2865</v>
      </c>
      <c r="F1935" s="17" t="s">
        <v>227</v>
      </c>
      <c r="G1935" s="18"/>
      <c r="H1935" s="18"/>
    </row>
    <row r="1936" spans="1:8" ht="13.2">
      <c r="A1936" s="19" t="str">
        <f>HYPERLINK("http://codeforces.com/contest/508/problem/E","CF508-D2-E")</f>
        <v>CF508-D2-E</v>
      </c>
      <c r="B1936" s="29" t="s">
        <v>2114</v>
      </c>
      <c r="C1936" s="17">
        <v>6.25</v>
      </c>
      <c r="D1936" s="18"/>
      <c r="E1936" s="17" t="s">
        <v>2113</v>
      </c>
      <c r="F1936" s="17" t="s">
        <v>613</v>
      </c>
      <c r="G1936" s="18"/>
      <c r="H1936" s="18"/>
    </row>
    <row r="1937" spans="1:8" ht="13.2">
      <c r="A1937" s="15" t="s">
        <v>2115</v>
      </c>
      <c r="B1937" s="30" t="s">
        <v>2116</v>
      </c>
      <c r="C1937" s="24">
        <v>6.25</v>
      </c>
      <c r="D1937" s="26" t="str">
        <f>HYPERLINK("https://csacademy.com/code/gAv1x3aG/","Sol")</f>
        <v>Sol</v>
      </c>
      <c r="E1937" s="17" t="s">
        <v>2113</v>
      </c>
      <c r="F1937" s="17" t="s">
        <v>613</v>
      </c>
      <c r="G1937" s="18"/>
      <c r="H1937" s="18"/>
    </row>
    <row r="1938" spans="1:8" ht="13.2">
      <c r="A1938" s="15" t="s">
        <v>5780</v>
      </c>
      <c r="B1938" s="29" t="s">
        <v>5781</v>
      </c>
      <c r="C1938" s="17">
        <v>6.25</v>
      </c>
      <c r="D1938" s="26" t="str">
        <f>HYPERLINK("https://github.com/HosamEissa/Competitive-programming-/blob/master/UVA/12244.cpp","Sol")</f>
        <v>Sol</v>
      </c>
      <c r="E1938" s="17" t="s">
        <v>5761</v>
      </c>
      <c r="F1938" s="17" t="s">
        <v>201</v>
      </c>
      <c r="G1938" s="18"/>
      <c r="H1938" s="18"/>
    </row>
    <row r="1939" spans="1:8" ht="13.2">
      <c r="A1939" s="19" t="str">
        <f>HYPERLINK("http://codeforces.com/gym/101864/attachments/download/7365/2018-bacs-contest-replay-en.pdf","CF101864-GYM-J")</f>
        <v>CF101864-GYM-J</v>
      </c>
      <c r="B1939" s="20" t="s">
        <v>6556</v>
      </c>
      <c r="C1939" s="17">
        <v>6.25</v>
      </c>
      <c r="D1939" s="26" t="str">
        <f>HYPERLINK("https://github.com/mostafa-saad/MyCompetitiveProgramming/blob/master/Codeforces/CF101864-GYM-J.txt","Sol")</f>
        <v>Sol</v>
      </c>
      <c r="E1939" s="17" t="s">
        <v>5857</v>
      </c>
      <c r="F1939" s="17" t="s">
        <v>201</v>
      </c>
      <c r="G1939" s="18"/>
      <c r="H1939" s="18"/>
    </row>
    <row r="1940" spans="1:8" ht="13.2">
      <c r="A1940" s="15" t="s">
        <v>5886</v>
      </c>
      <c r="B1940" s="15" t="s">
        <v>5887</v>
      </c>
      <c r="C1940" s="17">
        <v>6.25</v>
      </c>
      <c r="D1940" s="26" t="str">
        <f>HYPERLINK("https://github.com/SpeedOfMagic/CompetitiveProgramming/blob/master/SPOJ/MEANARR.cpp","Sol")</f>
        <v>Sol</v>
      </c>
      <c r="E1940" s="17" t="s">
        <v>5874</v>
      </c>
      <c r="F1940" s="17" t="s">
        <v>201</v>
      </c>
      <c r="G1940" s="18"/>
      <c r="H1940" s="18"/>
    </row>
    <row r="1941" spans="1:8" ht="13.2">
      <c r="A1941" s="19" t="str">
        <f>HYPERLINK("http://codeforces.com/contest/802/problem/K","CF802-D12-K")</f>
        <v>CF802-D12-K</v>
      </c>
      <c r="B1941" s="15" t="s">
        <v>6479</v>
      </c>
      <c r="C1941" s="17">
        <v>6.25</v>
      </c>
      <c r="D1941" s="18"/>
      <c r="E1941" s="17" t="s">
        <v>6459</v>
      </c>
      <c r="F1941" s="17" t="s">
        <v>201</v>
      </c>
      <c r="G1941" s="18"/>
      <c r="H1941" s="18"/>
    </row>
    <row r="1942" spans="1:8" ht="13.2">
      <c r="A1942" s="19" t="str">
        <f>HYPERLINK("https://codeforces.com/contest/1263/problem/F","CF1263-D2-F")</f>
        <v>CF1263-D2-F</v>
      </c>
      <c r="B1942" s="20" t="s">
        <v>6480</v>
      </c>
      <c r="C1942" s="17">
        <v>6.25</v>
      </c>
      <c r="D1942" s="18"/>
      <c r="E1942" s="17" t="s">
        <v>6459</v>
      </c>
      <c r="F1942" s="17" t="s">
        <v>201</v>
      </c>
      <c r="G1942" s="18"/>
      <c r="H1942" s="18"/>
    </row>
    <row r="1943" spans="1:8" ht="13.2">
      <c r="A1943" s="19" t="str">
        <f>HYPERLINK("https://codeforces.com/contest/922/problem/E","CF922-D2-E")</f>
        <v>CF922-D2-E</v>
      </c>
      <c r="B1943" s="20" t="s">
        <v>1451</v>
      </c>
      <c r="C1943" s="17">
        <v>6.25</v>
      </c>
      <c r="D1943" s="18"/>
      <c r="E1943" s="17" t="s">
        <v>1337</v>
      </c>
      <c r="F1943" s="17" t="s">
        <v>201</v>
      </c>
      <c r="G1943" s="18"/>
      <c r="H1943" s="18"/>
    </row>
    <row r="1944" spans="1:8" ht="13.2">
      <c r="A1944" s="19" t="str">
        <f>HYPERLINK("http://codeforces.com/contest/1030/problem/E","CF1030-D12-E")</f>
        <v>CF1030-D12-E</v>
      </c>
      <c r="B1944" s="18" t="s">
        <v>517</v>
      </c>
      <c r="C1944" s="21">
        <v>6.25</v>
      </c>
      <c r="D1944" s="18"/>
      <c r="E1944" s="17" t="s">
        <v>503</v>
      </c>
      <c r="F1944" s="17" t="s">
        <v>201</v>
      </c>
      <c r="G1944" s="18"/>
      <c r="H1944" s="18"/>
    </row>
    <row r="1945" spans="1:8" ht="13.2">
      <c r="A1945" s="19" t="str">
        <f>HYPERLINK("https://agc001.contest.atcoder.jp/tasks/agc001_d","AtCoder001-AGC-D")</f>
        <v>AtCoder001-AGC-D</v>
      </c>
      <c r="B1945" s="15" t="s">
        <v>2203</v>
      </c>
      <c r="C1945" s="17">
        <v>6.25</v>
      </c>
      <c r="D1945" s="18"/>
      <c r="E1945" s="17" t="s">
        <v>2153</v>
      </c>
      <c r="F1945" s="17" t="s">
        <v>201</v>
      </c>
      <c r="G1945" s="18"/>
      <c r="H1945" s="18"/>
    </row>
    <row r="1946" spans="1:8" ht="13.2">
      <c r="A1946" s="19" t="str">
        <f>HYPERLINK("https://codingcompetitions.withgoogle.com/codejam/round/00000000000516b9/0000000000134cdf","CODEJAM 19-R1C-C")</f>
        <v>CODEJAM 19-R1C-C</v>
      </c>
      <c r="B1946" s="20" t="s">
        <v>2483</v>
      </c>
      <c r="C1946" s="17">
        <v>6.25</v>
      </c>
      <c r="D1946" s="18"/>
      <c r="E1946" s="17" t="s">
        <v>2467</v>
      </c>
      <c r="F1946" s="17" t="s">
        <v>201</v>
      </c>
      <c r="G1946" s="18"/>
      <c r="H1946" s="18"/>
    </row>
    <row r="1947" spans="1:8" ht="13.2">
      <c r="A1947" s="15" t="s">
        <v>2630</v>
      </c>
      <c r="B1947" s="28" t="s">
        <v>2631</v>
      </c>
      <c r="C1947" s="24">
        <v>6.25</v>
      </c>
      <c r="D1947" s="26" t="str">
        <f>HYPERLINK("https://github.com/jebouin/CompetitiveProgramming/blob/master/Timus/TIMUS%201451.cpp","Sol")</f>
        <v>Sol</v>
      </c>
      <c r="E1947" s="17" t="s">
        <v>2510</v>
      </c>
      <c r="F1947" s="17" t="s">
        <v>201</v>
      </c>
      <c r="G1947" s="18"/>
      <c r="H1947" s="18"/>
    </row>
    <row r="1948" spans="1:8" ht="13.2">
      <c r="A1948" s="15" t="s">
        <v>2632</v>
      </c>
      <c r="B1948" s="29" t="s">
        <v>2633</v>
      </c>
      <c r="C1948" s="24">
        <v>6.25</v>
      </c>
      <c r="D1948" s="18"/>
      <c r="E1948" s="24" t="s">
        <v>2510</v>
      </c>
      <c r="F1948" s="17" t="s">
        <v>201</v>
      </c>
      <c r="G1948" s="18"/>
      <c r="H1948" s="18"/>
    </row>
    <row r="1949" spans="1:8" ht="13.2">
      <c r="A1949" s="15" t="s">
        <v>2898</v>
      </c>
      <c r="B1949" s="28" t="s">
        <v>2899</v>
      </c>
      <c r="C1949" s="24">
        <v>6.25</v>
      </c>
      <c r="D1949" s="26" t="str">
        <f>HYPERLINK("https://ideone.com/TTCl3U","Sol")</f>
        <v>Sol</v>
      </c>
      <c r="E1949" s="17" t="s">
        <v>2865</v>
      </c>
      <c r="F1949" s="17" t="s">
        <v>201</v>
      </c>
      <c r="G1949" s="18"/>
      <c r="H1949" s="18"/>
    </row>
    <row r="1950" spans="1:8" ht="13.2">
      <c r="A1950" s="15" t="s">
        <v>2900</v>
      </c>
      <c r="B1950" s="30" t="s">
        <v>2901</v>
      </c>
      <c r="C1950" s="24">
        <v>6.25</v>
      </c>
      <c r="D1950" s="26" t="str">
        <f>HYPERLINK("https://github.com/miguelAlessandro/CompetitiveProgramming/blob/master/UVA/11796.cpp","Sol")</f>
        <v>Sol</v>
      </c>
      <c r="E1950" s="17" t="s">
        <v>2865</v>
      </c>
      <c r="F1950" s="17" t="s">
        <v>201</v>
      </c>
      <c r="G1950" s="18"/>
      <c r="H1950" s="18"/>
    </row>
    <row r="1951" spans="1:8" ht="13.2">
      <c r="A1951" s="19" t="str">
        <f>HYPERLINK("https://codeforces.com/contest/187/problem/C","CF187-D1-C")</f>
        <v>CF187-D1-C</v>
      </c>
      <c r="B1951" s="15" t="s">
        <v>3501</v>
      </c>
      <c r="C1951" s="17">
        <v>6.25</v>
      </c>
      <c r="D1951" s="18"/>
      <c r="E1951" s="17" t="s">
        <v>3467</v>
      </c>
      <c r="F1951" s="17" t="s">
        <v>201</v>
      </c>
      <c r="G1951" s="18"/>
      <c r="H1951" s="18"/>
    </row>
    <row r="1952" spans="1:8" ht="13.2">
      <c r="A1952" s="15" t="s">
        <v>3502</v>
      </c>
      <c r="B1952" s="15" t="s">
        <v>3503</v>
      </c>
      <c r="C1952" s="24">
        <v>6.25</v>
      </c>
      <c r="D1952" s="18"/>
      <c r="E1952" s="17" t="s">
        <v>3467</v>
      </c>
      <c r="F1952" s="17" t="s">
        <v>201</v>
      </c>
      <c r="G1952" s="18"/>
      <c r="H1952" s="18"/>
    </row>
    <row r="1953" spans="1:8" ht="13.2">
      <c r="A1953" s="19" t="str">
        <f>HYPERLINK("http://codeforces.com/contest/715/problem/B","CF715-D1-B")</f>
        <v>CF715-D1-B</v>
      </c>
      <c r="B1953" s="29" t="s">
        <v>3810</v>
      </c>
      <c r="C1953" s="17">
        <v>6.25</v>
      </c>
      <c r="D1953" s="18"/>
      <c r="E1953" s="17" t="s">
        <v>3784</v>
      </c>
      <c r="F1953" s="17" t="s">
        <v>201</v>
      </c>
      <c r="G1953" s="18"/>
      <c r="H1953" s="18"/>
    </row>
    <row r="1954" spans="1:8" ht="13.2">
      <c r="A1954" s="19" t="str">
        <f>HYPERLINK("https://www.hackerrank.com/contests/moodys-analytics-2018-university-codesprint/challenges/brokers-predictions","MAUC 18-brokers-predictions")</f>
        <v>MAUC 18-brokers-predictions</v>
      </c>
      <c r="B1954" s="20" t="s">
        <v>3907</v>
      </c>
      <c r="C1954" s="21">
        <v>6.25</v>
      </c>
      <c r="D1954" s="26" t="str">
        <f>HYPERLINK("https://github.com/SpeedOfMagic/CompetitiveProgramming/blob/master/MAUC/18-brokers-prediction.cpp","Sol")</f>
        <v>Sol</v>
      </c>
      <c r="E1954" s="17" t="s">
        <v>3883</v>
      </c>
      <c r="F1954" s="17" t="s">
        <v>201</v>
      </c>
      <c r="G1954" s="18"/>
      <c r="H1954" s="18"/>
    </row>
    <row r="1955" spans="1:8" ht="13.2">
      <c r="A1955" s="15" t="s">
        <v>4302</v>
      </c>
      <c r="B1955" s="30" t="s">
        <v>4279</v>
      </c>
      <c r="C1955" s="24">
        <v>6.25</v>
      </c>
      <c r="D1955" s="26" t="str">
        <f>HYPERLINK("https://github.com/ryuzmukhametov/CompetitiveProgramming/blob/master/uva/UVA%201151.cpp","Sol")</f>
        <v>Sol</v>
      </c>
      <c r="E1955" s="17" t="s">
        <v>4275</v>
      </c>
      <c r="F1955" s="17" t="s">
        <v>201</v>
      </c>
      <c r="G1955" s="18"/>
      <c r="H1955" s="18"/>
    </row>
    <row r="1956" spans="1:8" ht="13.2">
      <c r="A1956" s="19" t="str">
        <f>HYPERLINK("http://codeforces.com/contest/587/problem/C","CF587-D1-C")</f>
        <v>CF587-D1-C</v>
      </c>
      <c r="B1956" s="43" t="s">
        <v>4474</v>
      </c>
      <c r="C1956" s="17">
        <v>6.25</v>
      </c>
      <c r="D1956" s="18"/>
      <c r="E1956" s="17" t="s">
        <v>4454</v>
      </c>
      <c r="F1956" s="17" t="s">
        <v>201</v>
      </c>
      <c r="G1956" s="18"/>
      <c r="H1956" s="18"/>
    </row>
    <row r="1957" spans="1:8" ht="13.2">
      <c r="A1957" s="15" t="s">
        <v>5192</v>
      </c>
      <c r="B1957" s="29" t="s">
        <v>5193</v>
      </c>
      <c r="C1957" s="24">
        <v>6.25</v>
      </c>
      <c r="D1957" s="26" t="str">
        <f>HYPERLINK("https://github.com/achrafmam2/CompetitiveProgramming/blob/master/Topcoder/SRM495-D2-1000.cc","SolToMe")</f>
        <v>SolToMe</v>
      </c>
      <c r="E1957" s="17" t="s">
        <v>5168</v>
      </c>
      <c r="F1957" s="17" t="s">
        <v>201</v>
      </c>
      <c r="G1957" s="18"/>
      <c r="H1957" s="18"/>
    </row>
    <row r="1958" spans="1:8" ht="13.2">
      <c r="A1958" s="19" t="str">
        <f>HYPERLINK("https://codeforces.com/contest/1114/problem/F","CF114-D2-F")</f>
        <v>CF114-D2-F</v>
      </c>
      <c r="B1958" s="15" t="s">
        <v>5596</v>
      </c>
      <c r="C1958" s="17">
        <v>6.25</v>
      </c>
      <c r="D1958" s="18"/>
      <c r="E1958" s="17" t="s">
        <v>5575</v>
      </c>
      <c r="F1958" s="17" t="s">
        <v>201</v>
      </c>
      <c r="G1958" s="18"/>
      <c r="H1958" s="18"/>
    </row>
    <row r="1959" spans="1:8" ht="13.2">
      <c r="A1959" s="15" t="s">
        <v>2634</v>
      </c>
      <c r="B1959" s="29" t="s">
        <v>2635</v>
      </c>
      <c r="C1959" s="17">
        <v>6.25</v>
      </c>
      <c r="D1959" s="26" t="str">
        <f>HYPERLINK("https://github.com/mostafa-saad/MyCompetitiveProgramming/blob/master/UVA/UVA_1333.txt","Sol - Text/Background Clarification")</f>
        <v>Sol - Text/Background Clarification</v>
      </c>
      <c r="E1959" s="17" t="s">
        <v>2510</v>
      </c>
      <c r="F1959" s="17" t="s">
        <v>358</v>
      </c>
      <c r="G1959" s="18"/>
      <c r="H1959" s="18"/>
    </row>
    <row r="1960" spans="1:8" ht="13.2">
      <c r="A1960" s="15" t="s">
        <v>367</v>
      </c>
      <c r="B1960" s="28" t="s">
        <v>368</v>
      </c>
      <c r="C1960" s="24">
        <v>6.25</v>
      </c>
      <c r="D1960" s="18"/>
      <c r="E1960" s="17" t="s">
        <v>332</v>
      </c>
      <c r="F1960" s="17" t="s">
        <v>242</v>
      </c>
      <c r="G1960" s="18"/>
      <c r="H1960" s="18"/>
    </row>
    <row r="1961" spans="1:8" ht="13.2">
      <c r="A1961" s="19" t="str">
        <f>HYPERLINK("http://agc029.contest.atcoder.jp/tasks/agc029_d","AtCoder029-AGC-D")</f>
        <v>AtCoder029-AGC-D</v>
      </c>
      <c r="B1961" s="15" t="s">
        <v>192</v>
      </c>
      <c r="C1961" s="17">
        <v>6.25</v>
      </c>
      <c r="D1961" s="18"/>
      <c r="E1961" s="17" t="s">
        <v>125</v>
      </c>
      <c r="F1961" s="17"/>
      <c r="G1961" s="18"/>
      <c r="H1961" s="18"/>
    </row>
    <row r="1962" spans="1:8" ht="13.2">
      <c r="A1962" s="19" t="str">
        <f>HYPERLINK("http://codeforces.com/contest/557/problem/E","CF557-D2-E")</f>
        <v>CF557-D2-E</v>
      </c>
      <c r="B1962" s="15" t="s">
        <v>5654</v>
      </c>
      <c r="C1962" s="17">
        <v>6.25</v>
      </c>
      <c r="D1962" s="18"/>
      <c r="E1962" s="17" t="s">
        <v>5643</v>
      </c>
      <c r="F1962" s="17"/>
      <c r="G1962" s="18"/>
      <c r="H1962" s="18"/>
    </row>
    <row r="1963" spans="1:8" ht="13.2">
      <c r="A1963" s="15" t="s">
        <v>5888</v>
      </c>
      <c r="B1963" s="29" t="s">
        <v>5889</v>
      </c>
      <c r="C1963" s="17">
        <v>6.25</v>
      </c>
      <c r="D1963" s="18"/>
      <c r="E1963" s="17" t="s">
        <v>5874</v>
      </c>
      <c r="F1963" s="17"/>
      <c r="G1963" s="18"/>
      <c r="H1963" s="18"/>
    </row>
    <row r="1964" spans="1:8" ht="13.2">
      <c r="A1964" s="15" t="s">
        <v>5890</v>
      </c>
      <c r="B1964" s="28" t="s">
        <v>5891</v>
      </c>
      <c r="C1964" s="24">
        <v>6.25</v>
      </c>
      <c r="D1964" s="18"/>
      <c r="E1964" s="17" t="s">
        <v>5874</v>
      </c>
      <c r="F1964" s="17"/>
      <c r="G1964" s="18"/>
      <c r="H1964" s="18"/>
    </row>
    <row r="1965" spans="1:8" ht="13.2">
      <c r="A1965" s="19" t="str">
        <f>HYPERLINK("http://www.spoj.com/problems/ZQUERY/","SPOJ ZQUERY")</f>
        <v>SPOJ ZQUERY</v>
      </c>
      <c r="B1965" s="38" t="s">
        <v>5932</v>
      </c>
      <c r="C1965" s="24">
        <v>6.25</v>
      </c>
      <c r="D1965" s="26" t="str">
        <f>HYPERLINK("https://github.com/WaleedAbdelhakim/Competitive-Programming/blob/master/SPOJ/ZQUERY.cpp","Sol")</f>
        <v>Sol</v>
      </c>
      <c r="E1965" s="17" t="s">
        <v>5915</v>
      </c>
      <c r="F1965" s="17"/>
      <c r="G1965" s="18"/>
      <c r="H1965" s="18"/>
    </row>
    <row r="1966" spans="1:8" ht="13.2">
      <c r="A1966" s="15" t="s">
        <v>5972</v>
      </c>
      <c r="B1966" s="30" t="s">
        <v>5973</v>
      </c>
      <c r="C1966" s="24">
        <v>6.25</v>
      </c>
      <c r="D1966" s="18"/>
      <c r="E1966" s="17" t="s">
        <v>5958</v>
      </c>
      <c r="F1966" s="17"/>
      <c r="G1966" s="18"/>
      <c r="H1966" s="18"/>
    </row>
    <row r="1967" spans="1:8" ht="13.2">
      <c r="A1967" s="19" t="str">
        <f>HYPERLINK("http://codeforces.com/contest/520/problem/D","CF520-D2-D")</f>
        <v>CF520-D2-D</v>
      </c>
      <c r="B1967" s="29" t="s">
        <v>5974</v>
      </c>
      <c r="C1967" s="17">
        <v>6.25</v>
      </c>
      <c r="D1967" s="18"/>
      <c r="E1967" s="17" t="s">
        <v>5958</v>
      </c>
      <c r="F1967" s="17"/>
      <c r="G1967" s="18"/>
      <c r="H1967" s="18"/>
    </row>
    <row r="1968" spans="1:8" ht="13.2">
      <c r="A1968" s="15" t="s">
        <v>6195</v>
      </c>
      <c r="B1968" s="37" t="s">
        <v>6196</v>
      </c>
      <c r="C1968" s="17">
        <v>6.25</v>
      </c>
      <c r="D1968" s="26" t="str">
        <f>HYPERLINK("https://github.com/aabdelzaher/Competitive-Programming/blob/master/UVa/UVa10707.java","Sol")</f>
        <v>Sol</v>
      </c>
      <c r="E1968" s="17" t="s">
        <v>6194</v>
      </c>
      <c r="F1968" s="17"/>
      <c r="G1968" s="18"/>
      <c r="H1968" s="18"/>
    </row>
    <row r="1969" spans="1:8" ht="13.2">
      <c r="A1969" s="19" t="str">
        <f>HYPERLINK("http://codeforces.com/problemset/problem/311/B","CF311-D1-B")</f>
        <v>CF311-D1-B</v>
      </c>
      <c r="B1969" s="15" t="s">
        <v>6382</v>
      </c>
      <c r="C1969" s="17">
        <v>6.25</v>
      </c>
      <c r="D1969" s="26" t="str">
        <f>HYPERLINK("https://github.com/nikolapesic2802/Programming-Practice/blob/master/Cats%20Transport/main.cpp","Sol")</f>
        <v>Sol</v>
      </c>
      <c r="E1969" s="17" t="s">
        <v>6362</v>
      </c>
      <c r="F1969" s="17"/>
      <c r="G1969" s="18"/>
      <c r="H1969" s="18"/>
    </row>
    <row r="1970" spans="1:8" ht="13.2">
      <c r="A1970" s="15" t="s">
        <v>1120</v>
      </c>
      <c r="B1970" s="30" t="s">
        <v>1017</v>
      </c>
      <c r="C1970" s="24">
        <v>6.25</v>
      </c>
      <c r="D1970" s="26" t="str">
        <f>HYPERLINK("https://github.com/3agwa/CompetitiveProgramming/blob/master/SPOJ/SPOJ%20SAMTWARR.%20cpp","Sol")</f>
        <v>Sol</v>
      </c>
      <c r="E1970" s="17" t="s">
        <v>1018</v>
      </c>
      <c r="F1970" s="17"/>
      <c r="G1970" s="18"/>
      <c r="H1970" s="18"/>
    </row>
    <row r="1971" spans="1:8" ht="13.2">
      <c r="A1971" s="19" t="str">
        <f>HYPERLINK("http://codeforces.com/gym/101194/attachments","CF101194-GYM-C")</f>
        <v>CF101194-GYM-C</v>
      </c>
      <c r="B1971" s="18" t="s">
        <v>1121</v>
      </c>
      <c r="C1971" s="17">
        <v>6.25</v>
      </c>
      <c r="D1971" s="26" t="str">
        <f>HYPERLINK("https://github.com/hosamk92/CompetitiveProgramming/blob/master/Codeforces/CF101194-GYM-C.cpp","Sol")</f>
        <v>Sol</v>
      </c>
      <c r="E1971" s="17" t="s">
        <v>1018</v>
      </c>
      <c r="F1971" s="17"/>
      <c r="G1971" s="18"/>
      <c r="H1971" s="18"/>
    </row>
    <row r="1972" spans="1:8" ht="13.2">
      <c r="A1972" s="15" t="s">
        <v>6481</v>
      </c>
      <c r="B1972" s="43" t="s">
        <v>6482</v>
      </c>
      <c r="C1972" s="24">
        <v>6.25</v>
      </c>
      <c r="D1972" s="26" t="str">
        <f>HYPERLINK("https://github.com/aviroop123/CompetitiveProgramming/blob/master/UVA/UVA%2011174.cpp","Sol")</f>
        <v>Sol</v>
      </c>
      <c r="E1972" s="17" t="s">
        <v>6459</v>
      </c>
      <c r="F1972" s="17"/>
      <c r="G1972" s="18"/>
      <c r="H1972" s="18"/>
    </row>
    <row r="1973" spans="1:8" ht="13.2">
      <c r="A1973" s="19" t="str">
        <f>HYPERLINK("https://codeforces.com/contest/540/problem/E","CF540-D2-E")</f>
        <v>CF540-D2-E</v>
      </c>
      <c r="B1973" s="20" t="s">
        <v>1257</v>
      </c>
      <c r="C1973" s="17">
        <v>6.25</v>
      </c>
      <c r="D1973" s="18"/>
      <c r="E1973" s="17" t="s">
        <v>1223</v>
      </c>
      <c r="F1973" s="17"/>
      <c r="G1973" s="18"/>
      <c r="H1973" s="18"/>
    </row>
    <row r="1974" spans="1:8" ht="13.2">
      <c r="A1974" s="19" t="str">
        <f>HYPERLINK("http://codeforces.com/contest/133/problem/E","CF133-D2-E")</f>
        <v>CF133-D2-E</v>
      </c>
      <c r="B1974" s="29" t="s">
        <v>1348</v>
      </c>
      <c r="C1974" s="17">
        <v>6.25</v>
      </c>
      <c r="D1974" s="18"/>
      <c r="E1974" s="17" t="s">
        <v>1337</v>
      </c>
      <c r="F1974" s="17"/>
      <c r="G1974" s="18"/>
      <c r="H1974" s="18"/>
    </row>
    <row r="1975" spans="1:8" ht="13.2">
      <c r="A1975" s="15" t="s">
        <v>1452</v>
      </c>
      <c r="B1975" s="29" t="s">
        <v>1348</v>
      </c>
      <c r="C1975" s="31">
        <v>6.25</v>
      </c>
      <c r="D1975" s="18"/>
      <c r="E1975" s="24" t="s">
        <v>1337</v>
      </c>
      <c r="F1975" s="17"/>
      <c r="G1975" s="18"/>
      <c r="H1975" s="18"/>
    </row>
    <row r="1976" spans="1:8" ht="13.2">
      <c r="A1976" s="19" t="str">
        <f>HYPERLINK("https://codeforces.com/contest/486/problem/E","CF486-D2-E")</f>
        <v>CF486-D2-E</v>
      </c>
      <c r="B1976" s="20" t="s">
        <v>1453</v>
      </c>
      <c r="C1976" s="21">
        <v>6.25</v>
      </c>
      <c r="D1976" s="18"/>
      <c r="E1976" s="17" t="s">
        <v>1337</v>
      </c>
      <c r="F1976" s="17"/>
      <c r="G1976" s="18"/>
      <c r="H1976" s="18"/>
    </row>
    <row r="1977" spans="1:8" ht="13.2">
      <c r="A1977" s="15" t="s">
        <v>1454</v>
      </c>
      <c r="B1977" s="41" t="s">
        <v>1455</v>
      </c>
      <c r="C1977" s="17">
        <v>6.25</v>
      </c>
      <c r="D1977" s="18"/>
      <c r="E1977" s="17" t="s">
        <v>1337</v>
      </c>
      <c r="F1977" s="17"/>
      <c r="G1977" s="18"/>
      <c r="H1977" s="18"/>
    </row>
    <row r="1978" spans="1:8" ht="13.2">
      <c r="A1978" s="15" t="s">
        <v>1703</v>
      </c>
      <c r="B1978" s="28" t="s">
        <v>1704</v>
      </c>
      <c r="C1978" s="24">
        <v>6.25</v>
      </c>
      <c r="D1978" s="26" t="str">
        <f>HYPERLINK("https://github.com/mostafa-saad/MyCompetitiveProgramming/blob/master/UVA/UVA_11755.txt","Sol")</f>
        <v>Sol</v>
      </c>
      <c r="E1978" s="17" t="s">
        <v>1691</v>
      </c>
      <c r="F1978" s="17"/>
      <c r="G1978" s="18"/>
      <c r="H1978" s="18"/>
    </row>
    <row r="1979" spans="1:8" ht="13.2">
      <c r="A1979" s="19" t="str">
        <f>HYPERLINK("http://codeforces.com/contest/424/problem/D","CF424-D2-D")</f>
        <v>CF424-D2-D</v>
      </c>
      <c r="B1979" s="20" t="s">
        <v>359</v>
      </c>
      <c r="C1979" s="17">
        <v>6.25</v>
      </c>
      <c r="D1979" s="18"/>
      <c r="E1979" s="17" t="s">
        <v>332</v>
      </c>
      <c r="F1979" s="17"/>
      <c r="G1979" s="18"/>
      <c r="H1979" s="18"/>
    </row>
    <row r="1980" spans="1:8" ht="13.2">
      <c r="A1980" s="15" t="s">
        <v>369</v>
      </c>
      <c r="B1980" s="35" t="s">
        <v>370</v>
      </c>
      <c r="C1980" s="40">
        <v>6.25</v>
      </c>
      <c r="D1980" s="18"/>
      <c r="E1980" s="17" t="s">
        <v>332</v>
      </c>
      <c r="F1980" s="17"/>
      <c r="G1980" s="18"/>
      <c r="H1980" s="18"/>
    </row>
    <row r="1981" spans="1:8" ht="13.2">
      <c r="A1981" s="19" t="str">
        <f>HYPERLINK("http://codeforces.com/gym/100517/problem/D","CF100517-GYM-D")</f>
        <v>CF100517-GYM-D</v>
      </c>
      <c r="B1981" s="20" t="s">
        <v>371</v>
      </c>
      <c r="C1981" s="17">
        <v>6.25</v>
      </c>
      <c r="D1981" s="26" t="str">
        <f>HYPERLINK("https://github.com/osamahatem/CompetitiveProgramming/blob/master/Codeforces/100517D.%20Defend%20the%20Tower.cpp","Sol")</f>
        <v>Sol</v>
      </c>
      <c r="E1981" s="17" t="s">
        <v>332</v>
      </c>
      <c r="F1981" s="17"/>
      <c r="G1981" s="18"/>
      <c r="H1981" s="18"/>
    </row>
    <row r="1982" spans="1:8" ht="13.2">
      <c r="A1982" s="15" t="s">
        <v>1845</v>
      </c>
      <c r="B1982" s="28" t="s">
        <v>1846</v>
      </c>
      <c r="C1982" s="24">
        <v>6.25</v>
      </c>
      <c r="D1982" s="26" t="str">
        <f>HYPERLINK("https://github.com/Omaar22/CompetitiveProgramming/blob/master/SPOJ/SPOJ%20DNALAB.cpp","Sol")</f>
        <v>Sol</v>
      </c>
      <c r="E1982" s="17" t="s">
        <v>1819</v>
      </c>
      <c r="F1982" s="17"/>
      <c r="G1982" s="18"/>
      <c r="H1982" s="18"/>
    </row>
    <row r="1983" spans="1:8" ht="13.2">
      <c r="A1983" s="15" t="s">
        <v>1942</v>
      </c>
      <c r="B1983" s="30" t="s">
        <v>1913</v>
      </c>
      <c r="C1983" s="24">
        <v>6.25</v>
      </c>
      <c r="D1983" s="18"/>
      <c r="E1983" s="17" t="s">
        <v>1909</v>
      </c>
      <c r="F1983" s="17"/>
      <c r="G1983" s="18"/>
      <c r="H1983" s="18"/>
    </row>
    <row r="1984" spans="1:8" ht="13.2">
      <c r="A1984" s="15" t="s">
        <v>2042</v>
      </c>
      <c r="B1984" s="30" t="s">
        <v>2025</v>
      </c>
      <c r="C1984" s="24">
        <v>6.25</v>
      </c>
      <c r="D1984" s="18"/>
      <c r="E1984" s="17" t="s">
        <v>2026</v>
      </c>
      <c r="F1984" s="17"/>
      <c r="G1984" s="18"/>
      <c r="H1984" s="18"/>
    </row>
    <row r="1985" spans="1:8" ht="13.2">
      <c r="A1985" s="15" t="s">
        <v>2117</v>
      </c>
      <c r="B1985" s="30" t="s">
        <v>2112</v>
      </c>
      <c r="C1985" s="24">
        <v>6.25</v>
      </c>
      <c r="D1985" s="18"/>
      <c r="E1985" s="17" t="s">
        <v>2113</v>
      </c>
      <c r="F1985" s="17"/>
      <c r="G1985" s="18"/>
      <c r="H1985" s="18"/>
    </row>
    <row r="1986" spans="1:8" ht="13.2">
      <c r="A1986" s="15" t="s">
        <v>2118</v>
      </c>
      <c r="B1986" s="30" t="s">
        <v>2112</v>
      </c>
      <c r="C1986" s="24">
        <v>6.25</v>
      </c>
      <c r="D1986" s="18"/>
      <c r="E1986" s="17" t="s">
        <v>2113</v>
      </c>
      <c r="F1986" s="17"/>
      <c r="G1986" s="18"/>
      <c r="H1986" s="18"/>
    </row>
    <row r="1987" spans="1:8" ht="13.2">
      <c r="A1987" s="15" t="s">
        <v>2119</v>
      </c>
      <c r="B1987" s="30" t="s">
        <v>2112</v>
      </c>
      <c r="C1987" s="24">
        <v>6.25</v>
      </c>
      <c r="D1987" s="18"/>
      <c r="E1987" s="17" t="s">
        <v>2113</v>
      </c>
      <c r="F1987" s="17"/>
      <c r="G1987" s="18"/>
      <c r="H1987" s="18"/>
    </row>
    <row r="1988" spans="1:8" ht="13.2">
      <c r="A1988" s="19" t="str">
        <f>HYPERLINK("http://codeforces.com/problemset/gymProblem/101498/G","CF101498-GYM-G")</f>
        <v>CF101498-GYM-G</v>
      </c>
      <c r="B1988" s="15" t="s">
        <v>2163</v>
      </c>
      <c r="C1988" s="17">
        <v>6.25</v>
      </c>
      <c r="D1988" s="26" t="str">
        <f>HYPERLINK("https://github.com/MedoN11/CompetitiveProgramming/blob/master/CodeForces/GYM/CF10149-GYM-G.cpp","Sol")</f>
        <v>Sol</v>
      </c>
      <c r="E1988" s="17" t="s">
        <v>2153</v>
      </c>
      <c r="F1988" s="17"/>
      <c r="G1988" s="18"/>
      <c r="H1988" s="18"/>
    </row>
    <row r="1989" spans="1:8" ht="13.2">
      <c r="A1989" s="15" t="s">
        <v>2204</v>
      </c>
      <c r="B1989" s="34" t="s">
        <v>2200</v>
      </c>
      <c r="C1989" s="17">
        <v>6.25</v>
      </c>
      <c r="D1989" s="18"/>
      <c r="E1989" s="17" t="s">
        <v>2153</v>
      </c>
      <c r="F1989" s="17"/>
      <c r="G1989" s="18"/>
      <c r="H1989" s="18"/>
    </row>
    <row r="1990" spans="1:8" ht="13.2">
      <c r="A1990" s="15" t="s">
        <v>2205</v>
      </c>
      <c r="B1990" s="29" t="s">
        <v>2184</v>
      </c>
      <c r="C1990" s="17">
        <v>6.25</v>
      </c>
      <c r="D1990" s="18"/>
      <c r="E1990" s="24" t="s">
        <v>2153</v>
      </c>
      <c r="F1990" s="17"/>
      <c r="G1990" s="18"/>
      <c r="H1990" s="18"/>
    </row>
    <row r="1991" spans="1:8" ht="13.2">
      <c r="A1991" s="19" t="str">
        <f>HYPERLINK("https://onlinejudge.org/index.php?option=com_onlinejudge&amp;Itemid=8&amp;page=show_problem&amp;problem=2119","UVA 11178")</f>
        <v>UVA 11178</v>
      </c>
      <c r="B1991" s="30" t="s">
        <v>2636</v>
      </c>
      <c r="C1991" s="24">
        <v>6.25</v>
      </c>
      <c r="D1991" s="26" t="str">
        <f>HYPERLINK("https://morris821028.github.io/2014/06/24/oj/uva/uva-11178/","Sol")</f>
        <v>Sol</v>
      </c>
      <c r="E1991" s="17" t="s">
        <v>2510</v>
      </c>
      <c r="F1991" s="17"/>
      <c r="G1991" s="18"/>
      <c r="H1991" s="18"/>
    </row>
    <row r="1992" spans="1:8" ht="13.2">
      <c r="A1992" s="15" t="s">
        <v>2637</v>
      </c>
      <c r="B1992" s="29" t="s">
        <v>2638</v>
      </c>
      <c r="C1992" s="24">
        <v>6.25</v>
      </c>
      <c r="D1992" s="18"/>
      <c r="E1992" s="17" t="s">
        <v>2510</v>
      </c>
      <c r="F1992" s="17"/>
      <c r="G1992" s="18"/>
      <c r="H1992" s="18"/>
    </row>
    <row r="1993" spans="1:8" ht="13.2">
      <c r="A1993" s="19" t="str">
        <f>HYPERLINK("http://codeforces.com/contest/281/problem/C","CF281-D2-C")</f>
        <v>CF281-D2-C</v>
      </c>
      <c r="B1993" s="29" t="s">
        <v>2639</v>
      </c>
      <c r="C1993" s="17">
        <v>6.25</v>
      </c>
      <c r="D1993" s="26" t="str">
        <f>HYPERLINK("https://github.com/sggutier/CompetitiveProgramming/blob/master/Codeforces/CF281-D2-C.cpp","Sol")</f>
        <v>Sol</v>
      </c>
      <c r="E1993" s="17" t="s">
        <v>2510</v>
      </c>
      <c r="F1993" s="17"/>
      <c r="G1993" s="18"/>
      <c r="H1993" s="18"/>
    </row>
    <row r="1994" spans="1:8" ht="13.2">
      <c r="A1994" s="15" t="s">
        <v>3177</v>
      </c>
      <c r="B1994" s="28" t="s">
        <v>3178</v>
      </c>
      <c r="C1994" s="17">
        <v>6.25</v>
      </c>
      <c r="D1994" s="26" t="str">
        <f>HYPERLINK("https://github.com/pranavjangir/CompetitiveProgramming/blob/master/LiveArchive/LIVEARCHIVE%206348.cpp","Sol")</f>
        <v>Sol</v>
      </c>
      <c r="E1994" s="24" t="s">
        <v>3140</v>
      </c>
      <c r="F1994" s="17"/>
      <c r="G1994" s="18"/>
      <c r="H1994" s="18"/>
    </row>
    <row r="1995" spans="1:8" ht="13.2">
      <c r="A1995" s="15" t="s">
        <v>3179</v>
      </c>
      <c r="B1995" s="18" t="s">
        <v>3180</v>
      </c>
      <c r="C1995" s="17">
        <v>6.25</v>
      </c>
      <c r="D1995" s="26" t="str">
        <f>HYPERLINK("https://github.com/mostafa-saad/MyCompetitiveProgramming/blob/master/SPOJ/SPOJ_WILD.txt","Sol")</f>
        <v>Sol</v>
      </c>
      <c r="E1995" s="17" t="s">
        <v>3140</v>
      </c>
      <c r="F1995" s="17"/>
      <c r="G1995" s="18"/>
      <c r="H1995" s="18"/>
    </row>
    <row r="1996" spans="1:8" ht="13.2">
      <c r="A1996" s="15" t="s">
        <v>3330</v>
      </c>
      <c r="B1996" s="16" t="s">
        <v>3331</v>
      </c>
      <c r="C1996" s="31">
        <v>6.25</v>
      </c>
      <c r="D1996" s="18"/>
      <c r="E1996" s="17" t="s">
        <v>3257</v>
      </c>
      <c r="F1996" s="17"/>
      <c r="G1996" s="18"/>
      <c r="H1996" s="18"/>
    </row>
    <row r="1997" spans="1:8" ht="13.2">
      <c r="A1997" s="19" t="str">
        <f>HYPERLINK("https://www.codechef.com/IOITC182/problems/CHANGNUM","CODECHEF CHANGNUM")</f>
        <v>CODECHEF CHANGNUM</v>
      </c>
      <c r="B1997" s="20" t="s">
        <v>3332</v>
      </c>
      <c r="C1997" s="21">
        <v>6.25</v>
      </c>
      <c r="D1997" s="26" t="str">
        <f>HYPERLINK("https://github.com/timpostuvan/CompetitiveProgramming/blob/master/CodeChef/CHANGNUM.cpp","Sol")</f>
        <v>Sol</v>
      </c>
      <c r="E1997" s="17" t="s">
        <v>3257</v>
      </c>
      <c r="F1997" s="17"/>
      <c r="G1997" s="18"/>
      <c r="H1997" s="18"/>
    </row>
    <row r="1998" spans="1:8" ht="13.2">
      <c r="A1998" s="15" t="s">
        <v>3333</v>
      </c>
      <c r="B1998" s="15" t="s">
        <v>3276</v>
      </c>
      <c r="C1998" s="17">
        <v>6.25</v>
      </c>
      <c r="D1998" s="18"/>
      <c r="E1998" s="17" t="s">
        <v>3257</v>
      </c>
      <c r="F1998" s="17"/>
      <c r="G1998" s="18"/>
      <c r="H1998" s="18"/>
    </row>
    <row r="1999" spans="1:8" ht="13.2">
      <c r="A1999" s="15" t="s">
        <v>3504</v>
      </c>
      <c r="B1999" s="30" t="s">
        <v>3505</v>
      </c>
      <c r="C1999" s="24">
        <v>6.25</v>
      </c>
      <c r="D1999" s="18"/>
      <c r="E1999" s="17" t="s">
        <v>3467</v>
      </c>
      <c r="F1999" s="17"/>
      <c r="G1999" s="18"/>
      <c r="H1999" s="18"/>
    </row>
    <row r="2000" spans="1:8" ht="13.2">
      <c r="A2000" s="15" t="s">
        <v>3506</v>
      </c>
      <c r="B2000" s="29" t="s">
        <v>3507</v>
      </c>
      <c r="C2000" s="24">
        <v>6.25</v>
      </c>
      <c r="D2000" s="18"/>
      <c r="E2000" s="17" t="s">
        <v>3467</v>
      </c>
      <c r="F2000" s="17"/>
      <c r="G2000" s="18"/>
      <c r="H2000" s="18"/>
    </row>
    <row r="2001" spans="1:8" ht="13.2">
      <c r="A2001" s="15" t="s">
        <v>674</v>
      </c>
      <c r="B2001" s="28" t="s">
        <v>675</v>
      </c>
      <c r="C2001" s="24">
        <v>6.25</v>
      </c>
      <c r="D2001" s="18"/>
      <c r="E2001" s="17" t="s">
        <v>655</v>
      </c>
      <c r="F2001" s="17"/>
      <c r="G2001" s="18"/>
      <c r="H2001" s="18"/>
    </row>
    <row r="2002" spans="1:8" ht="13.2">
      <c r="A2002" s="19" t="str">
        <f>HYPERLINK("http://codeforces.com/contest/1040/problem/E","CF1040-D2-E")</f>
        <v>CF1040-D2-E</v>
      </c>
      <c r="B2002" s="20" t="s">
        <v>3886</v>
      </c>
      <c r="C2002" s="17">
        <v>6.25</v>
      </c>
      <c r="D2002" s="18"/>
      <c r="E2002" s="17" t="s">
        <v>3883</v>
      </c>
      <c r="F2002" s="17"/>
      <c r="G2002" s="18"/>
      <c r="H2002" s="18"/>
    </row>
    <row r="2003" spans="1:8" ht="13.2">
      <c r="A2003" s="15" t="s">
        <v>4001</v>
      </c>
      <c r="B2003" s="29" t="s">
        <v>4002</v>
      </c>
      <c r="C2003" s="24">
        <v>6.25</v>
      </c>
      <c r="D2003" s="18"/>
      <c r="E2003" s="17" t="s">
        <v>3998</v>
      </c>
      <c r="F2003" s="17"/>
      <c r="G2003" s="18"/>
      <c r="H2003" s="18"/>
    </row>
    <row r="2004" spans="1:8" ht="13.2">
      <c r="A2004" s="15" t="s">
        <v>4099</v>
      </c>
      <c r="B2004" s="28" t="s">
        <v>4059</v>
      </c>
      <c r="C2004" s="24">
        <v>6.25</v>
      </c>
      <c r="D2004" s="18"/>
      <c r="E2004" s="17" t="s">
        <v>4060</v>
      </c>
      <c r="F2004" s="17"/>
      <c r="G2004" s="18"/>
      <c r="H2004" s="18"/>
    </row>
    <row r="2005" spans="1:8" ht="13.2">
      <c r="A2005" s="15" t="s">
        <v>4175</v>
      </c>
      <c r="B2005" s="29" t="s">
        <v>4176</v>
      </c>
      <c r="C2005" s="24">
        <v>6.25</v>
      </c>
      <c r="D2005" s="18"/>
      <c r="E2005" s="17" t="s">
        <v>4144</v>
      </c>
      <c r="F2005" s="17"/>
      <c r="G2005" s="18"/>
      <c r="H2005" s="18"/>
    </row>
    <row r="2006" spans="1:8" ht="13.2">
      <c r="A2006" s="15" t="s">
        <v>4396</v>
      </c>
      <c r="B2006" s="28" t="s">
        <v>4385</v>
      </c>
      <c r="C2006" s="31">
        <v>6.25</v>
      </c>
      <c r="D2006" s="18"/>
      <c r="E2006" s="17" t="s">
        <v>4379</v>
      </c>
      <c r="F2006" s="17"/>
      <c r="G2006" s="18"/>
      <c r="H2006" s="18"/>
    </row>
    <row r="2007" spans="1:8" ht="13.2">
      <c r="A2007" s="15" t="s">
        <v>4616</v>
      </c>
      <c r="B2007" s="29" t="s">
        <v>4530</v>
      </c>
      <c r="C2007" s="17">
        <v>6.25</v>
      </c>
      <c r="D2007" s="18"/>
      <c r="E2007" s="17" t="s">
        <v>4531</v>
      </c>
      <c r="F2007" s="17"/>
      <c r="G2007" s="18"/>
      <c r="H2007" s="18"/>
    </row>
    <row r="2008" spans="1:8" ht="13.2">
      <c r="A2008" s="19" t="str">
        <f>HYPERLINK("http://codeforces.com/contest/225/problem/E","CF225-D2-E")</f>
        <v>CF225-D2-E</v>
      </c>
      <c r="B2008" s="29" t="s">
        <v>4617</v>
      </c>
      <c r="C2008" s="17">
        <v>6.25</v>
      </c>
      <c r="D2008" s="18"/>
      <c r="E2008" s="17" t="s">
        <v>4531</v>
      </c>
      <c r="F2008" s="17"/>
      <c r="G2008" s="18"/>
      <c r="H2008" s="18"/>
    </row>
    <row r="2009" spans="1:8" ht="13.2">
      <c r="A2009" s="15" t="s">
        <v>768</v>
      </c>
      <c r="B2009" s="29" t="s">
        <v>769</v>
      </c>
      <c r="C2009" s="24">
        <v>6.25</v>
      </c>
      <c r="D2009" s="18"/>
      <c r="E2009" s="24" t="s">
        <v>741</v>
      </c>
      <c r="F2009" s="17"/>
      <c r="G2009" s="18"/>
      <c r="H2009" s="18"/>
    </row>
    <row r="2010" spans="1:8" ht="13.2">
      <c r="A2010" s="19" t="str">
        <f>HYPERLINK("http://codeforces.com/contest/271/problem/E","CF271-D2-E")</f>
        <v>CF271-D2-E</v>
      </c>
      <c r="B2010" s="29" t="s">
        <v>4816</v>
      </c>
      <c r="C2010" s="24">
        <v>6.25</v>
      </c>
      <c r="D2010" s="18"/>
      <c r="E2010" s="17" t="s">
        <v>4809</v>
      </c>
      <c r="F2010" s="17"/>
      <c r="G2010" s="18"/>
      <c r="H2010" s="18"/>
    </row>
    <row r="2011" spans="1:8" ht="13.2">
      <c r="A2011" s="15" t="s">
        <v>4905</v>
      </c>
      <c r="B2011" s="30" t="s">
        <v>4906</v>
      </c>
      <c r="C2011" s="24">
        <v>6.25</v>
      </c>
      <c r="D2011" s="18"/>
      <c r="E2011" s="17" t="s">
        <v>4893</v>
      </c>
      <c r="F2011" s="17"/>
      <c r="G2011" s="18"/>
      <c r="H2011" s="18"/>
    </row>
    <row r="2012" spans="1:8" ht="13.2">
      <c r="A2012" s="15" t="s">
        <v>4935</v>
      </c>
      <c r="B2012" s="28" t="s">
        <v>4931</v>
      </c>
      <c r="C2012" s="24">
        <v>6.25</v>
      </c>
      <c r="D2012" s="18"/>
      <c r="E2012" s="17" t="s">
        <v>4932</v>
      </c>
      <c r="F2012" s="17"/>
      <c r="G2012" s="18"/>
      <c r="H2012" s="18"/>
    </row>
    <row r="2013" spans="1:8" ht="13.2">
      <c r="A2013" s="19" t="str">
        <f>HYPERLINK("https://codeforces.com/contest/691/problem/F","CF691-D12-F")</f>
        <v>CF691-D12-F</v>
      </c>
      <c r="B2013" s="20" t="s">
        <v>4985</v>
      </c>
      <c r="C2013" s="17">
        <v>6.25</v>
      </c>
      <c r="D2013" s="26" t="str">
        <f>HYPERLINK("https://github.com/LeTrongDat/CompetitiveProgramming/blob/master/Codeforces/CF691-D2-F.cpp","Sol")</f>
        <v>Sol</v>
      </c>
      <c r="E2013" s="17" t="s">
        <v>4958</v>
      </c>
      <c r="F2013" s="17"/>
      <c r="G2013" s="18"/>
      <c r="H2013" s="18"/>
    </row>
    <row r="2014" spans="1:8" ht="13.2">
      <c r="A2014" s="15" t="s">
        <v>4986</v>
      </c>
      <c r="B2014" s="28" t="s">
        <v>4987</v>
      </c>
      <c r="C2014" s="24">
        <v>6.25</v>
      </c>
      <c r="D2014" s="18"/>
      <c r="E2014" s="17" t="s">
        <v>4958</v>
      </c>
      <c r="F2014" s="17"/>
      <c r="G2014" s="18"/>
      <c r="H2014" s="18"/>
    </row>
    <row r="2015" spans="1:8" ht="13.2">
      <c r="A2015" s="15" t="s">
        <v>5086</v>
      </c>
      <c r="B2015" s="30" t="s">
        <v>5085</v>
      </c>
      <c r="C2015" s="24">
        <v>6.25</v>
      </c>
      <c r="D2015" s="18"/>
      <c r="E2015" s="17" t="s">
        <v>5075</v>
      </c>
      <c r="F2015" s="17"/>
      <c r="G2015" s="18"/>
      <c r="H2015" s="18"/>
    </row>
    <row r="2016" spans="1:8" ht="13.2">
      <c r="A2016" s="15" t="s">
        <v>5087</v>
      </c>
      <c r="B2016" s="38" t="s">
        <v>5088</v>
      </c>
      <c r="C2016" s="24">
        <v>6.25</v>
      </c>
      <c r="D2016" s="18"/>
      <c r="E2016" s="17" t="s">
        <v>5075</v>
      </c>
      <c r="F2016" s="17"/>
      <c r="G2016" s="18"/>
      <c r="H2016" s="18"/>
    </row>
    <row r="2017" spans="1:8" ht="13.2">
      <c r="A2017" s="15" t="s">
        <v>5194</v>
      </c>
      <c r="B2017" s="28" t="s">
        <v>5179</v>
      </c>
      <c r="C2017" s="24">
        <v>6.25</v>
      </c>
      <c r="D2017" s="18"/>
      <c r="E2017" s="17" t="s">
        <v>5168</v>
      </c>
      <c r="F2017" s="17"/>
      <c r="G2017" s="18"/>
      <c r="H2017" s="18"/>
    </row>
    <row r="2018" spans="1:8" ht="13.2">
      <c r="A2018" s="15" t="s">
        <v>5195</v>
      </c>
      <c r="B2018" s="28" t="s">
        <v>5179</v>
      </c>
      <c r="C2018" s="24">
        <v>6.25</v>
      </c>
      <c r="D2018" s="18"/>
      <c r="E2018" s="17" t="s">
        <v>5168</v>
      </c>
      <c r="F2018" s="17"/>
      <c r="G2018" s="18"/>
      <c r="H2018" s="18"/>
    </row>
    <row r="2019" spans="1:8" ht="13.2">
      <c r="A2019" s="15" t="s">
        <v>5196</v>
      </c>
      <c r="B2019" s="28" t="s">
        <v>5197</v>
      </c>
      <c r="C2019" s="24">
        <v>6.25</v>
      </c>
      <c r="D2019" s="18"/>
      <c r="E2019" s="17" t="s">
        <v>5168</v>
      </c>
      <c r="F2019" s="17"/>
      <c r="G2019" s="18"/>
      <c r="H2019" s="18"/>
    </row>
    <row r="2020" spans="1:8" ht="13.2">
      <c r="A2020" s="15" t="s">
        <v>5198</v>
      </c>
      <c r="B2020" s="28" t="s">
        <v>5199</v>
      </c>
      <c r="C2020" s="24">
        <v>6.25</v>
      </c>
      <c r="D2020" s="18"/>
      <c r="E2020" s="17" t="s">
        <v>5168</v>
      </c>
      <c r="F2020" s="17"/>
      <c r="G2020" s="18"/>
      <c r="H2020" s="18"/>
    </row>
    <row r="2021" spans="1:8" ht="13.2">
      <c r="A2021" s="19" t="str">
        <f>HYPERLINK("http://codeforces.com/contest/350/problem/D","CF350-D2-D")</f>
        <v>CF350-D2-D</v>
      </c>
      <c r="B2021" s="15" t="s">
        <v>831</v>
      </c>
      <c r="C2021" s="24">
        <v>6.25</v>
      </c>
      <c r="D2021" s="18"/>
      <c r="E2021" s="17" t="s">
        <v>805</v>
      </c>
      <c r="F2021" s="17"/>
      <c r="G2021" s="18"/>
      <c r="H2021" s="18"/>
    </row>
    <row r="2022" spans="1:8" ht="13.2">
      <c r="A2022" s="15" t="s">
        <v>832</v>
      </c>
      <c r="B2022" s="34" t="s">
        <v>818</v>
      </c>
      <c r="C2022" s="31">
        <v>6.25</v>
      </c>
      <c r="D2022" s="26" t="str">
        <f>HYPERLINK("https://github.com/ryuzmukhametov/CompetitiveProgramming/blob/master/Topcoder/SRM535-D1-500.cpp", "SolToMe")</f>
        <v>SolToMe</v>
      </c>
      <c r="E2022" s="17" t="s">
        <v>805</v>
      </c>
      <c r="F2022" s="17"/>
      <c r="G2022" s="18"/>
      <c r="H2022" s="18"/>
    </row>
    <row r="2023" spans="1:8" ht="13.2">
      <c r="A2023" s="19" t="str">
        <f>HYPERLINK("http://codeforces.com/contest/163/problem/C","CF163-D12-C")</f>
        <v>CF163-D12-C</v>
      </c>
      <c r="B2023" s="29" t="s">
        <v>5349</v>
      </c>
      <c r="C2023" s="17">
        <v>6.25</v>
      </c>
      <c r="D2023" s="18"/>
      <c r="E2023" s="17" t="s">
        <v>5346</v>
      </c>
      <c r="F2023" s="17"/>
      <c r="G2023" s="18"/>
      <c r="H2023" s="18"/>
    </row>
    <row r="2024" spans="1:8" ht="13.2">
      <c r="A2024" s="15" t="s">
        <v>5374</v>
      </c>
      <c r="B2024" s="28" t="s">
        <v>5349</v>
      </c>
      <c r="C2024" s="24">
        <v>6.25</v>
      </c>
      <c r="D2024" s="18"/>
      <c r="E2024" s="17" t="s">
        <v>5346</v>
      </c>
      <c r="F2024" s="17"/>
      <c r="G2024" s="18"/>
      <c r="H2024" s="18"/>
    </row>
    <row r="2025" spans="1:8" ht="13.2">
      <c r="A2025" s="19" t="str">
        <f>HYPERLINK("http://codeforces.com/contest/110/problem/D","CF110-D2-D")</f>
        <v>CF110-D2-D</v>
      </c>
      <c r="B2025" s="29" t="s">
        <v>5375</v>
      </c>
      <c r="C2025" s="17">
        <v>6.25</v>
      </c>
      <c r="D2025" s="18"/>
      <c r="E2025" s="17" t="s">
        <v>5346</v>
      </c>
      <c r="F2025" s="17"/>
      <c r="G2025" s="18"/>
      <c r="H2025" s="18"/>
    </row>
    <row r="2026" spans="1:8" ht="13.2">
      <c r="A2026" s="15" t="s">
        <v>5516</v>
      </c>
      <c r="B2026" s="28" t="s">
        <v>5517</v>
      </c>
      <c r="C2026" s="17">
        <v>6.25</v>
      </c>
      <c r="D2026" s="26" t="str">
        <f>HYPERLINK("https://github.com/Huvok/CompetitiveProgramming/blob/master/UVA/11768.cpp","Sol")</f>
        <v>Sol</v>
      </c>
      <c r="E2026" s="17" t="s">
        <v>5512</v>
      </c>
      <c r="F2026" s="17"/>
      <c r="G2026" s="18"/>
      <c r="H2026" s="18"/>
    </row>
    <row r="2027" spans="1:8" ht="13.2">
      <c r="A2027" s="19" t="str">
        <f>HYPERLINK("http://codeforces.com/gym/100975/standings/friends/true","CF100957-GYM-F")</f>
        <v>CF100957-GYM-F</v>
      </c>
      <c r="B2027" s="36" t="s">
        <v>5596</v>
      </c>
      <c r="C2027" s="17">
        <v>6.25</v>
      </c>
      <c r="D2027" s="18"/>
      <c r="E2027" s="17" t="s">
        <v>5575</v>
      </c>
      <c r="F2027" s="17"/>
      <c r="G2027" s="18"/>
      <c r="H2027" s="18"/>
    </row>
    <row r="2028" spans="1:8" ht="13.2">
      <c r="A2028" s="15" t="s">
        <v>5597</v>
      </c>
      <c r="B2028" s="30" t="s">
        <v>5598</v>
      </c>
      <c r="C2028" s="31">
        <v>6.25</v>
      </c>
      <c r="D2028" s="18"/>
      <c r="E2028" s="17" t="s">
        <v>5575</v>
      </c>
      <c r="F2028" s="17"/>
      <c r="G2028" s="18"/>
      <c r="H2028" s="18"/>
    </row>
    <row r="2029" spans="1:8" ht="13.2">
      <c r="A2029" s="19" t="str">
        <f>HYPERLINK("http://codeforces.com/contest/559/problem/C","CF559-D1-C")</f>
        <v>CF559-D1-C</v>
      </c>
      <c r="B2029" s="29" t="s">
        <v>1721</v>
      </c>
      <c r="C2029" s="17">
        <v>6.1</v>
      </c>
      <c r="D2029" s="18"/>
      <c r="E2029" s="17" t="s">
        <v>1716</v>
      </c>
      <c r="F2029" s="17" t="s">
        <v>1053</v>
      </c>
      <c r="G2029" s="18"/>
      <c r="H2029" s="18"/>
    </row>
    <row r="2030" spans="1:8" ht="13.2">
      <c r="A2030" s="19" t="str">
        <f>HYPERLINK("https://codeforces.com/contest/1249/problem/F","CF1249-D3-F")</f>
        <v>CF1249-D3-F</v>
      </c>
      <c r="B2030" s="15" t="s">
        <v>6458</v>
      </c>
      <c r="C2030" s="17">
        <v>6.1</v>
      </c>
      <c r="D2030" s="18"/>
      <c r="E2030" s="17" t="s">
        <v>6459</v>
      </c>
      <c r="F2030" s="17" t="s">
        <v>154</v>
      </c>
      <c r="G2030" s="18"/>
      <c r="H2030" s="18"/>
    </row>
    <row r="2031" spans="1:8" ht="13.2">
      <c r="A2031" s="15" t="s">
        <v>591</v>
      </c>
      <c r="B2031" s="29" t="s">
        <v>592</v>
      </c>
      <c r="C2031" s="17">
        <v>6.1</v>
      </c>
      <c r="D2031" s="26" t="str">
        <f>HYPERLINK("https://github.com/mostafa-saad/MyCompetitiveProgramming/blob/master/UVA/UVA_11997.txt","Sol")</f>
        <v>Sol</v>
      </c>
      <c r="E2031" s="17" t="s">
        <v>575</v>
      </c>
      <c r="F2031" s="17" t="s">
        <v>154</v>
      </c>
      <c r="G2031" s="18"/>
      <c r="H2031" s="18"/>
    </row>
    <row r="2032" spans="1:8" ht="13.2">
      <c r="A2032" s="15" t="s">
        <v>3334</v>
      </c>
      <c r="B2032" s="15" t="s">
        <v>3335</v>
      </c>
      <c r="C2032" s="17">
        <v>6.1</v>
      </c>
      <c r="D2032" s="26" t="str">
        <f>HYPERLINK("https://github.com/mostafa-saad/MyCompetitiveProgramming/blob/master/SPOJ/SPOJ_SPCE.txt","Sol")</f>
        <v>Sol</v>
      </c>
      <c r="E2032" s="17" t="s">
        <v>3257</v>
      </c>
      <c r="F2032" s="17" t="s">
        <v>154</v>
      </c>
      <c r="G2032" s="18"/>
      <c r="H2032" s="18"/>
    </row>
    <row r="2033" spans="1:8" ht="13.2">
      <c r="A2033" s="15" t="s">
        <v>3702</v>
      </c>
      <c r="B2033" s="15" t="s">
        <v>3703</v>
      </c>
      <c r="C2033" s="17">
        <v>6.1</v>
      </c>
      <c r="D2033" s="26" t="str">
        <f>HYPERLINK("https://github.com/ahmedsamir221/CompetitiveProgramming/blob/master/SPOJ/SPOJ%20AMR10J.cpp","Sol")</f>
        <v>Sol</v>
      </c>
      <c r="E2033" s="17" t="s">
        <v>3650</v>
      </c>
      <c r="F2033" s="17" t="s">
        <v>154</v>
      </c>
      <c r="G2033" s="18"/>
      <c r="H2033" s="18"/>
    </row>
    <row r="2034" spans="1:8" ht="13.2">
      <c r="A2034" s="15" t="s">
        <v>3704</v>
      </c>
      <c r="B2034" s="15" t="s">
        <v>3705</v>
      </c>
      <c r="C2034" s="17">
        <v>6.1</v>
      </c>
      <c r="D2034" s="26" t="str">
        <f>HYPERLINK("https://github.com/goswami-rahul/competitive-coding/blob/master/CompetitiveProgramming/spoj/CAC.cpp","Sol")</f>
        <v>Sol</v>
      </c>
      <c r="E2034" s="17" t="s">
        <v>3650</v>
      </c>
      <c r="F2034" s="17" t="s">
        <v>154</v>
      </c>
      <c r="G2034" s="18"/>
      <c r="H2034" s="18"/>
    </row>
    <row r="2035" spans="1:8" ht="13.2">
      <c r="A2035" s="15" t="s">
        <v>3969</v>
      </c>
      <c r="B2035" s="30" t="s">
        <v>3970</v>
      </c>
      <c r="C2035" s="24">
        <v>6.1</v>
      </c>
      <c r="D2035" s="26" t="str">
        <f>HYPERLINK("https://github.com/mostafa-saad/MyCompetitiveProgramming/blob/master/UVA/UVA_10040.txt","Sol")</f>
        <v>Sol</v>
      </c>
      <c r="E2035" s="17" t="s">
        <v>3955</v>
      </c>
      <c r="F2035" s="17" t="s">
        <v>154</v>
      </c>
      <c r="G2035" s="18"/>
      <c r="H2035" s="18"/>
    </row>
    <row r="2036" spans="1:8" ht="13.2">
      <c r="A2036" s="19" t="str">
        <f>HYPERLINK("http://codeforces.com/contest/416/problem/E","CF416-D2-E")</f>
        <v>CF416-D2-E</v>
      </c>
      <c r="B2036" s="15" t="s">
        <v>4003</v>
      </c>
      <c r="C2036" s="24">
        <v>6.1</v>
      </c>
      <c r="D2036" s="18"/>
      <c r="E2036" s="17" t="s">
        <v>3998</v>
      </c>
      <c r="F2036" s="17" t="s">
        <v>154</v>
      </c>
      <c r="G2036" s="18"/>
      <c r="H2036" s="18"/>
    </row>
    <row r="2037" spans="1:8" ht="13.2">
      <c r="A2037" s="19" t="str">
        <f>HYPERLINK("http://codeforces.com/contest/584/problem/E","CF584-D2-E")</f>
        <v>CF584-D2-E</v>
      </c>
      <c r="B2037" s="29" t="s">
        <v>5059</v>
      </c>
      <c r="C2037" s="17">
        <v>6.1</v>
      </c>
      <c r="D2037" s="18"/>
      <c r="E2037" s="17" t="s">
        <v>5043</v>
      </c>
      <c r="F2037" s="17" t="s">
        <v>1164</v>
      </c>
      <c r="G2037" s="18"/>
      <c r="H2037" s="18"/>
    </row>
    <row r="2038" spans="1:8" ht="13.2">
      <c r="A2038" s="19" t="str">
        <f>HYPERLINK("http://codeforces.com/contest/827/problem/C","CF827-D1-C")</f>
        <v>CF827-D1-C</v>
      </c>
      <c r="B2038" s="29" t="s">
        <v>1258</v>
      </c>
      <c r="C2038" s="17">
        <v>6.1</v>
      </c>
      <c r="D2038" s="18"/>
      <c r="E2038" s="17" t="s">
        <v>1223</v>
      </c>
      <c r="F2038" s="17" t="s">
        <v>196</v>
      </c>
      <c r="G2038" s="18"/>
      <c r="H2038" s="18"/>
    </row>
    <row r="2039" spans="1:8" ht="13.2">
      <c r="A2039" s="19" t="str">
        <f>HYPERLINK("http://codeforces.com/contest/710/problem/E","CF710-D12-E")</f>
        <v>CF710-D12-E</v>
      </c>
      <c r="B2039" s="15" t="s">
        <v>1805</v>
      </c>
      <c r="C2039" s="17">
        <v>6.1</v>
      </c>
      <c r="D2039" s="26" t="str">
        <f>HYPERLINK("https://github.com/mostafa-saad/MyCompetitiveProgramming/blob/master/Codeforces/CF710-D12-E.txt","Sol")</f>
        <v>Sol</v>
      </c>
      <c r="E2039" s="17" t="s">
        <v>1793</v>
      </c>
      <c r="F2039" s="17" t="s">
        <v>196</v>
      </c>
      <c r="G2039" s="18"/>
      <c r="H2039" s="18"/>
    </row>
    <row r="2040" spans="1:8" ht="13.2">
      <c r="A2040" s="15" t="s">
        <v>1993</v>
      </c>
      <c r="B2040" s="34" t="s">
        <v>1994</v>
      </c>
      <c r="C2040" s="17">
        <v>6.1</v>
      </c>
      <c r="D2040" s="26" t="str">
        <f>HYPERLINK("https://github.com/magdy-hasan/competitive-programming/blob/c9fdde70da7630affa45308221ab8d765a756ae9/Topcoder/SRM526-D1-500.cpp","Sol")</f>
        <v>Sol</v>
      </c>
      <c r="E2040" s="17" t="s">
        <v>1989</v>
      </c>
      <c r="F2040" s="17" t="s">
        <v>196</v>
      </c>
      <c r="G2040" s="18"/>
      <c r="H2040" s="18"/>
    </row>
    <row r="2041" spans="1:8" ht="13.2">
      <c r="A2041" s="19" t="str">
        <f>HYPERLINK("http://codeforces.com/contest/272/problem/E","CF272-D2-E")</f>
        <v>CF272-D2-E</v>
      </c>
      <c r="B2041" s="15" t="s">
        <v>3336</v>
      </c>
      <c r="C2041" s="24">
        <v>6.1</v>
      </c>
      <c r="D2041" s="18"/>
      <c r="E2041" s="17" t="s">
        <v>3257</v>
      </c>
      <c r="F2041" s="17" t="s">
        <v>196</v>
      </c>
      <c r="G2041" s="18"/>
      <c r="H2041" s="18"/>
    </row>
    <row r="2042" spans="1:8" ht="13.2">
      <c r="A2042" s="19" t="str">
        <f>HYPERLINK("http://codeforces.com/contest/708/problem/C","CF708-D1-C")</f>
        <v>CF708-D1-C</v>
      </c>
      <c r="B2042" s="29" t="s">
        <v>3337</v>
      </c>
      <c r="C2042" s="24">
        <v>6.1</v>
      </c>
      <c r="D2042" s="18"/>
      <c r="E2042" s="17" t="s">
        <v>3257</v>
      </c>
      <c r="F2042" s="17" t="s">
        <v>196</v>
      </c>
      <c r="G2042" s="18"/>
      <c r="H2042" s="18"/>
    </row>
    <row r="2043" spans="1:8" ht="13.2">
      <c r="A2043" s="19" t="str">
        <f>HYPERLINK("http://codeforces.com/contest/495/problem/D","CF495-D2-D")</f>
        <v>CF495-D2-D</v>
      </c>
      <c r="B2043" s="18" t="s">
        <v>5712</v>
      </c>
      <c r="C2043" s="17">
        <v>6.1</v>
      </c>
      <c r="D2043" s="18"/>
      <c r="E2043" s="17" t="s">
        <v>5702</v>
      </c>
      <c r="F2043" s="17" t="s">
        <v>139</v>
      </c>
      <c r="G2043" s="18"/>
      <c r="H2043" s="18"/>
    </row>
    <row r="2044" spans="1:8" ht="13.2">
      <c r="A2044" s="19" t="str">
        <f>HYPERLINK("https://codeforces.com/contest/1136/problem/E", "CF1136-D2-E")</f>
        <v>CF1136-D2-E</v>
      </c>
      <c r="B2044" s="15" t="s">
        <v>1122</v>
      </c>
      <c r="C2044" s="17">
        <v>6.1</v>
      </c>
      <c r="D2044" s="18"/>
      <c r="E2044" s="17" t="s">
        <v>1018</v>
      </c>
      <c r="F2044" s="17" t="s">
        <v>139</v>
      </c>
      <c r="G2044" s="18"/>
      <c r="H2044" s="18"/>
    </row>
    <row r="2045" spans="1:8" ht="13.2">
      <c r="A2045" s="19" t="str">
        <f>HYPERLINK("https://vjudge.net/contest/309391?fbclid=IwAR03s2ptSalIu-W-SphQRe9TKA9c5iD8CEHbuacq6BwfAygDc_nn2_SdtiE#problem/D","IFHLC19-C2-D")</f>
        <v>IFHLC19-C2-D</v>
      </c>
      <c r="B2045" s="15" t="s">
        <v>1123</v>
      </c>
      <c r="C2045" s="17">
        <v>6.1</v>
      </c>
      <c r="D2045" s="26" t="str">
        <f>HYPERLINK("https://ideone.com/KCCz60","Sol")</f>
        <v>Sol</v>
      </c>
      <c r="E2045" s="17" t="s">
        <v>1018</v>
      </c>
      <c r="F2045" s="17" t="s">
        <v>139</v>
      </c>
      <c r="G2045" s="18"/>
      <c r="H2045" s="18"/>
    </row>
    <row r="2046" spans="1:8" ht="13.2">
      <c r="A2046" s="19" t="str">
        <f>HYPERLINK("http://codeforces.com/contest/124/problem/E","CF124-D2-E")</f>
        <v>CF124-D2-E</v>
      </c>
      <c r="B2046" s="15" t="s">
        <v>1456</v>
      </c>
      <c r="C2046" s="24">
        <v>6.1</v>
      </c>
      <c r="D2046" s="26" t="str">
        <f>HYPERLINK("https://github.com/peon-pasado/CompetitiveProgramming/blob/master/codeforces/CF124-D2-E.cpp","Sol")</f>
        <v>Sol</v>
      </c>
      <c r="E2046" s="17" t="s">
        <v>1337</v>
      </c>
      <c r="F2046" s="17" t="s">
        <v>139</v>
      </c>
      <c r="G2046" s="18"/>
      <c r="H2046" s="18"/>
    </row>
    <row r="2047" spans="1:8" ht="13.2">
      <c r="A2047" s="15" t="s">
        <v>1757</v>
      </c>
      <c r="B2047" s="34" t="s">
        <v>1758</v>
      </c>
      <c r="C2047" s="33">
        <v>6.1</v>
      </c>
      <c r="D2047" s="26" t="str">
        <f>HYPERLINK("https://github.com/aviroop123/CompetitiveProgramming/blob/master/TopCoder/SRM358-D1-500.cpp","Sol")</f>
        <v>Sol</v>
      </c>
      <c r="E2047" s="17" t="s">
        <v>1751</v>
      </c>
      <c r="F2047" s="17" t="s">
        <v>139</v>
      </c>
      <c r="G2047" s="18"/>
      <c r="H2047" s="18"/>
    </row>
    <row r="2048" spans="1:8" ht="13.2">
      <c r="A2048" s="15" t="s">
        <v>1847</v>
      </c>
      <c r="B2048" s="41" t="s">
        <v>1848</v>
      </c>
      <c r="C2048" s="17">
        <v>6.1</v>
      </c>
      <c r="D2048" s="26" t="str">
        <f>HYPERLINK("https://github.com/mostafa-saad/MyCompetitiveProgramming/blob/master/LiveArchive/LIVEARCHIVE_4970.txt","Sol")</f>
        <v>Sol</v>
      </c>
      <c r="E2048" s="17" t="s">
        <v>1819</v>
      </c>
      <c r="F2048" s="17" t="s">
        <v>139</v>
      </c>
      <c r="G2048" s="18"/>
      <c r="H2048" s="18"/>
    </row>
    <row r="2049" spans="1:8" ht="13.2">
      <c r="A2049" s="15" t="s">
        <v>1943</v>
      </c>
      <c r="B2049" s="15" t="s">
        <v>1944</v>
      </c>
      <c r="C2049" s="24">
        <v>6.1</v>
      </c>
      <c r="D2049" s="18"/>
      <c r="E2049" s="17" t="s">
        <v>1909</v>
      </c>
      <c r="F2049" s="17" t="s">
        <v>139</v>
      </c>
      <c r="G2049" s="18"/>
      <c r="H2049" s="18"/>
    </row>
    <row r="2050" spans="1:8" ht="13.2">
      <c r="A2050" s="19" t="str">
        <f>HYPERLINK("http://codeforces.com/contest/48/problem/E","CF48-D12-E")</f>
        <v>CF48-D12-E</v>
      </c>
      <c r="B2050" s="29" t="s">
        <v>1995</v>
      </c>
      <c r="C2050" s="17">
        <v>6.1</v>
      </c>
      <c r="D2050" s="18"/>
      <c r="E2050" s="17" t="s">
        <v>1989</v>
      </c>
      <c r="F2050" s="17" t="s">
        <v>139</v>
      </c>
      <c r="G2050" s="18"/>
      <c r="H2050" s="18"/>
    </row>
    <row r="2051" spans="1:8" ht="13.2">
      <c r="A2051" s="19" t="str">
        <f>HYPERLINK("http://codeforces.com/contest/851/problem/E","CF851-D2-E")</f>
        <v>CF851-D2-E</v>
      </c>
      <c r="B2051" s="15" t="s">
        <v>2484</v>
      </c>
      <c r="C2051" s="17">
        <v>6.1</v>
      </c>
      <c r="D2051" s="18"/>
      <c r="E2051" s="17" t="s">
        <v>2467</v>
      </c>
      <c r="F2051" s="17" t="s">
        <v>139</v>
      </c>
      <c r="G2051" s="18"/>
      <c r="H2051" s="18"/>
    </row>
    <row r="2052" spans="1:8" ht="13.2">
      <c r="A2052" s="19" t="str">
        <f>HYPERLINK("http://codeforces.com/problemset/gymProblem/101142/I","CF101142-GYM-I")</f>
        <v>CF101142-GYM-I</v>
      </c>
      <c r="B2052" s="23" t="s">
        <v>3008</v>
      </c>
      <c r="C2052" s="17">
        <v>6.1</v>
      </c>
      <c r="D2052" s="26" t="str">
        <f>HYPERLINK("https://github.com/mostafa-saad/MyCompetitiveProgramming/blob/master/Codeforces/CF101142-GYM-I.txt","Sol")</f>
        <v>Sol</v>
      </c>
      <c r="E2052" s="17" t="s">
        <v>2948</v>
      </c>
      <c r="F2052" s="17" t="s">
        <v>139</v>
      </c>
      <c r="G2052" s="18"/>
      <c r="H2052" s="18"/>
    </row>
    <row r="2053" spans="1:8" ht="13.2">
      <c r="A2053" s="19" t="str">
        <f>HYPERLINK("http://codeforces.com/contest/769/problem/C","CF769-D12-C")</f>
        <v>CF769-D12-C</v>
      </c>
      <c r="B2053" s="15" t="s">
        <v>3338</v>
      </c>
      <c r="C2053" s="17">
        <v>6.1</v>
      </c>
      <c r="D2053" s="18"/>
      <c r="E2053" s="17" t="s">
        <v>3257</v>
      </c>
      <c r="F2053" s="17" t="s">
        <v>139</v>
      </c>
      <c r="G2053" s="18"/>
      <c r="H2053" s="18"/>
    </row>
    <row r="2054" spans="1:8" ht="13.2">
      <c r="A2054" s="19" t="str">
        <f>HYPERLINK("http://codeforces.com/contest/141/problem/D","CF141-D2-D")</f>
        <v>CF141-D2-D</v>
      </c>
      <c r="B2054" s="29" t="s">
        <v>6557</v>
      </c>
      <c r="C2054" s="17">
        <v>6.1</v>
      </c>
      <c r="D2054" s="26" t="str">
        <f>HYPERLINK("https://github.com/mostafa-saad/MyCompetitiveProgramming/blob/master/Codeforces/CF141-D2-D.txt","Sol")</f>
        <v>Sol</v>
      </c>
      <c r="E2054" s="17" t="s">
        <v>3784</v>
      </c>
      <c r="F2054" s="17" t="s">
        <v>139</v>
      </c>
      <c r="G2054" s="18"/>
      <c r="H2054" s="18"/>
    </row>
    <row r="2055" spans="1:8" ht="13.2">
      <c r="A2055" s="19" t="str">
        <f>HYPERLINK("http://codeforces.com/gym/101669/problem/D","CF101669-GYM-D")</f>
        <v>CF101669-GYM-D</v>
      </c>
      <c r="B2055" s="20" t="s">
        <v>3908</v>
      </c>
      <c r="C2055" s="21">
        <v>6.1</v>
      </c>
      <c r="D2055" s="26" t="str">
        <f>HYPERLINK("https://github.com/swapnil119/CompetitiveProgramming/blob/master/CompetitiveProgramming/Codeforces/CF101669-GYM-D.cpp","Sol")</f>
        <v>Sol</v>
      </c>
      <c r="E2055" s="17" t="s">
        <v>3883</v>
      </c>
      <c r="F2055" s="17" t="s">
        <v>139</v>
      </c>
      <c r="G2055" s="18"/>
      <c r="H2055" s="18"/>
    </row>
    <row r="2056" spans="1:8" ht="13.2">
      <c r="A2056" s="15" t="s">
        <v>3971</v>
      </c>
      <c r="B2056" s="35" t="s">
        <v>3972</v>
      </c>
      <c r="C2056" s="17">
        <v>6.1</v>
      </c>
      <c r="D2056" s="26" t="str">
        <f>HYPERLINK("https://github.com/Huvok/CompetitiveProgramming/blob/master/Topcoder/SRM298-D1-500.cpp", "SolTMe")</f>
        <v>SolTMe</v>
      </c>
      <c r="E2056" s="17" t="s">
        <v>3955</v>
      </c>
      <c r="F2056" s="17" t="s">
        <v>139</v>
      </c>
      <c r="G2056" s="18"/>
      <c r="H2056" s="18"/>
    </row>
    <row r="2057" spans="1:8" ht="13.2">
      <c r="A2057" s="19" t="str">
        <f>HYPERLINK("http://codeforces.com/contest/732/problem/F","CF732-D2-F")</f>
        <v>CF732-D2-F</v>
      </c>
      <c r="B2057" s="29" t="s">
        <v>4427</v>
      </c>
      <c r="C2057" s="24">
        <v>6.1</v>
      </c>
      <c r="D2057" s="18"/>
      <c r="E2057" s="17" t="s">
        <v>4423</v>
      </c>
      <c r="F2057" s="17" t="s">
        <v>139</v>
      </c>
      <c r="G2057" s="18"/>
      <c r="H2057" s="18"/>
    </row>
    <row r="2058" spans="1:8" ht="13.2">
      <c r="A2058" s="19" t="str">
        <f>HYPERLINK("http://codeforces.com/contest/379/problem/F","CF379-D12-F")</f>
        <v>CF379-D12-F</v>
      </c>
      <c r="B2058" s="15" t="s">
        <v>4475</v>
      </c>
      <c r="C2058" s="24">
        <v>6.1</v>
      </c>
      <c r="D2058" s="18"/>
      <c r="E2058" s="17" t="s">
        <v>4454</v>
      </c>
      <c r="F2058" s="17" t="s">
        <v>139</v>
      </c>
      <c r="G2058" s="18"/>
      <c r="H2058" s="18"/>
    </row>
    <row r="2059" spans="1:8" ht="13.2">
      <c r="A2059" s="19" t="str">
        <f>HYPERLINK("https://codeforces.com/contest/1230/problem/E","CF1230-D2-E")</f>
        <v>CF1230-D2-E</v>
      </c>
      <c r="B2059" s="15" t="s">
        <v>4818</v>
      </c>
      <c r="C2059" s="17">
        <v>6.1</v>
      </c>
      <c r="D2059" s="18"/>
      <c r="E2059" s="17" t="s">
        <v>4809</v>
      </c>
      <c r="F2059" s="17" t="s">
        <v>139</v>
      </c>
      <c r="G2059" s="18"/>
      <c r="H2059" s="18"/>
    </row>
    <row r="2060" spans="1:8" ht="13.2">
      <c r="A2060" s="19" t="str">
        <f>HYPERLINK("http://codeforces.com/contest/357/problem/D","CF357-D2-D")</f>
        <v>CF357-D2-D</v>
      </c>
      <c r="B2060" s="29" t="s">
        <v>4812</v>
      </c>
      <c r="C2060" s="17">
        <v>6.1</v>
      </c>
      <c r="D2060" s="18"/>
      <c r="E2060" s="17" t="s">
        <v>4809</v>
      </c>
      <c r="F2060" s="17" t="s">
        <v>139</v>
      </c>
      <c r="G2060" s="18"/>
      <c r="H2060" s="18"/>
    </row>
    <row r="2061" spans="1:8" ht="13.2">
      <c r="A2061" s="19" t="str">
        <f>HYPERLINK("http://codeforces.com/contest/109/problem/C","CF109-D1-C")</f>
        <v>CF109-D1-C</v>
      </c>
      <c r="B2061" s="15" t="s">
        <v>4988</v>
      </c>
      <c r="C2061" s="24">
        <v>6.1</v>
      </c>
      <c r="D2061" s="18"/>
      <c r="E2061" s="17" t="s">
        <v>4958</v>
      </c>
      <c r="F2061" s="17" t="s">
        <v>139</v>
      </c>
      <c r="G2061" s="18"/>
      <c r="H2061" s="18"/>
    </row>
    <row r="2062" spans="1:8" ht="13.2">
      <c r="A2062" s="19" t="str">
        <f>HYPERLINK("http://codeforces.com/contest/743/problem/E","CF743-D2-E")</f>
        <v>CF743-D2-E</v>
      </c>
      <c r="B2062" s="18" t="s">
        <v>1849</v>
      </c>
      <c r="C2062" s="17">
        <v>6.1</v>
      </c>
      <c r="D2062" s="26" t="str">
        <f>HYPERLINK("https://github.com/arvindr9/CompetitiveProgramming/blob/master/CodeForces/CF743-D2-E.cpp","SolToMe")</f>
        <v>SolToMe</v>
      </c>
      <c r="E2062" s="17" t="s">
        <v>1819</v>
      </c>
      <c r="F2062" s="17" t="s">
        <v>613</v>
      </c>
      <c r="G2062" s="18"/>
      <c r="H2062" s="18"/>
    </row>
    <row r="2063" spans="1:8" ht="13.2">
      <c r="A2063" s="15" t="s">
        <v>4819</v>
      </c>
      <c r="B2063" s="28" t="s">
        <v>4820</v>
      </c>
      <c r="C2063" s="24">
        <v>6.1</v>
      </c>
      <c r="D2063" s="26" t="str">
        <f>HYPERLINK("https://github.com/ryuzmukhametov/CompetitiveProgramming/blob/master/uva/UVA%2011761.cpp","Sol")</f>
        <v>Sol</v>
      </c>
      <c r="E2063" s="17" t="s">
        <v>4809</v>
      </c>
      <c r="F2063" s="17" t="s">
        <v>613</v>
      </c>
      <c r="G2063" s="18"/>
      <c r="H2063" s="18"/>
    </row>
    <row r="2064" spans="1:8" ht="13.2">
      <c r="A2064" s="15" t="s">
        <v>967</v>
      </c>
      <c r="B2064" s="30" t="s">
        <v>6558</v>
      </c>
      <c r="C2064" s="24">
        <v>6.1</v>
      </c>
      <c r="D2064" s="26" t="str">
        <f>HYPERLINK("https://github.com/shashank0107/CompetitiveProgramming/blob/master/SPOJ/SOLIT.cpp","Sol")</f>
        <v>Sol</v>
      </c>
      <c r="E2064" s="17" t="s">
        <v>951</v>
      </c>
      <c r="F2064" s="17" t="s">
        <v>201</v>
      </c>
      <c r="G2064" s="18"/>
      <c r="H2064" s="18"/>
    </row>
    <row r="2065" spans="1:8" ht="13.2">
      <c r="A2065" s="19" t="str">
        <f>HYPERLINK("http://codeforces.com/contest/145/problem/E","CF145-D1-E")</f>
        <v>CF145-D1-E</v>
      </c>
      <c r="B2065" s="29" t="s">
        <v>1017</v>
      </c>
      <c r="C2065" s="17">
        <v>6.1</v>
      </c>
      <c r="D2065" s="18"/>
      <c r="E2065" s="17" t="s">
        <v>1018</v>
      </c>
      <c r="F2065" s="17" t="s">
        <v>201</v>
      </c>
      <c r="G2065" s="18"/>
      <c r="H2065" s="18"/>
    </row>
    <row r="2066" spans="1:8" ht="13.2">
      <c r="A2066" s="19" t="str">
        <f>HYPERLINK("https://codeforces.com/contest/1146/problem/E","CF1146-D12-E")</f>
        <v>CF1146-D12-E</v>
      </c>
      <c r="B2066" s="20" t="s">
        <v>1124</v>
      </c>
      <c r="C2066" s="21">
        <v>6.1</v>
      </c>
      <c r="D2066" s="18"/>
      <c r="E2066" s="17" t="s">
        <v>1018</v>
      </c>
      <c r="F2066" s="17" t="s">
        <v>201</v>
      </c>
      <c r="G2066" s="18"/>
      <c r="H2066" s="18"/>
    </row>
    <row r="2067" spans="1:8" ht="13.2">
      <c r="A2067" s="19" t="str">
        <f>HYPERLINK("https://codeforces.com/contest/960/problem/E","CF960-D12-E")</f>
        <v>CF960-D12-E</v>
      </c>
      <c r="B2067" s="15" t="s">
        <v>6483</v>
      </c>
      <c r="C2067" s="17">
        <v>6.1</v>
      </c>
      <c r="D2067" s="18"/>
      <c r="E2067" s="17" t="s">
        <v>6459</v>
      </c>
      <c r="F2067" s="17" t="s">
        <v>201</v>
      </c>
      <c r="G2067" s="18"/>
      <c r="H2067" s="18"/>
    </row>
    <row r="2068" spans="1:8" ht="13.2">
      <c r="A2068" s="19" t="str">
        <f>HYPERLINK("http://codeforces.com/problemset/problem/453/B", "CF453-D1-B")</f>
        <v>CF453-D1-B</v>
      </c>
      <c r="B2068" s="20" t="s">
        <v>1850</v>
      </c>
      <c r="C2068" s="21">
        <v>6.1</v>
      </c>
      <c r="D2068" s="18"/>
      <c r="E2068" s="17" t="s">
        <v>1819</v>
      </c>
      <c r="F2068" s="17" t="s">
        <v>201</v>
      </c>
      <c r="G2068" s="18"/>
      <c r="H2068" s="18"/>
    </row>
    <row r="2069" spans="1:8" ht="13.2">
      <c r="A2069" s="15" t="s">
        <v>1996</v>
      </c>
      <c r="B2069" s="30" t="s">
        <v>1997</v>
      </c>
      <c r="C2069" s="40">
        <v>6.1</v>
      </c>
      <c r="D2069" s="26" t="str">
        <f>HYPERLINK("https://github.com/arvindr9/CompetitiveProgramming/blob/master/TopCoder/SRM419-D1-500.cpp","Sol")</f>
        <v>Sol</v>
      </c>
      <c r="E2069" s="17" t="s">
        <v>1989</v>
      </c>
      <c r="F2069" s="17" t="s">
        <v>201</v>
      </c>
      <c r="G2069" s="18"/>
      <c r="H2069" s="18"/>
    </row>
    <row r="2070" spans="1:8" ht="13.2">
      <c r="A2070" s="19" t="str">
        <f>HYPERLINK("https://www.codechef.com/problems/B3","CODECHEF B3")</f>
        <v>CODECHEF B3</v>
      </c>
      <c r="B2070" s="15" t="s">
        <v>5085</v>
      </c>
      <c r="C2070" s="17">
        <v>6.1</v>
      </c>
      <c r="D2070" s="26" t="str">
        <f>HYPERLINK("https://github.com/sggutier/CompetitiveProgramming/blob/master/Codechef/B3.cpp","Sol")</f>
        <v>Sol</v>
      </c>
      <c r="E2070" s="17" t="s">
        <v>5075</v>
      </c>
      <c r="F2070" s="17" t="s">
        <v>242</v>
      </c>
      <c r="G2070" s="18"/>
      <c r="H2070" s="18"/>
    </row>
    <row r="2071" spans="1:8" ht="13.2">
      <c r="A2071" s="19" t="str">
        <f>HYPERLINK("http://agc016.contest.atcoder.jp/tasks/agc016_b","AtCoder016-AGC-C")</f>
        <v>AtCoder016-AGC-C</v>
      </c>
      <c r="B2071" s="18" t="s">
        <v>2640</v>
      </c>
      <c r="C2071" s="17">
        <v>6.1</v>
      </c>
      <c r="D2071" s="18"/>
      <c r="E2071" s="17" t="s">
        <v>2510</v>
      </c>
      <c r="F2071" s="17"/>
      <c r="G2071" s="18"/>
      <c r="H2071" s="18"/>
    </row>
    <row r="2072" spans="1:8" ht="13.2">
      <c r="A2072" s="15" t="s">
        <v>4100</v>
      </c>
      <c r="B2072" s="39" t="s">
        <v>4101</v>
      </c>
      <c r="C2072" s="24">
        <v>6.1</v>
      </c>
      <c r="D2072" s="18"/>
      <c r="E2072" s="17" t="s">
        <v>4060</v>
      </c>
      <c r="F2072" s="17"/>
      <c r="G2072" s="18"/>
      <c r="H2072" s="18"/>
    </row>
    <row r="2073" spans="1:8" ht="13.2">
      <c r="A2073" s="19" t="str">
        <f>HYPERLINK("https://codeforces.com/contest/997/problem/B","CF997-D1-B")</f>
        <v>CF997-D1-B</v>
      </c>
      <c r="B2073" s="15" t="s">
        <v>4618</v>
      </c>
      <c r="C2073" s="17">
        <v>6.1</v>
      </c>
      <c r="D2073" s="18"/>
      <c r="E2073" s="17" t="s">
        <v>4531</v>
      </c>
      <c r="F2073" s="17"/>
      <c r="G2073" s="18"/>
      <c r="H2073" s="18"/>
    </row>
    <row r="2074" spans="1:8" ht="13.2">
      <c r="A2074" s="15" t="s">
        <v>770</v>
      </c>
      <c r="B2074" s="34" t="s">
        <v>740</v>
      </c>
      <c r="C2074" s="31">
        <v>6.1</v>
      </c>
      <c r="D2074" s="18"/>
      <c r="E2074" s="17" t="s">
        <v>741</v>
      </c>
      <c r="F2074" s="17"/>
      <c r="G2074" s="18"/>
      <c r="H2074" s="18"/>
    </row>
    <row r="2075" spans="1:8" ht="13.2">
      <c r="A2075" s="15" t="s">
        <v>2834</v>
      </c>
      <c r="B2075" s="29" t="s">
        <v>2800</v>
      </c>
      <c r="C2075" s="24">
        <v>6</v>
      </c>
      <c r="D2075" s="26" t="str">
        <f>HYPERLINK("https://github.com/shanto86/Training/blob/master/LiveArchive/LIVEARCHIVE%203411.cpp","Sol")</f>
        <v>Sol</v>
      </c>
      <c r="E2075" s="17" t="s">
        <v>2798</v>
      </c>
      <c r="F2075" s="17" t="s">
        <v>255</v>
      </c>
      <c r="G2075" s="18"/>
      <c r="H2075" s="18"/>
    </row>
    <row r="2076" spans="1:8" ht="13.2">
      <c r="A2076" s="15" t="s">
        <v>3812</v>
      </c>
      <c r="B2076" s="18" t="s">
        <v>3813</v>
      </c>
      <c r="C2076" s="17">
        <v>6</v>
      </c>
      <c r="D2076" s="18"/>
      <c r="E2076" s="17" t="s">
        <v>3784</v>
      </c>
      <c r="F2076" s="17" t="s">
        <v>255</v>
      </c>
      <c r="G2076" s="18"/>
      <c r="H2076" s="18"/>
    </row>
    <row r="2077" spans="1:8" ht="13.2">
      <c r="A2077" s="15" t="s">
        <v>4619</v>
      </c>
      <c r="B2077" s="16" t="s">
        <v>4620</v>
      </c>
      <c r="C2077" s="17">
        <v>6</v>
      </c>
      <c r="D2077" s="18"/>
      <c r="E2077" s="17" t="s">
        <v>4531</v>
      </c>
      <c r="F2077" s="17" t="s">
        <v>255</v>
      </c>
      <c r="G2077" s="18"/>
      <c r="H2077" s="18"/>
    </row>
    <row r="2078" spans="1:8" ht="13.2">
      <c r="A2078" s="15" t="s">
        <v>4821</v>
      </c>
      <c r="B2078" s="28" t="s">
        <v>4808</v>
      </c>
      <c r="C2078" s="24">
        <v>6</v>
      </c>
      <c r="D2078" s="18"/>
      <c r="E2078" s="17" t="s">
        <v>4809</v>
      </c>
      <c r="F2078" s="17" t="s">
        <v>255</v>
      </c>
      <c r="G2078" s="18"/>
      <c r="H2078" s="18"/>
    </row>
    <row r="2079" spans="1:8" ht="13.2">
      <c r="A2079" s="15" t="s">
        <v>5599</v>
      </c>
      <c r="B2079" s="43" t="s">
        <v>5596</v>
      </c>
      <c r="C2079" s="24">
        <v>6</v>
      </c>
      <c r="D2079" s="18"/>
      <c r="E2079" s="17" t="s">
        <v>5575</v>
      </c>
      <c r="F2079" s="17" t="s">
        <v>255</v>
      </c>
      <c r="G2079" s="18"/>
      <c r="H2079" s="18"/>
    </row>
    <row r="2080" spans="1:8" ht="13.2">
      <c r="A2080" s="15" t="s">
        <v>923</v>
      </c>
      <c r="B2080" s="34" t="s">
        <v>924</v>
      </c>
      <c r="C2080" s="31">
        <v>6</v>
      </c>
      <c r="D2080" s="18"/>
      <c r="E2080" s="17" t="s">
        <v>910</v>
      </c>
      <c r="F2080" s="17" t="s">
        <v>229</v>
      </c>
      <c r="G2080" s="18"/>
      <c r="H2080" s="18"/>
    </row>
    <row r="2081" spans="1:8" ht="13.2">
      <c r="A2081" s="19" t="str">
        <f>HYPERLINK("http://codeforces.com/problemset/problem/371/E","CF408-D2-E")</f>
        <v>CF408-D2-E</v>
      </c>
      <c r="B2081" s="48" t="s">
        <v>6042</v>
      </c>
      <c r="C2081" s="24">
        <v>6</v>
      </c>
      <c r="D2081" s="18"/>
      <c r="E2081" s="17" t="s">
        <v>6040</v>
      </c>
      <c r="F2081" s="17" t="s">
        <v>229</v>
      </c>
      <c r="G2081" s="18"/>
      <c r="H2081" s="18"/>
    </row>
    <row r="2082" spans="1:8" ht="13.2">
      <c r="A2082" s="19" t="str">
        <f>HYPERLINK("http://codeforces.com/contest/507/problem/D","CF507-D2-D")</f>
        <v>CF507-D2-D</v>
      </c>
      <c r="B2082" s="29" t="s">
        <v>6122</v>
      </c>
      <c r="C2082" s="17">
        <v>6</v>
      </c>
      <c r="D2082" s="18"/>
      <c r="E2082" s="17" t="s">
        <v>6118</v>
      </c>
      <c r="F2082" s="17" t="s">
        <v>229</v>
      </c>
      <c r="G2082" s="18"/>
      <c r="H2082" s="18"/>
    </row>
    <row r="2083" spans="1:8" ht="13.2">
      <c r="A2083" s="19" t="str">
        <f>HYPERLINK("http://codeforces.com/contest/505/problem/D","CF505-D2-D")</f>
        <v>CF505-D2-D</v>
      </c>
      <c r="B2083" s="15" t="s">
        <v>1457</v>
      </c>
      <c r="C2083" s="24">
        <v>6</v>
      </c>
      <c r="D2083" s="18"/>
      <c r="E2083" s="17" t="s">
        <v>1337</v>
      </c>
      <c r="F2083" s="17" t="s">
        <v>306</v>
      </c>
      <c r="G2083" s="18"/>
      <c r="H2083" s="18"/>
    </row>
    <row r="2084" spans="1:8" ht="13.2">
      <c r="A2084" s="15" t="s">
        <v>4102</v>
      </c>
      <c r="B2084" s="39" t="s">
        <v>4059</v>
      </c>
      <c r="C2084" s="24">
        <v>6</v>
      </c>
      <c r="D2084" s="26" t="str">
        <f>HYPERLINK("https://github.com/achrafmam2/CompetitiveProgramming/blob/master/UVA/10779.cc","Sol")</f>
        <v>Sol</v>
      </c>
      <c r="E2084" s="17" t="s">
        <v>4060</v>
      </c>
      <c r="F2084" s="17" t="s">
        <v>306</v>
      </c>
      <c r="G2084" s="18"/>
      <c r="H2084" s="18"/>
    </row>
    <row r="2085" spans="1:8" ht="13.2">
      <c r="A2085" s="15" t="s">
        <v>2206</v>
      </c>
      <c r="B2085" s="18" t="s">
        <v>2207</v>
      </c>
      <c r="C2085" s="17">
        <v>6</v>
      </c>
      <c r="D2085" s="18"/>
      <c r="E2085" s="17" t="s">
        <v>2153</v>
      </c>
      <c r="F2085" s="17" t="s">
        <v>173</v>
      </c>
      <c r="G2085" s="18"/>
      <c r="H2085" s="18"/>
    </row>
    <row r="2086" spans="1:8" ht="13.2">
      <c r="A2086" s="19" t="str">
        <f>HYPERLINK("https://uva.onlinejudge.org/index.php?option=com_onlinejudge&amp;Itemid=8&amp;page=show_problem&amp;problem=529","UVA 588")</f>
        <v>UVA 588</v>
      </c>
      <c r="B2086" s="29" t="s">
        <v>3055</v>
      </c>
      <c r="C2086" s="17">
        <v>6</v>
      </c>
      <c r="D2086" s="26" t="str">
        <f>HYPERLINK("https://github.com/mostafa-saad/MyCompetitiveProgramming/blob/master/UVA/588.cpp","Use polygon cut")</f>
        <v>Use polygon cut</v>
      </c>
      <c r="E2086" s="17" t="s">
        <v>3041</v>
      </c>
      <c r="F2086" s="17" t="s">
        <v>173</v>
      </c>
      <c r="G2086" s="18"/>
      <c r="H2086" s="18"/>
    </row>
    <row r="2087" spans="1:8" ht="13.2">
      <c r="A2087" s="19" t="str">
        <f>HYPERLINK("http://codeforces.com/contest/501/problem/D","CF501-D2-D")</f>
        <v>CF501-D2-D</v>
      </c>
      <c r="B2087" s="29" t="s">
        <v>1259</v>
      </c>
      <c r="C2087" s="24">
        <v>6</v>
      </c>
      <c r="D2087" s="18"/>
      <c r="E2087" s="17" t="s">
        <v>1223</v>
      </c>
      <c r="F2087" s="17" t="s">
        <v>1053</v>
      </c>
      <c r="G2087" s="18"/>
      <c r="H2087" s="18"/>
    </row>
    <row r="2088" spans="1:8" ht="13.2">
      <c r="A2088" s="15" t="s">
        <v>1458</v>
      </c>
      <c r="B2088" s="37" t="s">
        <v>1459</v>
      </c>
      <c r="C2088" s="17">
        <v>6</v>
      </c>
      <c r="D2088" s="18"/>
      <c r="E2088" s="17" t="s">
        <v>1337</v>
      </c>
      <c r="F2088" s="17" t="s">
        <v>1053</v>
      </c>
      <c r="G2088" s="18"/>
      <c r="H2088" s="18"/>
    </row>
    <row r="2089" spans="1:8" ht="13.2">
      <c r="A2089" s="19" t="str">
        <f>HYPERLINK("http://codeforces.com/contest/980/problem/E","CF980-D2-E")</f>
        <v>CF980-D2-E</v>
      </c>
      <c r="B2089" s="15" t="s">
        <v>2208</v>
      </c>
      <c r="C2089" s="17">
        <v>6</v>
      </c>
      <c r="D2089" s="18"/>
      <c r="E2089" s="17" t="s">
        <v>2153</v>
      </c>
      <c r="F2089" s="17" t="s">
        <v>1053</v>
      </c>
      <c r="G2089" s="18"/>
      <c r="H2089" s="18"/>
    </row>
    <row r="2090" spans="1:8" ht="13.2">
      <c r="A2090" s="19" t="str">
        <f>HYPERLINK("http://codeforces.com/contest/623/problem/B","CF623-D1-B")</f>
        <v>CF623-D1-B</v>
      </c>
      <c r="B2090" s="38" t="s">
        <v>1415</v>
      </c>
      <c r="C2090" s="24">
        <v>6</v>
      </c>
      <c r="D2090" s="18"/>
      <c r="E2090" s="17" t="s">
        <v>1337</v>
      </c>
      <c r="F2090" s="17" t="s">
        <v>1420</v>
      </c>
      <c r="G2090" s="18"/>
      <c r="H2090" s="18"/>
    </row>
    <row r="2091" spans="1:8" ht="13.2">
      <c r="A2091" s="19" t="str">
        <f>HYPERLINK("http://codeforces.com/contest/124/problem/D","CF124-D2-D")</f>
        <v>CF124-D2-D</v>
      </c>
      <c r="B2091" s="15" t="s">
        <v>193</v>
      </c>
      <c r="C2091" s="24">
        <v>6</v>
      </c>
      <c r="D2091" s="26" t="str">
        <f>HYPERLINK("https://github.com/mostafa-saad/MyCompetitiveProgramming/blob/master/Codeforces/CF124-D2-D.txt","Sol")</f>
        <v>Sol</v>
      </c>
      <c r="E2091" s="17" t="s">
        <v>125</v>
      </c>
      <c r="F2091" s="17" t="s">
        <v>154</v>
      </c>
      <c r="G2091" s="18"/>
      <c r="H2091" s="18"/>
    </row>
    <row r="2092" spans="1:8" ht="13.2">
      <c r="A2092" s="19" t="str">
        <f>HYPERLINK("http://codeforces.com/contest/149/problem/E","CF149-D2-E")</f>
        <v>CF149-D2-E</v>
      </c>
      <c r="B2092" s="29" t="s">
        <v>5829</v>
      </c>
      <c r="C2092" s="17">
        <v>6</v>
      </c>
      <c r="D2092" s="18"/>
      <c r="E2092" s="17" t="s">
        <v>5794</v>
      </c>
      <c r="F2092" s="17" t="s">
        <v>154</v>
      </c>
      <c r="G2092" s="18"/>
      <c r="H2092" s="18"/>
    </row>
    <row r="2093" spans="1:8" ht="13.2">
      <c r="A2093" s="19" t="str">
        <f>HYPERLINK("http://codeforces.com/problemset/problem/985/F", "CF985-D12-F")</f>
        <v>CF985-D12-F</v>
      </c>
      <c r="B2093" s="29" t="s">
        <v>5863</v>
      </c>
      <c r="C2093" s="21">
        <v>6</v>
      </c>
      <c r="D2093" s="26" t="str">
        <f>HYPERLINK("https://github.com/tmwilliamlin168/CompetitiveProgramming/blob/master/CodeForces/CF0985-D12-F.cpp", "Sol")</f>
        <v>Sol</v>
      </c>
      <c r="E2093" s="17" t="s">
        <v>5857</v>
      </c>
      <c r="F2093" s="17" t="s">
        <v>154</v>
      </c>
      <c r="G2093" s="18"/>
      <c r="H2093" s="18"/>
    </row>
    <row r="2094" spans="1:8" ht="13.2">
      <c r="A2094" s="15" t="s">
        <v>6171</v>
      </c>
      <c r="B2094" s="16" t="s">
        <v>6172</v>
      </c>
      <c r="C2094" s="17">
        <v>6</v>
      </c>
      <c r="D2094" s="18"/>
      <c r="E2094" s="17" t="s">
        <v>6169</v>
      </c>
      <c r="F2094" s="17" t="s">
        <v>154</v>
      </c>
      <c r="G2094" s="18"/>
      <c r="H2094" s="18"/>
    </row>
    <row r="2095" spans="1:8" ht="13.2">
      <c r="A2095" s="19" t="str">
        <f>HYPERLINK("https://codeforces.com/gym/100570/problem/F","CF100570-gym-F")</f>
        <v>CF100570-gym-F</v>
      </c>
      <c r="B2095" s="15" t="s">
        <v>6349</v>
      </c>
      <c r="C2095" s="21">
        <v>6</v>
      </c>
      <c r="D2095" s="18"/>
      <c r="E2095" s="17" t="s">
        <v>6345</v>
      </c>
      <c r="F2095" s="17" t="s">
        <v>154</v>
      </c>
      <c r="G2095" s="18"/>
      <c r="H2095" s="18"/>
    </row>
    <row r="2096" spans="1:8" ht="13.2">
      <c r="A2096" s="19" t="str">
        <f>HYPERLINK("https://www.codechef.com/problems/PRIMEDST","CODECHEF PRIMEDST")</f>
        <v>CODECHEF PRIMEDST</v>
      </c>
      <c r="B2096" s="18" t="s">
        <v>6350</v>
      </c>
      <c r="C2096" s="17">
        <v>6</v>
      </c>
      <c r="D2096" s="18"/>
      <c r="E2096" s="17" t="s">
        <v>6345</v>
      </c>
      <c r="F2096" s="17" t="s">
        <v>154</v>
      </c>
      <c r="G2096" s="18"/>
      <c r="H2096" s="18"/>
    </row>
    <row r="2097" spans="1:8" ht="13.2">
      <c r="A2097" s="15" t="s">
        <v>6383</v>
      </c>
      <c r="B2097" s="37" t="s">
        <v>6384</v>
      </c>
      <c r="C2097" s="17">
        <v>6</v>
      </c>
      <c r="D2097" s="26" t="str">
        <f>HYPERLINK("https://github.com/quangloc99/CompetitiveProgramming/blob/master/Livearchive/5133.cpp","Sol")</f>
        <v>Sol</v>
      </c>
      <c r="E2097" s="17" t="s">
        <v>6362</v>
      </c>
      <c r="F2097" s="17" t="s">
        <v>154</v>
      </c>
      <c r="G2097" s="18"/>
      <c r="H2097" s="18"/>
    </row>
    <row r="2098" spans="1:8" ht="13.2">
      <c r="A2098" s="19" t="str">
        <f>HYPERLINK("https://codeforces.com/contest/397/problem/E","CF397-D2-E")</f>
        <v>CF397-D2-E</v>
      </c>
      <c r="B2098" s="20" t="s">
        <v>1017</v>
      </c>
      <c r="C2098" s="21">
        <v>6</v>
      </c>
      <c r="D2098" s="18"/>
      <c r="E2098" s="17" t="s">
        <v>1018</v>
      </c>
      <c r="F2098" s="17" t="s">
        <v>154</v>
      </c>
      <c r="G2098" s="18"/>
      <c r="H2098" s="18"/>
    </row>
    <row r="2099" spans="1:8" ht="13.2">
      <c r="A2099" s="15" t="s">
        <v>1460</v>
      </c>
      <c r="B2099" s="15" t="s">
        <v>1461</v>
      </c>
      <c r="C2099" s="24">
        <v>6</v>
      </c>
      <c r="D2099" s="26" t="str">
        <f>HYPERLINK("https://github.com/mostafa-saad/MyCompetitiveProgramming/blob/master/Timus/TIMUS_1223.txt","Sol")</f>
        <v>Sol</v>
      </c>
      <c r="E2099" s="17" t="s">
        <v>1337</v>
      </c>
      <c r="F2099" s="17" t="s">
        <v>154</v>
      </c>
      <c r="G2099" s="18"/>
      <c r="H2099" s="18"/>
    </row>
    <row r="2100" spans="1:8" ht="13.2">
      <c r="A2100" s="19" t="str">
        <f>HYPERLINK("https://codeforces.com/contest/1260/problem/E","CF1260-D12-E")</f>
        <v>CF1260-D12-E</v>
      </c>
      <c r="B2100" s="20" t="s">
        <v>1462</v>
      </c>
      <c r="C2100" s="21">
        <v>6</v>
      </c>
      <c r="D2100" s="18"/>
      <c r="E2100" s="17" t="s">
        <v>1337</v>
      </c>
      <c r="F2100" s="17" t="s">
        <v>154</v>
      </c>
      <c r="G2100" s="18"/>
      <c r="H2100" s="18"/>
    </row>
    <row r="2101" spans="1:8" ht="13.2">
      <c r="A2101" s="19" t="str">
        <f>HYPERLINK("http://codeforces.com/contest/600/problem/E","CF600-D12-E")</f>
        <v>CF600-D12-E</v>
      </c>
      <c r="B2101" s="38" t="s">
        <v>1771</v>
      </c>
      <c r="C2101" s="17">
        <v>6</v>
      </c>
      <c r="D2101" s="18"/>
      <c r="E2101" s="17" t="s">
        <v>1768</v>
      </c>
      <c r="F2101" s="17" t="s">
        <v>154</v>
      </c>
      <c r="G2101" s="18"/>
      <c r="H2101" s="18"/>
    </row>
    <row r="2102" spans="1:8" ht="13.2">
      <c r="A2102" s="15" t="s">
        <v>1945</v>
      </c>
      <c r="B2102" s="15" t="s">
        <v>1946</v>
      </c>
      <c r="C2102" s="17">
        <v>6</v>
      </c>
      <c r="D2102" s="26" t="str">
        <f>HYPERLINK("https://ideone.com/N44vRX","Sol")</f>
        <v>Sol</v>
      </c>
      <c r="E2102" s="17" t="s">
        <v>1909</v>
      </c>
      <c r="F2102" s="17" t="s">
        <v>154</v>
      </c>
      <c r="G2102" s="18"/>
      <c r="H2102" s="18"/>
    </row>
    <row r="2103" spans="1:8" ht="13.2">
      <c r="A2103" s="15" t="s">
        <v>2043</v>
      </c>
      <c r="B2103" s="15" t="s">
        <v>2044</v>
      </c>
      <c r="C2103" s="24">
        <v>6</v>
      </c>
      <c r="D2103" s="18"/>
      <c r="E2103" s="17" t="s">
        <v>2026</v>
      </c>
      <c r="F2103" s="17" t="s">
        <v>154</v>
      </c>
      <c r="G2103" s="18"/>
      <c r="H2103" s="18"/>
    </row>
    <row r="2104" spans="1:8" ht="13.2">
      <c r="A2104" s="19" t="str">
        <f>HYPERLINK("http://codeforces.com/contest/879/problem/D","CF879-D2-D")</f>
        <v>CF879-D2-D</v>
      </c>
      <c r="B2104" s="15" t="s">
        <v>518</v>
      </c>
      <c r="C2104" s="17">
        <v>6</v>
      </c>
      <c r="D2104" s="18"/>
      <c r="E2104" s="17" t="s">
        <v>503</v>
      </c>
      <c r="F2104" s="17" t="s">
        <v>154</v>
      </c>
      <c r="G2104" s="18"/>
      <c r="H2104" s="18"/>
    </row>
    <row r="2105" spans="1:8" ht="13.2">
      <c r="A2105" s="19" t="str">
        <f>HYPERLINK("https://codeforces.com/contest/867/problem/E","CF867-D12-E")</f>
        <v>CF867-D12-E</v>
      </c>
      <c r="B2105" s="18" t="s">
        <v>2152</v>
      </c>
      <c r="C2105" s="17">
        <v>6</v>
      </c>
      <c r="D2105" s="18"/>
      <c r="E2105" s="17" t="s">
        <v>2153</v>
      </c>
      <c r="F2105" s="17" t="s">
        <v>154</v>
      </c>
      <c r="G2105" s="18"/>
      <c r="H2105" s="18"/>
    </row>
    <row r="2106" spans="1:8" ht="13.2">
      <c r="A2106" s="19" t="str">
        <f>HYPERLINK("http://codeforces.com/contest/256/problem/C","CF256-D1-C")</f>
        <v>CF256-D1-C</v>
      </c>
      <c r="B2106" s="29" t="s">
        <v>2485</v>
      </c>
      <c r="C2106" s="24">
        <v>6</v>
      </c>
      <c r="D2106" s="18"/>
      <c r="E2106" s="17" t="s">
        <v>2467</v>
      </c>
      <c r="F2106" s="17" t="s">
        <v>154</v>
      </c>
      <c r="G2106" s="18"/>
      <c r="H2106" s="18"/>
    </row>
    <row r="2107" spans="1:8" ht="13.2">
      <c r="A2107" s="19" t="str">
        <f>HYPERLINK("https://codeforces.com/contest/1270/problem/E","CF1270-D12-E")</f>
        <v>CF1270-D12-E</v>
      </c>
      <c r="B2107" s="15" t="s">
        <v>2641</v>
      </c>
      <c r="C2107" s="21">
        <v>6</v>
      </c>
      <c r="D2107" s="18"/>
      <c r="E2107" s="17" t="s">
        <v>2510</v>
      </c>
      <c r="F2107" s="17" t="s">
        <v>154</v>
      </c>
      <c r="G2107" s="18"/>
      <c r="H2107" s="18"/>
    </row>
    <row r="2108" spans="1:8" ht="13.2">
      <c r="A2108" s="15" t="s">
        <v>2902</v>
      </c>
      <c r="B2108" s="30" t="s">
        <v>2903</v>
      </c>
      <c r="C2108" s="24">
        <v>6</v>
      </c>
      <c r="D2108" s="26" t="str">
        <f>HYPERLINK("https://github.com/Huvok/CompetitiveProgramming/blob/master/Topcoder/SRM244-D1-500.cpp", "Sol. See also Eryx's solution")</f>
        <v>Sol. See also Eryx's solution</v>
      </c>
      <c r="E2108" s="24" t="s">
        <v>2865</v>
      </c>
      <c r="F2108" s="17" t="s">
        <v>154</v>
      </c>
      <c r="G2108" s="18"/>
      <c r="H2108" s="18"/>
    </row>
    <row r="2109" spans="1:8" ht="13.2">
      <c r="A2109" s="19" t="str">
        <f>HYPERLINK("http://codeforces.com/contest/794/problem/D","CF794-D12-D")</f>
        <v>CF794-D12-D</v>
      </c>
      <c r="B2109" s="15" t="s">
        <v>3339</v>
      </c>
      <c r="C2109" s="17">
        <v>6</v>
      </c>
      <c r="D2109" s="18"/>
      <c r="E2109" s="17" t="s">
        <v>3257</v>
      </c>
      <c r="F2109" s="17" t="s">
        <v>154</v>
      </c>
      <c r="G2109" s="18"/>
      <c r="H2109" s="18"/>
    </row>
    <row r="2110" spans="1:8" ht="13.2">
      <c r="A2110" s="19" t="str">
        <f>HYPERLINK("http://codeforces.com/gym/101498/problem/L","CF101498-GYM-L")</f>
        <v>CF101498-GYM-L</v>
      </c>
      <c r="B2110" s="15" t="s">
        <v>3454</v>
      </c>
      <c r="C2110" s="17">
        <v>6</v>
      </c>
      <c r="D2110" s="26" t="str">
        <f>HYPERLINK("https://github.com/mostafa-saad/MyCompetitiveProgramming/blob/master/Codeforces/CF101498-GYM-L.txt","Sol")</f>
        <v>Sol</v>
      </c>
      <c r="E2110" s="17" t="s">
        <v>3439</v>
      </c>
      <c r="F2110" s="17" t="s">
        <v>154</v>
      </c>
      <c r="G2110" s="18"/>
      <c r="H2110" s="18"/>
    </row>
    <row r="2111" spans="1:8" ht="13.2">
      <c r="A2111" s="19" t="str">
        <f>HYPERLINK("http://codeforces.com/problemset/problem/789/D", "CF789-D2-D")</f>
        <v>CF789-D2-D</v>
      </c>
      <c r="B2111" s="20" t="s">
        <v>3973</v>
      </c>
      <c r="C2111" s="17">
        <v>6</v>
      </c>
      <c r="D2111" s="18"/>
      <c r="E2111" s="17" t="s">
        <v>3955</v>
      </c>
      <c r="F2111" s="17" t="s">
        <v>154</v>
      </c>
      <c r="G2111" s="18"/>
      <c r="H2111" s="18"/>
    </row>
    <row r="2112" spans="1:8" ht="13.2">
      <c r="A2112" s="19" t="str">
        <f>HYPERLINK("https://www.spoj.com/problems/ADABLOOM/","SOPJ ADABLOOM")</f>
        <v>SOPJ ADABLOOM</v>
      </c>
      <c r="B2112" s="15" t="s">
        <v>4177</v>
      </c>
      <c r="C2112" s="17">
        <v>6</v>
      </c>
      <c r="D2112" s="26" t="str">
        <f>HYPERLINK("https://github.com/Coder-Boy1/SPOJ/blob/master/SPOJ%20ADABLOOM","Sol")</f>
        <v>Sol</v>
      </c>
      <c r="E2112" s="17" t="s">
        <v>4144</v>
      </c>
      <c r="F2112" s="17" t="s">
        <v>154</v>
      </c>
      <c r="G2112" s="18"/>
      <c r="H2112" s="18"/>
    </row>
    <row r="2113" spans="1:8" ht="13.2">
      <c r="A2113" s="15" t="s">
        <v>4253</v>
      </c>
      <c r="B2113" s="28" t="s">
        <v>4245</v>
      </c>
      <c r="C2113" s="24">
        <v>6</v>
      </c>
      <c r="D2113" s="18"/>
      <c r="E2113" s="24" t="s">
        <v>4238</v>
      </c>
      <c r="F2113" s="17" t="s">
        <v>154</v>
      </c>
      <c r="G2113" s="18"/>
      <c r="H2113" s="18"/>
    </row>
    <row r="2114" spans="1:8" ht="13.2">
      <c r="A2114" s="19" t="str">
        <f>HYPERLINK("http://codeforces.com/contest/469/problem/D","CF469-D2-D")</f>
        <v>CF469-D2-D</v>
      </c>
      <c r="B2114" s="29" t="s">
        <v>4397</v>
      </c>
      <c r="C2114" s="17">
        <v>6</v>
      </c>
      <c r="D2114" s="18"/>
      <c r="E2114" s="17" t="s">
        <v>4379</v>
      </c>
      <c r="F2114" s="17" t="s">
        <v>154</v>
      </c>
      <c r="G2114" s="18"/>
      <c r="H2114" s="18"/>
    </row>
    <row r="2115" spans="1:8" ht="13.2">
      <c r="A2115" s="19" t="str">
        <f>HYPERLINK("https://codeforces.com/contest/1186/problem/E","CF1186-D2-E")</f>
        <v>CF1186-D2-E</v>
      </c>
      <c r="B2115" s="20" t="s">
        <v>4621</v>
      </c>
      <c r="C2115" s="17">
        <v>6</v>
      </c>
      <c r="D2115" s="18"/>
      <c r="E2115" s="17" t="s">
        <v>4531</v>
      </c>
      <c r="F2115" s="17" t="s">
        <v>154</v>
      </c>
      <c r="G2115" s="18"/>
      <c r="H2115" s="18"/>
    </row>
    <row r="2116" spans="1:8" ht="13.2">
      <c r="A2116" s="19" t="str">
        <f>HYPERLINK("https://atcoder.jp/contests/agc043/tasks/agc043_b","AtCoder043-AGC-B")</f>
        <v>AtCoder043-AGC-B</v>
      </c>
      <c r="B2116" s="20" t="s">
        <v>4622</v>
      </c>
      <c r="C2116" s="21">
        <v>6</v>
      </c>
      <c r="D2116" s="18"/>
      <c r="E2116" s="17" t="s">
        <v>4531</v>
      </c>
      <c r="F2116" s="17" t="s">
        <v>154</v>
      </c>
      <c r="G2116" s="18"/>
      <c r="H2116" s="18"/>
    </row>
    <row r="2117" spans="1:8" ht="13.2">
      <c r="A2117" s="15" t="s">
        <v>5153</v>
      </c>
      <c r="B2117" s="28" t="s">
        <v>5154</v>
      </c>
      <c r="C2117" s="24">
        <v>6</v>
      </c>
      <c r="D2117" s="26" t="str">
        <f>HYPERLINK("https://github.com/mostafa-saad/MyCompetitiveProgramming/blob/master/SPOJ/SPOJ_MSKYCODE.txt","Sol")</f>
        <v>Sol</v>
      </c>
      <c r="E2117" s="24" t="s">
        <v>5134</v>
      </c>
      <c r="F2117" s="17" t="s">
        <v>154</v>
      </c>
      <c r="G2117" s="18"/>
      <c r="H2117" s="18"/>
    </row>
    <row r="2118" spans="1:8" ht="13.2">
      <c r="A2118" s="19" t="str">
        <f>HYPERLINK("http://codeforces.com/contest/514/problem/E","CF514-D2-E")</f>
        <v>CF514-D2-E</v>
      </c>
      <c r="B2118" s="29" t="s">
        <v>5273</v>
      </c>
      <c r="C2118" s="17">
        <v>6</v>
      </c>
      <c r="D2118" s="18"/>
      <c r="E2118" s="17" t="s">
        <v>5246</v>
      </c>
      <c r="F2118" s="17" t="s">
        <v>154</v>
      </c>
      <c r="G2118" s="18"/>
      <c r="H2118" s="18"/>
    </row>
    <row r="2119" spans="1:8" ht="13.2">
      <c r="A2119" s="15" t="s">
        <v>5274</v>
      </c>
      <c r="B2119" s="30" t="s">
        <v>5275</v>
      </c>
      <c r="C2119" s="24">
        <v>6</v>
      </c>
      <c r="D2119" s="26" t="str">
        <f>HYPERLINK("https://github.com/mostafa-saad/MyCompetitiveProgramming/blob/master/SPOJ/SPOJ_PLHOP.txt","Sol")</f>
        <v>Sol</v>
      </c>
      <c r="E2119" s="17" t="s">
        <v>5246</v>
      </c>
      <c r="F2119" s="17" t="s">
        <v>154</v>
      </c>
      <c r="G2119" s="18"/>
      <c r="H2119" s="18"/>
    </row>
    <row r="2120" spans="1:8" ht="13.2">
      <c r="A2120" s="15" t="s">
        <v>5376</v>
      </c>
      <c r="B2120" s="29" t="s">
        <v>5377</v>
      </c>
      <c r="C2120" s="17">
        <v>6</v>
      </c>
      <c r="D2120" s="26" t="str">
        <f>HYPERLINK("https://github.com/aboodJAD/CompetitiveProgramming/blob/master/UVA/UVA%20557.cpp","Sol")</f>
        <v>Sol</v>
      </c>
      <c r="E2120" s="17" t="s">
        <v>5346</v>
      </c>
      <c r="F2120" s="17" t="s">
        <v>154</v>
      </c>
      <c r="G2120" s="18"/>
      <c r="H2120" s="18"/>
    </row>
    <row r="2121" spans="1:8" ht="13.2">
      <c r="A2121" s="19" t="str">
        <f>HYPERLINK("http://codeforces.com/contest/26/problem/D","CF26-D12-D")</f>
        <v>CF26-D12-D</v>
      </c>
      <c r="B2121" s="29" t="s">
        <v>5378</v>
      </c>
      <c r="C2121" s="17">
        <v>6</v>
      </c>
      <c r="D2121" s="26" t="str">
        <f>HYPERLINK("https://github.com/mostafa-saad/MyCompetitiveProgramming/blob/master/Codeforces/CF26-D12-D.txt","Sol - must read. If hard, try SPOJ FUNPROB first")</f>
        <v>Sol - must read. If hard, try SPOJ FUNPROB first</v>
      </c>
      <c r="E2121" s="17" t="s">
        <v>5346</v>
      </c>
      <c r="F2121" s="17" t="s">
        <v>154</v>
      </c>
      <c r="G2121" s="18"/>
      <c r="H2121" s="18"/>
    </row>
    <row r="2122" spans="1:8" ht="13.2">
      <c r="A2122" s="19" t="str">
        <f>HYPERLINK("https://www.hackerrank.com/challenges/billboards","HACKR BILLBOARDS")</f>
        <v>HACKR BILLBOARDS</v>
      </c>
      <c r="B2122" s="30" t="s">
        <v>1731</v>
      </c>
      <c r="C2122" s="24">
        <v>6</v>
      </c>
      <c r="D2122" s="26" t="str">
        <f>HYPERLINK("https://github.com/sggutier/CompetitiveProgramming/blob/master/HackerRank/billboards.cpp","Sol")</f>
        <v>Sol</v>
      </c>
      <c r="E2122" s="17" t="s">
        <v>1730</v>
      </c>
      <c r="F2122" s="17" t="s">
        <v>1164</v>
      </c>
      <c r="G2122" s="18"/>
      <c r="H2122" s="18"/>
    </row>
    <row r="2123" spans="1:8" ht="13.2">
      <c r="A2123" s="15" t="s">
        <v>5276</v>
      </c>
      <c r="B2123" s="28" t="s">
        <v>5277</v>
      </c>
      <c r="C2123" s="24">
        <v>6</v>
      </c>
      <c r="D2123" s="26" t="str">
        <f>HYPERLINK("http://ideone.com/OcvCo2","Sol")</f>
        <v>Sol</v>
      </c>
      <c r="E2123" s="17" t="s">
        <v>5246</v>
      </c>
      <c r="F2123" s="17" t="s">
        <v>1164</v>
      </c>
      <c r="G2123" s="18"/>
      <c r="H2123" s="18"/>
    </row>
    <row r="2124" spans="1:8" ht="13.2">
      <c r="A2124" s="15" t="s">
        <v>194</v>
      </c>
      <c r="B2124" s="29" t="s">
        <v>195</v>
      </c>
      <c r="C2124" s="17">
        <v>6</v>
      </c>
      <c r="D2124" s="26" t="str">
        <f>HYPERLINK("https://github.com/yazanKabbany/CompetitiveProgramming/blob/master/UVA/UVA%201406.cpp","Sol")</f>
        <v>Sol</v>
      </c>
      <c r="E2124" s="17" t="s">
        <v>125</v>
      </c>
      <c r="F2124" s="17" t="s">
        <v>196</v>
      </c>
      <c r="G2124" s="18"/>
      <c r="H2124" s="18"/>
    </row>
    <row r="2125" spans="1:8" ht="13.2">
      <c r="A2125" s="19" t="str">
        <f>HYPERLINK("http://codeforces.com/contest/979/problem/D","CF979-D2-D")</f>
        <v>CF979-D2-D</v>
      </c>
      <c r="B2125" s="28" t="s">
        <v>5655</v>
      </c>
      <c r="C2125" s="21">
        <v>6</v>
      </c>
      <c r="D2125" s="18"/>
      <c r="E2125" s="17" t="s">
        <v>5643</v>
      </c>
      <c r="F2125" s="17" t="s">
        <v>196</v>
      </c>
      <c r="G2125" s="18"/>
      <c r="H2125" s="18"/>
    </row>
    <row r="2126" spans="1:8" ht="13.2">
      <c r="A2126" s="19" t="str">
        <f>HYPERLINK("http://codeforces.com/contest/466/problem/D","CF466-D2-D")</f>
        <v>CF466-D2-D</v>
      </c>
      <c r="B2126" s="29" t="s">
        <v>6427</v>
      </c>
      <c r="C2126" s="17">
        <v>6</v>
      </c>
      <c r="D2126" s="18"/>
      <c r="E2126" s="17" t="s">
        <v>6426</v>
      </c>
      <c r="F2126" s="17" t="s">
        <v>196</v>
      </c>
      <c r="G2126" s="18"/>
      <c r="H2126" s="18"/>
    </row>
    <row r="2127" spans="1:8" ht="13.2">
      <c r="A2127" s="19" t="str">
        <f>HYPERLINK("http://codeforces.com/contest/23/problem/D","CF23-D12-D")</f>
        <v>CF23-D12-D</v>
      </c>
      <c r="B2127" s="29" t="s">
        <v>2642</v>
      </c>
      <c r="C2127" s="24">
        <v>6</v>
      </c>
      <c r="D2127" s="18"/>
      <c r="E2127" s="17" t="s">
        <v>2510</v>
      </c>
      <c r="F2127" s="17" t="s">
        <v>196</v>
      </c>
      <c r="G2127" s="18"/>
      <c r="H2127" s="18"/>
    </row>
    <row r="2128" spans="1:8" ht="13.2">
      <c r="A2128" s="19" t="str">
        <f>HYPERLINK("https://csacademy.com/contest/round-79/task/smallest-subsets/","CSA79-E")</f>
        <v>CSA79-E</v>
      </c>
      <c r="B2128" s="20" t="s">
        <v>593</v>
      </c>
      <c r="C2128" s="17">
        <v>6</v>
      </c>
      <c r="D2128" s="26" t="str">
        <f>HYPERLINK("https://github.com/magdy-hasan/competitive-programming/blob/8cbf7891ccb20207e90ca25c5841661c0727afa0/CSA/CSA%20Smallest%20Subsets.cpp","Sol")</f>
        <v>Sol</v>
      </c>
      <c r="E2128" s="17" t="s">
        <v>575</v>
      </c>
      <c r="F2128" s="17" t="s">
        <v>196</v>
      </c>
      <c r="G2128" s="18"/>
      <c r="H2128" s="18"/>
    </row>
    <row r="2129" spans="1:8" ht="13.2">
      <c r="A2129" s="19" t="str">
        <f>HYPERLINK("https://www.codechef.com/problems/CHEFDIV","CODECHEF CHEFDIV")</f>
        <v>CODECHEF CHEFDIV</v>
      </c>
      <c r="B2129" s="18" t="s">
        <v>5089</v>
      </c>
      <c r="C2129" s="17">
        <v>6</v>
      </c>
      <c r="D2129" s="26" t="str">
        <f>HYPERLINK("https://github.com/thackerhelik/Codechef/blob/master/CHEFDIV.cpp","Sol")</f>
        <v>Sol</v>
      </c>
      <c r="E2129" s="17" t="s">
        <v>5075</v>
      </c>
      <c r="F2129" s="17" t="s">
        <v>196</v>
      </c>
      <c r="G2129" s="18"/>
      <c r="H2129" s="18"/>
    </row>
    <row r="2130" spans="1:8" ht="13.2">
      <c r="A2130" s="15" t="s">
        <v>5278</v>
      </c>
      <c r="B2130" s="28" t="s">
        <v>5279</v>
      </c>
      <c r="C2130" s="24">
        <v>6</v>
      </c>
      <c r="D2130" s="26" t="str">
        <f>HYPERLINK("https://github.com/mostafa-saad/MyCompetitiveProgramming/blob/master/LiveArchive/LIVEARCHIVE_4332.txt","Sol")</f>
        <v>Sol</v>
      </c>
      <c r="E2130" s="24" t="s">
        <v>5246</v>
      </c>
      <c r="F2130" s="17" t="s">
        <v>196</v>
      </c>
      <c r="G2130" s="18"/>
      <c r="H2130" s="18"/>
    </row>
    <row r="2131" spans="1:8" ht="13.2">
      <c r="A2131" s="19" t="str">
        <f>HYPERLINK("http://www.spoj.com/problems/MSE07E/","SPOJ MSE07E")</f>
        <v>SPOJ MSE07E</v>
      </c>
      <c r="B2131" s="29" t="s">
        <v>833</v>
      </c>
      <c r="C2131" s="17">
        <v>6</v>
      </c>
      <c r="D2131" s="26" t="str">
        <f>HYPERLINK("https://github.com/mostafa-saad/MyCompetitiveProgramming/blob/master/SPOJ/SPOJ_MSE07E.txt","Read FIRST SPOJ users' comments about IO. See here sol")</f>
        <v>Read FIRST SPOJ users' comments about IO. See here sol</v>
      </c>
      <c r="E2131" s="17" t="s">
        <v>805</v>
      </c>
      <c r="F2131" s="17" t="s">
        <v>196</v>
      </c>
      <c r="G2131" s="18"/>
      <c r="H2131" s="18"/>
    </row>
    <row r="2132" spans="1:8" ht="13.2">
      <c r="A2132" s="19" t="str">
        <f>HYPERLINK("http://codeforces.com/contest/621/problem/E","CF621-D2-E")</f>
        <v>CF621-D2-E</v>
      </c>
      <c r="B2132" s="18" t="s">
        <v>5280</v>
      </c>
      <c r="C2132" s="17">
        <v>6</v>
      </c>
      <c r="D2132" s="26" t="str">
        <f>HYPERLINK("https://github.com/stefdasca/CompetitiveProgramming/blob/master/Codeforces/CF621-D2-E.cpp","Sol")</f>
        <v>Sol</v>
      </c>
      <c r="E2132" s="17" t="s">
        <v>5246</v>
      </c>
      <c r="F2132" s="17" t="s">
        <v>1112</v>
      </c>
      <c r="G2132" s="18"/>
      <c r="H2132" s="18"/>
    </row>
    <row r="2133" spans="1:8" ht="13.2">
      <c r="A2133" s="19" t="str">
        <f>HYPERLINK("https://codeforces.com/contest/1084/problem/E","CF1084-D2-E")</f>
        <v>CF1084-D2-E</v>
      </c>
      <c r="B2133" s="15" t="s">
        <v>197</v>
      </c>
      <c r="C2133" s="17">
        <v>6</v>
      </c>
      <c r="D2133" s="18"/>
      <c r="E2133" s="17" t="s">
        <v>125</v>
      </c>
      <c r="F2133" s="17" t="s">
        <v>139</v>
      </c>
      <c r="G2133" s="18"/>
      <c r="H2133" s="18"/>
    </row>
    <row r="2134" spans="1:8" ht="13.2">
      <c r="A2134" s="19" t="str">
        <f>HYPERLINK("http://codeforces.com/contest/898/problem/F","CF898-D2-F")</f>
        <v>CF898-D2-F</v>
      </c>
      <c r="B2134" s="18" t="s">
        <v>146</v>
      </c>
      <c r="C2134" s="17">
        <v>6</v>
      </c>
      <c r="D2134" s="18"/>
      <c r="E2134" s="17" t="s">
        <v>125</v>
      </c>
      <c r="F2134" s="17" t="s">
        <v>139</v>
      </c>
      <c r="G2134" s="18"/>
      <c r="H2134" s="18"/>
    </row>
    <row r="2135" spans="1:8" ht="13.2">
      <c r="A2135" s="19" t="str">
        <f>HYPERLINK("https://codeforces.com/contest/1117/problem/E","CF1117-D2-E")</f>
        <v>CF1117-D2-E</v>
      </c>
      <c r="B2135" s="15" t="s">
        <v>198</v>
      </c>
      <c r="C2135" s="17">
        <v>6</v>
      </c>
      <c r="D2135" s="18"/>
      <c r="E2135" s="17" t="s">
        <v>125</v>
      </c>
      <c r="F2135" s="17" t="s">
        <v>139</v>
      </c>
      <c r="G2135" s="18"/>
      <c r="H2135" s="18"/>
    </row>
    <row r="2136" spans="1:8" ht="13.2">
      <c r="A2136" s="15" t="s">
        <v>925</v>
      </c>
      <c r="B2136" s="29" t="s">
        <v>926</v>
      </c>
      <c r="C2136" s="17">
        <v>6</v>
      </c>
      <c r="D2136" s="26" t="str">
        <f>HYPERLINK("https://ideone.com/YtttCj","Sol")</f>
        <v>Sol</v>
      </c>
      <c r="E2136" s="17" t="s">
        <v>910</v>
      </c>
      <c r="F2136" s="17" t="s">
        <v>139</v>
      </c>
      <c r="G2136" s="18"/>
      <c r="H2136" s="18"/>
    </row>
    <row r="2137" spans="1:8" ht="13.2">
      <c r="A2137" s="15" t="s">
        <v>5656</v>
      </c>
      <c r="B2137" s="28" t="s">
        <v>5657</v>
      </c>
      <c r="C2137" s="24">
        <v>6</v>
      </c>
      <c r="D2137" s="26" t="str">
        <f>HYPERLINK("https://github.com/mostafa-saad/MyCompetitiveProgramming/blob/master/SPOJ/SPOJ_PRHYME.txt","Sol")</f>
        <v>Sol</v>
      </c>
      <c r="E2137" s="17" t="s">
        <v>5643</v>
      </c>
      <c r="F2137" s="17" t="s">
        <v>139</v>
      </c>
      <c r="G2137" s="18"/>
      <c r="H2137" s="18"/>
    </row>
    <row r="2138" spans="1:8" ht="13.2">
      <c r="A2138" s="19" t="str">
        <f>HYPERLINK("http://codeforces.com/problemset/problem/822/E","CF822-D2-E")</f>
        <v>CF822-D2-E</v>
      </c>
      <c r="B2138" s="37" t="s">
        <v>5830</v>
      </c>
      <c r="C2138" s="17">
        <v>6</v>
      </c>
      <c r="D2138" s="18"/>
      <c r="E2138" s="17" t="s">
        <v>5794</v>
      </c>
      <c r="F2138" s="17" t="s">
        <v>139</v>
      </c>
      <c r="G2138" s="18"/>
      <c r="H2138" s="18"/>
    </row>
    <row r="2139" spans="1:8" ht="13.2">
      <c r="A2139" s="15" t="s">
        <v>5831</v>
      </c>
      <c r="B2139" s="28" t="s">
        <v>5832</v>
      </c>
      <c r="C2139" s="24">
        <v>6</v>
      </c>
      <c r="D2139" s="18"/>
      <c r="E2139" s="17" t="s">
        <v>5794</v>
      </c>
      <c r="F2139" s="17" t="s">
        <v>139</v>
      </c>
      <c r="G2139" s="18"/>
      <c r="H2139" s="18"/>
    </row>
    <row r="2140" spans="1:8" ht="13.2">
      <c r="A2140" s="19" t="str">
        <f>HYPERLINK("http://codeforces.com/contest/129/problem/D","CF129-D2-D")</f>
        <v>CF129-D2-D</v>
      </c>
      <c r="B2140" s="29" t="s">
        <v>5833</v>
      </c>
      <c r="C2140" s="17">
        <v>6</v>
      </c>
      <c r="D2140" s="18"/>
      <c r="E2140" s="17" t="s">
        <v>5794</v>
      </c>
      <c r="F2140" s="17" t="s">
        <v>139</v>
      </c>
      <c r="G2140" s="18"/>
      <c r="H2140" s="18"/>
    </row>
    <row r="2141" spans="1:8" ht="13.2">
      <c r="A2141" s="15" t="s">
        <v>5834</v>
      </c>
      <c r="B2141" s="28" t="s">
        <v>5835</v>
      </c>
      <c r="C2141" s="24">
        <v>6</v>
      </c>
      <c r="D2141" s="18"/>
      <c r="E2141" s="17" t="s">
        <v>5794</v>
      </c>
      <c r="F2141" s="17" t="s">
        <v>139</v>
      </c>
      <c r="G2141" s="18"/>
      <c r="H2141" s="18"/>
    </row>
    <row r="2142" spans="1:8" ht="13.2">
      <c r="A2142" s="19" t="str">
        <f>HYPERLINK("http://codeforces.com/gym/101864/attachments/download/7365/2018-bacs-contest-replay-en.pdf","CF101864-GYM-K")</f>
        <v>CF101864-GYM-K</v>
      </c>
      <c r="B2142" s="20" t="s">
        <v>5892</v>
      </c>
      <c r="C2142" s="17">
        <v>6</v>
      </c>
      <c r="D2142" s="26" t="str">
        <f>HYPERLINK("https://github.com/tanmoy13/CompetitveProgramming/blob/master/Online-Judge-Solutions/CodeForces/CF101864-GYM-K.cpp","Sol")</f>
        <v>Sol</v>
      </c>
      <c r="E2142" s="17" t="s">
        <v>5874</v>
      </c>
      <c r="F2142" s="17" t="s">
        <v>139</v>
      </c>
      <c r="G2142" s="18"/>
      <c r="H2142" s="18"/>
    </row>
    <row r="2143" spans="1:8" ht="13.2">
      <c r="A2143" s="19" t="str">
        <f>HYPERLINK("https://hanoi18.kattis.com/problems/hanoi18.lazylearner","kattis hanoi18.lazylearner")</f>
        <v>kattis hanoi18.lazylearner</v>
      </c>
      <c r="B2143" s="20" t="s">
        <v>5893</v>
      </c>
      <c r="C2143" s="21">
        <v>6</v>
      </c>
      <c r="D2143" s="26" t="str">
        <f>HYPERLINK("https://github.com/mostafa-saad/MyCompetitiveProgramming/blob/master/Kattis/kattis-hanoi18.lazylearner.txt","Sol")</f>
        <v>Sol</v>
      </c>
      <c r="E2143" s="17" t="s">
        <v>5874</v>
      </c>
      <c r="F2143" s="17" t="s">
        <v>139</v>
      </c>
      <c r="G2143" s="18"/>
      <c r="H2143" s="18"/>
    </row>
    <row r="2144" spans="1:8" ht="13.2">
      <c r="A2144" s="15" t="s">
        <v>5894</v>
      </c>
      <c r="B2144" s="30" t="s">
        <v>5895</v>
      </c>
      <c r="C2144" s="17">
        <v>6</v>
      </c>
      <c r="D2144" s="26" t="str">
        <f>HYPERLINK("https://github.com/SpeedOfMagic/CompetitiveProgramming/blob/master/SPOJ/CERC07S.cpp","Sol")</f>
        <v>Sol</v>
      </c>
      <c r="E2144" s="17" t="s">
        <v>5874</v>
      </c>
      <c r="F2144" s="17" t="s">
        <v>139</v>
      </c>
      <c r="G2144" s="18"/>
      <c r="H2144" s="18"/>
    </row>
    <row r="2145" spans="1:8" ht="13.2">
      <c r="A2145" s="15" t="s">
        <v>5933</v>
      </c>
      <c r="B2145" s="15" t="s">
        <v>5934</v>
      </c>
      <c r="C2145" s="17">
        <v>6</v>
      </c>
      <c r="D2145" s="18"/>
      <c r="E2145" s="17" t="s">
        <v>5915</v>
      </c>
      <c r="F2145" s="17" t="s">
        <v>139</v>
      </c>
      <c r="G2145" s="18"/>
      <c r="H2145" s="18"/>
    </row>
    <row r="2146" spans="1:8" ht="13.2">
      <c r="A2146" s="19" t="str">
        <f>HYPERLINK("https://csacademy.com/contest/round-60/task/card-groups/","CSA60-D")</f>
        <v>CSA60-D</v>
      </c>
      <c r="B2146" s="18" t="s">
        <v>956</v>
      </c>
      <c r="C2146" s="17">
        <v>6</v>
      </c>
      <c r="D2146" s="18"/>
      <c r="E2146" s="17" t="s">
        <v>951</v>
      </c>
      <c r="F2146" s="17" t="s">
        <v>139</v>
      </c>
      <c r="G2146" s="18"/>
      <c r="H2146" s="18"/>
    </row>
    <row r="2147" spans="1:8" ht="13.2">
      <c r="A2147" s="15" t="s">
        <v>6082</v>
      </c>
      <c r="B2147" s="30" t="s">
        <v>6083</v>
      </c>
      <c r="C2147" s="24">
        <v>6</v>
      </c>
      <c r="D2147" s="26" t="str">
        <f>HYPERLINK("https://github.com/yazanKabbany/CompetitiveProgramming/blob/master/UVA/UVA%201244.cpp","Sol")</f>
        <v>Sol</v>
      </c>
      <c r="E2147" s="17" t="s">
        <v>6075</v>
      </c>
      <c r="F2147" s="17" t="s">
        <v>139</v>
      </c>
      <c r="G2147" s="18"/>
      <c r="H2147" s="18"/>
    </row>
    <row r="2148" spans="1:8" ht="13.2">
      <c r="A2148" s="15" t="s">
        <v>6084</v>
      </c>
      <c r="B2148" s="30" t="s">
        <v>6085</v>
      </c>
      <c r="C2148" s="40">
        <v>6</v>
      </c>
      <c r="D2148" s="26" t="str">
        <f>HYPERLINK("https://github.com/Huvok/CompetitiveProgramming/blob/master/Topcoder/SRM340-D1-500.cpp","Sol")</f>
        <v>Sol</v>
      </c>
      <c r="E2148" s="17" t="s">
        <v>6075</v>
      </c>
      <c r="F2148" s="17" t="s">
        <v>139</v>
      </c>
      <c r="G2148" s="18"/>
      <c r="H2148" s="18"/>
    </row>
    <row r="2149" spans="1:8" ht="13.2">
      <c r="A2149" s="19" t="str">
        <f>HYPERLINK("https://codeforces.com/contest/1073/problem/E","CF1073-D2-E")</f>
        <v>CF1073-D2-E</v>
      </c>
      <c r="B2149" s="15" t="s">
        <v>6122</v>
      </c>
      <c r="C2149" s="17">
        <v>6</v>
      </c>
      <c r="D2149" s="18"/>
      <c r="E2149" s="17" t="s">
        <v>6118</v>
      </c>
      <c r="F2149" s="17" t="s">
        <v>139</v>
      </c>
      <c r="G2149" s="18"/>
      <c r="H2149" s="18"/>
    </row>
    <row r="2150" spans="1:8" ht="13.2">
      <c r="A2150" s="15" t="s">
        <v>6165</v>
      </c>
      <c r="B2150" s="29" t="s">
        <v>6166</v>
      </c>
      <c r="C2150" s="17">
        <v>6</v>
      </c>
      <c r="D2150" s="26" t="str">
        <f>HYPERLINK("https://apps.topcoder.com/wiki/display/tc/SRM+532","Read Editorials too")</f>
        <v>Read Editorials too</v>
      </c>
      <c r="E2150" s="17" t="s">
        <v>6157</v>
      </c>
      <c r="F2150" s="17" t="s">
        <v>139</v>
      </c>
      <c r="G2150" s="18"/>
      <c r="H2150" s="18"/>
    </row>
    <row r="2151" spans="1:8" ht="13.2">
      <c r="A2151" s="19" t="str">
        <f>HYPERLINK("https://agc027.contest.atcoder.jp/tasks/agc027_c", "AtCoder027-AGC-C")</f>
        <v>AtCoder027-AGC-C</v>
      </c>
      <c r="B2151" s="20" t="s">
        <v>6204</v>
      </c>
      <c r="C2151" s="21">
        <v>6</v>
      </c>
      <c r="D2151" s="18"/>
      <c r="E2151" s="17" t="s">
        <v>6205</v>
      </c>
      <c r="F2151" s="17" t="s">
        <v>139</v>
      </c>
      <c r="G2151" s="18"/>
      <c r="H2151" s="18"/>
    </row>
    <row r="2152" spans="1:8" ht="13.2">
      <c r="A2152" s="15" t="s">
        <v>6209</v>
      </c>
      <c r="B2152" s="28" t="s">
        <v>6210</v>
      </c>
      <c r="C2152" s="17">
        <v>6</v>
      </c>
      <c r="D2152" s="26" t="str">
        <f>HYPERLINK("https://github.com/osamahatem/CompetitiveProgramming/blob/master/UVA/1222%20-%20Bribing%20FIPA.cpp","Sol")</f>
        <v>Sol</v>
      </c>
      <c r="E2152" s="17" t="s">
        <v>6205</v>
      </c>
      <c r="F2152" s="17" t="s">
        <v>139</v>
      </c>
      <c r="G2152" s="18"/>
      <c r="H2152" s="18"/>
    </row>
    <row r="2153" spans="1:8" ht="13.2">
      <c r="A2153" s="19" t="str">
        <f>HYPERLINK("http://codeforces.com/contest/812/problem/D","CF812-D2-D")</f>
        <v>CF812-D2-D</v>
      </c>
      <c r="B2153" s="29" t="s">
        <v>6211</v>
      </c>
      <c r="C2153" s="17">
        <v>6</v>
      </c>
      <c r="D2153" s="26" t="str">
        <f>HYPERLINK("https://github.com/BRAINOOOO/CompetitiveProgramming/blob/master/CF/CF812-D2-D","Sol")</f>
        <v>Sol</v>
      </c>
      <c r="E2153" s="17" t="s">
        <v>6205</v>
      </c>
      <c r="F2153" s="17" t="s">
        <v>139</v>
      </c>
      <c r="G2153" s="18"/>
      <c r="H2153" s="18"/>
    </row>
    <row r="2154" spans="1:8" ht="13.2">
      <c r="A2154" s="19" t="str">
        <f>HYPERLINK("http://codeforces.com/contest/869/problem/E","CF869-D2-E")</f>
        <v>CF869-D2-E</v>
      </c>
      <c r="B2154" s="15" t="s">
        <v>1001</v>
      </c>
      <c r="C2154" s="17">
        <v>6</v>
      </c>
      <c r="D2154" s="26" t="str">
        <f>HYPERLINK("https://github.com/AbdallahNaguib/CompetitiveProgramming/blob/master/CF869-D2-E","Sol")</f>
        <v>Sol</v>
      </c>
      <c r="E2154" s="17" t="s">
        <v>997</v>
      </c>
      <c r="F2154" s="17" t="s">
        <v>139</v>
      </c>
      <c r="G2154" s="18"/>
      <c r="H2154" s="18"/>
    </row>
    <row r="2155" spans="1:8" ht="13.2">
      <c r="A2155" s="15" t="s">
        <v>6259</v>
      </c>
      <c r="B2155" s="29" t="s">
        <v>6248</v>
      </c>
      <c r="C2155" s="17">
        <v>6</v>
      </c>
      <c r="D2155" s="26" t="str">
        <f>HYPERLINK("https://github.com/Huvok/CompetitiveProgramming/blob/master/SPOJ/COCONUTS.cpp","Sol")</f>
        <v>Sol</v>
      </c>
      <c r="E2155" s="17" t="s">
        <v>6246</v>
      </c>
      <c r="F2155" s="17" t="s">
        <v>139</v>
      </c>
      <c r="G2155" s="18"/>
      <c r="H2155" s="18"/>
    </row>
    <row r="2156" spans="1:8" ht="13.2">
      <c r="A2156" s="19" t="str">
        <f>HYPERLINK("https://github.com/3agwa/CompetitiveProgramming/blob/master/CodeForces/CF268-D2-E.cpp","CF268-D2-E")</f>
        <v>CF268-D2-E</v>
      </c>
      <c r="B2156" s="29" t="s">
        <v>6288</v>
      </c>
      <c r="C2156" s="17">
        <v>6</v>
      </c>
      <c r="D2156" s="26" t="str">
        <f>HYPERLINK("https://github.com/3agwa/CompetitiveProgramming/blob/master/CodeForces/CF268-D2-E.cpp","Sol")</f>
        <v>Sol</v>
      </c>
      <c r="E2156" s="17" t="s">
        <v>6275</v>
      </c>
      <c r="F2156" s="17" t="s">
        <v>139</v>
      </c>
      <c r="G2156" s="18"/>
      <c r="H2156" s="18"/>
    </row>
    <row r="2157" spans="1:8" ht="13.2">
      <c r="A2157" s="19" t="str">
        <f>HYPERLINK("https://www.codechef.com/problems/FSSYNC","CODECHEF FSSYNC")</f>
        <v>CODECHEF FSSYNC</v>
      </c>
      <c r="B2157" s="28" t="s">
        <v>6289</v>
      </c>
      <c r="C2157" s="17">
        <v>6</v>
      </c>
      <c r="D2157" s="26" t="str">
        <f>HYPERLINK("https://github.com/AMR-KELEG/Competitive-Programming/blob/master/Codechef/FSSYNC.cpp","Sol")</f>
        <v>Sol</v>
      </c>
      <c r="E2157" s="17" t="s">
        <v>6275</v>
      </c>
      <c r="F2157" s="17" t="s">
        <v>139</v>
      </c>
      <c r="G2157" s="18"/>
      <c r="H2157" s="18"/>
    </row>
    <row r="2158" spans="1:8" ht="13.2">
      <c r="A2158" s="19" t="str">
        <f>HYPERLINK("https://www.hackerrank.com/challenges/bst-maintenance/problem","HACKER bst-maintenance")</f>
        <v>HACKER bst-maintenance</v>
      </c>
      <c r="B2158" s="15" t="s">
        <v>6349</v>
      </c>
      <c r="C2158" s="21">
        <v>6</v>
      </c>
      <c r="D2158" s="18"/>
      <c r="E2158" s="17" t="s">
        <v>6345</v>
      </c>
      <c r="F2158" s="17" t="s">
        <v>139</v>
      </c>
      <c r="G2158" s="18"/>
      <c r="H2158" s="18"/>
    </row>
    <row r="2159" spans="1:8" ht="13.2">
      <c r="A2159" s="19" t="str">
        <f>HYPERLINK("http://codeforces.com/contest/322/problem/E","CF322-D2-E")</f>
        <v>CF322-D2-E</v>
      </c>
      <c r="B2159" s="29" t="s">
        <v>6351</v>
      </c>
      <c r="C2159" s="17">
        <v>6</v>
      </c>
      <c r="D2159" s="18"/>
      <c r="E2159" s="17" t="s">
        <v>6345</v>
      </c>
      <c r="F2159" s="17" t="s">
        <v>139</v>
      </c>
      <c r="G2159" s="18"/>
      <c r="H2159" s="18"/>
    </row>
    <row r="2160" spans="1:8" ht="13.2">
      <c r="A2160" s="15" t="s">
        <v>6385</v>
      </c>
      <c r="B2160" s="37" t="s">
        <v>6386</v>
      </c>
      <c r="C2160" s="17">
        <v>6</v>
      </c>
      <c r="D2160" s="26" t="str">
        <f>HYPERLINK("https://github.com/mostafa-saad/MyCompetitiveProgramming/blob/master/SPOJ/SPOJ_ACQUIRE.txt","Sol")</f>
        <v>Sol</v>
      </c>
      <c r="E2160" s="17" t="s">
        <v>6362</v>
      </c>
      <c r="F2160" s="17" t="s">
        <v>139</v>
      </c>
      <c r="G2160" s="18"/>
      <c r="H2160" s="18"/>
    </row>
    <row r="2161" spans="1:8" ht="13.2">
      <c r="A2161" s="19" t="str">
        <f>HYPERLINK("https://codeforces.com/gym/101470/attachments","CF101470-GYM-F")</f>
        <v>CF101470-GYM-F</v>
      </c>
      <c r="B2161" s="15" t="s">
        <v>6398</v>
      </c>
      <c r="C2161" s="17">
        <v>6</v>
      </c>
      <c r="D2161" s="26" t="str">
        <f>HYPERLINK("https://github.com/WaleedAbdelhakim/Competitive-Programming/blob/master/CodeForces/CF101470-GYM-F.cpp","Sol")</f>
        <v>Sol</v>
      </c>
      <c r="E2161" s="17" t="s">
        <v>6397</v>
      </c>
      <c r="F2161" s="17" t="s">
        <v>139</v>
      </c>
      <c r="G2161" s="18"/>
      <c r="H2161" s="18"/>
    </row>
    <row r="2162" spans="1:8" ht="13.2">
      <c r="A2162" s="19" t="str">
        <f>HYPERLINK("http://codeforces.com/contest/13/problem/E","CF13-D12-E")</f>
        <v>CF13-D12-E</v>
      </c>
      <c r="B2162" s="15" t="s">
        <v>6398</v>
      </c>
      <c r="C2162" s="24">
        <v>6</v>
      </c>
      <c r="D2162" s="18"/>
      <c r="E2162" s="17" t="s">
        <v>6397</v>
      </c>
      <c r="F2162" s="17" t="s">
        <v>139</v>
      </c>
      <c r="G2162" s="18"/>
      <c r="H2162" s="18"/>
    </row>
    <row r="2163" spans="1:8" ht="13.2">
      <c r="A2163" s="19" t="str">
        <f>HYPERLINK("https://www.hackerrank.com/contests/world-codesprint-13/challenges/competitive-teams", "HACKR competitive-teams")</f>
        <v>HACKR competitive-teams</v>
      </c>
      <c r="B2163" s="20" t="s">
        <v>6410</v>
      </c>
      <c r="C2163" s="21">
        <v>6</v>
      </c>
      <c r="D2163" s="26" t="str">
        <f>HYPERLINK("https://github.com/tmwilliamlin168/CompetitiveProgramming/blob/master/HackerRank/world-codesprint-13/competitive-teams.cpp", "Sol")</f>
        <v>Sol</v>
      </c>
      <c r="E2163" s="17" t="s">
        <v>6397</v>
      </c>
      <c r="F2163" s="17" t="s">
        <v>139</v>
      </c>
      <c r="G2163" s="18"/>
      <c r="H2163" s="18"/>
    </row>
    <row r="2164" spans="1:8" ht="13.2">
      <c r="A2164" s="15" t="s">
        <v>6420</v>
      </c>
      <c r="B2164" s="29" t="s">
        <v>6421</v>
      </c>
      <c r="C2164" s="24">
        <v>6</v>
      </c>
      <c r="D2164" s="26" t="str">
        <f>HYPERLINK("https://github.com/gabrielrussoc/competitive-programming/blob/master/spoj/brkstrng.cpp","Sol")</f>
        <v>Sol</v>
      </c>
      <c r="E2164" s="17" t="s">
        <v>6419</v>
      </c>
      <c r="F2164" s="17" t="s">
        <v>139</v>
      </c>
      <c r="G2164" s="18"/>
      <c r="H2164" s="18"/>
    </row>
    <row r="2165" spans="1:8" ht="13.2">
      <c r="A2165" s="19" t="str">
        <f>HYPERLINK("https://www.codechef.com/problems/MBOARD","CODECHEF MBOARD")</f>
        <v>CODECHEF MBOARD</v>
      </c>
      <c r="B2165" s="15" t="s">
        <v>1125</v>
      </c>
      <c r="C2165" s="21">
        <v>6</v>
      </c>
      <c r="D2165" s="26" t="str">
        <f>HYPERLINK("https://github.com/tanmoy13/CompetitveProgramming/blob/master/Online-Judge-Solutions/CodeChef/CODECHEF%20MBOARD.cpp","Sol")</f>
        <v>Sol</v>
      </c>
      <c r="E2165" s="17" t="s">
        <v>1018</v>
      </c>
      <c r="F2165" s="17" t="s">
        <v>139</v>
      </c>
      <c r="G2165" s="18"/>
      <c r="H2165" s="18"/>
    </row>
    <row r="2166" spans="1:8" ht="13.2">
      <c r="A2166" s="19" t="str">
        <f>HYPERLINK("https://codeforces.com/contest/1108/problem/E2","CF1108-D3-E2")</f>
        <v>CF1108-D3-E2</v>
      </c>
      <c r="B2166" s="23" t="s">
        <v>1126</v>
      </c>
      <c r="C2166" s="17">
        <v>6</v>
      </c>
      <c r="D2166" s="26" t="str">
        <f>HYPERLINK("https://github.com/goswami-rahul/competitive-coding/blob/master/CompetitiveProgramming/codeforces/CF1108-D3-E2.cpp","Sol")</f>
        <v>Sol</v>
      </c>
      <c r="E2166" s="17" t="s">
        <v>1018</v>
      </c>
      <c r="F2166" s="17" t="s">
        <v>139</v>
      </c>
      <c r="G2166" s="18"/>
      <c r="H2166" s="18"/>
    </row>
    <row r="2167" spans="1:8" ht="13.2">
      <c r="A2167" s="19" t="str">
        <f>HYPERLINK("https://codeforces.com/contest/762/problem/E","CF762-D12-E")</f>
        <v>CF762-D12-E</v>
      </c>
      <c r="B2167" s="23" t="s">
        <v>1121</v>
      </c>
      <c r="C2167" s="17">
        <v>6</v>
      </c>
      <c r="D2167" s="18"/>
      <c r="E2167" s="17" t="s">
        <v>1018</v>
      </c>
      <c r="F2167" s="17" t="s">
        <v>139</v>
      </c>
      <c r="G2167" s="18"/>
      <c r="H2167" s="18"/>
    </row>
    <row r="2168" spans="1:8" ht="13.2">
      <c r="A2168" s="19" t="str">
        <f>HYPERLINK("https://codeforces.com/contest/1099/problem/F","CF1099-D2-F")</f>
        <v>CF1099-D2-F</v>
      </c>
      <c r="B2168" s="15" t="s">
        <v>1127</v>
      </c>
      <c r="C2168" s="17">
        <v>6</v>
      </c>
      <c r="D2168" s="18"/>
      <c r="E2168" s="17" t="s">
        <v>1018</v>
      </c>
      <c r="F2168" s="17" t="s">
        <v>139</v>
      </c>
      <c r="G2168" s="18"/>
      <c r="H2168" s="18"/>
    </row>
    <row r="2169" spans="1:8" ht="13.2">
      <c r="A2169" s="19" t="str">
        <f>HYPERLINK("https://codeforces.com/contest/1197/problem/E","CF1197-D12-E")</f>
        <v>CF1197-D12-E</v>
      </c>
      <c r="B2169" s="20" t="s">
        <v>1128</v>
      </c>
      <c r="C2169" s="17">
        <v>6</v>
      </c>
      <c r="D2169" s="18"/>
      <c r="E2169" s="17" t="s">
        <v>1018</v>
      </c>
      <c r="F2169" s="17" t="s">
        <v>139</v>
      </c>
      <c r="G2169" s="18"/>
      <c r="H2169" s="18"/>
    </row>
    <row r="2170" spans="1:8" ht="13.2">
      <c r="A2170" s="19" t="str">
        <f>HYPERLINK("https://www.codechef.com/problems/XRQRS","CODECHEF XRQRS")</f>
        <v>CODECHEF XRQRS</v>
      </c>
      <c r="B2170" s="18" t="s">
        <v>1129</v>
      </c>
      <c r="C2170" s="17">
        <v>6</v>
      </c>
      <c r="D2170" s="18"/>
      <c r="E2170" s="17" t="s">
        <v>1018</v>
      </c>
      <c r="F2170" s="17" t="s">
        <v>139</v>
      </c>
      <c r="G2170" s="18"/>
      <c r="H2170" s="18"/>
    </row>
    <row r="2171" spans="1:8" ht="13.2">
      <c r="A2171" s="19" t="str">
        <f>HYPERLINK("https://www.codechef.com/FEB18/problems/CHANOQ","CODECHEF CHANOQ")</f>
        <v>CODECHEF CHANOQ</v>
      </c>
      <c r="B2171" s="23" t="s">
        <v>1130</v>
      </c>
      <c r="C2171" s="17">
        <v>6</v>
      </c>
      <c r="D2171" s="18"/>
      <c r="E2171" s="17" t="s">
        <v>1018</v>
      </c>
      <c r="F2171" s="17" t="s">
        <v>139</v>
      </c>
      <c r="G2171" s="18"/>
      <c r="H2171" s="18"/>
    </row>
    <row r="2172" spans="1:8" ht="13.2">
      <c r="A2172" s="15" t="s">
        <v>1131</v>
      </c>
      <c r="B2172" s="28" t="s">
        <v>1132</v>
      </c>
      <c r="C2172" s="24">
        <v>6</v>
      </c>
      <c r="D2172" s="26" t="str">
        <f>HYPERLINK("https://github.com/magdy-hasan/competitive-programming/blob/99949526fddbb0857a233c02342293b21e5f242d/SPOJ/SPOJ%20CCOST%20-%20Calculate%20The%20Cost.cpp","Sol")</f>
        <v>Sol</v>
      </c>
      <c r="E2172" s="17" t="s">
        <v>1018</v>
      </c>
      <c r="F2172" s="17" t="s">
        <v>139</v>
      </c>
      <c r="G2172" s="18"/>
      <c r="H2172" s="18"/>
    </row>
    <row r="2173" spans="1:8" ht="13.2">
      <c r="A2173" s="19" t="str">
        <f>HYPERLINK("http://codeforces.com/contest/160/problem/E","CF160-D2-E")</f>
        <v>CF160-D2-E</v>
      </c>
      <c r="B2173" s="15" t="s">
        <v>1081</v>
      </c>
      <c r="C2173" s="24">
        <v>6</v>
      </c>
      <c r="D2173" s="18"/>
      <c r="E2173" s="17" t="s">
        <v>1018</v>
      </c>
      <c r="F2173" s="17" t="s">
        <v>139</v>
      </c>
      <c r="G2173" s="18"/>
      <c r="H2173" s="18"/>
    </row>
    <row r="2174" spans="1:8" ht="13.2">
      <c r="A2174" s="19" t="str">
        <f>HYPERLINK("http://codeforces.com/contest/383/problem/E","CF383-D1-E")</f>
        <v>CF383-D1-E</v>
      </c>
      <c r="B2174" s="15" t="s">
        <v>6444</v>
      </c>
      <c r="C2174" s="24">
        <v>6</v>
      </c>
      <c r="D2174" s="18"/>
      <c r="E2174" s="17" t="s">
        <v>6441</v>
      </c>
      <c r="F2174" s="17" t="s">
        <v>139</v>
      </c>
      <c r="G2174" s="18"/>
      <c r="H2174" s="18"/>
    </row>
    <row r="2175" spans="1:8" ht="13.2">
      <c r="A2175" s="19" t="str">
        <f>HYPERLINK("http://codeforces.com/contest/165/problem/E","CF165-D2-E")</f>
        <v>CF165-D2-E</v>
      </c>
      <c r="B2175" s="28" t="s">
        <v>6455</v>
      </c>
      <c r="C2175" s="24">
        <v>6</v>
      </c>
      <c r="D2175" s="18"/>
      <c r="E2175" s="17" t="s">
        <v>6441</v>
      </c>
      <c r="F2175" s="17" t="s">
        <v>139</v>
      </c>
      <c r="G2175" s="18"/>
      <c r="H2175" s="18"/>
    </row>
    <row r="2176" spans="1:8" ht="13.2">
      <c r="A2176" s="19" t="str">
        <f>HYPERLINK("http://codeforces.com/contest/1088/problem/E","CF1088-D2-E")</f>
        <v>CF1088-D2-E</v>
      </c>
      <c r="B2176" s="15" t="s">
        <v>6484</v>
      </c>
      <c r="C2176" s="17">
        <v>6</v>
      </c>
      <c r="D2176" s="18"/>
      <c r="E2176" s="17" t="s">
        <v>6459</v>
      </c>
      <c r="F2176" s="17" t="s">
        <v>139</v>
      </c>
      <c r="G2176" s="18"/>
      <c r="H2176" s="18"/>
    </row>
    <row r="2177" spans="1:8" ht="13.2">
      <c r="A2177" s="19" t="str">
        <f>HYPERLINK("https://codeforces.com/contest/1218/problem/E", "CF1218-D12-E")</f>
        <v>CF1218-D12-E</v>
      </c>
      <c r="B2177" s="49" t="s">
        <v>6526</v>
      </c>
      <c r="C2177" s="50">
        <v>6</v>
      </c>
      <c r="D2177" s="18"/>
      <c r="E2177" s="17" t="s">
        <v>6511</v>
      </c>
      <c r="F2177" s="17" t="s">
        <v>139</v>
      </c>
      <c r="G2177" s="18"/>
      <c r="H2177" s="18"/>
    </row>
    <row r="2178" spans="1:8" ht="13.2">
      <c r="A2178" s="15" t="s">
        <v>1260</v>
      </c>
      <c r="B2178" s="29" t="s">
        <v>1261</v>
      </c>
      <c r="C2178" s="17">
        <v>6</v>
      </c>
      <c r="D2178" s="26" t="str">
        <f>HYPERLINK("https://github.com/mostafa-saad/MyCompetitiveProgramming/blob/master/SPOJ/SPOJ_BRICKS.txt","Use a datastructure. Sol")</f>
        <v>Use a datastructure. Sol</v>
      </c>
      <c r="E2178" s="17" t="s">
        <v>1223</v>
      </c>
      <c r="F2178" s="17" t="s">
        <v>139</v>
      </c>
      <c r="G2178" s="18"/>
      <c r="H2178" s="18"/>
    </row>
    <row r="2179" spans="1:8" ht="13.2">
      <c r="A2179" s="19" t="str">
        <f>HYPERLINK("https://onlinejudge.org/index.php?option=onlinejudge&amp;page=show_problem&amp;problem=1972","UVA 11031")</f>
        <v>UVA 11031</v>
      </c>
      <c r="B2179" s="30" t="s">
        <v>1262</v>
      </c>
      <c r="C2179" s="17">
        <v>6</v>
      </c>
      <c r="D2179" s="26" t="str">
        <f>HYPERLINK("https://morris821028.github.io/2014/06/12/oj/uva/uva-11031/","Sol")</f>
        <v>Sol</v>
      </c>
      <c r="E2179" s="17" t="s">
        <v>1223</v>
      </c>
      <c r="F2179" s="17" t="s">
        <v>139</v>
      </c>
      <c r="G2179" s="18"/>
      <c r="H2179" s="18"/>
    </row>
    <row r="2180" spans="1:8" ht="13.2">
      <c r="A2180" s="19" t="str">
        <f>HYPERLINK("https://atcoder.jp/contests/abc145/tasks/abc145_f","AtCoder145-ABC-F")</f>
        <v>AtCoder145-ABC-F</v>
      </c>
      <c r="B2180" s="20" t="s">
        <v>1348</v>
      </c>
      <c r="C2180" s="21">
        <v>6</v>
      </c>
      <c r="D2180" s="26" t="str">
        <f>HYPERLINK("https://github.com/farmerboy95/CompetitiveProgramming/blob/master/AtCoder/AtCoder145-ABC-F.cpp","Sol")</f>
        <v>Sol</v>
      </c>
      <c r="E2180" s="17" t="s">
        <v>1337</v>
      </c>
      <c r="F2180" s="17" t="s">
        <v>139</v>
      </c>
      <c r="G2180" s="18"/>
      <c r="H2180" s="18"/>
    </row>
    <row r="2181" spans="1:8" ht="13.2">
      <c r="A2181" s="15" t="s">
        <v>1463</v>
      </c>
      <c r="B2181" s="15" t="s">
        <v>1348</v>
      </c>
      <c r="C2181" s="17">
        <v>6</v>
      </c>
      <c r="D2181" s="26" t="str">
        <f>HYPERLINK("https://github.com/Ownography/CP/blob/master/UVA%2013179","Sol")</f>
        <v>Sol</v>
      </c>
      <c r="E2181" s="17" t="s">
        <v>1337</v>
      </c>
      <c r="F2181" s="17" t="s">
        <v>139</v>
      </c>
      <c r="G2181" s="18"/>
      <c r="H2181" s="18"/>
    </row>
    <row r="2182" spans="1:8" ht="13.2">
      <c r="A2182" s="19" t="str">
        <f>HYPERLINK("https://codeforces.com/contest/1175/problem/E","CF1175-D12-E")</f>
        <v>CF1175-D12-E</v>
      </c>
      <c r="B2182" s="20" t="s">
        <v>1464</v>
      </c>
      <c r="C2182" s="21">
        <v>6</v>
      </c>
      <c r="D2182" s="18"/>
      <c r="E2182" s="17" t="s">
        <v>1337</v>
      </c>
      <c r="F2182" s="17" t="s">
        <v>139</v>
      </c>
      <c r="G2182" s="18"/>
      <c r="H2182" s="18"/>
    </row>
    <row r="2183" spans="1:8" ht="13.2">
      <c r="A2183" s="15" t="s">
        <v>1465</v>
      </c>
      <c r="B2183" s="34" t="s">
        <v>1358</v>
      </c>
      <c r="C2183" s="31">
        <v>6</v>
      </c>
      <c r="D2183" s="18"/>
      <c r="E2183" s="17" t="s">
        <v>1337</v>
      </c>
      <c r="F2183" s="17" t="s">
        <v>139</v>
      </c>
      <c r="G2183" s="18"/>
      <c r="H2183" s="18"/>
    </row>
    <row r="2184" spans="1:8" ht="13.2">
      <c r="A2184" s="19" t="str">
        <f>HYPERLINK("http://codeforces.com/contest/1121/problem/F","CF1121-D2-F")</f>
        <v>CF1121-D2-F</v>
      </c>
      <c r="B2184" s="20" t="s">
        <v>1466</v>
      </c>
      <c r="C2184" s="17">
        <v>6</v>
      </c>
      <c r="D2184" s="18"/>
      <c r="E2184" s="17" t="s">
        <v>1337</v>
      </c>
      <c r="F2184" s="17" t="s">
        <v>139</v>
      </c>
      <c r="G2184" s="18"/>
      <c r="H2184" s="18"/>
    </row>
    <row r="2185" spans="1:8" ht="13.2">
      <c r="A2185" s="19" t="str">
        <f>HYPERLINK("https://codeforces.com/contest/1257/problem/E","CF1257-D2-E")</f>
        <v>CF1257-D2-E</v>
      </c>
      <c r="B2185" s="15" t="s">
        <v>1467</v>
      </c>
      <c r="C2185" s="17">
        <v>6</v>
      </c>
      <c r="D2185" s="18"/>
      <c r="E2185" s="17" t="s">
        <v>1337</v>
      </c>
      <c r="F2185" s="17" t="s">
        <v>139</v>
      </c>
      <c r="G2185" s="18"/>
      <c r="H2185" s="18"/>
    </row>
    <row r="2186" spans="1:8" ht="13.2">
      <c r="A2186" s="19" t="str">
        <f>HYPERLINK("https://codeforces.com/contest/1169/problem/E","CF1169-D2-E")</f>
        <v>CF1169-D2-E</v>
      </c>
      <c r="B2186" s="15" t="s">
        <v>1468</v>
      </c>
      <c r="C2186" s="17">
        <v>6</v>
      </c>
      <c r="D2186" s="18"/>
      <c r="E2186" s="17" t="s">
        <v>1337</v>
      </c>
      <c r="F2186" s="17" t="s">
        <v>139</v>
      </c>
      <c r="G2186" s="18"/>
      <c r="H2186" s="18"/>
    </row>
    <row r="2187" spans="1:8" ht="13.2">
      <c r="A2187" s="19" t="str">
        <f>HYPERLINK("https://codeforces.com/gym/102014","CF102014-GYM-I")</f>
        <v>CF102014-GYM-I</v>
      </c>
      <c r="B2187" s="15" t="s">
        <v>1346</v>
      </c>
      <c r="C2187" s="17">
        <v>6</v>
      </c>
      <c r="D2187" s="26" t="str">
        <f>HYPERLINK("https://github.com/ZeyadKhattab/Competitive-Programming/blob/master/Codeforces/Gyms/102014/CF102014-GYM-I.java","Sol (no editorial)")</f>
        <v>Sol (no editorial)</v>
      </c>
      <c r="E2187" s="17" t="s">
        <v>1337</v>
      </c>
      <c r="F2187" s="17" t="s">
        <v>139</v>
      </c>
      <c r="G2187" s="18"/>
      <c r="H2187" s="18"/>
    </row>
    <row r="2188" spans="1:8" ht="13.2">
      <c r="A2188" s="19" t="str">
        <f>HYPERLINK("https://codeforces.com/contest/1174/problem/E", "CF1174-D2-E")</f>
        <v>CF1174-D2-E</v>
      </c>
      <c r="B2188" s="20" t="s">
        <v>1469</v>
      </c>
      <c r="C2188" s="21">
        <v>6</v>
      </c>
      <c r="D2188" s="18"/>
      <c r="E2188" s="17" t="s">
        <v>1337</v>
      </c>
      <c r="F2188" s="17" t="s">
        <v>139</v>
      </c>
      <c r="G2188" s="18"/>
      <c r="H2188" s="18"/>
    </row>
    <row r="2189" spans="1:8" ht="13.2">
      <c r="A2189" s="19" t="str">
        <f>HYPERLINK("https://agc007.contest.atcoder.jp/tasks/agc007_d","AtCoder007-AGC-D")</f>
        <v>AtCoder007-AGC-D</v>
      </c>
      <c r="B2189" s="15" t="s">
        <v>1470</v>
      </c>
      <c r="C2189" s="17">
        <v>6</v>
      </c>
      <c r="D2189" s="18"/>
      <c r="E2189" s="17" t="s">
        <v>1337</v>
      </c>
      <c r="F2189" s="17" t="s">
        <v>139</v>
      </c>
      <c r="G2189" s="18"/>
      <c r="H2189" s="18"/>
    </row>
    <row r="2190" spans="1:8" ht="13.2">
      <c r="A2190" s="15" t="s">
        <v>1471</v>
      </c>
      <c r="B2190" s="18" t="s">
        <v>1472</v>
      </c>
      <c r="C2190" s="33">
        <v>6</v>
      </c>
      <c r="D2190" s="18"/>
      <c r="E2190" s="17" t="s">
        <v>1337</v>
      </c>
      <c r="F2190" s="17" t="s">
        <v>139</v>
      </c>
      <c r="G2190" s="18"/>
      <c r="H2190" s="18"/>
    </row>
    <row r="2191" spans="1:8" ht="13.2">
      <c r="A2191" s="19" t="str">
        <f>HYPERLINK("http://codeforces.com/contest/611/problem/D","CF611-D12-D")</f>
        <v>CF611-D12-D</v>
      </c>
      <c r="B2191" s="29" t="s">
        <v>1473</v>
      </c>
      <c r="C2191" s="17">
        <v>6</v>
      </c>
      <c r="D2191" s="26" t="str">
        <f>HYPERLINK("https://github.com/goswami-rahul/competitive-coding/blob/master/CompetitiveProgramming/codeforces/CF611-D12-D.cpp","Sol")</f>
        <v>Sol</v>
      </c>
      <c r="E2191" s="17" t="s">
        <v>1337</v>
      </c>
      <c r="F2191" s="17" t="s">
        <v>139</v>
      </c>
      <c r="G2191" s="18"/>
      <c r="H2191" s="18"/>
    </row>
    <row r="2192" spans="1:8" ht="13.2">
      <c r="A2192" s="19" t="str">
        <f>HYPERLINK("https://www.codechef.com/problems/ABDTOLL","CODECHEF ABDTOLL")</f>
        <v>CODECHEF ABDTOLL</v>
      </c>
      <c r="B2192" s="20" t="s">
        <v>1434</v>
      </c>
      <c r="C2192" s="17">
        <v>6</v>
      </c>
      <c r="D2192" s="18"/>
      <c r="E2192" s="17" t="s">
        <v>1337</v>
      </c>
      <c r="F2192" s="17" t="s">
        <v>139</v>
      </c>
      <c r="G2192" s="18"/>
      <c r="H2192" s="18"/>
    </row>
    <row r="2193" spans="1:8" ht="13.2">
      <c r="A2193" s="15" t="s">
        <v>1772</v>
      </c>
      <c r="B2193" s="28" t="s">
        <v>1773</v>
      </c>
      <c r="C2193" s="17">
        <v>6</v>
      </c>
      <c r="D2193" s="26" t="str">
        <f>HYPERLINK("https://github.com/stefdasca/CompetitiveProgramming/blob/master/TopCoder/SRM416-D1-500.cpp","Sol. Read Editorial.")</f>
        <v>Sol. Read Editorial.</v>
      </c>
      <c r="E2193" s="17" t="s">
        <v>1768</v>
      </c>
      <c r="F2193" s="17" t="s">
        <v>139</v>
      </c>
      <c r="G2193" s="18"/>
      <c r="H2193" s="18"/>
    </row>
    <row r="2194" spans="1:8" ht="13.2">
      <c r="A2194" s="19" t="str">
        <f>HYPERLINK("https://codeforces.com/contest/757/problem/D","CF757-D12-D")</f>
        <v>CF757-D12-D</v>
      </c>
      <c r="B2194" s="15" t="s">
        <v>1818</v>
      </c>
      <c r="C2194" s="17">
        <v>6</v>
      </c>
      <c r="D2194" s="18"/>
      <c r="E2194" s="17" t="s">
        <v>1819</v>
      </c>
      <c r="F2194" s="17" t="s">
        <v>139</v>
      </c>
      <c r="G2194" s="18"/>
      <c r="H2194" s="18"/>
    </row>
    <row r="2195" spans="1:8" ht="13.2">
      <c r="A2195" s="15" t="s">
        <v>1851</v>
      </c>
      <c r="B2195" s="30" t="s">
        <v>1852</v>
      </c>
      <c r="C2195" s="24">
        <v>6</v>
      </c>
      <c r="D2195" s="18"/>
      <c r="E2195" s="17" t="s">
        <v>1819</v>
      </c>
      <c r="F2195" s="17" t="s">
        <v>139</v>
      </c>
      <c r="G2195" s="18"/>
      <c r="H2195" s="18"/>
    </row>
    <row r="2196" spans="1:8" ht="13.2">
      <c r="A2196" s="15" t="s">
        <v>1947</v>
      </c>
      <c r="B2196" s="15" t="s">
        <v>1913</v>
      </c>
      <c r="C2196" s="17">
        <v>6</v>
      </c>
      <c r="D2196" s="18"/>
      <c r="E2196" s="17" t="s">
        <v>1909</v>
      </c>
      <c r="F2196" s="17" t="s">
        <v>139</v>
      </c>
      <c r="G2196" s="18"/>
      <c r="H2196" s="18"/>
    </row>
    <row r="2197" spans="1:8" ht="13.2">
      <c r="A2197" s="19" t="str">
        <f>HYPERLINK("http://codeforces.com/contest/258/problem/C","CF258-D1-C")</f>
        <v>CF258-D1-C</v>
      </c>
      <c r="B2197" s="15" t="s">
        <v>1948</v>
      </c>
      <c r="C2197" s="17">
        <v>6</v>
      </c>
      <c r="D2197" s="18"/>
      <c r="E2197" s="17" t="s">
        <v>1909</v>
      </c>
      <c r="F2197" s="17" t="s">
        <v>139</v>
      </c>
      <c r="G2197" s="18"/>
      <c r="H2197" s="18"/>
    </row>
    <row r="2198" spans="1:8" ht="13.2">
      <c r="A2198" s="19" t="str">
        <f>HYPERLINK("http://codeforces.com/contest/233/problem/D","CF233-D2-D")</f>
        <v>CF233-D2-D</v>
      </c>
      <c r="B2198" s="15" t="s">
        <v>1949</v>
      </c>
      <c r="C2198" s="24">
        <v>6</v>
      </c>
      <c r="D2198" s="18"/>
      <c r="E2198" s="17" t="s">
        <v>1909</v>
      </c>
      <c r="F2198" s="17" t="s">
        <v>139</v>
      </c>
      <c r="G2198" s="18"/>
      <c r="H2198" s="18"/>
    </row>
    <row r="2199" spans="1:8" ht="13.2">
      <c r="A2199" s="15" t="s">
        <v>1950</v>
      </c>
      <c r="B2199" s="15" t="s">
        <v>1951</v>
      </c>
      <c r="C2199" s="17">
        <v>6</v>
      </c>
      <c r="D2199" s="18"/>
      <c r="E2199" s="17" t="s">
        <v>1909</v>
      </c>
      <c r="F2199" s="17" t="s">
        <v>139</v>
      </c>
      <c r="G2199" s="18"/>
      <c r="H2199" s="18"/>
    </row>
    <row r="2200" spans="1:8" ht="13.2">
      <c r="A2200" s="19" t="str">
        <f>HYPERLINK("http://codeforces.com/contest/908/problem/D","CF908-D12-D")</f>
        <v>CF908-D12-D</v>
      </c>
      <c r="B2200" s="18" t="s">
        <v>2025</v>
      </c>
      <c r="C2200" s="17">
        <v>6</v>
      </c>
      <c r="D2200" s="26" t="str">
        <f>HYPERLINK("https://github.com/osamahatem/CompetitiveProgramming/blob/master/Codeforces/908D.%20New%20Year%20and%20Arbitrary%20Arrangement.cpp","Sol")</f>
        <v>Sol</v>
      </c>
      <c r="E2200" s="17" t="s">
        <v>2026</v>
      </c>
      <c r="F2200" s="17" t="s">
        <v>139</v>
      </c>
      <c r="G2200" s="18"/>
      <c r="H2200" s="18"/>
    </row>
    <row r="2201" spans="1:8" ht="13.2">
      <c r="A2201" s="19" t="str">
        <f>HYPERLINK("https://codeforces.com/contest/1278/problem/F","CF1278-D12-F")</f>
        <v>CF1278-D12-F</v>
      </c>
      <c r="B2201" s="20" t="s">
        <v>2073</v>
      </c>
      <c r="C2201" s="21">
        <v>6</v>
      </c>
      <c r="D2201" s="18"/>
      <c r="E2201" s="17" t="s">
        <v>2074</v>
      </c>
      <c r="F2201" s="17" t="s">
        <v>139</v>
      </c>
      <c r="G2201" s="18"/>
      <c r="H2201" s="18"/>
    </row>
    <row r="2202" spans="1:8" ht="13.2">
      <c r="A2202" s="19" t="str">
        <f>HYPERLINK("https://codeforces.com/contest/398/problem/B","CF399-D2-D")</f>
        <v>CF399-D2-D</v>
      </c>
      <c r="B2202" s="15" t="s">
        <v>2073</v>
      </c>
      <c r="C2202" s="21">
        <v>6</v>
      </c>
      <c r="D2202" s="18"/>
      <c r="E2202" s="17" t="s">
        <v>2074</v>
      </c>
      <c r="F2202" s="17" t="s">
        <v>139</v>
      </c>
      <c r="G2202" s="18"/>
      <c r="H2202" s="18"/>
    </row>
    <row r="2203" spans="1:8" ht="13.2">
      <c r="A2203" s="19" t="str">
        <f>HYPERLINK("http://codeforces.com/contest/697/problem/D","CF697-D2-D")</f>
        <v>CF697-D2-D</v>
      </c>
      <c r="B2203" s="28" t="s">
        <v>2088</v>
      </c>
      <c r="C2203" s="21">
        <v>6</v>
      </c>
      <c r="D2203" s="18"/>
      <c r="E2203" s="17" t="s">
        <v>2074</v>
      </c>
      <c r="F2203" s="17" t="s">
        <v>139</v>
      </c>
      <c r="G2203" s="18"/>
      <c r="H2203" s="18"/>
    </row>
    <row r="2204" spans="1:8" ht="13.2">
      <c r="A2204" s="19" t="str">
        <f>HYPERLINK("https://www.hackerrank.com/challenges/connect-the-country","HACKR connect-the-country")</f>
        <v>HACKR connect-the-country</v>
      </c>
      <c r="B2204" s="28" t="s">
        <v>2089</v>
      </c>
      <c r="C2204" s="17">
        <v>6</v>
      </c>
      <c r="D2204" s="26" t="str">
        <f>HYPERLINK("https://github.com/mostafa-saad/MyCompetitiveProgramming/blob/master/Hackerearth/HACKR-connect-the-country.txt","Sol")</f>
        <v>Sol</v>
      </c>
      <c r="E2204" s="17" t="s">
        <v>2074</v>
      </c>
      <c r="F2204" s="17" t="s">
        <v>139</v>
      </c>
      <c r="G2204" s="18"/>
      <c r="H2204" s="18"/>
    </row>
    <row r="2205" spans="1:8" ht="13.2">
      <c r="A2205" s="19" t="str">
        <f>HYPERLINK("https://codeforces.com/contest/1107/problem/E","CF1107-D12-E")</f>
        <v>CF1107-D12-E</v>
      </c>
      <c r="B2205" s="15" t="s">
        <v>2112</v>
      </c>
      <c r="C2205" s="17">
        <v>6</v>
      </c>
      <c r="D2205" s="18"/>
      <c r="E2205" s="17" t="s">
        <v>2113</v>
      </c>
      <c r="F2205" s="17" t="s">
        <v>139</v>
      </c>
      <c r="G2205" s="18"/>
      <c r="H2205" s="18"/>
    </row>
    <row r="2206" spans="1:8" ht="13.2">
      <c r="A2206" s="15" t="s">
        <v>2120</v>
      </c>
      <c r="B2206" s="38" t="s">
        <v>2121</v>
      </c>
      <c r="C2206" s="17">
        <v>6</v>
      </c>
      <c r="D2206" s="26" t="str">
        <f>HYPERLINK("https://github.com/Huvok/CompetitiveProgramming/blob/master/UVA/1351.cpp","Sol")</f>
        <v>Sol</v>
      </c>
      <c r="E2206" s="17" t="s">
        <v>2113</v>
      </c>
      <c r="F2206" s="17" t="s">
        <v>139</v>
      </c>
      <c r="G2206" s="18"/>
      <c r="H2206" s="18"/>
    </row>
    <row r="2207" spans="1:8" ht="13.2">
      <c r="A2207" s="15" t="s">
        <v>2209</v>
      </c>
      <c r="B2207" s="20" t="s">
        <v>2163</v>
      </c>
      <c r="C2207" s="21">
        <v>6</v>
      </c>
      <c r="D2207" s="18"/>
      <c r="E2207" s="17" t="s">
        <v>2153</v>
      </c>
      <c r="F2207" s="17" t="s">
        <v>139</v>
      </c>
      <c r="G2207" s="18"/>
      <c r="H2207" s="18"/>
    </row>
    <row r="2208" spans="1:8" ht="13.2">
      <c r="A2208" s="19" t="str">
        <f>HYPERLINK("http://codeforces.com/contest/467/problem/E","CF467-D2-E")</f>
        <v>CF467-D2-E</v>
      </c>
      <c r="B2208" s="18" t="s">
        <v>2163</v>
      </c>
      <c r="C2208" s="17">
        <v>6</v>
      </c>
      <c r="D2208" s="18"/>
      <c r="E2208" s="17" t="s">
        <v>2153</v>
      </c>
      <c r="F2208" s="17" t="s">
        <v>139</v>
      </c>
      <c r="G2208" s="18"/>
      <c r="H2208" s="18"/>
    </row>
    <row r="2209" spans="1:8" ht="13.2">
      <c r="A2209" s="19" t="str">
        <f>HYPERLINK("http://codeforces.com/contest/807/problem/E","CF807-D2-E")</f>
        <v>CF807-D2-E</v>
      </c>
      <c r="B2209" s="15" t="s">
        <v>2163</v>
      </c>
      <c r="C2209" s="17">
        <v>6</v>
      </c>
      <c r="D2209" s="18"/>
      <c r="E2209" s="17" t="s">
        <v>2153</v>
      </c>
      <c r="F2209" s="17" t="s">
        <v>139</v>
      </c>
      <c r="G2209" s="18"/>
      <c r="H2209" s="18"/>
    </row>
    <row r="2210" spans="1:8" ht="13.2">
      <c r="A2210" s="19" t="str">
        <f>HYPERLINK("http://codeforces.com/contest/946/problem/E","CF946-D12-E")</f>
        <v>CF946-D12-E</v>
      </c>
      <c r="B2210" s="20" t="s">
        <v>2163</v>
      </c>
      <c r="C2210" s="17">
        <v>6</v>
      </c>
      <c r="D2210" s="26" t="str">
        <f>HYPERLINK("https://github.com/MedoN11/CompetitiveProgramming/blob/master/CodeForces/CF946-D12-E.cpp","Sol")</f>
        <v>Sol</v>
      </c>
      <c r="E2210" s="17" t="s">
        <v>2153</v>
      </c>
      <c r="F2210" s="17" t="s">
        <v>139</v>
      </c>
      <c r="G2210" s="18"/>
      <c r="H2210" s="18"/>
    </row>
    <row r="2211" spans="1:8" ht="13.2">
      <c r="A2211" s="19" t="str">
        <f>HYPERLINK("https://codeforces.com/contest/1054/problem/D","CF1054-D12-D")</f>
        <v>CF1054-D12-D</v>
      </c>
      <c r="B2211" s="20" t="s">
        <v>2203</v>
      </c>
      <c r="C2211" s="17">
        <v>6</v>
      </c>
      <c r="D2211" s="18" t="s">
        <v>2160</v>
      </c>
      <c r="E2211" s="17" t="s">
        <v>2153</v>
      </c>
      <c r="F2211" s="17" t="s">
        <v>139</v>
      </c>
      <c r="G2211" s="18"/>
      <c r="H2211" s="18"/>
    </row>
    <row r="2212" spans="1:8" ht="13.2">
      <c r="A2212" s="19" t="str">
        <f>HYPERLINK("http://codeforces.com/contest/908/problem/F","CF908-D12-F")</f>
        <v>CF908-D12-F</v>
      </c>
      <c r="B2212" s="18" t="s">
        <v>2210</v>
      </c>
      <c r="C2212" s="17">
        <v>6</v>
      </c>
      <c r="D2212" s="26" t="str">
        <f>HYPERLINK("https://github.com/osamahatem/CompetitiveProgramming/blob/master/Codeforces/908F.%20New%20Year%20and%20Rainbow%20Roads.cpp","Sol")</f>
        <v>Sol</v>
      </c>
      <c r="E2212" s="17" t="s">
        <v>2153</v>
      </c>
      <c r="F2212" s="17" t="s">
        <v>139</v>
      </c>
      <c r="G2212" s="18"/>
      <c r="H2212" s="18"/>
    </row>
    <row r="2213" spans="1:8" ht="13.2">
      <c r="A2213" s="19" t="str">
        <f>HYPERLINK("http://codeforces.com/contest/1166/problem/D","CF1166-D2-D")</f>
        <v>CF1166-D2-D</v>
      </c>
      <c r="B2213" s="20" t="s">
        <v>2200</v>
      </c>
      <c r="C2213" s="17">
        <v>6</v>
      </c>
      <c r="D2213" s="18"/>
      <c r="E2213" s="17" t="s">
        <v>2153</v>
      </c>
      <c r="F2213" s="17" t="s">
        <v>139</v>
      </c>
      <c r="G2213" s="18"/>
      <c r="H2213" s="18"/>
    </row>
    <row r="2214" spans="1:8" ht="13.2">
      <c r="A2214" s="15" t="s">
        <v>2211</v>
      </c>
      <c r="B2214" s="29" t="s">
        <v>2212</v>
      </c>
      <c r="C2214" s="31">
        <v>6</v>
      </c>
      <c r="D2214" s="26" t="str">
        <f>HYPERLINK("https://github.com/aboodJAD/CompetitiveProgramming/blob/master/TopCoder/SRM378-D2-1000.cpp","Sol")</f>
        <v>Sol</v>
      </c>
      <c r="E2214" s="24" t="s">
        <v>2153</v>
      </c>
      <c r="F2214" s="17" t="s">
        <v>139</v>
      </c>
      <c r="G2214" s="18"/>
      <c r="H2214" s="18"/>
    </row>
    <row r="2215" spans="1:8" ht="13.2">
      <c r="A2215" s="15" t="s">
        <v>2213</v>
      </c>
      <c r="B2215" s="29" t="s">
        <v>2214</v>
      </c>
      <c r="C2215" s="31">
        <v>6</v>
      </c>
      <c r="D2215" s="26" t="str">
        <f>HYPERLINK("https://github.com/thackerhelik/Topcoder/blob/master/SRM612-D2-1000.cpp","Sol")</f>
        <v>Sol</v>
      </c>
      <c r="E2215" s="24" t="s">
        <v>2153</v>
      </c>
      <c r="F2215" s="17" t="s">
        <v>139</v>
      </c>
      <c r="G2215" s="18"/>
      <c r="H2215" s="18"/>
    </row>
    <row r="2216" spans="1:8" ht="13.2">
      <c r="A2216" s="19" t="str">
        <f>HYPERLINK("https://agc025.contest.atcoder.jp/tasks/agc025_c", "AtCoder025-AGC-C")</f>
        <v>AtCoder025-AGC-C</v>
      </c>
      <c r="B2216" s="23" t="s">
        <v>2215</v>
      </c>
      <c r="C2216" s="17">
        <v>6</v>
      </c>
      <c r="D2216" s="26" t="str">
        <f>HYPERLINK("https://github.com/MetalBall887/Competitive-Programming/blob/master/AtCoder/AtCoder025-AGC-C.cpp","Try to prove")</f>
        <v>Try to prove</v>
      </c>
      <c r="E2216" s="17" t="s">
        <v>2153</v>
      </c>
      <c r="F2216" s="17" t="s">
        <v>139</v>
      </c>
      <c r="G2216" s="18"/>
      <c r="H2216" s="18"/>
    </row>
    <row r="2217" spans="1:8" ht="13.2">
      <c r="A2217" s="19" t="str">
        <f>HYPERLINK("https://codeforces.com/contest/1178/problem/E","CF1178-D12-E")</f>
        <v>CF1178-D12-E</v>
      </c>
      <c r="B2217" s="37" t="s">
        <v>2216</v>
      </c>
      <c r="C2217" s="17">
        <v>6</v>
      </c>
      <c r="D2217" s="18"/>
      <c r="E2217" s="17" t="s">
        <v>2153</v>
      </c>
      <c r="F2217" s="17" t="s">
        <v>139</v>
      </c>
      <c r="G2217" s="18"/>
      <c r="H2217" s="18"/>
    </row>
    <row r="2218" spans="1:8" ht="13.2">
      <c r="A2218" s="19" t="str">
        <f>HYPERLINK("https://codeforces.com/gym/101808/problem/I","CF101808-GYM-I")</f>
        <v>CF101808-GYM-I</v>
      </c>
      <c r="B2218" s="15" t="s">
        <v>2413</v>
      </c>
      <c r="C2218" s="17">
        <v>6</v>
      </c>
      <c r="D2218" s="26" t="str">
        <f>HYPERLINK("https://github.com/MetalBall887/Competitive-Programming/blob/master/CodeForces/CF101808-GYM-I.cpp","Sol")</f>
        <v>Sol</v>
      </c>
      <c r="E2218" s="17" t="s">
        <v>2394</v>
      </c>
      <c r="F2218" s="17" t="s">
        <v>139</v>
      </c>
      <c r="G2218" s="18"/>
      <c r="H2218" s="18"/>
    </row>
    <row r="2219" spans="1:8" ht="13.2">
      <c r="A2219" s="19" t="str">
        <f>HYPERLINK("http://codeforces.com/contest/604/problem/E","CF604-D2-E")</f>
        <v>CF604-D2-E</v>
      </c>
      <c r="B2219" s="15" t="s">
        <v>2468</v>
      </c>
      <c r="C2219" s="24">
        <v>6</v>
      </c>
      <c r="D2219" s="18"/>
      <c r="E2219" s="17" t="s">
        <v>2467</v>
      </c>
      <c r="F2219" s="17" t="s">
        <v>139</v>
      </c>
      <c r="G2219" s="18"/>
      <c r="H2219" s="18"/>
    </row>
    <row r="2220" spans="1:8" ht="13.2">
      <c r="A2220" s="19" t="str">
        <f>HYPERLINK("http://codeforces.com/contest/87/problem/C","CF87-D1-C")</f>
        <v>CF87-D1-C</v>
      </c>
      <c r="B2220" s="29" t="s">
        <v>2468</v>
      </c>
      <c r="C2220" s="17">
        <v>6</v>
      </c>
      <c r="D2220" s="26" t="str">
        <f>HYPERLINK("https://github.com/arvindr9/CompetitiveProgramming/blob/master/CodeForces/CF87-D1-C.cpp","Sol")</f>
        <v>Sol</v>
      </c>
      <c r="E2220" s="17" t="s">
        <v>2467</v>
      </c>
      <c r="F2220" s="17" t="s">
        <v>139</v>
      </c>
      <c r="G2220" s="18"/>
      <c r="H2220" s="18"/>
    </row>
    <row r="2221" spans="1:8" ht="13.2">
      <c r="A2221" s="15" t="s">
        <v>2486</v>
      </c>
      <c r="B2221" s="28" t="s">
        <v>2468</v>
      </c>
      <c r="C2221" s="17">
        <v>6</v>
      </c>
      <c r="D2221" s="26" t="str">
        <f>HYPERLINK("https://github.com/goswami-rahul/competitive-coding/blob/master/CompetitiveProgramming/timus/1540.cpp","Sol")</f>
        <v>Sol</v>
      </c>
      <c r="E2221" s="17" t="s">
        <v>2467</v>
      </c>
      <c r="F2221" s="17" t="s">
        <v>139</v>
      </c>
      <c r="G2221" s="18"/>
      <c r="H2221" s="18"/>
    </row>
    <row r="2222" spans="1:8" ht="13.2">
      <c r="A2222" s="19" t="str">
        <f>HYPERLINK("https://codeforces.com/gym/102058/problem/F","CF102058-GYM-F")</f>
        <v>CF102058-GYM-F</v>
      </c>
      <c r="B2222" s="15" t="s">
        <v>2487</v>
      </c>
      <c r="C2222" s="17">
        <v>6</v>
      </c>
      <c r="D2222" s="26" t="str">
        <f>HYPERLINK("https://github.com/MetalBall887/Competitive-Programming/blob/master/CodeForces/CF102058-GYM-F.cpp","Sl")</f>
        <v>Sl</v>
      </c>
      <c r="E2222" s="17" t="s">
        <v>2467</v>
      </c>
      <c r="F2222" s="17" t="s">
        <v>139</v>
      </c>
      <c r="G2222" s="18"/>
      <c r="H2222" s="18"/>
    </row>
    <row r="2223" spans="1:8" ht="13.2">
      <c r="A2223" s="15" t="s">
        <v>2488</v>
      </c>
      <c r="B2223" s="28" t="s">
        <v>2489</v>
      </c>
      <c r="C2223" s="24">
        <v>6</v>
      </c>
      <c r="D2223" s="26" t="str">
        <f>HYPERLINK("https://github.com/mostafa-saad/MyCompetitiveProgramming/blob/master/SPOJ/SPOJ_TRIOMINO.txt","Sol")</f>
        <v>Sol</v>
      </c>
      <c r="E2223" s="17" t="s">
        <v>2467</v>
      </c>
      <c r="F2223" s="17" t="s">
        <v>139</v>
      </c>
      <c r="G2223" s="18"/>
      <c r="H2223" s="18"/>
    </row>
    <row r="2224" spans="1:8" ht="13.2">
      <c r="A2224" s="19" t="str">
        <f>HYPERLINK("https://www.codechef.com/COOK102B/problems/ADAPWNS","CODECHEF ADAPWNS")</f>
        <v>CODECHEF ADAPWNS</v>
      </c>
      <c r="B2224" s="15" t="s">
        <v>2490</v>
      </c>
      <c r="C2224" s="17">
        <v>6</v>
      </c>
      <c r="D2224" s="18"/>
      <c r="E2224" s="17" t="s">
        <v>2467</v>
      </c>
      <c r="F2224" s="17" t="s">
        <v>139</v>
      </c>
      <c r="G2224" s="18"/>
      <c r="H2224" s="18"/>
    </row>
    <row r="2225" spans="1:8" ht="13.2">
      <c r="A2225" s="19" t="str">
        <f>HYPERLINK("https://www.hackerearth.com/problem/algorithm/flying-square-4a157cad/","HACKER flying-square")</f>
        <v>HACKER flying-square</v>
      </c>
      <c r="B2225" s="15" t="s">
        <v>2509</v>
      </c>
      <c r="C2225" s="17">
        <v>6</v>
      </c>
      <c r="D2225" s="18"/>
      <c r="E2225" s="17" t="s">
        <v>2510</v>
      </c>
      <c r="F2225" s="17" t="s">
        <v>139</v>
      </c>
      <c r="G2225" s="18"/>
      <c r="H2225" s="18"/>
    </row>
    <row r="2226" spans="1:8" ht="13.2">
      <c r="A2226" s="15" t="s">
        <v>2643</v>
      </c>
      <c r="B2226" s="20" t="s">
        <v>2533</v>
      </c>
      <c r="C2226" s="17">
        <v>6</v>
      </c>
      <c r="D2226" s="18"/>
      <c r="E2226" s="17" t="s">
        <v>2510</v>
      </c>
      <c r="F2226" s="17" t="s">
        <v>139</v>
      </c>
      <c r="G2226" s="18"/>
      <c r="H2226" s="18"/>
    </row>
    <row r="2227" spans="1:8" ht="13.2">
      <c r="A2227" s="19" t="str">
        <f>HYPERLINK("https://codeforces.com/contest/703/problem/C","CF703-D2-C")</f>
        <v>CF703-D2-C</v>
      </c>
      <c r="B2227" s="23" t="s">
        <v>2533</v>
      </c>
      <c r="C2227" s="17">
        <v>6</v>
      </c>
      <c r="D2227" s="18"/>
      <c r="E2227" s="17" t="s">
        <v>2510</v>
      </c>
      <c r="F2227" s="17" t="s">
        <v>139</v>
      </c>
      <c r="G2227" s="18"/>
      <c r="H2227" s="18"/>
    </row>
    <row r="2228" spans="1:8" ht="13.2">
      <c r="A2228" s="19" t="str">
        <f>HYPERLINK("http://codeforces.com/gym/101726/problem/J","CF101726-gym-J")</f>
        <v>CF101726-gym-J</v>
      </c>
      <c r="B2228" s="28" t="s">
        <v>2644</v>
      </c>
      <c r="C2228" s="21">
        <v>6</v>
      </c>
      <c r="D2228" s="18"/>
      <c r="E2228" s="17" t="s">
        <v>2510</v>
      </c>
      <c r="F2228" s="17" t="s">
        <v>139</v>
      </c>
      <c r="G2228" s="18"/>
      <c r="H2228" s="18"/>
    </row>
    <row r="2229" spans="1:8" ht="13.2">
      <c r="A2229" s="19" t="str">
        <f>HYPERLINK("http://codeforces.com/contest/1121/problem/D","CF1121-D2-D")</f>
        <v>CF1121-D2-D</v>
      </c>
      <c r="B2229" s="20" t="s">
        <v>587</v>
      </c>
      <c r="C2229" s="17">
        <v>6</v>
      </c>
      <c r="D2229" s="18"/>
      <c r="E2229" s="17" t="s">
        <v>575</v>
      </c>
      <c r="F2229" s="17" t="s">
        <v>139</v>
      </c>
      <c r="G2229" s="18"/>
      <c r="H2229" s="18"/>
    </row>
    <row r="2230" spans="1:8" ht="13.2">
      <c r="A2230" s="19" t="str">
        <f>HYPERLINK("http://codeforces.com/contest/706/problem/E","CF706-D2-E")</f>
        <v>CF706-D2-E</v>
      </c>
      <c r="B2230" s="15" t="s">
        <v>594</v>
      </c>
      <c r="C2230" s="24">
        <v>6</v>
      </c>
      <c r="D2230" s="18"/>
      <c r="E2230" s="17" t="s">
        <v>575</v>
      </c>
      <c r="F2230" s="17" t="s">
        <v>139</v>
      </c>
      <c r="G2230" s="18"/>
      <c r="H2230" s="18"/>
    </row>
    <row r="2231" spans="1:8" ht="13.2">
      <c r="A2231" s="19" t="str">
        <f>HYPERLINK("https://codeforces.com/contest/1269/problem/E","CF1269-D2-E")</f>
        <v>CF1269-D2-E</v>
      </c>
      <c r="B2231" s="20" t="s">
        <v>595</v>
      </c>
      <c r="C2231" s="21">
        <v>6</v>
      </c>
      <c r="D2231" s="18"/>
      <c r="E2231" s="17" t="s">
        <v>575</v>
      </c>
      <c r="F2231" s="17" t="s">
        <v>139</v>
      </c>
      <c r="G2231" s="18"/>
      <c r="H2231" s="18"/>
    </row>
    <row r="2232" spans="1:8" ht="13.2">
      <c r="A2232" s="19" t="str">
        <f>HYPERLINK("https://www.codechef.com/problems/KOL15D","CODECHEF SEATS")</f>
        <v>CODECHEF SEATS</v>
      </c>
      <c r="B2232" s="15" t="s">
        <v>596</v>
      </c>
      <c r="C2232" s="17">
        <v>6</v>
      </c>
      <c r="D2232" s="18"/>
      <c r="E2232" s="17" t="s">
        <v>575</v>
      </c>
      <c r="F2232" s="17" t="s">
        <v>139</v>
      </c>
      <c r="G2232" s="18"/>
      <c r="H2232" s="18"/>
    </row>
    <row r="2233" spans="1:8" ht="13.2">
      <c r="A2233" s="19" t="str">
        <f>HYPERLINK("http://codeforces.com/contest/897/problem/E","CF897-D2-E")</f>
        <v>CF897-D2-E</v>
      </c>
      <c r="B2233" s="15" t="s">
        <v>597</v>
      </c>
      <c r="C2233" s="17">
        <v>6</v>
      </c>
      <c r="D2233" s="18"/>
      <c r="E2233" s="17" t="s">
        <v>575</v>
      </c>
      <c r="F2233" s="17" t="s">
        <v>139</v>
      </c>
      <c r="G2233" s="18"/>
      <c r="H2233" s="18"/>
    </row>
    <row r="2234" spans="1:8" ht="13.2">
      <c r="A2234" s="15" t="s">
        <v>598</v>
      </c>
      <c r="B2234" s="29" t="s">
        <v>599</v>
      </c>
      <c r="C2234" s="17">
        <v>6</v>
      </c>
      <c r="D2234" s="26" t="str">
        <f>HYPERLINK("https://github.com/mostafa-saad/MyCompetitiveProgramming/blob/master/SPOJ/SPOJ_FSEQ.cpp","Sol")</f>
        <v>Sol</v>
      </c>
      <c r="E2234" s="17" t="s">
        <v>575</v>
      </c>
      <c r="F2234" s="17" t="s">
        <v>139</v>
      </c>
      <c r="G2234" s="18"/>
      <c r="H2234" s="18"/>
    </row>
    <row r="2235" spans="1:8" ht="13.2">
      <c r="A2235" s="15" t="s">
        <v>3056</v>
      </c>
      <c r="B2235" s="28" t="s">
        <v>3057</v>
      </c>
      <c r="C2235" s="24">
        <v>6</v>
      </c>
      <c r="D2235" s="26" t="str">
        <f>HYPERLINK("https://github.com/OmarAhmedSaleh/competitive-programming/blob/master/TJU/1537.%20%20%20This%20Takes%20the%20Cake.cpp","Solve using polygon cut")</f>
        <v>Solve using polygon cut</v>
      </c>
      <c r="E2235" s="24" t="s">
        <v>3041</v>
      </c>
      <c r="F2235" s="17" t="s">
        <v>139</v>
      </c>
      <c r="G2235" s="18"/>
      <c r="H2235" s="18"/>
    </row>
    <row r="2236" spans="1:8" ht="13.2">
      <c r="A2236" s="15" t="s">
        <v>3058</v>
      </c>
      <c r="B2236" s="30" t="s">
        <v>3059</v>
      </c>
      <c r="C2236" s="24">
        <v>6</v>
      </c>
      <c r="D2236" s="18"/>
      <c r="E2236" s="17" t="s">
        <v>3041</v>
      </c>
      <c r="F2236" s="17" t="s">
        <v>139</v>
      </c>
      <c r="G2236" s="18"/>
      <c r="H2236" s="18"/>
    </row>
    <row r="2237" spans="1:8" ht="13.2">
      <c r="A2237" s="19" t="str">
        <f>HYPERLINK("https://codeforces.com/contest/1284/problem/D","CF1284-D12-D")</f>
        <v>CF1284-D12-D</v>
      </c>
      <c r="B2237" s="20" t="s">
        <v>3181</v>
      </c>
      <c r="C2237" s="21">
        <v>6</v>
      </c>
      <c r="D2237" s="18"/>
      <c r="E2237" s="17" t="s">
        <v>3140</v>
      </c>
      <c r="F2237" s="17" t="s">
        <v>139</v>
      </c>
      <c r="G2237" s="18"/>
      <c r="H2237" s="18"/>
    </row>
    <row r="2238" spans="1:8" ht="13.2">
      <c r="A2238" s="19" t="str">
        <f>HYPERLINK("https://icpcarchive.ecs.baylor.edu/index.php?option=com_onlinejudge&amp;Itemid=8&amp;category=18&amp;page=show_problem&amp;problem=1526","Livearchive 3525")</f>
        <v>Livearchive 3525</v>
      </c>
      <c r="B2238" s="15" t="s">
        <v>3182</v>
      </c>
      <c r="C2238" s="17">
        <v>6</v>
      </c>
      <c r="D2238" s="26" t="str">
        <f>HYPERLINK("https://algorithmist.com/wiki/LA_3525","Sol")</f>
        <v>Sol</v>
      </c>
      <c r="E2238" s="17" t="s">
        <v>3140</v>
      </c>
      <c r="F2238" s="17" t="s">
        <v>139</v>
      </c>
      <c r="G2238" s="18"/>
      <c r="H2238" s="18"/>
    </row>
    <row r="2239" spans="1:8" ht="13.2">
      <c r="A2239" s="15" t="s">
        <v>3183</v>
      </c>
      <c r="B2239" s="28" t="s">
        <v>3184</v>
      </c>
      <c r="C2239" s="17">
        <v>6</v>
      </c>
      <c r="D2239" s="26" t="str">
        <f>HYPERLINK("https://github.com/mostafa-saad/MyCompetitiveProgramming/blob/master/SPOJ/SPOJ_SHORTCUT.txt","Sol")</f>
        <v>Sol</v>
      </c>
      <c r="E2239" s="17" t="s">
        <v>3140</v>
      </c>
      <c r="F2239" s="17" t="s">
        <v>139</v>
      </c>
      <c r="G2239" s="18"/>
      <c r="H2239" s="18"/>
    </row>
    <row r="2240" spans="1:8" ht="13.2">
      <c r="A2240" s="19" t="str">
        <f>HYPERLINK("https://codeforces.com/contest/412/problem/D","CF412-D12-D")</f>
        <v>CF412-D12-D</v>
      </c>
      <c r="B2240" s="15" t="s">
        <v>3340</v>
      </c>
      <c r="C2240" s="17">
        <v>6</v>
      </c>
      <c r="D2240" s="26" t="str">
        <f>HYPERLINK("https://codeforces.com/blog/entry/68138","Reading later")</f>
        <v>Reading later</v>
      </c>
      <c r="E2240" s="17" t="s">
        <v>3257</v>
      </c>
      <c r="F2240" s="17" t="s">
        <v>139</v>
      </c>
      <c r="G2240" s="18"/>
      <c r="H2240" s="18"/>
    </row>
    <row r="2241" spans="1:8" ht="13.2">
      <c r="A2241" s="19" t="str">
        <f>HYPERLINK("https://codeforces.com/contest/1092/problem/E","CF1092-D3-E")</f>
        <v>CF1092-D3-E</v>
      </c>
      <c r="B2241" s="20" t="s">
        <v>3341</v>
      </c>
      <c r="C2241" s="21">
        <v>6</v>
      </c>
      <c r="D2241" s="18"/>
      <c r="E2241" s="17" t="s">
        <v>3257</v>
      </c>
      <c r="F2241" s="17" t="s">
        <v>139</v>
      </c>
      <c r="G2241" s="18"/>
      <c r="H2241" s="18"/>
    </row>
    <row r="2242" spans="1:8" ht="13.2">
      <c r="A2242" s="19" t="str">
        <f>HYPERLINK("https://codeforces.com/contest/960/problem/D","CF960-D12-D")</f>
        <v>CF960-D12-D</v>
      </c>
      <c r="B2242" s="15" t="s">
        <v>3342</v>
      </c>
      <c r="C2242" s="17">
        <v>6</v>
      </c>
      <c r="D2242" s="18"/>
      <c r="E2242" s="17" t="s">
        <v>3257</v>
      </c>
      <c r="F2242" s="17" t="s">
        <v>139</v>
      </c>
      <c r="G2242" s="18"/>
      <c r="H2242" s="18"/>
    </row>
    <row r="2243" spans="1:8" ht="13.2">
      <c r="A2243" s="19" t="str">
        <f>HYPERLINK("http://codeforces.com/contest/746/problem/G","CF746-D2-G")</f>
        <v>CF746-D2-G</v>
      </c>
      <c r="B2243" s="29" t="s">
        <v>3282</v>
      </c>
      <c r="C2243" s="17">
        <v>6</v>
      </c>
      <c r="D2243" s="18"/>
      <c r="E2243" s="17" t="s">
        <v>3257</v>
      </c>
      <c r="F2243" s="17" t="s">
        <v>139</v>
      </c>
      <c r="G2243" s="18"/>
      <c r="H2243" s="18"/>
    </row>
    <row r="2244" spans="1:8" ht="13.2">
      <c r="A2244" s="15" t="s">
        <v>3455</v>
      </c>
      <c r="B2244" s="35" t="s">
        <v>3456</v>
      </c>
      <c r="C2244" s="40">
        <v>6</v>
      </c>
      <c r="D2244" s="26" t="str">
        <f>HYPERLINK("https://github.com/ryuzmukhametov/CompetitiveProgramming/blob/master/Topcoder/SRM270-D1-500.cpp", "Sol")</f>
        <v>Sol</v>
      </c>
      <c r="E2244" s="17" t="s">
        <v>3439</v>
      </c>
      <c r="F2244" s="17" t="s">
        <v>139</v>
      </c>
      <c r="G2244" s="18"/>
      <c r="H2244" s="18"/>
    </row>
    <row r="2245" spans="1:8" ht="13.2">
      <c r="A2245" s="19" t="str">
        <f>HYPERLINK("http://codeforces.com/contest/679/problem/C","CF679-D1-C")</f>
        <v>CF679-D1-C</v>
      </c>
      <c r="B2245" s="29" t="s">
        <v>3508</v>
      </c>
      <c r="C2245" s="17">
        <v>6</v>
      </c>
      <c r="D2245" s="26" t="str">
        <f>HYPERLINK("https://github.com/andriy-zhuk/CompetitiveProgramming/blob/master/Codeforces/CF679-D1-C.cpp","Sol")</f>
        <v>Sol</v>
      </c>
      <c r="E2245" s="17" t="s">
        <v>3467</v>
      </c>
      <c r="F2245" s="17" t="s">
        <v>139</v>
      </c>
      <c r="G2245" s="18"/>
      <c r="H2245" s="18"/>
    </row>
    <row r="2246" spans="1:8" ht="13.2">
      <c r="A2246" s="19" t="str">
        <f>HYPERLINK("https://codeforces.com/contest/1262/problem/E","CF1262-D2-E")</f>
        <v>CF1262-D2-E</v>
      </c>
      <c r="B2246" s="20" t="s">
        <v>3509</v>
      </c>
      <c r="C2246" s="21">
        <v>6</v>
      </c>
      <c r="D2246" s="18"/>
      <c r="E2246" s="17" t="s">
        <v>3467</v>
      </c>
      <c r="F2246" s="17" t="s">
        <v>139</v>
      </c>
      <c r="G2246" s="18"/>
      <c r="H2246" s="18"/>
    </row>
    <row r="2247" spans="1:8" ht="13.2">
      <c r="A2247" s="15" t="s">
        <v>676</v>
      </c>
      <c r="B2247" s="28" t="s">
        <v>677</v>
      </c>
      <c r="C2247" s="24">
        <v>6</v>
      </c>
      <c r="D2247" s="26" t="str">
        <f>HYPERLINK("https://github.com/MNT95/Competitive-Programming/blob/master/UVa/Backtracking/10160%20-%20Servicing%20Stations.cpp","Sol")</f>
        <v>Sol</v>
      </c>
      <c r="E2247" s="17" t="s">
        <v>655</v>
      </c>
      <c r="F2247" s="17" t="s">
        <v>139</v>
      </c>
      <c r="G2247" s="18"/>
      <c r="H2247" s="18"/>
    </row>
    <row r="2248" spans="1:8" ht="13.2">
      <c r="A2248" s="19" t="str">
        <f>HYPERLINK("https://codeforces.com/contest/1076/problem/E","CF1076-D12-E")</f>
        <v>CF1076-D12-E</v>
      </c>
      <c r="B2248" s="15" t="s">
        <v>3706</v>
      </c>
      <c r="C2248" s="17">
        <v>6</v>
      </c>
      <c r="D2248" s="18"/>
      <c r="E2248" s="17" t="s">
        <v>3650</v>
      </c>
      <c r="F2248" s="17" t="s">
        <v>139</v>
      </c>
      <c r="G2248" s="18"/>
      <c r="H2248" s="18"/>
    </row>
    <row r="2249" spans="1:8" ht="13.2">
      <c r="A2249" s="19" t="str">
        <f>HYPERLINK("http://codeforces.com/contest/701/problem/E","CF701-D2-E")</f>
        <v>CF701-D2-E</v>
      </c>
      <c r="B2249" s="18" t="s">
        <v>3707</v>
      </c>
      <c r="C2249" s="17">
        <v>6</v>
      </c>
      <c r="D2249" s="18"/>
      <c r="E2249" s="17" t="s">
        <v>3650</v>
      </c>
      <c r="F2249" s="17" t="s">
        <v>139</v>
      </c>
      <c r="G2249" s="18"/>
      <c r="H2249" s="18"/>
    </row>
    <row r="2250" spans="1:8" ht="13.2">
      <c r="A2250" s="19" t="str">
        <f>HYPERLINK("http://codeforces.com/contest/22/problem/E","CF22-D2-E")</f>
        <v>CF22-D2-E</v>
      </c>
      <c r="B2250" s="29" t="s">
        <v>3708</v>
      </c>
      <c r="C2250" s="33">
        <v>6</v>
      </c>
      <c r="D2250" s="18"/>
      <c r="E2250" s="17" t="s">
        <v>3650</v>
      </c>
      <c r="F2250" s="17" t="s">
        <v>139</v>
      </c>
      <c r="G2250" s="18"/>
      <c r="H2250" s="18"/>
    </row>
    <row r="2251" spans="1:8" ht="13.2">
      <c r="A2251" s="19" t="str">
        <f>HYPERLINK("http://codeforces.com/contest/846/problem/E","CF846-D12-E")</f>
        <v>CF846-D12-E</v>
      </c>
      <c r="B2251" s="15" t="s">
        <v>3709</v>
      </c>
      <c r="C2251" s="17">
        <v>6</v>
      </c>
      <c r="D2251" s="18"/>
      <c r="E2251" s="17" t="s">
        <v>3650</v>
      </c>
      <c r="F2251" s="17" t="s">
        <v>139</v>
      </c>
      <c r="G2251" s="18"/>
      <c r="H2251" s="18"/>
    </row>
    <row r="2252" spans="1:8" ht="13.2">
      <c r="A2252" s="19" t="str">
        <f>HYPERLINK("http://codeforces.com/contest/707/problem/D","CF707-D2-D")</f>
        <v>CF707-D2-D</v>
      </c>
      <c r="B2252" s="29" t="s">
        <v>3710</v>
      </c>
      <c r="C2252" s="17">
        <v>6</v>
      </c>
      <c r="D2252" s="26" t="str">
        <f>HYPERLINK("https://github.com/AbdelrahmanRamadan/competitive-programming/blob/master/Codeforces/CF707-D2-D.cpp","Sol")</f>
        <v>Sol</v>
      </c>
      <c r="E2252" s="17" t="s">
        <v>3650</v>
      </c>
      <c r="F2252" s="17" t="s">
        <v>139</v>
      </c>
      <c r="G2252" s="18"/>
      <c r="H2252" s="18"/>
    </row>
    <row r="2253" spans="1:8" ht="13.2">
      <c r="A2253" s="19" t="str">
        <f>HYPERLINK("http://codeforces.com/contest/117/problem/C","CF117-D12-C")</f>
        <v>CF117-D12-C</v>
      </c>
      <c r="B2253" s="15" t="s">
        <v>3660</v>
      </c>
      <c r="C2253" s="17">
        <v>6</v>
      </c>
      <c r="D2253" s="18"/>
      <c r="E2253" s="17" t="s">
        <v>3650</v>
      </c>
      <c r="F2253" s="17" t="s">
        <v>139</v>
      </c>
      <c r="G2253" s="18"/>
      <c r="H2253" s="18"/>
    </row>
    <row r="2254" spans="1:8" ht="13.2">
      <c r="A2254" s="19" t="str">
        <f>HYPERLINK("http://codeforces.com/contest/920/problem/E","CF920-D2-E")</f>
        <v>CF920-D2-E</v>
      </c>
      <c r="B2254" s="15" t="s">
        <v>3711</v>
      </c>
      <c r="C2254" s="17">
        <v>6</v>
      </c>
      <c r="D2254" s="18" t="s">
        <v>3712</v>
      </c>
      <c r="E2254" s="17" t="s">
        <v>3650</v>
      </c>
      <c r="F2254" s="17" t="s">
        <v>139</v>
      </c>
      <c r="G2254" s="18"/>
      <c r="H2254" s="18"/>
    </row>
    <row r="2255" spans="1:8" ht="13.2">
      <c r="A2255" s="19" t="str">
        <f>HYPERLINK("http://codeforces.com/contest/604/problem/D","CF604-D2-D")</f>
        <v>CF604-D2-D</v>
      </c>
      <c r="B2255" s="29" t="s">
        <v>3713</v>
      </c>
      <c r="C2255" s="17">
        <v>6</v>
      </c>
      <c r="D2255" s="26" t="str">
        <f>HYPERLINK("https://github.com/MohamedNabil97/CompetitiveProgramming/blob/master/CodeForces/CF604-D2-D.cpp","Sol")</f>
        <v>Sol</v>
      </c>
      <c r="E2255" s="17" t="s">
        <v>3650</v>
      </c>
      <c r="F2255" s="17" t="s">
        <v>139</v>
      </c>
      <c r="G2255" s="18"/>
      <c r="H2255" s="18"/>
    </row>
    <row r="2256" spans="1:8" ht="13.2">
      <c r="A2256" s="15" t="s">
        <v>3814</v>
      </c>
      <c r="B2256" s="30" t="s">
        <v>3815</v>
      </c>
      <c r="C2256" s="24">
        <v>6</v>
      </c>
      <c r="D2256" s="26" t="str">
        <f>HYPERLINK("https://github.com/mostafa-saad/MyCompetitiveProgramming/blob/master/UVA/UVA_11883.txt","Sol")</f>
        <v>Sol</v>
      </c>
      <c r="E2256" s="17" t="s">
        <v>3784</v>
      </c>
      <c r="F2256" s="17" t="s">
        <v>139</v>
      </c>
      <c r="G2256" s="18"/>
      <c r="H2256" s="18"/>
    </row>
    <row r="2257" spans="1:8" ht="13.2">
      <c r="A2257" s="19" t="str">
        <f>HYPERLINK("http://codeforces.com/contest/567/problem/E","CF567-D2-E")</f>
        <v>CF567-D2-E</v>
      </c>
      <c r="B2257" s="15" t="s">
        <v>3816</v>
      </c>
      <c r="C2257" s="17">
        <v>6</v>
      </c>
      <c r="D2257" s="18"/>
      <c r="E2257" s="17" t="s">
        <v>3784</v>
      </c>
      <c r="F2257" s="17" t="s">
        <v>139</v>
      </c>
      <c r="G2257" s="18"/>
      <c r="H2257" s="18"/>
    </row>
    <row r="2258" spans="1:8" ht="13.2">
      <c r="A2258" s="19" t="str">
        <f>HYPERLINK("https://codeforces.com/gym/102299/problem/G", "CF102299-GYM-G")</f>
        <v>CF102299-GYM-G</v>
      </c>
      <c r="B2258" s="25" t="s">
        <v>3909</v>
      </c>
      <c r="C2258" s="21">
        <v>6</v>
      </c>
      <c r="D2258" s="26" t="str">
        <f>HYPERLINK("https://github.com/YazanZebak/CompetitiveProgramming/blob/master/Codeforces/CF102299-GYM-G.cpp", "Sol")</f>
        <v>Sol</v>
      </c>
      <c r="E2258" s="17" t="s">
        <v>3883</v>
      </c>
      <c r="F2258" s="17" t="s">
        <v>139</v>
      </c>
      <c r="G2258" s="18"/>
      <c r="H2258" s="18"/>
    </row>
    <row r="2259" spans="1:8" ht="13.2">
      <c r="A2259" s="19" t="str">
        <f>HYPERLINK("http://codeforces.com/contest/367/problem/C","CF367-D1-C")</f>
        <v>CF367-D1-C</v>
      </c>
      <c r="B2259" s="15" t="s">
        <v>3974</v>
      </c>
      <c r="C2259" s="21">
        <v>6</v>
      </c>
      <c r="D2259" s="18"/>
      <c r="E2259" s="17" t="s">
        <v>3955</v>
      </c>
      <c r="F2259" s="17" t="s">
        <v>139</v>
      </c>
      <c r="G2259" s="18"/>
      <c r="H2259" s="18"/>
    </row>
    <row r="2260" spans="1:8" ht="13.2">
      <c r="A2260" s="19" t="str">
        <f>HYPERLINK("https://codeforces.com/contest/1184/problem/B3","CF1184-D12-B3")</f>
        <v>CF1184-D12-B3</v>
      </c>
      <c r="B2260" s="15" t="s">
        <v>4059</v>
      </c>
      <c r="C2260" s="17">
        <v>6</v>
      </c>
      <c r="D2260" s="18"/>
      <c r="E2260" s="17" t="s">
        <v>4060</v>
      </c>
      <c r="F2260" s="17" t="s">
        <v>139</v>
      </c>
      <c r="G2260" s="18"/>
      <c r="H2260" s="18"/>
    </row>
    <row r="2261" spans="1:8" ht="13.2">
      <c r="A2261" s="19" t="str">
        <f>HYPERLINK("http://codeforces.com/problemset/problem/546/E","CF546-D2-E")</f>
        <v>CF546-D2-E</v>
      </c>
      <c r="B2261" s="30" t="s">
        <v>4059</v>
      </c>
      <c r="C2261" s="31">
        <v>6</v>
      </c>
      <c r="D2261" s="18"/>
      <c r="E2261" s="17" t="s">
        <v>4060</v>
      </c>
      <c r="F2261" s="17" t="s">
        <v>139</v>
      </c>
      <c r="G2261" s="18"/>
      <c r="H2261" s="18"/>
    </row>
    <row r="2262" spans="1:8" ht="13.2">
      <c r="A2262" s="19" t="str">
        <f>HYPERLINK("https://www.spoj.com/problems/AMR12A/","SPOJ AMR12A")</f>
        <v>SPOJ AMR12A</v>
      </c>
      <c r="B2262" s="15" t="s">
        <v>4101</v>
      </c>
      <c r="C2262" s="17">
        <v>6</v>
      </c>
      <c r="D2262" s="18"/>
      <c r="E2262" s="17" t="s">
        <v>4060</v>
      </c>
      <c r="F2262" s="17" t="s">
        <v>139</v>
      </c>
      <c r="G2262" s="18"/>
      <c r="H2262" s="18"/>
    </row>
    <row r="2263" spans="1:8" ht="13.2">
      <c r="A2263" s="15" t="s">
        <v>4103</v>
      </c>
      <c r="B2263" s="18" t="s">
        <v>4101</v>
      </c>
      <c r="C2263" s="17">
        <v>6</v>
      </c>
      <c r="D2263" s="26" t="str">
        <f>HYPERLINK("https://github.com/MohamedNabil97/CompetitiveProgramming/tree/master/SPOJ/NETADMIN.cpp","Sol")</f>
        <v>Sol</v>
      </c>
      <c r="E2263" s="17" t="s">
        <v>4060</v>
      </c>
      <c r="F2263" s="17" t="s">
        <v>139</v>
      </c>
      <c r="G2263" s="18"/>
      <c r="H2263" s="18"/>
    </row>
    <row r="2264" spans="1:8" ht="13.2">
      <c r="A2264" s="15" t="s">
        <v>4104</v>
      </c>
      <c r="B2264" s="29" t="s">
        <v>4105</v>
      </c>
      <c r="C2264" s="24">
        <v>6</v>
      </c>
      <c r="D2264" s="26" t="str">
        <f>HYPERLINK("https://github.com/MohamedNabil97/CompetitiveProgramming/blob/master/TopCoder/SRM589-D1-500.cpp","Sol")</f>
        <v>Sol</v>
      </c>
      <c r="E2264" s="17" t="s">
        <v>4060</v>
      </c>
      <c r="F2264" s="17" t="s">
        <v>139</v>
      </c>
      <c r="G2264" s="18"/>
      <c r="H2264" s="18"/>
    </row>
    <row r="2265" spans="1:8" ht="13.2">
      <c r="A2265" s="15" t="s">
        <v>4178</v>
      </c>
      <c r="B2265" s="28" t="s">
        <v>4179</v>
      </c>
      <c r="C2265" s="24">
        <v>6</v>
      </c>
      <c r="D2265" s="18"/>
      <c r="E2265" s="17" t="s">
        <v>4144</v>
      </c>
      <c r="F2265" s="17" t="s">
        <v>139</v>
      </c>
      <c r="G2265" s="18"/>
      <c r="H2265" s="18"/>
    </row>
    <row r="2266" spans="1:8" ht="13.2">
      <c r="A2266" s="15" t="s">
        <v>4180</v>
      </c>
      <c r="B2266" s="30" t="s">
        <v>4181</v>
      </c>
      <c r="C2266" s="17">
        <v>6</v>
      </c>
      <c r="D2266" s="18"/>
      <c r="E2266" s="17" t="s">
        <v>4144</v>
      </c>
      <c r="F2266" s="17" t="s">
        <v>139</v>
      </c>
      <c r="G2266" s="18"/>
      <c r="H2266" s="18"/>
    </row>
    <row r="2267" spans="1:8" ht="13.2">
      <c r="A2267" s="19" t="str">
        <f>HYPERLINK("https://codeforces.com/contest/1152/problem/D","CF1152-D2-D")</f>
        <v>CF1152-D2-D</v>
      </c>
      <c r="B2267" s="15" t="s">
        <v>4182</v>
      </c>
      <c r="C2267" s="17">
        <v>6</v>
      </c>
      <c r="D2267" s="18"/>
      <c r="E2267" s="17" t="s">
        <v>4144</v>
      </c>
      <c r="F2267" s="17" t="s">
        <v>139</v>
      </c>
      <c r="G2267" s="18"/>
      <c r="H2267" s="18"/>
    </row>
    <row r="2268" spans="1:8" ht="13.2">
      <c r="A2268" s="19" t="str">
        <f>HYPERLINK("https://codeforces.com/contest/1034/problem/B","CF1034-D1-B")</f>
        <v>CF1034-D1-B</v>
      </c>
      <c r="B2268" s="20" t="s">
        <v>4183</v>
      </c>
      <c r="C2268" s="21">
        <v>6</v>
      </c>
      <c r="D2268" s="18" t="s">
        <v>1166</v>
      </c>
      <c r="E2268" s="17" t="s">
        <v>4144</v>
      </c>
      <c r="F2268" s="17" t="s">
        <v>139</v>
      </c>
      <c r="G2268" s="18"/>
      <c r="H2268" s="18"/>
    </row>
    <row r="2269" spans="1:8" ht="13.2">
      <c r="A2269" s="15" t="s">
        <v>4184</v>
      </c>
      <c r="B2269" s="30" t="s">
        <v>4185</v>
      </c>
      <c r="C2269" s="24">
        <v>6</v>
      </c>
      <c r="D2269" s="26" t="str">
        <f>HYPERLINK("https://github.com/BRAINOOOO/CompetitiveProgramming/blob/master/UVA/V-121/UVA%2012168.Cpp","Sol")</f>
        <v>Sol</v>
      </c>
      <c r="E2269" s="17" t="s">
        <v>4144</v>
      </c>
      <c r="F2269" s="17" t="s">
        <v>139</v>
      </c>
      <c r="G2269" s="18"/>
      <c r="H2269" s="18"/>
    </row>
    <row r="2270" spans="1:8" ht="13.2">
      <c r="A2270" s="15" t="s">
        <v>4186</v>
      </c>
      <c r="B2270" s="28" t="s">
        <v>4187</v>
      </c>
      <c r="C2270" s="24">
        <v>6</v>
      </c>
      <c r="D2270" s="18"/>
      <c r="E2270" s="24" t="s">
        <v>4144</v>
      </c>
      <c r="F2270" s="17" t="s">
        <v>139</v>
      </c>
      <c r="G2270" s="18"/>
      <c r="H2270" s="18"/>
    </row>
    <row r="2271" spans="1:8" ht="13.2">
      <c r="A2271" s="15" t="s">
        <v>4303</v>
      </c>
      <c r="B2271" s="16" t="s">
        <v>4304</v>
      </c>
      <c r="C2271" s="17">
        <v>6</v>
      </c>
      <c r="D2271" s="18"/>
      <c r="E2271" s="17" t="s">
        <v>4275</v>
      </c>
      <c r="F2271" s="17" t="s">
        <v>139</v>
      </c>
      <c r="G2271" s="18"/>
      <c r="H2271" s="18"/>
    </row>
    <row r="2272" spans="1:8" ht="13.2">
      <c r="A2272" s="19" t="str">
        <f>HYPERLINK("http://codeforces.com/gym/100283/problem/B","CF100283-Gym-B")</f>
        <v>CF100283-Gym-B</v>
      </c>
      <c r="B2272" s="15" t="s">
        <v>4305</v>
      </c>
      <c r="C2272" s="17">
        <v>6</v>
      </c>
      <c r="D2272" s="26" t="str">
        <f>HYPERLINK("https://github.com/mostafa-saad/MyCompetitiveProgramming/blob/master/Codeforces/CF100283-GYM-B.txt","Sol")</f>
        <v>Sol</v>
      </c>
      <c r="E2272" s="17" t="s">
        <v>4275</v>
      </c>
      <c r="F2272" s="17" t="s">
        <v>139</v>
      </c>
      <c r="G2272" s="18"/>
      <c r="H2272" s="18"/>
    </row>
    <row r="2273" spans="1:8" ht="13.2">
      <c r="A2273" s="15" t="s">
        <v>4352</v>
      </c>
      <c r="B2273" s="30" t="s">
        <v>4353</v>
      </c>
      <c r="C2273" s="24">
        <v>6</v>
      </c>
      <c r="D2273" s="26" t="str">
        <f>HYPERLINK("https://github.com/aviroop123/CompetitiveProgramming/blob/master/SPOJ/SPOJ%20BREAK.cpp","Sol")</f>
        <v>Sol</v>
      </c>
      <c r="E2273" s="17" t="s">
        <v>4344</v>
      </c>
      <c r="F2273" s="17" t="s">
        <v>139</v>
      </c>
      <c r="G2273" s="18"/>
      <c r="H2273" s="18"/>
    </row>
    <row r="2274" spans="1:8" ht="13.2">
      <c r="A2274" s="15" t="s">
        <v>4354</v>
      </c>
      <c r="B2274" s="29" t="s">
        <v>4355</v>
      </c>
      <c r="C2274" s="31">
        <v>6</v>
      </c>
      <c r="D2274" s="18"/>
      <c r="E2274" s="17" t="s">
        <v>4344</v>
      </c>
      <c r="F2274" s="17" t="s">
        <v>139</v>
      </c>
      <c r="G2274" s="18"/>
      <c r="H2274" s="18"/>
    </row>
    <row r="2275" spans="1:8" ht="13.2">
      <c r="A2275" s="19" t="str">
        <f>HYPERLINK("https://codeforces.com/contest/1218/problem/I", "CF1218-D12-I")</f>
        <v>CF1218-D12-I</v>
      </c>
      <c r="B2275" s="15" t="s">
        <v>4385</v>
      </c>
      <c r="C2275" s="21">
        <v>6</v>
      </c>
      <c r="D2275" s="18"/>
      <c r="E2275" s="17" t="s">
        <v>4379</v>
      </c>
      <c r="F2275" s="17" t="s">
        <v>139</v>
      </c>
      <c r="G2275" s="18"/>
      <c r="H2275" s="18"/>
    </row>
    <row r="2276" spans="1:8" ht="13.2">
      <c r="A2276" s="19" t="str">
        <f>HYPERLINK("https://www.codechef.com/COOK102A/problems/ADAMTR","CODECHEF ADAMTR")</f>
        <v>CODECHEF ADAMTR</v>
      </c>
      <c r="B2276" s="15" t="s">
        <v>4385</v>
      </c>
      <c r="C2276" s="17">
        <v>6</v>
      </c>
      <c r="D2276" s="18"/>
      <c r="E2276" s="17" t="s">
        <v>4379</v>
      </c>
      <c r="F2276" s="17" t="s">
        <v>139</v>
      </c>
      <c r="G2276" s="18"/>
      <c r="H2276" s="18"/>
    </row>
    <row r="2277" spans="1:8" ht="13.2">
      <c r="A2277" s="19" t="str">
        <f>HYPERLINK("https://www.codechef.com/LTIME65A/problems/ROBAGAIN", "CODECHEF ROBAGAIN")</f>
        <v>CODECHEF ROBAGAIN</v>
      </c>
      <c r="B2277" s="15" t="s">
        <v>4398</v>
      </c>
      <c r="C2277" s="17">
        <v>6</v>
      </c>
      <c r="D2277" s="18"/>
      <c r="E2277" s="17" t="s">
        <v>4379</v>
      </c>
      <c r="F2277" s="17" t="s">
        <v>139</v>
      </c>
      <c r="G2277" s="18"/>
      <c r="H2277" s="18"/>
    </row>
    <row r="2278" spans="1:8" ht="13.2">
      <c r="A2278" s="15" t="s">
        <v>4437</v>
      </c>
      <c r="B2278" s="43" t="s">
        <v>4438</v>
      </c>
      <c r="C2278" s="17">
        <v>6</v>
      </c>
      <c r="D2278" s="18"/>
      <c r="E2278" s="17" t="s">
        <v>4423</v>
      </c>
      <c r="F2278" s="17" t="s">
        <v>139</v>
      </c>
      <c r="G2278" s="18"/>
      <c r="H2278" s="18"/>
    </row>
    <row r="2279" spans="1:8" ht="13.2">
      <c r="A2279" s="15" t="s">
        <v>4439</v>
      </c>
      <c r="B2279" s="15" t="s">
        <v>4440</v>
      </c>
      <c r="C2279" s="17">
        <v>6</v>
      </c>
      <c r="D2279" s="26" t="str">
        <f>HYPERLINK("https://github.com/goswami-rahul/competitive-coding/tree/master/CompetitiveProgramming/spoj/GRAFFDEF.cpp","Sol")</f>
        <v>Sol</v>
      </c>
      <c r="E2279" s="17" t="s">
        <v>4423</v>
      </c>
      <c r="F2279" s="17" t="s">
        <v>139</v>
      </c>
      <c r="G2279" s="18"/>
      <c r="H2279" s="18"/>
    </row>
    <row r="2280" spans="1:8" ht="13.2">
      <c r="A2280" s="15" t="s">
        <v>4441</v>
      </c>
      <c r="B2280" s="30" t="s">
        <v>4442</v>
      </c>
      <c r="C2280" s="24">
        <v>6</v>
      </c>
      <c r="D2280" s="26" t="str">
        <f>HYPERLINK("https://github.com/miguelAlessandro/CompetitiveProgramming/blob/master/UVA/12363.cpp","Sol")</f>
        <v>Sol</v>
      </c>
      <c r="E2280" s="17" t="s">
        <v>4423</v>
      </c>
      <c r="F2280" s="17" t="s">
        <v>139</v>
      </c>
      <c r="G2280" s="18"/>
      <c r="H2280" s="18"/>
    </row>
    <row r="2281" spans="1:8" ht="13.2">
      <c r="A2281" s="19" t="str">
        <f>HYPERLINK("http://codeforces.com/problemset/gymProblem/100676/H","CF100676-gym-H")</f>
        <v>CF100676-gym-H</v>
      </c>
      <c r="B2281" s="43" t="s">
        <v>4443</v>
      </c>
      <c r="C2281" s="17">
        <v>6</v>
      </c>
      <c r="D2281" s="26" t="str">
        <f>HYPERLINK("https://github.com/WaleedAbdelhakim/Competitive-Programming/blob/master/CodeForces/CF100676-gym-H.cpp","Sol")</f>
        <v>Sol</v>
      </c>
      <c r="E2281" s="17" t="s">
        <v>4423</v>
      </c>
      <c r="F2281" s="17" t="s">
        <v>139</v>
      </c>
      <c r="G2281" s="18"/>
      <c r="H2281" s="18"/>
    </row>
    <row r="2282" spans="1:8" ht="13.2">
      <c r="A2282" s="19" t="str">
        <f>HYPERLINK("http://codeforces.com/contest/1045/problem/C","CF1045-D1-C")</f>
        <v>CF1045-D1-C</v>
      </c>
      <c r="B2282" s="15" t="s">
        <v>4476</v>
      </c>
      <c r="C2282" s="17">
        <v>6</v>
      </c>
      <c r="D2282" s="26" t="str">
        <f>HYPERLINK("https://github.com/Szawinis/CompetitiveProgramming/blob/master/CodeForces/CF1045-D1-C.cpp","Siol - must read")</f>
        <v>Siol - must read</v>
      </c>
      <c r="E2282" s="17" t="s">
        <v>4454</v>
      </c>
      <c r="F2282" s="17" t="s">
        <v>139</v>
      </c>
      <c r="G2282" s="18"/>
      <c r="H2282" s="18"/>
    </row>
    <row r="2283" spans="1:8" ht="13.2">
      <c r="A2283" s="19" t="str">
        <f>HYPERLINK("http://codeforces.com/contest/231/problem/E","CF231-D2-E")</f>
        <v>CF231-D2-E</v>
      </c>
      <c r="B2283" s="43" t="s">
        <v>4477</v>
      </c>
      <c r="C2283" s="24">
        <v>6</v>
      </c>
      <c r="D2283" s="18"/>
      <c r="E2283" s="17" t="s">
        <v>4454</v>
      </c>
      <c r="F2283" s="17" t="s">
        <v>139</v>
      </c>
      <c r="G2283" s="18"/>
      <c r="H2283" s="18"/>
    </row>
    <row r="2284" spans="1:8" ht="13.2">
      <c r="A2284" s="19" t="str">
        <f>HYPERLINK("http://codeforces.com/problemset/problem/838/B","CF838-D12-B")</f>
        <v>CF838-D12-B</v>
      </c>
      <c r="B2284" s="15" t="s">
        <v>4478</v>
      </c>
      <c r="C2284" s="17">
        <v>6</v>
      </c>
      <c r="D2284" s="26" t="str">
        <f>HYPERLINK("https://codeforces.com/contest/838/submission/46930329","Sol")</f>
        <v>Sol</v>
      </c>
      <c r="E2284" s="17" t="s">
        <v>4454</v>
      </c>
      <c r="F2284" s="17" t="s">
        <v>139</v>
      </c>
      <c r="G2284" s="18"/>
      <c r="H2284" s="18"/>
    </row>
    <row r="2285" spans="1:8" ht="13.2">
      <c r="A2285" s="15" t="s">
        <v>4526</v>
      </c>
      <c r="B2285" s="43" t="s">
        <v>4527</v>
      </c>
      <c r="C2285" s="24">
        <v>6</v>
      </c>
      <c r="D2285" s="26" t="str">
        <f>HYPERLINK("https://github.com/mostafa-saad/MyCompetitiveProgramming/blob/master/UVA/UVA_870.txt","Find grid-compress based idea")</f>
        <v>Find grid-compress based idea</v>
      </c>
      <c r="E2285" s="17" t="s">
        <v>4512</v>
      </c>
      <c r="F2285" s="17" t="s">
        <v>139</v>
      </c>
      <c r="G2285" s="18"/>
      <c r="H2285" s="18"/>
    </row>
    <row r="2286" spans="1:8" ht="13.2">
      <c r="A2286" s="19" t="str">
        <f>HYPERLINK("https://codeforces.com/contest/1183/problem/F","CF1183-D3-F")</f>
        <v>CF1183-D3-F</v>
      </c>
      <c r="B2286" s="20" t="s">
        <v>4606</v>
      </c>
      <c r="C2286" s="17">
        <v>6</v>
      </c>
      <c r="D2286" s="18"/>
      <c r="E2286" s="17" t="s">
        <v>4531</v>
      </c>
      <c r="F2286" s="17" t="s">
        <v>139</v>
      </c>
      <c r="G2286" s="18"/>
      <c r="H2286" s="18"/>
    </row>
    <row r="2287" spans="1:8" ht="13.2">
      <c r="A2287" s="19" t="str">
        <f>HYPERLINK("https://codeforces.com/contest/1104/problem/D","CF1104-D2-D")</f>
        <v>CF1104-D2-D</v>
      </c>
      <c r="B2287" s="20" t="s">
        <v>4623</v>
      </c>
      <c r="C2287" s="21">
        <v>6</v>
      </c>
      <c r="D2287" s="18"/>
      <c r="E2287" s="17" t="s">
        <v>4531</v>
      </c>
      <c r="F2287" s="17" t="s">
        <v>139</v>
      </c>
      <c r="G2287" s="18"/>
      <c r="H2287" s="18"/>
    </row>
    <row r="2288" spans="1:8" ht="13.2">
      <c r="A2288" s="19" t="str">
        <f>HYPERLINK("https://www.codechef.com/COME2019/problems/SWAPSIGN","CODECHEF SWAPSIGN")</f>
        <v>CODECHEF SWAPSIGN</v>
      </c>
      <c r="B2288" s="15" t="s">
        <v>4624</v>
      </c>
      <c r="C2288" s="17">
        <v>6</v>
      </c>
      <c r="D2288" s="18"/>
      <c r="E2288" s="17" t="s">
        <v>4531</v>
      </c>
      <c r="F2288" s="17" t="s">
        <v>139</v>
      </c>
      <c r="G2288" s="18"/>
      <c r="H2288" s="18"/>
    </row>
    <row r="2289" spans="1:8" ht="13.2">
      <c r="A2289" s="19" t="str">
        <f>HYPERLINK("http://codeforces.com/contest/994/problem/E","CF994-D2-E")</f>
        <v>CF994-D2-E</v>
      </c>
      <c r="B2289" s="37" t="s">
        <v>4625</v>
      </c>
      <c r="C2289" s="17">
        <v>6</v>
      </c>
      <c r="D2289" s="18"/>
      <c r="E2289" s="17" t="s">
        <v>4531</v>
      </c>
      <c r="F2289" s="17" t="s">
        <v>139</v>
      </c>
      <c r="G2289" s="18"/>
      <c r="H2289" s="18"/>
    </row>
    <row r="2290" spans="1:8" ht="13.2">
      <c r="A2290" s="15" t="s">
        <v>4626</v>
      </c>
      <c r="B2290" s="37" t="s">
        <v>4627</v>
      </c>
      <c r="C2290" s="17">
        <v>6</v>
      </c>
      <c r="D2290" s="26" t="str">
        <f>HYPERLINK("https://github.com/MedoN11/CompetitiveProgramming/blob/master/Timus/2063.cpp","Sol")</f>
        <v>Sol</v>
      </c>
      <c r="E2290" s="17" t="s">
        <v>4531</v>
      </c>
      <c r="F2290" s="17" t="s">
        <v>139</v>
      </c>
      <c r="G2290" s="18"/>
      <c r="H2290" s="18"/>
    </row>
    <row r="2291" spans="1:8" ht="13.2">
      <c r="A2291" s="15" t="s">
        <v>771</v>
      </c>
      <c r="B2291" s="28" t="s">
        <v>772</v>
      </c>
      <c r="C2291" s="33">
        <v>6</v>
      </c>
      <c r="D2291" s="18"/>
      <c r="E2291" s="17" t="s">
        <v>741</v>
      </c>
      <c r="F2291" s="17" t="s">
        <v>139</v>
      </c>
      <c r="G2291" s="18"/>
      <c r="H2291" s="18"/>
    </row>
    <row r="2292" spans="1:8" ht="13.2">
      <c r="A2292" s="19" t="str">
        <f>HYPERLINK("http://codeforces.com/contest/554/problem/D","CF554-D2-D")</f>
        <v>CF554-D2-D</v>
      </c>
      <c r="B2292" s="29" t="s">
        <v>4768</v>
      </c>
      <c r="C2292" s="17">
        <v>6</v>
      </c>
      <c r="D2292" s="26" t="str">
        <f>HYPERLINK("https://github.com/ryuzmukhametov/CompetitiveProgramming/blob/master/Codeforces/CF554-D2-D.cpp", "Sol")</f>
        <v>Sol</v>
      </c>
      <c r="E2292" s="17" t="s">
        <v>4767</v>
      </c>
      <c r="F2292" s="17" t="s">
        <v>139</v>
      </c>
      <c r="G2292" s="18"/>
      <c r="H2292" s="18"/>
    </row>
    <row r="2293" spans="1:8" ht="13.2">
      <c r="A2293" s="19" t="str">
        <f>HYPERLINK("http://codeforces.com/problemset/problem/551/D","CF551-D2-D")</f>
        <v>CF551-D2-D</v>
      </c>
      <c r="B2293" s="29" t="s">
        <v>4769</v>
      </c>
      <c r="C2293" s="17">
        <v>6</v>
      </c>
      <c r="D2293" s="18"/>
      <c r="E2293" s="17" t="s">
        <v>4767</v>
      </c>
      <c r="F2293" s="17" t="s">
        <v>139</v>
      </c>
      <c r="G2293" s="18"/>
      <c r="H2293" s="18"/>
    </row>
    <row r="2294" spans="1:8" ht="13.2">
      <c r="A2294" s="19" t="str">
        <f>HYPERLINK("http://codeforces.com/contest/492/problem/E","CF492-D2-E")</f>
        <v>CF492-D2-E</v>
      </c>
      <c r="B2294" s="29" t="s">
        <v>4822</v>
      </c>
      <c r="C2294" s="17">
        <v>6</v>
      </c>
      <c r="D2294" s="18"/>
      <c r="E2294" s="17" t="s">
        <v>4809</v>
      </c>
      <c r="F2294" s="17" t="s">
        <v>139</v>
      </c>
      <c r="G2294" s="18"/>
      <c r="H2294" s="18"/>
    </row>
    <row r="2295" spans="1:8" ht="13.2">
      <c r="A2295" s="15" t="s">
        <v>4823</v>
      </c>
      <c r="B2295" s="28" t="s">
        <v>4824</v>
      </c>
      <c r="C2295" s="24">
        <v>6</v>
      </c>
      <c r="D2295" s="26" t="str">
        <f>HYPERLINK("https://github.com/Andres-Unt/problem_solving/blob/master/TopCoder/SRM179-D1-500.cpp","Sol")</f>
        <v>Sol</v>
      </c>
      <c r="E2295" s="17" t="s">
        <v>4809</v>
      </c>
      <c r="F2295" s="17" t="s">
        <v>139</v>
      </c>
      <c r="G2295" s="18"/>
      <c r="H2295" s="18"/>
    </row>
    <row r="2296" spans="1:8" ht="13.2">
      <c r="A2296" s="19" t="str">
        <f>HYPERLINK("https://codeforces.com/problemset/problem/893/E","CF893-D2-E")</f>
        <v>CF893-D2-E</v>
      </c>
      <c r="B2296" s="20" t="s">
        <v>4964</v>
      </c>
      <c r="C2296" s="17">
        <v>6</v>
      </c>
      <c r="D2296" s="18"/>
      <c r="E2296" s="17" t="s">
        <v>4958</v>
      </c>
      <c r="F2296" s="17" t="s">
        <v>139</v>
      </c>
      <c r="G2296" s="18"/>
      <c r="H2296" s="18"/>
    </row>
    <row r="2297" spans="1:8" ht="13.2">
      <c r="A2297" s="19" t="str">
        <f>HYPERLINK("https://codeforces.com/contest/1284/problem/E","CF1284-D12-E")</f>
        <v>CF1284-D12-E</v>
      </c>
      <c r="B2297" s="20" t="s">
        <v>4989</v>
      </c>
      <c r="C2297" s="21">
        <v>6</v>
      </c>
      <c r="D2297" s="18"/>
      <c r="E2297" s="17" t="s">
        <v>4958</v>
      </c>
      <c r="F2297" s="17" t="s">
        <v>139</v>
      </c>
      <c r="G2297" s="18"/>
      <c r="H2297" s="18"/>
    </row>
    <row r="2298" spans="1:8" ht="13.2">
      <c r="A2298" s="19" t="str">
        <f>HYPERLINK("https://codeforces.com/contest/690/problem/D2","CF690-D12-D2")</f>
        <v>CF690-D12-D2</v>
      </c>
      <c r="B2298" s="15" t="s">
        <v>4990</v>
      </c>
      <c r="C2298" s="17">
        <v>6</v>
      </c>
      <c r="D2298" s="26" t="str">
        <f>HYPERLINK("https://codeforces.com/contest/690/submission/45341025","Sol")</f>
        <v>Sol</v>
      </c>
      <c r="E2298" s="17" t="s">
        <v>4958</v>
      </c>
      <c r="F2298" s="17" t="s">
        <v>139</v>
      </c>
      <c r="G2298" s="18"/>
      <c r="H2298" s="18"/>
    </row>
    <row r="2299" spans="1:8" ht="13.2">
      <c r="A2299" s="19" t="str">
        <f>HYPERLINK("https://agc028.contest.atcoder.jp/tasks/agc028_b", "AtCoder028-AGC-B")</f>
        <v>AtCoder028-AGC-B</v>
      </c>
      <c r="B2299" s="20" t="s">
        <v>4991</v>
      </c>
      <c r="C2299" s="21">
        <v>6</v>
      </c>
      <c r="D2299" s="18"/>
      <c r="E2299" s="17" t="s">
        <v>4958</v>
      </c>
      <c r="F2299" s="17" t="s">
        <v>139</v>
      </c>
      <c r="G2299" s="18"/>
      <c r="H2299" s="18"/>
    </row>
    <row r="2300" spans="1:8" ht="13.2">
      <c r="A2300" s="19" t="str">
        <f>HYPERLINK("http://codeforces.com/contest/980/problem/D","CF980-D2-D")</f>
        <v>CF980-D2-D</v>
      </c>
      <c r="B2300" s="15" t="s">
        <v>5085</v>
      </c>
      <c r="C2300" s="17">
        <v>6</v>
      </c>
      <c r="D2300" s="26" t="str">
        <f>HYPERLINK("https://github.com/Huvok/CompetitiveProgramming/blob/master/Codeforces/CF980-D2-D.cpp","SolToMe")</f>
        <v>SolToMe</v>
      </c>
      <c r="E2300" s="17" t="s">
        <v>5075</v>
      </c>
      <c r="F2300" s="17" t="s">
        <v>139</v>
      </c>
      <c r="G2300" s="18"/>
      <c r="H2300" s="18"/>
    </row>
    <row r="2301" spans="1:8" ht="13.2">
      <c r="A2301" s="19" t="str">
        <f>HYPERLINK("https://www.codechef.com/SNCK1A19/problems/PERIODIC","CODECHEF PERIODIC")</f>
        <v>CODECHEF PERIODIC</v>
      </c>
      <c r="B2301" s="15" t="s">
        <v>5090</v>
      </c>
      <c r="C2301" s="17">
        <v>6</v>
      </c>
      <c r="D2301" s="18"/>
      <c r="E2301" s="17" t="s">
        <v>5075</v>
      </c>
      <c r="F2301" s="17" t="s">
        <v>139</v>
      </c>
      <c r="G2301" s="18"/>
      <c r="H2301" s="18"/>
    </row>
    <row r="2302" spans="1:8" ht="13.2">
      <c r="A2302" s="19" t="str">
        <f>HYPERLINK("http://codeforces.com/gym/101856","CF101856-gym-D")</f>
        <v>CF101856-gym-D</v>
      </c>
      <c r="B2302" s="15" t="s">
        <v>5091</v>
      </c>
      <c r="C2302" s="17">
        <v>6</v>
      </c>
      <c r="D2302" s="18"/>
      <c r="E2302" s="17" t="s">
        <v>5075</v>
      </c>
      <c r="F2302" s="17" t="s">
        <v>139</v>
      </c>
      <c r="G2302" s="18"/>
      <c r="H2302" s="18"/>
    </row>
    <row r="2303" spans="1:8" ht="13.2">
      <c r="A2303" s="19" t="str">
        <f>HYPERLINK("https://codeforces.com/gym/102299/problem/F", "CF102299-GYM-F")</f>
        <v>CF102299-GYM-F</v>
      </c>
      <c r="B2303" s="25" t="s">
        <v>5092</v>
      </c>
      <c r="C2303" s="21">
        <v>6</v>
      </c>
      <c r="D2303" s="26" t="str">
        <f>HYPERLINK("https://github.com/YazanZebak/CompetitiveProgramming/blob/master/Codeforces/CF102299-GYM-F.cpp", "Sol")</f>
        <v>Sol</v>
      </c>
      <c r="E2303" s="17" t="s">
        <v>5075</v>
      </c>
      <c r="F2303" s="17" t="s">
        <v>139</v>
      </c>
      <c r="G2303" s="18"/>
      <c r="H2303" s="18"/>
    </row>
    <row r="2304" spans="1:8" ht="13.2">
      <c r="A2304" s="19" t="str">
        <f>HYPERLINK("http://codeforces.com/contest/385/problem/E","CF385-D2-E")</f>
        <v>CF385-D2-E</v>
      </c>
      <c r="B2304" s="15" t="s">
        <v>5237</v>
      </c>
      <c r="C2304" s="24">
        <v>6</v>
      </c>
      <c r="D2304" s="18"/>
      <c r="E2304" s="17" t="s">
        <v>5235</v>
      </c>
      <c r="F2304" s="17" t="s">
        <v>139</v>
      </c>
      <c r="G2304" s="18"/>
      <c r="H2304" s="18"/>
    </row>
    <row r="2305" spans="1:8" ht="13.2">
      <c r="A2305" s="15" t="s">
        <v>5238</v>
      </c>
      <c r="B2305" s="15" t="s">
        <v>5239</v>
      </c>
      <c r="C2305" s="17">
        <v>6</v>
      </c>
      <c r="D2305" s="18"/>
      <c r="E2305" s="17" t="s">
        <v>5235</v>
      </c>
      <c r="F2305" s="17" t="s">
        <v>139</v>
      </c>
      <c r="G2305" s="18"/>
      <c r="H2305" s="18"/>
    </row>
    <row r="2306" spans="1:8" ht="13.2">
      <c r="A2306" s="19" t="str">
        <f>HYPERLINK("https://www.codechef.com/FEB19B/problems/GUESSRT","CODECHEF GUESSRT")</f>
        <v>CODECHEF GUESSRT</v>
      </c>
      <c r="B2306" s="15" t="s">
        <v>5240</v>
      </c>
      <c r="C2306" s="17">
        <v>6</v>
      </c>
      <c r="D2306" s="18"/>
      <c r="E2306" s="17" t="s">
        <v>5235</v>
      </c>
      <c r="F2306" s="17" t="s">
        <v>139</v>
      </c>
      <c r="G2306" s="18"/>
      <c r="H2306" s="18"/>
    </row>
    <row r="2307" spans="1:8" ht="13.2">
      <c r="A2307" s="19" t="str">
        <f>HYPERLINK("https://codeforces.com/problemset/problem/954/F","CF954-D12-F")</f>
        <v>CF954-D12-F</v>
      </c>
      <c r="B2307" s="20" t="s">
        <v>5281</v>
      </c>
      <c r="C2307" s="21">
        <v>6</v>
      </c>
      <c r="D2307" s="18"/>
      <c r="E2307" s="17" t="s">
        <v>5246</v>
      </c>
      <c r="F2307" s="17" t="s">
        <v>139</v>
      </c>
      <c r="G2307" s="18"/>
      <c r="H2307" s="18"/>
    </row>
    <row r="2308" spans="1:8" ht="13.2">
      <c r="A2308" s="19" t="str">
        <f>HYPERLINK("http://codeforces.com/contest/847/problem/E","CF847-D12-E")</f>
        <v>CF847-D12-E</v>
      </c>
      <c r="B2308" s="37" t="s">
        <v>804</v>
      </c>
      <c r="C2308" s="17">
        <v>6</v>
      </c>
      <c r="D2308" s="18"/>
      <c r="E2308" s="17" t="s">
        <v>805</v>
      </c>
      <c r="F2308" s="17" t="s">
        <v>139</v>
      </c>
      <c r="G2308" s="18"/>
      <c r="H2308" s="18"/>
    </row>
    <row r="2309" spans="1:8" ht="13.2">
      <c r="A2309" s="19" t="str">
        <f>HYPERLINK("https://codeforces.com/contest/1277/problem/F","CF1277-D2-F")</f>
        <v>CF1277-D2-F</v>
      </c>
      <c r="B2309" s="15" t="s">
        <v>834</v>
      </c>
      <c r="C2309" s="17">
        <v>6</v>
      </c>
      <c r="D2309" s="18"/>
      <c r="E2309" s="17" t="s">
        <v>805</v>
      </c>
      <c r="F2309" s="17" t="s">
        <v>139</v>
      </c>
      <c r="G2309" s="18"/>
      <c r="H2309" s="18"/>
    </row>
    <row r="2310" spans="1:8" ht="13.2">
      <c r="A2310" s="19" t="str">
        <f>HYPERLINK("http://codeforces.com/contest/727/problem/F","CF727-D2-F")</f>
        <v>CF727-D2-F</v>
      </c>
      <c r="B2310" s="15" t="s">
        <v>822</v>
      </c>
      <c r="C2310" s="24">
        <v>6</v>
      </c>
      <c r="D2310" s="18"/>
      <c r="E2310" s="17" t="s">
        <v>805</v>
      </c>
      <c r="F2310" s="17" t="s">
        <v>139</v>
      </c>
      <c r="G2310" s="18"/>
      <c r="H2310" s="18"/>
    </row>
    <row r="2311" spans="1:8" ht="13.2">
      <c r="A2311" s="19" t="str">
        <f>HYPERLINK("https://codeforces.com/contest/1132/problem/D","CF1132-D12-D")</f>
        <v>CF1132-D12-D</v>
      </c>
      <c r="B2311" s="15" t="s">
        <v>835</v>
      </c>
      <c r="C2311" s="17">
        <v>6</v>
      </c>
      <c r="D2311" s="18"/>
      <c r="E2311" s="17" t="s">
        <v>805</v>
      </c>
      <c r="F2311" s="17" t="s">
        <v>139</v>
      </c>
      <c r="G2311" s="18"/>
      <c r="H2311" s="18"/>
    </row>
    <row r="2312" spans="1:8" ht="13.2">
      <c r="A2312" s="19" t="str">
        <f>HYPERLINK("https://codeforces.com/contest/1114/problem/E","CF1114-D2-E")</f>
        <v>CF1114-D2-E</v>
      </c>
      <c r="B2312" s="15" t="s">
        <v>836</v>
      </c>
      <c r="C2312" s="17">
        <v>6</v>
      </c>
      <c r="D2312" s="18"/>
      <c r="E2312" s="17" t="s">
        <v>805</v>
      </c>
      <c r="F2312" s="17" t="s">
        <v>139</v>
      </c>
      <c r="G2312" s="18"/>
      <c r="H2312" s="18"/>
    </row>
    <row r="2313" spans="1:8" ht="13.2">
      <c r="A2313" s="19" t="str">
        <f>HYPERLINK("https://www.codechef.com/MARCH19A/problems/TREASURE","CODECHEF TREASURE")</f>
        <v>CODECHEF TREASURE</v>
      </c>
      <c r="B2313" s="20" t="s">
        <v>5332</v>
      </c>
      <c r="C2313" s="17">
        <v>6</v>
      </c>
      <c r="D2313" s="18"/>
      <c r="E2313" s="17" t="s">
        <v>5310</v>
      </c>
      <c r="F2313" s="17" t="s">
        <v>139</v>
      </c>
      <c r="G2313" s="18"/>
      <c r="H2313" s="18"/>
    </row>
    <row r="2314" spans="1:8" ht="13.2">
      <c r="A2314" s="19" t="str">
        <f>HYPERLINK("https://onlinejudge.org/index.php?option=com_onlinejudge&amp;Itemid=8&amp;page=show_problem&amp;problem=659","UVA 718")</f>
        <v>UVA 718</v>
      </c>
      <c r="B2314" s="28" t="s">
        <v>5518</v>
      </c>
      <c r="C2314" s="24">
        <v>6</v>
      </c>
      <c r="D2314" s="26" t="str">
        <f>HYPERLINK("https://github.com/tanmoy13/CompetitveProgramming/blob/master/Online-Judge-Solutions/UVA/718%20-%20Skyscraper%20Floors.cpp","Sol")</f>
        <v>Sol</v>
      </c>
      <c r="E2314" s="17" t="s">
        <v>5512</v>
      </c>
      <c r="F2314" s="17" t="s">
        <v>139</v>
      </c>
      <c r="G2314" s="18"/>
      <c r="H2314" s="18"/>
    </row>
    <row r="2315" spans="1:8" ht="13.2">
      <c r="A2315" s="15" t="s">
        <v>5554</v>
      </c>
      <c r="B2315" s="18" t="s">
        <v>5555</v>
      </c>
      <c r="C2315" s="17">
        <v>6</v>
      </c>
      <c r="D2315" s="26" t="str">
        <f>HYPERLINK("https://github.com/Huvok/CompetitiveProgramming/blob/master/Topcoder/SRM735-D1-500.cpp","Sol")</f>
        <v>Sol</v>
      </c>
      <c r="E2315" s="17" t="s">
        <v>5524</v>
      </c>
      <c r="F2315" s="17" t="s">
        <v>139</v>
      </c>
      <c r="G2315" s="18"/>
      <c r="H2315" s="18"/>
    </row>
    <row r="2316" spans="1:8" ht="13.2">
      <c r="A2316" s="19" t="str">
        <f>HYPERLINK("http://codeforces.com/contest/146/problem/E","CF146-D2-E")</f>
        <v>CF146-D2-E</v>
      </c>
      <c r="B2316" s="29" t="s">
        <v>5532</v>
      </c>
      <c r="C2316" s="17">
        <v>6</v>
      </c>
      <c r="D2316" s="18"/>
      <c r="E2316" s="17" t="s">
        <v>5524</v>
      </c>
      <c r="F2316" s="17" t="s">
        <v>139</v>
      </c>
      <c r="G2316" s="18"/>
      <c r="H2316" s="18"/>
    </row>
    <row r="2317" spans="1:8" ht="13.2">
      <c r="A2317" s="15" t="s">
        <v>5556</v>
      </c>
      <c r="B2317" s="30" t="s">
        <v>5557</v>
      </c>
      <c r="C2317" s="24">
        <v>6</v>
      </c>
      <c r="D2317" s="26" t="str">
        <f>HYPERLINK("https://github.com/mostafa-saad/MyCompetitiveProgramming/blob/master/SPOJ/SPOJ_DIVEQL.txt","Sol")</f>
        <v>Sol</v>
      </c>
      <c r="E2317" s="17" t="s">
        <v>5524</v>
      </c>
      <c r="F2317" s="17" t="s">
        <v>139</v>
      </c>
      <c r="G2317" s="18"/>
      <c r="H2317" s="18"/>
    </row>
    <row r="2318" spans="1:8" ht="13.2">
      <c r="A2318" s="15" t="s">
        <v>5600</v>
      </c>
      <c r="B2318" s="43" t="s">
        <v>5601</v>
      </c>
      <c r="C2318" s="24">
        <v>6</v>
      </c>
      <c r="D2318" s="26" t="str">
        <f>HYPERLINK("https://www.quora.com/How-can-I-solve-the-problem-GCD-Extreme-GCDEX-on-SPOJ","Sol")</f>
        <v>Sol</v>
      </c>
      <c r="E2318" s="17" t="s">
        <v>5575</v>
      </c>
      <c r="F2318" s="17" t="s">
        <v>139</v>
      </c>
      <c r="G2318" s="18"/>
      <c r="H2318" s="18"/>
    </row>
    <row r="2319" spans="1:8" ht="13.2">
      <c r="A2319" s="19" t="str">
        <f>HYPERLINK("http://codeforces.com/contest/900/problem/D","CF900-D2-D")</f>
        <v>CF900-D2-D</v>
      </c>
      <c r="B2319" s="36" t="s">
        <v>5622</v>
      </c>
      <c r="C2319" s="17">
        <v>6</v>
      </c>
      <c r="D2319" s="26" t="str">
        <f>HYPERLINK("https://github.com/MedoN11/CompetitiveProgramming/blob/master/CodeForces/CF450-D2-D.cpp","Sol")</f>
        <v>Sol</v>
      </c>
      <c r="E2319" s="17" t="s">
        <v>5616</v>
      </c>
      <c r="F2319" s="17" t="s">
        <v>139</v>
      </c>
      <c r="G2319" s="18"/>
      <c r="H2319" s="18"/>
    </row>
    <row r="2320" spans="1:8" ht="13.2">
      <c r="A2320" s="15" t="s">
        <v>3910</v>
      </c>
      <c r="B2320" s="18" t="s">
        <v>3886</v>
      </c>
      <c r="C2320" s="17">
        <v>6</v>
      </c>
      <c r="D2320" s="26" t="str">
        <f>HYPERLINK("https://github.com/achrafmam2/CompetitiveProgramming/blob/master/SPOJ/CHAIN.cc","Sol")</f>
        <v>Sol</v>
      </c>
      <c r="E2320" s="17" t="s">
        <v>3883</v>
      </c>
      <c r="F2320" s="17" t="s">
        <v>3911</v>
      </c>
      <c r="G2320" s="18"/>
      <c r="H2320" s="18"/>
    </row>
    <row r="2321" spans="1:8" ht="13.2">
      <c r="A2321" s="15" t="s">
        <v>2835</v>
      </c>
      <c r="B2321" s="28" t="s">
        <v>2800</v>
      </c>
      <c r="C2321" s="24">
        <v>6</v>
      </c>
      <c r="D2321" s="26" t="str">
        <f>HYPERLINK("https://github.com/mostafa-saad/MyCompetitiveProgramming/blob/master/UVA/UVA_10136.txt","Sol")</f>
        <v>Sol</v>
      </c>
      <c r="E2321" s="17" t="s">
        <v>2798</v>
      </c>
      <c r="F2321" s="17" t="s">
        <v>227</v>
      </c>
      <c r="G2321" s="18"/>
      <c r="H2321" s="18"/>
    </row>
    <row r="2322" spans="1:8" ht="13.2">
      <c r="A2322" s="19" t="str">
        <f>HYPERLINK("http://codeforces.com/gym/101102/problem/K","CF101102-GYM-K")</f>
        <v>CF101102-GYM-K</v>
      </c>
      <c r="B2322" s="28" t="s">
        <v>3714</v>
      </c>
      <c r="C2322" s="17">
        <v>6</v>
      </c>
      <c r="D2322" s="26" t="str">
        <f>HYPERLINK("https://github.com/mostafa-saad/MyCompetitiveProgramming/blob/master/Codeforces/CF101102-GYM-K.txt","Sol")</f>
        <v>Sol</v>
      </c>
      <c r="E2322" s="17" t="s">
        <v>3650</v>
      </c>
      <c r="F2322" s="17" t="s">
        <v>227</v>
      </c>
      <c r="G2322" s="18"/>
      <c r="H2322" s="18"/>
    </row>
    <row r="2323" spans="1:8" ht="13.2">
      <c r="A2323" s="19" t="str">
        <f>HYPERLINK("http://codeforces.com/contest/498/problem/C","CF498-D1-C")</f>
        <v>CF498-D1-C</v>
      </c>
      <c r="B2323" s="37" t="s">
        <v>4149</v>
      </c>
      <c r="C2323" s="24">
        <v>6</v>
      </c>
      <c r="D2323" s="18"/>
      <c r="E2323" s="17" t="s">
        <v>4144</v>
      </c>
      <c r="F2323" s="17" t="s">
        <v>227</v>
      </c>
      <c r="G2323" s="18"/>
      <c r="H2323" s="18"/>
    </row>
    <row r="2324" spans="1:8" ht="13.2">
      <c r="A2324" s="15" t="s">
        <v>5896</v>
      </c>
      <c r="B2324" s="28" t="s">
        <v>5897</v>
      </c>
      <c r="C2324" s="24">
        <v>6</v>
      </c>
      <c r="D2324" s="26" t="str">
        <f>HYPERLINK("https://github.com/Szawinis/CompetitiveProgramming/blob/master/SPOJ/GSS6.cpp","Sol")</f>
        <v>Sol</v>
      </c>
      <c r="E2324" s="17" t="s">
        <v>5874</v>
      </c>
      <c r="F2324" s="17" t="s">
        <v>613</v>
      </c>
      <c r="G2324" s="18"/>
      <c r="H2324" s="18"/>
    </row>
    <row r="2325" spans="1:8" ht="13.2">
      <c r="A2325" s="15" t="s">
        <v>1133</v>
      </c>
      <c r="B2325" s="28" t="s">
        <v>1134</v>
      </c>
      <c r="C2325" s="24">
        <v>6</v>
      </c>
      <c r="D2325" s="26" t="str">
        <f>HYPERLINK("https://github.com/tanmoy13/CompetitveProgramming/blob/master/Online-Judge-Solutions/SPOJ/LGLOVE%20-%20LCM%20GCD%20Love.cpp","Sol")</f>
        <v>Sol</v>
      </c>
      <c r="E2325" s="17" t="s">
        <v>1018</v>
      </c>
      <c r="F2325" s="17" t="s">
        <v>613</v>
      </c>
      <c r="G2325" s="18"/>
      <c r="H2325" s="18"/>
    </row>
    <row r="2326" spans="1:8" ht="13.2">
      <c r="A2326" s="15" t="s">
        <v>2045</v>
      </c>
      <c r="B2326" s="29" t="s">
        <v>2025</v>
      </c>
      <c r="C2326" s="17">
        <v>6</v>
      </c>
      <c r="D2326" s="26" t="str">
        <f>HYPERLINK("https://github.com/mostafa-saad/MyCompetitiveProgramming/blob/master/UVA/UVA_11176.txt","Sol")</f>
        <v>Sol</v>
      </c>
      <c r="E2326" s="17" t="s">
        <v>2026</v>
      </c>
      <c r="F2326" s="17" t="s">
        <v>613</v>
      </c>
      <c r="G2326" s="18"/>
      <c r="H2326" s="18"/>
    </row>
    <row r="2327" spans="1:8" ht="13.2">
      <c r="A2327" s="15" t="s">
        <v>2217</v>
      </c>
      <c r="B2327" s="34" t="s">
        <v>2218</v>
      </c>
      <c r="C2327" s="33">
        <v>6</v>
      </c>
      <c r="D2327" s="26" t="str">
        <f>HYPERLINK("https://github.com/MedoN11/CompetitiveProgramming/blob/master/TopCoder/SRM345-D1-500.java","Sol")</f>
        <v>Sol</v>
      </c>
      <c r="E2327" s="17" t="s">
        <v>2153</v>
      </c>
      <c r="F2327" s="17" t="s">
        <v>613</v>
      </c>
      <c r="G2327" s="18"/>
      <c r="H2327" s="18"/>
    </row>
    <row r="2328" spans="1:8" ht="13.2">
      <c r="A2328" s="15" t="s">
        <v>2219</v>
      </c>
      <c r="B2328" s="29" t="s">
        <v>2220</v>
      </c>
      <c r="C2328" s="31">
        <v>6</v>
      </c>
      <c r="D2328" s="18"/>
      <c r="E2328" s="24" t="s">
        <v>2153</v>
      </c>
      <c r="F2328" s="17" t="s">
        <v>613</v>
      </c>
      <c r="G2328" s="18"/>
      <c r="H2328" s="18"/>
    </row>
    <row r="2329" spans="1:8" ht="13.2">
      <c r="A2329" s="15" t="s">
        <v>2645</v>
      </c>
      <c r="B2329" s="29" t="s">
        <v>2646</v>
      </c>
      <c r="C2329" s="24">
        <v>6</v>
      </c>
      <c r="D2329" s="26" t="str">
        <f>HYPERLINK("https://github.com/mostafa-saad/MyCompetitiveProgramming/blob/master/UVA/UVA_11648.txt", "Sol")</f>
        <v>Sol</v>
      </c>
      <c r="E2329" s="17" t="s">
        <v>2510</v>
      </c>
      <c r="F2329" s="17" t="s">
        <v>613</v>
      </c>
      <c r="G2329" s="18"/>
      <c r="H2329" s="18"/>
    </row>
    <row r="2330" spans="1:8" ht="13.2">
      <c r="A2330" s="19" t="str">
        <f>HYPERLINK("http://codeforces.com/contest/402/problem/E","CF402-D2-E")</f>
        <v>CF402-D2-E</v>
      </c>
      <c r="B2330" s="15" t="s">
        <v>3343</v>
      </c>
      <c r="C2330" s="24">
        <v>6</v>
      </c>
      <c r="D2330" s="18"/>
      <c r="E2330" s="17" t="s">
        <v>3257</v>
      </c>
      <c r="F2330" s="17" t="s">
        <v>613</v>
      </c>
      <c r="G2330" s="18"/>
      <c r="H2330" s="18"/>
    </row>
    <row r="2331" spans="1:8" ht="13.2">
      <c r="A2331" s="15" t="s">
        <v>199</v>
      </c>
      <c r="B2331" s="20" t="s">
        <v>200</v>
      </c>
      <c r="C2331" s="21">
        <v>6</v>
      </c>
      <c r="D2331" s="18"/>
      <c r="E2331" s="17" t="s">
        <v>125</v>
      </c>
      <c r="F2331" s="17" t="s">
        <v>201</v>
      </c>
      <c r="G2331" s="18"/>
      <c r="H2331" s="18"/>
    </row>
    <row r="2332" spans="1:8" ht="13.2">
      <c r="A2332" s="19" t="str">
        <f>HYPERLINK("http://codeforces.com/contest/321/problem/E","CF321-D1-E")</f>
        <v>CF321-D1-E</v>
      </c>
      <c r="B2332" s="38" t="s">
        <v>6108</v>
      </c>
      <c r="C2332" s="17">
        <v>6</v>
      </c>
      <c r="D2332" s="18"/>
      <c r="E2332" s="17" t="s">
        <v>6098</v>
      </c>
      <c r="F2332" s="17" t="s">
        <v>201</v>
      </c>
      <c r="G2332" s="18"/>
      <c r="H2332" s="18"/>
    </row>
    <row r="2333" spans="1:8" ht="13.2">
      <c r="A2333" s="19" t="str">
        <f>HYPERLINK("http://codeforces.com/contest/342/problem/D", "CF324-D2-D")</f>
        <v>CF324-D2-D</v>
      </c>
      <c r="B2333" s="20" t="s">
        <v>6163</v>
      </c>
      <c r="C2333" s="21">
        <v>6</v>
      </c>
      <c r="D2333" s="26" t="str">
        <f>HYPERLINK("https://github.com/tmwilliamlin168/CompetitiveProgramming/blob/master/CodeForces/CF324-D2-D.cpp", "SolToMe")</f>
        <v>SolToMe</v>
      </c>
      <c r="E2333" s="17" t="s">
        <v>6157</v>
      </c>
      <c r="F2333" s="17" t="s">
        <v>201</v>
      </c>
      <c r="G2333" s="18"/>
      <c r="H2333" s="18"/>
    </row>
    <row r="2334" spans="1:8" ht="13.2">
      <c r="A2334" s="15" t="s">
        <v>6260</v>
      </c>
      <c r="B2334" s="23" t="s">
        <v>6261</v>
      </c>
      <c r="C2334" s="17">
        <v>6</v>
      </c>
      <c r="D2334" s="26" t="str">
        <f>HYPERLINK("https://github.com/HeartBlue/CompetitiveProgramming/blob/master/LIVEARCHIVE/LIVEARCHIVE%205099%20Nubulsa%20Expo.cpp","Sol")</f>
        <v>Sol</v>
      </c>
      <c r="E2334" s="17" t="s">
        <v>6246</v>
      </c>
      <c r="F2334" s="17" t="s">
        <v>201</v>
      </c>
      <c r="G2334" s="18"/>
      <c r="H2334" s="18"/>
    </row>
    <row r="2335" spans="1:8" ht="13.2">
      <c r="A2335" s="19" t="str">
        <f>HYPERLINK("https://codeforces.com/contest/1009/problem/E","CF1009-D12-E")</f>
        <v>CF1009-D12-E</v>
      </c>
      <c r="B2335" s="20" t="s">
        <v>6290</v>
      </c>
      <c r="C2335" s="21">
        <v>6</v>
      </c>
      <c r="D2335" s="26" t="str">
        <f>HYPERLINK("https://github.com/SpeedOfMagic/CompetitiveProgramming/blob/master/Codeforces/CF1009-D12-E.cpp","Sol")</f>
        <v>Sol</v>
      </c>
      <c r="E2335" s="17" t="s">
        <v>6275</v>
      </c>
      <c r="F2335" s="17" t="s">
        <v>201</v>
      </c>
      <c r="G2335" s="18"/>
      <c r="H2335" s="18"/>
    </row>
    <row r="2336" spans="1:8" ht="13.2">
      <c r="A2336" s="19" t="str">
        <f>HYPERLINK("http://codeforces.com/problemset/problem/846/F","CF846-D12-F")</f>
        <v>CF846-D12-F</v>
      </c>
      <c r="B2336" s="28" t="s">
        <v>6274</v>
      </c>
      <c r="C2336" s="17">
        <v>6</v>
      </c>
      <c r="D2336" s="18"/>
      <c r="E2336" s="17" t="s">
        <v>6275</v>
      </c>
      <c r="F2336" s="17" t="s">
        <v>201</v>
      </c>
      <c r="G2336" s="18"/>
      <c r="H2336" s="18"/>
    </row>
    <row r="2337" spans="1:8" ht="13.2">
      <c r="A2337" s="15" t="s">
        <v>6327</v>
      </c>
      <c r="B2337" s="30" t="s">
        <v>6328</v>
      </c>
      <c r="C2337" s="40">
        <v>6</v>
      </c>
      <c r="D2337" s="26" t="str">
        <f>HYPERLINK("https://github.com/Coder-Boy1/SPOJ/blob/master/SPOJ%20GOT","Sol")</f>
        <v>Sol</v>
      </c>
      <c r="E2337" s="17" t="s">
        <v>6311</v>
      </c>
      <c r="F2337" s="17" t="s">
        <v>201</v>
      </c>
      <c r="G2337" s="18"/>
      <c r="H2337" s="18"/>
    </row>
    <row r="2338" spans="1:8" ht="13.2">
      <c r="A2338" s="19" t="str">
        <f>HYPERLINK("http://www.codechef.com/problems/QUERY","CODECHEF QUERY")</f>
        <v>CODECHEF QUERY</v>
      </c>
      <c r="B2338" s="30" t="s">
        <v>6329</v>
      </c>
      <c r="C2338" s="40">
        <v>6</v>
      </c>
      <c r="D2338" s="18"/>
      <c r="E2338" s="17" t="s">
        <v>6311</v>
      </c>
      <c r="F2338" s="17" t="s">
        <v>201</v>
      </c>
      <c r="G2338" s="18"/>
      <c r="H2338" s="18"/>
    </row>
    <row r="2339" spans="1:8" ht="13.2">
      <c r="A2339" s="19" t="str">
        <f>HYPERLINK("https://open.kattis.com/problems/whiteboard","kattis whiteboard")</f>
        <v>kattis whiteboard</v>
      </c>
      <c r="B2339" s="15" t="s">
        <v>1135</v>
      </c>
      <c r="C2339" s="17">
        <v>6</v>
      </c>
      <c r="D2339" s="26" t="str">
        <f>HYPERLINK("https://github.com/mostafa-saad/MyCompetitiveProgramming/blob/master/Kattis/kattis-whiteboard.txt","Sol-must read")</f>
        <v>Sol-must read</v>
      </c>
      <c r="E2339" s="17" t="s">
        <v>1018</v>
      </c>
      <c r="F2339" s="17" t="s">
        <v>201</v>
      </c>
      <c r="G2339" s="18"/>
      <c r="H2339" s="18"/>
    </row>
    <row r="2340" spans="1:8" ht="13.2">
      <c r="A2340" s="19" t="str">
        <f>HYPERLINK("https://codeforces.com/contest/1180/problem/E","CF1180-D2-E")</f>
        <v>CF1180-D2-E</v>
      </c>
      <c r="B2340" s="15" t="s">
        <v>1136</v>
      </c>
      <c r="C2340" s="17">
        <v>6</v>
      </c>
      <c r="D2340" s="18"/>
      <c r="E2340" s="17" t="s">
        <v>1018</v>
      </c>
      <c r="F2340" s="17" t="s">
        <v>201</v>
      </c>
      <c r="G2340" s="18"/>
      <c r="H2340" s="18"/>
    </row>
    <row r="2341" spans="1:8" ht="13.2">
      <c r="A2341" s="19" t="str">
        <f>HYPERLINK("https://www.hackerrank.com/contests/101hack22/challenges/sum-of-all-distances","HACKR sum-of-all-distances")</f>
        <v>HACKR sum-of-all-distances</v>
      </c>
      <c r="B2341" s="38" t="s">
        <v>6480</v>
      </c>
      <c r="C2341" s="17">
        <v>6</v>
      </c>
      <c r="D2341" s="26" t="str">
        <f>HYPERLINK("https://github.com/gs15120/CompetitveProgrammingDirectories/blob/master/Hackerrank/HACKR%20sum-of-all-distances","Sol")</f>
        <v>Sol</v>
      </c>
      <c r="E2341" s="17" t="s">
        <v>6459</v>
      </c>
      <c r="F2341" s="17" t="s">
        <v>201</v>
      </c>
      <c r="G2341" s="18"/>
      <c r="H2341" s="18"/>
    </row>
    <row r="2342" spans="1:8" ht="13.2">
      <c r="A2342" s="15" t="s">
        <v>1263</v>
      </c>
      <c r="B2342" s="28" t="s">
        <v>1264</v>
      </c>
      <c r="C2342" s="24">
        <v>6</v>
      </c>
      <c r="D2342" s="26" t="str">
        <f>HYPERLINK("https://github.com/miguelAlessandro/CompetitiveProgramming/blob/master/live_archive/4976.cpp","Sol")</f>
        <v>Sol</v>
      </c>
      <c r="E2342" s="24" t="s">
        <v>1223</v>
      </c>
      <c r="F2342" s="17" t="s">
        <v>201</v>
      </c>
      <c r="G2342" s="18"/>
      <c r="H2342" s="18"/>
    </row>
    <row r="2343" spans="1:8" ht="13.2">
      <c r="A2343" s="19" t="str">
        <f>HYPERLINK("http://codeforces.com/contest/629/problem/D","CF629-D2-D")</f>
        <v>CF629-D2-D</v>
      </c>
      <c r="B2343" s="18" t="s">
        <v>1265</v>
      </c>
      <c r="C2343" s="17">
        <v>6</v>
      </c>
      <c r="D2343" s="18"/>
      <c r="E2343" s="17" t="s">
        <v>1223</v>
      </c>
      <c r="F2343" s="17" t="s">
        <v>201</v>
      </c>
      <c r="G2343" s="18"/>
      <c r="H2343" s="18"/>
    </row>
    <row r="2344" spans="1:8" ht="13.2">
      <c r="A2344" s="15" t="s">
        <v>1474</v>
      </c>
      <c r="B2344" s="18" t="s">
        <v>1348</v>
      </c>
      <c r="C2344" s="17">
        <v>6</v>
      </c>
      <c r="D2344" s="26" t="str">
        <f>HYPERLINK("https://ideone.com/Zliix2","Sol")</f>
        <v>Sol</v>
      </c>
      <c r="E2344" s="17" t="s">
        <v>1337</v>
      </c>
      <c r="F2344" s="17" t="s">
        <v>201</v>
      </c>
      <c r="G2344" s="18"/>
      <c r="H2344" s="18"/>
    </row>
    <row r="2345" spans="1:8" ht="13.2">
      <c r="A2345" s="15" t="s">
        <v>1475</v>
      </c>
      <c r="B2345" s="28" t="s">
        <v>1348</v>
      </c>
      <c r="C2345" s="24">
        <v>6</v>
      </c>
      <c r="D2345" s="26" t="str">
        <f>HYPERLINK("https://github.com/mostafa-saad/MyCompetitiveProgramming/blob/master/LiveArchive/LIVEARCHIVE_6175.txt","Sol")</f>
        <v>Sol</v>
      </c>
      <c r="E2345" s="17" t="s">
        <v>1337</v>
      </c>
      <c r="F2345" s="17" t="s">
        <v>201</v>
      </c>
      <c r="G2345" s="18"/>
      <c r="H2345" s="18"/>
    </row>
    <row r="2346" spans="1:8" ht="13.2">
      <c r="A2346" s="19" t="str">
        <f>HYPERLINK("https://onlinejudge.org/index.php?option=onlinejudge&amp;Itemid=8&amp;page=show_problem&amp;problem=4902","UVA 13014")</f>
        <v>UVA 13014</v>
      </c>
      <c r="B2346" s="29" t="s">
        <v>1476</v>
      </c>
      <c r="C2346" s="17">
        <v>6</v>
      </c>
      <c r="D2346" s="26" t="str">
        <f>HYPERLINK("https://github.com/DrSchwad/CompetitiveProgramming/blob/master/UVA/UVA%2013014.cpp","Sol")</f>
        <v>Sol</v>
      </c>
      <c r="E2346" s="17" t="s">
        <v>1337</v>
      </c>
      <c r="F2346" s="17" t="s">
        <v>201</v>
      </c>
      <c r="G2346" s="18"/>
      <c r="H2346" s="18"/>
    </row>
    <row r="2347" spans="1:8" ht="13.2">
      <c r="A2347" s="19" t="str">
        <f>HYPERLINK("https://codeforces.com/problemset/gymProblem/100503/F","CF100503-GYM-F")</f>
        <v>CF100503-GYM-F</v>
      </c>
      <c r="B2347" s="15" t="s">
        <v>1477</v>
      </c>
      <c r="C2347" s="17">
        <v>6</v>
      </c>
      <c r="D2347" s="26" t="str">
        <f>HYPERLINK("https://github.com/WaleedAbdelhakim/Competitive-Programming/blob/master/CodeForces/CF252112-GYM-F.cpp","Sol(no editorial)")</f>
        <v>Sol(no editorial)</v>
      </c>
      <c r="E2347" s="17" t="s">
        <v>1337</v>
      </c>
      <c r="F2347" s="17" t="s">
        <v>201</v>
      </c>
      <c r="G2347" s="18"/>
      <c r="H2347" s="18"/>
    </row>
    <row r="2348" spans="1:8" ht="13.2">
      <c r="A2348" s="15" t="s">
        <v>1478</v>
      </c>
      <c r="B2348" s="29" t="s">
        <v>1451</v>
      </c>
      <c r="C2348" s="17">
        <v>6</v>
      </c>
      <c r="D2348" s="26" t="str">
        <f>HYPERLINK("https://github.com/tmwilliamlin168/CompetitiveProgramming/blob/master/UVA/1427.cpp", "Sol")</f>
        <v>Sol</v>
      </c>
      <c r="E2348" s="17" t="s">
        <v>1337</v>
      </c>
      <c r="F2348" s="17" t="s">
        <v>201</v>
      </c>
      <c r="G2348" s="18"/>
      <c r="H2348" s="18"/>
    </row>
    <row r="2349" spans="1:8" ht="13.2">
      <c r="A2349" s="15" t="s">
        <v>1479</v>
      </c>
      <c r="B2349" s="29" t="s">
        <v>1480</v>
      </c>
      <c r="C2349" s="17">
        <v>6</v>
      </c>
      <c r="D2349" s="18"/>
      <c r="E2349" s="24" t="s">
        <v>1337</v>
      </c>
      <c r="F2349" s="17" t="s">
        <v>201</v>
      </c>
      <c r="G2349" s="18"/>
      <c r="H2349" s="18"/>
    </row>
    <row r="2350" spans="1:8" ht="13.2">
      <c r="A2350" s="19" t="str">
        <f>HYPERLINK("https://codeforces.com/contest/1078/problem/B","CF1079-D2-E")</f>
        <v>CF1079-D2-E</v>
      </c>
      <c r="B2350" s="15" t="s">
        <v>1481</v>
      </c>
      <c r="C2350" s="17">
        <v>6</v>
      </c>
      <c r="D2350" s="26" t="str">
        <f>HYPERLINK("https://github.com/Huvok/CompetitiveProgramming/blob/master/Codeforces/CF1079-D2-E.cpp", "Sol")</f>
        <v>Sol</v>
      </c>
      <c r="E2350" s="17" t="s">
        <v>1337</v>
      </c>
      <c r="F2350" s="17" t="s">
        <v>201</v>
      </c>
      <c r="G2350" s="18"/>
      <c r="H2350" s="18"/>
    </row>
    <row r="2351" spans="1:8" ht="13.2">
      <c r="A2351" s="19" t="str">
        <f>HYPERLINK("http://codeforces.com/contest/920/problem/D","CF920-D2-D")</f>
        <v>CF920-D2-D</v>
      </c>
      <c r="B2351" s="18" t="s">
        <v>1482</v>
      </c>
      <c r="C2351" s="17">
        <v>6</v>
      </c>
      <c r="D2351" s="26" t="str">
        <f>HYPERLINK("https://github.com/VAMPIER000001/CompetitiveProgramming/blob/dd04e50225a4acfb86449f9c42a1eeb99604201f/CF/CF920-D2-D.Cpp","Sol")</f>
        <v>Sol</v>
      </c>
      <c r="E2351" s="17" t="s">
        <v>1337</v>
      </c>
      <c r="F2351" s="17" t="s">
        <v>201</v>
      </c>
      <c r="G2351" s="18"/>
      <c r="H2351" s="18"/>
    </row>
    <row r="2352" spans="1:8" ht="13.2">
      <c r="A2352" s="19" t="str">
        <f>HYPERLINK("https://codeforces.com/contest/372/problem/C","CF372-D1-C")</f>
        <v>CF372-D1-C</v>
      </c>
      <c r="B2352" s="15" t="s">
        <v>1483</v>
      </c>
      <c r="C2352" s="17">
        <v>6</v>
      </c>
      <c r="D2352" s="18"/>
      <c r="E2352" s="17" t="s">
        <v>1337</v>
      </c>
      <c r="F2352" s="17" t="s">
        <v>201</v>
      </c>
      <c r="G2352" s="18"/>
      <c r="H2352" s="18"/>
    </row>
    <row r="2353" spans="1:8" ht="13.2">
      <c r="A2353" s="15" t="s">
        <v>1705</v>
      </c>
      <c r="B2353" s="30" t="s">
        <v>1706</v>
      </c>
      <c r="C2353" s="24">
        <v>6</v>
      </c>
      <c r="D2353" s="26" t="str">
        <f>HYPERLINK("https://github.com/mostafa-saad/MyCompetitiveProgramming/blob/master/SPOJ/SPOJ_GS.txt","Sol")</f>
        <v>Sol</v>
      </c>
      <c r="E2353" s="17" t="s">
        <v>1691</v>
      </c>
      <c r="F2353" s="17" t="s">
        <v>201</v>
      </c>
      <c r="G2353" s="18"/>
      <c r="H2353" s="18"/>
    </row>
    <row r="2354" spans="1:8" ht="13.2">
      <c r="A2354" s="19" t="str">
        <f>HYPERLINK("https://codeforces.com/contest/1140/problem/E","CF1140-D12-E")</f>
        <v>CF1140-D12-E</v>
      </c>
      <c r="B2354" s="30" t="s">
        <v>1722</v>
      </c>
      <c r="C2354" s="17">
        <v>6</v>
      </c>
      <c r="D2354" s="18"/>
      <c r="E2354" s="17" t="s">
        <v>1716</v>
      </c>
      <c r="F2354" s="17" t="s">
        <v>201</v>
      </c>
      <c r="G2354" s="18"/>
      <c r="H2354" s="18"/>
    </row>
    <row r="2355" spans="1:8" ht="13.2">
      <c r="A2355" s="15" t="s">
        <v>372</v>
      </c>
      <c r="B2355" s="41" t="s">
        <v>373</v>
      </c>
      <c r="C2355" s="17">
        <v>6</v>
      </c>
      <c r="D2355" s="18"/>
      <c r="E2355" s="17" t="s">
        <v>332</v>
      </c>
      <c r="F2355" s="17" t="s">
        <v>201</v>
      </c>
      <c r="G2355" s="18"/>
      <c r="H2355" s="18"/>
    </row>
    <row r="2356" spans="1:8" ht="13.2">
      <c r="A2356" s="15" t="s">
        <v>1774</v>
      </c>
      <c r="B2356" s="28" t="s">
        <v>1775</v>
      </c>
      <c r="C2356" s="24">
        <v>6</v>
      </c>
      <c r="D2356" s="26" t="str">
        <f>HYPERLINK("https://github.com/sggutier/CompetitiveProgramming/blob/master/LiveArchive/3930.cpp","Sol")</f>
        <v>Sol</v>
      </c>
      <c r="E2356" s="24" t="s">
        <v>1768</v>
      </c>
      <c r="F2356" s="17" t="s">
        <v>201</v>
      </c>
      <c r="G2356" s="18"/>
      <c r="H2356" s="18"/>
    </row>
    <row r="2357" spans="1:8" ht="13.2">
      <c r="A2357" s="19" t="str">
        <f>HYPERLINK("http://codeforces.com/contest/1234/problem/F","CF1234-D3-F")</f>
        <v>CF1234-D3-F</v>
      </c>
      <c r="B2357" s="15" t="s">
        <v>1818</v>
      </c>
      <c r="C2357" s="17">
        <v>6</v>
      </c>
      <c r="D2357" s="18"/>
      <c r="E2357" s="17" t="s">
        <v>1819</v>
      </c>
      <c r="F2357" s="17" t="s">
        <v>201</v>
      </c>
      <c r="G2357" s="18"/>
      <c r="H2357" s="18"/>
    </row>
    <row r="2358" spans="1:8" ht="13.2">
      <c r="A2358" s="19" t="str">
        <f>HYPERLINK("http://codeforces.com/gym/100212/attachments","CF100212-GYM-E")</f>
        <v>CF100212-GYM-E</v>
      </c>
      <c r="B2358" s="38" t="s">
        <v>1833</v>
      </c>
      <c r="C2358" s="17">
        <v>6</v>
      </c>
      <c r="D2358" s="26" t="str">
        <f>HYPERLINK("https://github.com/khaledsliti/CompetitiveProgramming/blob/master/Codeforces/CF100212-GYM-E.cpp","Sol")</f>
        <v>Sol</v>
      </c>
      <c r="E2358" s="17" t="s">
        <v>1819</v>
      </c>
      <c r="F2358" s="17" t="s">
        <v>201</v>
      </c>
      <c r="G2358" s="18"/>
      <c r="H2358" s="18"/>
    </row>
    <row r="2359" spans="1:8" ht="13.2">
      <c r="A2359" s="19" t="str">
        <f>HYPERLINK("http://codeforces.com/contest/385/problem/D","CF385-D2-D")</f>
        <v>CF385-D2-D</v>
      </c>
      <c r="B2359" s="28" t="s">
        <v>1853</v>
      </c>
      <c r="C2359" s="24">
        <v>6</v>
      </c>
      <c r="D2359" s="18"/>
      <c r="E2359" s="17" t="s">
        <v>1819</v>
      </c>
      <c r="F2359" s="17" t="s">
        <v>201</v>
      </c>
      <c r="G2359" s="18"/>
      <c r="H2359" s="18"/>
    </row>
    <row r="2360" spans="1:8" ht="13.2">
      <c r="A2360" s="19" t="str">
        <f>HYPERLINK("https://codeforces.com/contest/1111/problem/D","CF1111-D2-D")</f>
        <v>CF1111-D2-D</v>
      </c>
      <c r="B2360" s="15" t="s">
        <v>1952</v>
      </c>
      <c r="C2360" s="17">
        <v>6</v>
      </c>
      <c r="D2360" s="18"/>
      <c r="E2360" s="17" t="s">
        <v>1909</v>
      </c>
      <c r="F2360" s="17" t="s">
        <v>201</v>
      </c>
      <c r="G2360" s="18"/>
      <c r="H2360" s="18"/>
    </row>
    <row r="2361" spans="1:8" ht="13.2">
      <c r="A2361" s="19" t="str">
        <f>HYPERLINK("https://codeforces.com/contest/1156/problem/F", "CF1156-D12-F")</f>
        <v>CF1156-D12-F</v>
      </c>
      <c r="B2361" s="15" t="s">
        <v>1953</v>
      </c>
      <c r="C2361" s="17">
        <v>6</v>
      </c>
      <c r="D2361" s="18"/>
      <c r="E2361" s="17" t="s">
        <v>1909</v>
      </c>
      <c r="F2361" s="17" t="s">
        <v>201</v>
      </c>
      <c r="G2361" s="18"/>
      <c r="H2361" s="18"/>
    </row>
    <row r="2362" spans="1:8" ht="13.2">
      <c r="A2362" s="15" t="s">
        <v>1998</v>
      </c>
      <c r="B2362" s="28" t="s">
        <v>1999</v>
      </c>
      <c r="C2362" s="24">
        <v>6</v>
      </c>
      <c r="D2362" s="18"/>
      <c r="E2362" s="17" t="s">
        <v>1989</v>
      </c>
      <c r="F2362" s="17" t="s">
        <v>201</v>
      </c>
      <c r="G2362" s="18"/>
      <c r="H2362" s="18"/>
    </row>
    <row r="2363" spans="1:8" ht="13.2">
      <c r="A2363" s="15" t="s">
        <v>2221</v>
      </c>
      <c r="B2363" s="30" t="s">
        <v>2222</v>
      </c>
      <c r="C2363" s="17">
        <v>6</v>
      </c>
      <c r="D2363" s="18" t="s">
        <v>2223</v>
      </c>
      <c r="E2363" s="17" t="s">
        <v>2153</v>
      </c>
      <c r="F2363" s="17" t="s">
        <v>201</v>
      </c>
      <c r="G2363" s="18"/>
      <c r="H2363" s="18"/>
    </row>
    <row r="2364" spans="1:8" ht="13.2">
      <c r="A2364" s="19" t="str">
        <f>HYPERLINK("https://www.codechef.com/problems/GHMC", "CODECHEF GHMC")</f>
        <v>CODECHEF GHMC</v>
      </c>
      <c r="B2364" s="20" t="s">
        <v>2224</v>
      </c>
      <c r="C2364" s="21">
        <v>6</v>
      </c>
      <c r="D2364" s="18"/>
      <c r="E2364" s="17" t="s">
        <v>2153</v>
      </c>
      <c r="F2364" s="17" t="s">
        <v>201</v>
      </c>
      <c r="G2364" s="18"/>
      <c r="H2364" s="18"/>
    </row>
    <row r="2365" spans="1:8" ht="13.2">
      <c r="A2365" s="19" t="str">
        <f>HYPERLINK("https://atcoder.jp/contests/abc140/tasks/abc140_f","AtCoder140-ABC-F")</f>
        <v>AtCoder140-ABC-F</v>
      </c>
      <c r="B2365" s="20" t="s">
        <v>2169</v>
      </c>
      <c r="C2365" s="17">
        <v>6</v>
      </c>
      <c r="D2365" s="26" t="str">
        <f>HYPERLINK("https://github.com/farmerboy95/CompetitiveProgramming/blob/master/AtCoder/AtCoder140-ABC-F.cpp","Sol")</f>
        <v>Sol</v>
      </c>
      <c r="E2365" s="17" t="s">
        <v>2153</v>
      </c>
      <c r="F2365" s="17" t="s">
        <v>201</v>
      </c>
      <c r="G2365" s="18"/>
      <c r="H2365" s="18"/>
    </row>
    <row r="2366" spans="1:8" ht="13.2">
      <c r="A2366" s="19" t="str">
        <f>HYPERLINK("http://codeforces.com/contest/550/problem/E","CF550-D2-E")</f>
        <v>CF550-D2-E</v>
      </c>
      <c r="B2366" s="29" t="s">
        <v>2225</v>
      </c>
      <c r="C2366" s="17">
        <v>6</v>
      </c>
      <c r="D2366" s="18"/>
      <c r="E2366" s="17" t="s">
        <v>2153</v>
      </c>
      <c r="F2366" s="17" t="s">
        <v>201</v>
      </c>
      <c r="G2366" s="18"/>
      <c r="H2366" s="18"/>
    </row>
    <row r="2367" spans="1:8" ht="13.2">
      <c r="A2367" s="15" t="s">
        <v>2226</v>
      </c>
      <c r="B2367" s="28" t="s">
        <v>2227</v>
      </c>
      <c r="C2367" s="24">
        <v>6</v>
      </c>
      <c r="D2367" s="18"/>
      <c r="E2367" s="17" t="s">
        <v>2153</v>
      </c>
      <c r="F2367" s="17" t="s">
        <v>201</v>
      </c>
      <c r="G2367" s="18"/>
      <c r="H2367" s="18"/>
    </row>
    <row r="2368" spans="1:8" ht="13.2">
      <c r="A2368" s="19" t="str">
        <f>HYPERLINK("http://codeforces.com/contest/549/problem/C","CF549-D12-C")</f>
        <v>CF549-D12-C</v>
      </c>
      <c r="B2368" s="32" t="s">
        <v>2414</v>
      </c>
      <c r="C2368" s="17">
        <v>6</v>
      </c>
      <c r="D2368" s="18"/>
      <c r="E2368" s="17" t="s">
        <v>2394</v>
      </c>
      <c r="F2368" s="17" t="s">
        <v>201</v>
      </c>
      <c r="G2368" s="18"/>
      <c r="H2368" s="18"/>
    </row>
    <row r="2369" spans="1:8" ht="13.2">
      <c r="A2369" s="15" t="s">
        <v>2647</v>
      </c>
      <c r="B2369" s="28" t="s">
        <v>2648</v>
      </c>
      <c r="C2369" s="24">
        <v>6</v>
      </c>
      <c r="D2369" s="26" t="str">
        <f>HYPERLINK("https://github.com/ryuzmukhametov/CompetitiveProgramming/blob/master/livearchive/LIVEARCHIVE%204043.cpp","Sol")</f>
        <v>Sol</v>
      </c>
      <c r="E2369" s="24" t="s">
        <v>2510</v>
      </c>
      <c r="F2369" s="17" t="s">
        <v>201</v>
      </c>
      <c r="G2369" s="18"/>
      <c r="H2369" s="18"/>
    </row>
    <row r="2370" spans="1:8" ht="13.2">
      <c r="A2370" s="19" t="str">
        <f>HYPERLINK("https://codeforces.com/contest/1074/problem/C","CF1074-D1-C")</f>
        <v>CF1074-D1-C</v>
      </c>
      <c r="B2370" s="15" t="s">
        <v>2528</v>
      </c>
      <c r="C2370" s="17">
        <v>6</v>
      </c>
      <c r="D2370" s="18"/>
      <c r="E2370" s="17" t="s">
        <v>2510</v>
      </c>
      <c r="F2370" s="17" t="s">
        <v>201</v>
      </c>
      <c r="G2370" s="18"/>
      <c r="H2370" s="18"/>
    </row>
    <row r="2371" spans="1:8" ht="13.2">
      <c r="A2371" s="15" t="s">
        <v>2649</v>
      </c>
      <c r="B2371" s="39" t="s">
        <v>2650</v>
      </c>
      <c r="C2371" s="24">
        <v>6</v>
      </c>
      <c r="D2371" s="18"/>
      <c r="E2371" s="24" t="s">
        <v>2510</v>
      </c>
      <c r="F2371" s="17" t="s">
        <v>201</v>
      </c>
      <c r="G2371" s="18"/>
      <c r="H2371" s="18"/>
    </row>
    <row r="2372" spans="1:8" ht="13.2">
      <c r="A2372" s="15" t="s">
        <v>2651</v>
      </c>
      <c r="B2372" s="28" t="s">
        <v>2549</v>
      </c>
      <c r="C2372" s="24">
        <v>6</v>
      </c>
      <c r="D2372" s="26" t="str">
        <f>HYPERLINK("https://github.com/arvindr9/CompetitiveProgramming/blob/master/Timus/TIMUS%201647.cpp","Sol")</f>
        <v>Sol</v>
      </c>
      <c r="E2372" s="17" t="s">
        <v>2510</v>
      </c>
      <c r="F2372" s="17" t="s">
        <v>201</v>
      </c>
      <c r="G2372" s="18"/>
      <c r="H2372" s="18"/>
    </row>
    <row r="2373" spans="1:8" ht="13.2">
      <c r="A2373" s="15" t="s">
        <v>2652</v>
      </c>
      <c r="B2373" s="30" t="s">
        <v>2653</v>
      </c>
      <c r="C2373" s="24">
        <v>6</v>
      </c>
      <c r="D2373" s="26" t="str">
        <f>HYPERLINK("https://github.com/mostafa-saad/MyCompetitiveProgramming/blob/master/UVA/UVA_1331.txt","Sol")</f>
        <v>Sol</v>
      </c>
      <c r="E2373" s="17" t="s">
        <v>2510</v>
      </c>
      <c r="F2373" s="17" t="s">
        <v>201</v>
      </c>
      <c r="G2373" s="18"/>
      <c r="H2373" s="18"/>
    </row>
    <row r="2374" spans="1:8" ht="13.2">
      <c r="A2374" s="19" t="str">
        <f>HYPERLINK("https://csacademy.com/contest/round-33/task/subinterval-division/","CSA33-D")</f>
        <v>CSA33-D</v>
      </c>
      <c r="B2374" s="18" t="s">
        <v>2904</v>
      </c>
      <c r="C2374" s="17">
        <v>6</v>
      </c>
      <c r="D2374" s="18"/>
      <c r="E2374" s="17" t="s">
        <v>2865</v>
      </c>
      <c r="F2374" s="17" t="s">
        <v>201</v>
      </c>
      <c r="G2374" s="18"/>
      <c r="H2374" s="18"/>
    </row>
    <row r="2375" spans="1:8" ht="13.2">
      <c r="A2375" s="19" t="str">
        <f>HYPERLINK("http://codeforces.com/contest/894/problem/D","CF894-D2-D")</f>
        <v>CF894-D2-D</v>
      </c>
      <c r="B2375" s="15" t="s">
        <v>600</v>
      </c>
      <c r="C2375" s="17">
        <v>6</v>
      </c>
      <c r="D2375" s="18"/>
      <c r="E2375" s="17" t="s">
        <v>575</v>
      </c>
      <c r="F2375" s="17" t="s">
        <v>201</v>
      </c>
      <c r="G2375" s="18"/>
      <c r="H2375" s="18"/>
    </row>
    <row r="2376" spans="1:8" ht="13.2">
      <c r="A2376" s="19" t="str">
        <f>HYPERLINK("https://csacademy.com/contest/round-19/#task/smallest-array-permutation","CSA19-D")</f>
        <v>CSA19-D</v>
      </c>
      <c r="B2376" s="29" t="s">
        <v>601</v>
      </c>
      <c r="C2376" s="17">
        <v>6</v>
      </c>
      <c r="D2376" s="18"/>
      <c r="E2376" s="17" t="s">
        <v>575</v>
      </c>
      <c r="F2376" s="17" t="s">
        <v>201</v>
      </c>
      <c r="G2376" s="18"/>
      <c r="H2376" s="18"/>
    </row>
    <row r="2377" spans="1:8" ht="13.2">
      <c r="A2377" s="19" t="str">
        <f>HYPERLINK("http://codeforces.com/contest/754/problem/D","CF754-D2-D")</f>
        <v>CF754-D2-D</v>
      </c>
      <c r="B2377" s="38" t="s">
        <v>602</v>
      </c>
      <c r="C2377" s="17">
        <v>6</v>
      </c>
      <c r="D2377" s="18"/>
      <c r="E2377" s="17" t="s">
        <v>575</v>
      </c>
      <c r="F2377" s="17" t="s">
        <v>201</v>
      </c>
      <c r="G2377" s="18"/>
      <c r="H2377" s="18"/>
    </row>
    <row r="2378" spans="1:8" ht="13.2">
      <c r="A2378" s="15" t="s">
        <v>603</v>
      </c>
      <c r="B2378" s="30" t="s">
        <v>604</v>
      </c>
      <c r="C2378" s="17">
        <v>6</v>
      </c>
      <c r="D2378" s="18"/>
      <c r="E2378" s="17" t="s">
        <v>575</v>
      </c>
      <c r="F2378" s="17" t="s">
        <v>201</v>
      </c>
      <c r="G2378" s="18"/>
      <c r="H2378" s="18"/>
    </row>
    <row r="2379" spans="1:8" ht="13.2">
      <c r="A2379" s="19" t="str">
        <f>HYPERLINK("http://codeforces.com/contest/166/problem/B","CF166-D2-B")</f>
        <v>CF166-D2-B</v>
      </c>
      <c r="B2379" s="29" t="s">
        <v>3009</v>
      </c>
      <c r="C2379" s="17">
        <v>6</v>
      </c>
      <c r="D2379" s="18"/>
      <c r="E2379" s="17" t="s">
        <v>2948</v>
      </c>
      <c r="F2379" s="17" t="s">
        <v>201</v>
      </c>
      <c r="G2379" s="18"/>
      <c r="H2379" s="18"/>
    </row>
    <row r="2380" spans="1:8" ht="13.2">
      <c r="A2380" s="19" t="str">
        <f>HYPERLINK("https://www.codechef.com/problems/F2NDMAX", "CODECHEF F2NDMAX")</f>
        <v>CODECHEF F2NDMAX</v>
      </c>
      <c r="B2380" s="20" t="s">
        <v>3344</v>
      </c>
      <c r="C2380" s="21">
        <v>6</v>
      </c>
      <c r="D2380" s="18"/>
      <c r="E2380" s="17" t="s">
        <v>3257</v>
      </c>
      <c r="F2380" s="17" t="s">
        <v>201</v>
      </c>
      <c r="G2380" s="18"/>
      <c r="H2380" s="18"/>
    </row>
    <row r="2381" spans="1:8" ht="13.2">
      <c r="A2381" s="19" t="str">
        <f>HYPERLINK("http://codeforces.com/problemset/problem/155/E","CF155-D2-E")</f>
        <v>CF155-D2-E</v>
      </c>
      <c r="B2381" s="15" t="s">
        <v>3345</v>
      </c>
      <c r="C2381" s="17">
        <v>6</v>
      </c>
      <c r="D2381" s="18"/>
      <c r="E2381" s="17" t="s">
        <v>3257</v>
      </c>
      <c r="F2381" s="17" t="s">
        <v>201</v>
      </c>
      <c r="G2381" s="18"/>
      <c r="H2381" s="18"/>
    </row>
    <row r="2382" spans="1:8" ht="13.2">
      <c r="A2382" s="19" t="str">
        <f>HYPERLINK("http://codeforces.com/contest/510/problem/E","CF510-D2-E")</f>
        <v>CF510-D2-E</v>
      </c>
      <c r="B2382" s="15" t="s">
        <v>3302</v>
      </c>
      <c r="C2382" s="17">
        <v>6</v>
      </c>
      <c r="D2382" s="18"/>
      <c r="E2382" s="17" t="s">
        <v>3257</v>
      </c>
      <c r="F2382" s="17" t="s">
        <v>201</v>
      </c>
      <c r="G2382" s="18"/>
      <c r="H2382" s="18"/>
    </row>
    <row r="2383" spans="1:8" ht="13.2">
      <c r="A2383" s="15" t="s">
        <v>3457</v>
      </c>
      <c r="B2383" s="29" t="s">
        <v>3458</v>
      </c>
      <c r="C2383" s="24">
        <v>6</v>
      </c>
      <c r="D2383" s="26" t="str">
        <f>HYPERLINK("https://github.com/goswami-rahul/competitive-coding/blob/master/CompetitiveProgramming/uva/11721.cpp","Sol")</f>
        <v>Sol</v>
      </c>
      <c r="E2383" s="17" t="s">
        <v>3439</v>
      </c>
      <c r="F2383" s="17" t="s">
        <v>201</v>
      </c>
      <c r="G2383" s="18"/>
      <c r="H2383" s="18"/>
    </row>
    <row r="2384" spans="1:8" ht="13.2">
      <c r="A2384" s="15" t="s">
        <v>3510</v>
      </c>
      <c r="B2384" s="38" t="s">
        <v>3466</v>
      </c>
      <c r="C2384" s="17">
        <v>6</v>
      </c>
      <c r="D2384" s="26" t="str">
        <f>HYPERLINK("https://github.com/dasannagariraja/CompetitiveProgramming/blob/master/UVA/UVA%2010985.cpp","Sol")</f>
        <v>Sol</v>
      </c>
      <c r="E2384" s="17" t="s">
        <v>3467</v>
      </c>
      <c r="F2384" s="17" t="s">
        <v>201</v>
      </c>
      <c r="G2384" s="18"/>
      <c r="H2384" s="18"/>
    </row>
    <row r="2385" spans="1:8" ht="13.2">
      <c r="A2385" s="19" t="str">
        <f>HYPERLINK("http://codeforces.com/contest/653/problem/E","CF653-D12-E")</f>
        <v>CF653-D12-E</v>
      </c>
      <c r="B2385" s="29" t="s">
        <v>3649</v>
      </c>
      <c r="C2385" s="17">
        <v>6</v>
      </c>
      <c r="D2385" s="18"/>
      <c r="E2385" s="17" t="s">
        <v>3650</v>
      </c>
      <c r="F2385" s="17" t="s">
        <v>201</v>
      </c>
      <c r="G2385" s="18"/>
      <c r="H2385" s="18"/>
    </row>
    <row r="2386" spans="1:8" ht="13.2">
      <c r="A2386" s="15" t="s">
        <v>3715</v>
      </c>
      <c r="B2386" s="18" t="s">
        <v>3716</v>
      </c>
      <c r="C2386" s="31">
        <v>6</v>
      </c>
      <c r="D2386" s="18"/>
      <c r="E2386" s="17" t="s">
        <v>3650</v>
      </c>
      <c r="F2386" s="17" t="s">
        <v>201</v>
      </c>
      <c r="G2386" s="18"/>
      <c r="H2386" s="18"/>
    </row>
    <row r="2387" spans="1:8" ht="13.2">
      <c r="A2387" s="19" t="str">
        <f>HYPERLINK("http://codeforces.com/contest/506/problem/B","CF506-D1-B")</f>
        <v>CF506-D1-B</v>
      </c>
      <c r="B2387" s="29" t="s">
        <v>3717</v>
      </c>
      <c r="C2387" s="17">
        <v>6</v>
      </c>
      <c r="D2387" s="18"/>
      <c r="E2387" s="17" t="s">
        <v>3650</v>
      </c>
      <c r="F2387" s="17" t="s">
        <v>201</v>
      </c>
      <c r="G2387" s="18"/>
      <c r="H2387" s="18"/>
    </row>
    <row r="2388" spans="1:8" ht="13.2">
      <c r="A2388" s="15" t="s">
        <v>3817</v>
      </c>
      <c r="B2388" s="28" t="s">
        <v>3796</v>
      </c>
      <c r="C2388" s="24">
        <v>6</v>
      </c>
      <c r="D2388" s="18"/>
      <c r="E2388" s="17" t="s">
        <v>3784</v>
      </c>
      <c r="F2388" s="17" t="s">
        <v>201</v>
      </c>
      <c r="G2388" s="18"/>
      <c r="H2388" s="18"/>
    </row>
    <row r="2389" spans="1:8" ht="13.2">
      <c r="A2389" s="19" t="str">
        <f>HYPERLINK("http://codeforces.com/contest/553/problem/D","CF553-D1-D")</f>
        <v>CF553-D1-D</v>
      </c>
      <c r="B2389" s="29" t="s">
        <v>3818</v>
      </c>
      <c r="C2389" s="17">
        <v>6</v>
      </c>
      <c r="D2389" s="18"/>
      <c r="E2389" s="17" t="s">
        <v>3784</v>
      </c>
      <c r="F2389" s="17" t="s">
        <v>201</v>
      </c>
      <c r="G2389" s="18"/>
      <c r="H2389" s="18"/>
    </row>
    <row r="2390" spans="1:8" ht="13.2">
      <c r="A2390" s="15" t="s">
        <v>4106</v>
      </c>
      <c r="B2390" s="29" t="s">
        <v>4107</v>
      </c>
      <c r="C2390" s="17">
        <v>6</v>
      </c>
      <c r="D2390" s="26" t="str">
        <f>HYPERLINK("https://github.com/mostafa-saad/MyCompetitiveProgramming/blob/master/LiveArchive/LIVEARCHIVE_5804.txt","Sol")</f>
        <v>Sol</v>
      </c>
      <c r="E2390" s="17" t="s">
        <v>4060</v>
      </c>
      <c r="F2390" s="17" t="s">
        <v>201</v>
      </c>
      <c r="G2390" s="18"/>
      <c r="H2390" s="18"/>
    </row>
    <row r="2391" spans="1:8" ht="13.2">
      <c r="A2391" s="15" t="s">
        <v>4188</v>
      </c>
      <c r="B2391" s="39" t="s">
        <v>4189</v>
      </c>
      <c r="C2391" s="24">
        <v>6</v>
      </c>
      <c r="D2391" s="26" t="str">
        <f>HYPERLINK("https://github.com/omaryasser/Competitive-Programming/blob/master/Topcoder%20Solutions/SRM%20351-D1-1000.cpp","SolToMe")</f>
        <v>SolToMe</v>
      </c>
      <c r="E2391" s="17" t="s">
        <v>4144</v>
      </c>
      <c r="F2391" s="17" t="s">
        <v>201</v>
      </c>
      <c r="G2391" s="18"/>
      <c r="H2391" s="18"/>
    </row>
    <row r="2392" spans="1:8" ht="13.2">
      <c r="A2392" s="15" t="s">
        <v>4190</v>
      </c>
      <c r="B2392" s="18" t="s">
        <v>4191</v>
      </c>
      <c r="C2392" s="17">
        <v>6</v>
      </c>
      <c r="D2392" s="26" t="str">
        <f>HYPERLINK("https://github.com/mostafa-saad/MyCompetitiveProgramming/blob/master/SPOJ/SPOJ_OILCOMP.txt","Sol")</f>
        <v>Sol</v>
      </c>
      <c r="E2392" s="17" t="s">
        <v>4144</v>
      </c>
      <c r="F2392" s="17" t="s">
        <v>201</v>
      </c>
      <c r="G2392" s="18"/>
      <c r="H2392" s="18"/>
    </row>
    <row r="2393" spans="1:8" ht="13.2">
      <c r="A2393" s="19" t="str">
        <f>HYPERLINK("https://www.hackerrank.com/contests/june-world-codesprint/challenges/johnland","HACKR johnland")</f>
        <v>HACKR johnland</v>
      </c>
      <c r="B2393" s="20" t="s">
        <v>4306</v>
      </c>
      <c r="C2393" s="17">
        <v>6</v>
      </c>
      <c r="D2393" s="18"/>
      <c r="E2393" s="17" t="s">
        <v>4275</v>
      </c>
      <c r="F2393" s="17" t="s">
        <v>201</v>
      </c>
      <c r="G2393" s="18"/>
      <c r="H2393" s="18"/>
    </row>
    <row r="2394" spans="1:8" ht="13.2">
      <c r="A2394" s="15" t="s">
        <v>4307</v>
      </c>
      <c r="B2394" s="28" t="s">
        <v>4308</v>
      </c>
      <c r="C2394" s="24">
        <v>6</v>
      </c>
      <c r="D2394" s="26" t="str">
        <f>HYPERLINK("https://github.com/mostafa-saad/MyCompetitiveProgramming/blob/master/UVA/UVA_11354.txt","Sol")</f>
        <v>Sol</v>
      </c>
      <c r="E2394" s="17" t="s">
        <v>4275</v>
      </c>
      <c r="F2394" s="17" t="s">
        <v>201</v>
      </c>
      <c r="G2394" s="18"/>
      <c r="H2394" s="18"/>
    </row>
    <row r="2395" spans="1:8" ht="13.2">
      <c r="A2395" s="19" t="str">
        <f>HYPERLINK("http://codeforces.com/contest/863/problem/E","CF863-D12-E")</f>
        <v>CF863-D12-E</v>
      </c>
      <c r="B2395" s="15" t="s">
        <v>4528</v>
      </c>
      <c r="C2395" s="17">
        <v>6</v>
      </c>
      <c r="D2395" s="18"/>
      <c r="E2395" s="17" t="s">
        <v>4512</v>
      </c>
      <c r="F2395" s="17" t="s">
        <v>201</v>
      </c>
      <c r="G2395" s="18"/>
      <c r="H2395" s="18"/>
    </row>
    <row r="2396" spans="1:8" ht="13.2">
      <c r="A2396" s="19" t="str">
        <f>HYPERLINK("https://www.hackerrank.com/contests/world-codesprint-13/challenges/balanced-sequence", "HACKR balanced-sequence")</f>
        <v>HACKR balanced-sequence</v>
      </c>
      <c r="B2396" s="20" t="s">
        <v>4628</v>
      </c>
      <c r="C2396" s="21">
        <v>6</v>
      </c>
      <c r="D2396" s="26" t="str">
        <f>HYPERLINK("https://github.com/tmwilliamlin168/CompetitiveProgramming/blob/master/HackerRank/balanced-sequence.cpp", "Sol")</f>
        <v>Sol</v>
      </c>
      <c r="E2396" s="17" t="s">
        <v>4531</v>
      </c>
      <c r="F2396" s="17" t="s">
        <v>201</v>
      </c>
      <c r="G2396" s="18"/>
      <c r="H2396" s="18"/>
    </row>
    <row r="2397" spans="1:8" ht="13.2">
      <c r="A2397" s="19" t="str">
        <f>HYPERLINK("https://codeforces.com/contest/1081/problem/E","CF1081-D12-E")</f>
        <v>CF1081-D12-E</v>
      </c>
      <c r="B2397" s="15" t="s">
        <v>4629</v>
      </c>
      <c r="C2397" s="17">
        <v>6</v>
      </c>
      <c r="D2397" s="18"/>
      <c r="E2397" s="17" t="s">
        <v>4531</v>
      </c>
      <c r="F2397" s="17" t="s">
        <v>201</v>
      </c>
      <c r="G2397" s="18"/>
      <c r="H2397" s="18"/>
    </row>
    <row r="2398" spans="1:8" ht="13.2">
      <c r="A2398" s="19" t="str">
        <f>HYPERLINK("https://codingcompetitions.withgoogle.com/codejam/round/0000000000051706/000000000012295c","CODEJAM 19-R1B-A")</f>
        <v>CODEJAM 19-R1B-A</v>
      </c>
      <c r="B2398" s="20" t="s">
        <v>4562</v>
      </c>
      <c r="C2398" s="17">
        <v>6</v>
      </c>
      <c r="D2398" s="18"/>
      <c r="E2398" s="17" t="s">
        <v>4531</v>
      </c>
      <c r="F2398" s="17" t="s">
        <v>201</v>
      </c>
      <c r="G2398" s="18"/>
      <c r="H2398" s="18"/>
    </row>
    <row r="2399" spans="1:8" ht="13.2">
      <c r="A2399" s="19" t="str">
        <f>HYPERLINK("https://codeforces.com/contest/1090/problem/F","CF1090-D12-F")</f>
        <v>CF1090-D12-F</v>
      </c>
      <c r="B2399" s="23" t="s">
        <v>4614</v>
      </c>
      <c r="C2399" s="17">
        <v>6</v>
      </c>
      <c r="D2399" s="18"/>
      <c r="E2399" s="17" t="s">
        <v>4531</v>
      </c>
      <c r="F2399" s="17" t="s">
        <v>201</v>
      </c>
      <c r="G2399" s="18"/>
      <c r="H2399" s="18"/>
    </row>
    <row r="2400" spans="1:8" ht="13.2">
      <c r="A2400" s="19" t="str">
        <f>HYPERLINK("https://codeforces.com/contest/616/problem/E","CF616-D12-E")</f>
        <v>CF616-D12-E</v>
      </c>
      <c r="B2400" s="15" t="s">
        <v>4907</v>
      </c>
      <c r="C2400" s="17">
        <v>6</v>
      </c>
      <c r="D2400" s="18"/>
      <c r="E2400" s="17" t="s">
        <v>4893</v>
      </c>
      <c r="F2400" s="17" t="s">
        <v>201</v>
      </c>
      <c r="G2400" s="18"/>
      <c r="H2400" s="18"/>
    </row>
    <row r="2401" spans="1:8" ht="13.2">
      <c r="A2401" s="19" t="str">
        <f>HYPERLINK("http://codeforces.com/contest/938/problem/E","CF938-D12-E")</f>
        <v>CF938-D12-E</v>
      </c>
      <c r="B2401" s="20" t="s">
        <v>4964</v>
      </c>
      <c r="C2401" s="17">
        <v>6</v>
      </c>
      <c r="D2401" s="18"/>
      <c r="E2401" s="17" t="s">
        <v>4958</v>
      </c>
      <c r="F2401" s="17" t="s">
        <v>201</v>
      </c>
      <c r="G2401" s="18"/>
      <c r="H2401" s="18"/>
    </row>
    <row r="2402" spans="1:8" ht="13.2">
      <c r="A2402" s="15" t="s">
        <v>5282</v>
      </c>
      <c r="B2402" s="28" t="s">
        <v>5283</v>
      </c>
      <c r="C2402" s="17">
        <v>6</v>
      </c>
      <c r="D2402" s="18"/>
      <c r="E2402" s="17" t="s">
        <v>5246</v>
      </c>
      <c r="F2402" s="17" t="s">
        <v>201</v>
      </c>
      <c r="G2402" s="18"/>
      <c r="H2402" s="18"/>
    </row>
    <row r="2403" spans="1:8" ht="13.2">
      <c r="A2403" s="19" t="str">
        <f>HYPERLINK("https://codeforces.com/contest/821/problem/E","CF821-D2-E")</f>
        <v>CF821-D2-E</v>
      </c>
      <c r="B2403" s="20" t="s">
        <v>5284</v>
      </c>
      <c r="C2403" s="21">
        <v>6</v>
      </c>
      <c r="D2403" s="18"/>
      <c r="E2403" s="17" t="s">
        <v>5246</v>
      </c>
      <c r="F2403" s="17" t="s">
        <v>201</v>
      </c>
      <c r="G2403" s="18"/>
      <c r="H2403" s="18"/>
    </row>
    <row r="2404" spans="1:8" ht="13.2">
      <c r="A2404" s="19" t="str">
        <f>HYPERLINK("https://codeforces.com/contest/1153/problem/E","CF1153-D2-E")</f>
        <v>CF1153-D2-E</v>
      </c>
      <c r="B2404" s="20" t="s">
        <v>814</v>
      </c>
      <c r="C2404" s="17">
        <v>6</v>
      </c>
      <c r="D2404" s="18"/>
      <c r="E2404" s="17" t="s">
        <v>805</v>
      </c>
      <c r="F2404" s="17" t="s">
        <v>201</v>
      </c>
      <c r="G2404" s="18"/>
      <c r="H2404" s="18"/>
    </row>
    <row r="2405" spans="1:8" ht="13.2">
      <c r="A2405" s="19" t="str">
        <f>HYPERLINK("http://codeforces.com/contest/713/problem/B","CF713-D1-B")</f>
        <v>CF713-D1-B</v>
      </c>
      <c r="B2405" s="29" t="s">
        <v>837</v>
      </c>
      <c r="C2405" s="17">
        <v>6</v>
      </c>
      <c r="D2405" s="18"/>
      <c r="E2405" s="17" t="s">
        <v>805</v>
      </c>
      <c r="F2405" s="17" t="s">
        <v>201</v>
      </c>
      <c r="G2405" s="18"/>
      <c r="H2405" s="18"/>
    </row>
    <row r="2406" spans="1:8" ht="13.2">
      <c r="A2406" s="15" t="s">
        <v>838</v>
      </c>
      <c r="B2406" s="30" t="s">
        <v>839</v>
      </c>
      <c r="C2406" s="24">
        <v>6</v>
      </c>
      <c r="D2406" s="18"/>
      <c r="E2406" s="17" t="s">
        <v>805</v>
      </c>
      <c r="F2406" s="17" t="s">
        <v>201</v>
      </c>
      <c r="G2406" s="18"/>
      <c r="H2406" s="18"/>
    </row>
    <row r="2407" spans="1:8" ht="13.2">
      <c r="A2407" s="19" t="str">
        <f>HYPERLINK("http://codeforces.com/contest/429/problem/D","CF429-D1-D")</f>
        <v>CF429-D1-D</v>
      </c>
      <c r="B2407" s="15" t="s">
        <v>840</v>
      </c>
      <c r="C2407" s="17">
        <v>6</v>
      </c>
      <c r="D2407" s="18"/>
      <c r="E2407" s="17" t="s">
        <v>805</v>
      </c>
      <c r="F2407" s="17" t="s">
        <v>201</v>
      </c>
      <c r="G2407" s="18"/>
      <c r="H2407" s="18"/>
    </row>
    <row r="2408" spans="1:8" ht="13.2">
      <c r="A2408" s="19" t="str">
        <f>HYPERLINK("https://www.facebook.com/hackercup/problem/1892930427431211/","FbHkrCup 18-R1-C")</f>
        <v>FbHkrCup 18-R1-C</v>
      </c>
      <c r="B2408" s="20" t="s">
        <v>841</v>
      </c>
      <c r="C2408" s="21">
        <v>6</v>
      </c>
      <c r="D2408" s="18"/>
      <c r="E2408" s="17" t="s">
        <v>805</v>
      </c>
      <c r="F2408" s="17" t="s">
        <v>201</v>
      </c>
      <c r="G2408" s="18"/>
      <c r="H2408" s="18"/>
    </row>
    <row r="2409" spans="1:8" ht="13.2">
      <c r="A2409" s="15" t="s">
        <v>5558</v>
      </c>
      <c r="B2409" s="30" t="s">
        <v>5559</v>
      </c>
      <c r="C2409" s="24">
        <v>6</v>
      </c>
      <c r="D2409" s="26" t="str">
        <f>HYPERLINK("https://github.com/MedoN11/CompetitiveProgramming/blob/master/SPOJ/KOPC12B.java","Sol - See CF post")</f>
        <v>Sol - See CF post</v>
      </c>
      <c r="E2409" s="17" t="s">
        <v>5524</v>
      </c>
      <c r="F2409" s="17" t="s">
        <v>201</v>
      </c>
      <c r="G2409" s="18"/>
      <c r="H2409" s="18"/>
    </row>
    <row r="2410" spans="1:8" ht="13.2">
      <c r="A2410" s="19" t="str">
        <f>HYPERLINK("http://codeforces.com/contest/248/problem/C","CF248-D2-C")</f>
        <v>CF248-D2-C</v>
      </c>
      <c r="B2410" s="29" t="s">
        <v>2905</v>
      </c>
      <c r="C2410" s="24">
        <v>6</v>
      </c>
      <c r="D2410" s="26" t="str">
        <f>HYPERLINK("https://github.com/shanto86/Training/blob/master/CodeForces/CF248-D2-C.cpp","Sol")</f>
        <v>Sol</v>
      </c>
      <c r="E2410" s="17" t="s">
        <v>2865</v>
      </c>
      <c r="F2410" s="17" t="s">
        <v>2906</v>
      </c>
      <c r="G2410" s="18"/>
      <c r="H2410" s="18"/>
    </row>
    <row r="2411" spans="1:8" ht="13.2">
      <c r="A2411" s="15" t="s">
        <v>2654</v>
      </c>
      <c r="B2411" s="29" t="s">
        <v>2655</v>
      </c>
      <c r="C2411" s="24">
        <v>6</v>
      </c>
      <c r="D2411" s="26" t="str">
        <f>HYPERLINK("https://github.com/ryuzmukhametov/CompetitiveProgramming/blob/master/Topcoder/SRM521-D2-1000.cpp","SolToMe")</f>
        <v>SolToMe</v>
      </c>
      <c r="E2411" s="24" t="s">
        <v>2510</v>
      </c>
      <c r="F2411" s="17" t="s">
        <v>358</v>
      </c>
      <c r="G2411" s="18"/>
      <c r="H2411" s="18"/>
    </row>
    <row r="2412" spans="1:8" ht="13.2">
      <c r="A2412" s="15" t="s">
        <v>3010</v>
      </c>
      <c r="B2412" s="30" t="s">
        <v>3011</v>
      </c>
      <c r="C2412" s="24">
        <v>6</v>
      </c>
      <c r="D2412" s="26" t="str">
        <f>HYPERLINK("https://github.com/ryuzmukhametov/CompetitiveProgramming/blob/master/pku/PKU%203449.cpp", "Sol")</f>
        <v>Sol</v>
      </c>
      <c r="E2412" s="17" t="s">
        <v>2948</v>
      </c>
      <c r="F2412" s="17" t="s">
        <v>358</v>
      </c>
      <c r="G2412" s="18"/>
      <c r="H2412" s="18"/>
    </row>
    <row r="2413" spans="1:8" ht="13.2">
      <c r="A2413" s="15" t="s">
        <v>842</v>
      </c>
      <c r="B2413" s="28" t="s">
        <v>843</v>
      </c>
      <c r="C2413" s="24">
        <v>6</v>
      </c>
      <c r="D2413" s="26" t="str">
        <f>HYPERLINK("https://github.com/ryuzmukhametov/CompetitiveProgramming/blob/master/uva/UVA%2012609.cpp", "Sol")</f>
        <v>Sol</v>
      </c>
      <c r="E2413" s="17" t="s">
        <v>805</v>
      </c>
      <c r="F2413" s="17" t="s">
        <v>358</v>
      </c>
      <c r="G2413" s="18"/>
      <c r="H2413" s="18"/>
    </row>
    <row r="2414" spans="1:8" ht="13.2">
      <c r="A2414" s="19" t="str">
        <f>HYPERLINK("https://csacademy.com/contest/round-42/task/xor-submatrix/","CSA42-E")</f>
        <v>CSA42-E</v>
      </c>
      <c r="B2414" s="28" t="s">
        <v>5658</v>
      </c>
      <c r="C2414" s="17">
        <v>6</v>
      </c>
      <c r="D2414" s="18"/>
      <c r="E2414" s="17" t="s">
        <v>5643</v>
      </c>
      <c r="F2414" s="17" t="s">
        <v>242</v>
      </c>
      <c r="G2414" s="18"/>
      <c r="H2414" s="18"/>
    </row>
    <row r="2415" spans="1:8" ht="13.2">
      <c r="A2415" s="19" t="str">
        <f>HYPERLINK("http://codeforces.com/gym/100324/attachments","CF100324-GYM-A")</f>
        <v>CF100324-GYM-A</v>
      </c>
      <c r="B2415" s="38" t="s">
        <v>6122</v>
      </c>
      <c r="C2415" s="33">
        <v>6</v>
      </c>
      <c r="D2415" s="26" t="str">
        <f>HYPERLINK("https://github.com/LeTrongDat/CompetitiveProgramming/blob/master/Codeforces/CF100324GYM-A.cpp","Sol")</f>
        <v>Sol</v>
      </c>
      <c r="E2415" s="17" t="s">
        <v>6118</v>
      </c>
      <c r="F2415" s="17" t="s">
        <v>242</v>
      </c>
      <c r="G2415" s="18"/>
      <c r="H2415" s="18"/>
    </row>
    <row r="2416" spans="1:8" ht="13.2">
      <c r="A2416" s="15" t="s">
        <v>1137</v>
      </c>
      <c r="B2416" s="30" t="s">
        <v>1138</v>
      </c>
      <c r="C2416" s="24">
        <v>6</v>
      </c>
      <c r="D2416" s="26" t="str">
        <f>HYPERLINK("https://github.com/ryuzmukhametov/CompetitiveProgramming/blob/master/spoj/SPOJ%20AE5B2.cpp","Sol")</f>
        <v>Sol</v>
      </c>
      <c r="E2416" s="17" t="s">
        <v>1018</v>
      </c>
      <c r="F2416" s="17" t="s">
        <v>242</v>
      </c>
      <c r="G2416" s="18"/>
      <c r="H2416" s="18"/>
    </row>
    <row r="2417" spans="1:8" ht="13.2">
      <c r="A2417" s="19" t="str">
        <f>HYPERLINK("http://codeforces.com/contest/533/problem/B","CF533-D1-B")</f>
        <v>CF533-D1-B</v>
      </c>
      <c r="B2417" s="20" t="s">
        <v>6485</v>
      </c>
      <c r="C2417" s="21">
        <v>6</v>
      </c>
      <c r="D2417" s="18"/>
      <c r="E2417" s="17" t="s">
        <v>6459</v>
      </c>
      <c r="F2417" s="17" t="s">
        <v>242</v>
      </c>
      <c r="G2417" s="18"/>
      <c r="H2417" s="18"/>
    </row>
    <row r="2418" spans="1:8" ht="13.2">
      <c r="A2418" s="19" t="str">
        <f>HYPERLINK("https://open.kattis.com/problems/keepthemseparated","kattis keepthemseparated")</f>
        <v>kattis keepthemseparated</v>
      </c>
      <c r="B2418" s="15" t="s">
        <v>1266</v>
      </c>
      <c r="C2418" s="17">
        <v>6</v>
      </c>
      <c r="D2418" s="26" t="str">
        <f>HYPERLINK("https://github.com/nya-nya-meow/CompetitiveProgramming/blob/master/Kattis/keepthemseparated.cpp","Sol")</f>
        <v>Sol</v>
      </c>
      <c r="E2418" s="17" t="s">
        <v>1223</v>
      </c>
      <c r="F2418" s="17" t="s">
        <v>242</v>
      </c>
      <c r="G2418" s="18"/>
      <c r="H2418" s="18"/>
    </row>
    <row r="2419" spans="1:8" ht="13.2">
      <c r="A2419" s="19" t="str">
        <f>HYPERLINK("http://codeforces.com/contest/984/problem/D","CF984-D2-D")</f>
        <v>CF984-D2-D</v>
      </c>
      <c r="B2419" s="20" t="s">
        <v>1348</v>
      </c>
      <c r="C2419" s="21">
        <v>6</v>
      </c>
      <c r="D2419" s="18"/>
      <c r="E2419" s="17" t="s">
        <v>1337</v>
      </c>
      <c r="F2419" s="17" t="s">
        <v>242</v>
      </c>
      <c r="G2419" s="18"/>
      <c r="H2419" s="18"/>
    </row>
    <row r="2420" spans="1:8" ht="13.2">
      <c r="A2420" s="19" t="str">
        <f>HYPERLINK("https://icpcarchive.ecs.baylor.edu/index.php?option=com_onlinejudge&amp;Itemid=8&amp;category=592&amp;page=show_problem&amp;problem=4773","LIVEARCHIVE 6761")</f>
        <v>LIVEARCHIVE 6761</v>
      </c>
      <c r="B2420" s="20" t="s">
        <v>1484</v>
      </c>
      <c r="C2420" s="24">
        <v>6</v>
      </c>
      <c r="D2420" s="26" t="str">
        <f>HYPERLINK("https://github.com/omaryasser/Competitive-Programming/blob/master/Live%20Archive%20Solutions/6761%20-%20Super%20Ants.cpp","Sol")</f>
        <v>Sol</v>
      </c>
      <c r="E2420" s="17" t="s">
        <v>1337</v>
      </c>
      <c r="F2420" s="17" t="s">
        <v>242</v>
      </c>
      <c r="G2420" s="18"/>
      <c r="H2420" s="18"/>
    </row>
    <row r="2421" spans="1:8" ht="13.2">
      <c r="A2421" s="19" t="str">
        <f>HYPERLINK("http://codeforces.com/contest/476/problem/E","CF476-D2-E")</f>
        <v>CF476-D2-E</v>
      </c>
      <c r="B2421" s="15" t="s">
        <v>1485</v>
      </c>
      <c r="C2421" s="24">
        <v>6</v>
      </c>
      <c r="D2421" s="18"/>
      <c r="E2421" s="17" t="s">
        <v>1337</v>
      </c>
      <c r="F2421" s="17" t="s">
        <v>242</v>
      </c>
      <c r="G2421" s="18"/>
      <c r="H2421" s="18"/>
    </row>
    <row r="2422" spans="1:8" ht="13.2">
      <c r="A2422" s="19" t="str">
        <f>HYPERLINK("http://codeforces.com/contest/366/problem/E","CF366-D2-E")</f>
        <v>CF366-D2-E</v>
      </c>
      <c r="B2422" s="29" t="s">
        <v>374</v>
      </c>
      <c r="C2422" s="17">
        <v>6</v>
      </c>
      <c r="D2422" s="18"/>
      <c r="E2422" s="17" t="s">
        <v>332</v>
      </c>
      <c r="F2422" s="17" t="s">
        <v>242</v>
      </c>
      <c r="G2422" s="18"/>
      <c r="H2422" s="18"/>
    </row>
    <row r="2423" spans="1:8" ht="13.2">
      <c r="A2423" s="15" t="s">
        <v>1776</v>
      </c>
      <c r="B2423" s="38" t="s">
        <v>1777</v>
      </c>
      <c r="C2423" s="17">
        <v>6</v>
      </c>
      <c r="D2423" s="18"/>
      <c r="E2423" s="17" t="s">
        <v>1768</v>
      </c>
      <c r="F2423" s="17" t="s">
        <v>242</v>
      </c>
      <c r="G2423" s="18"/>
      <c r="H2423" s="18"/>
    </row>
    <row r="2424" spans="1:8" ht="13.2">
      <c r="A2424" s="15" t="s">
        <v>1778</v>
      </c>
      <c r="B2424" s="38" t="s">
        <v>1777</v>
      </c>
      <c r="C2424" s="17">
        <v>6</v>
      </c>
      <c r="D2424" s="18"/>
      <c r="E2424" s="17" t="s">
        <v>1768</v>
      </c>
      <c r="F2424" s="17" t="s">
        <v>242</v>
      </c>
      <c r="G2424" s="18"/>
      <c r="H2424" s="18"/>
    </row>
    <row r="2425" spans="1:8" ht="13.2">
      <c r="A2425" s="15" t="s">
        <v>1854</v>
      </c>
      <c r="B2425" s="30" t="s">
        <v>1818</v>
      </c>
      <c r="C2425" s="24">
        <v>6</v>
      </c>
      <c r="D2425" s="18"/>
      <c r="E2425" s="17" t="s">
        <v>1819</v>
      </c>
      <c r="F2425" s="17" t="s">
        <v>242</v>
      </c>
      <c r="G2425" s="18"/>
      <c r="H2425" s="18"/>
    </row>
    <row r="2426" spans="1:8" ht="13.2">
      <c r="A2426" s="19" t="str">
        <f>HYPERLINK("http://codeforces.com/contest/68/problem/D","CF68-D12-D")</f>
        <v>CF68-D12-D</v>
      </c>
      <c r="B2426" s="29" t="s">
        <v>2046</v>
      </c>
      <c r="C2426" s="17">
        <v>6</v>
      </c>
      <c r="D2426" s="18"/>
      <c r="E2426" s="17" t="s">
        <v>2026</v>
      </c>
      <c r="F2426" s="17" t="s">
        <v>242</v>
      </c>
      <c r="G2426" s="18"/>
      <c r="H2426" s="18"/>
    </row>
    <row r="2427" spans="1:8" ht="13.2">
      <c r="A2427" s="19" t="str">
        <f>HYPERLINK("http://codeforces.com/contest/950/problem/D","CF950-D2-D")</f>
        <v>CF950-D2-D</v>
      </c>
      <c r="B2427" s="18" t="s">
        <v>502</v>
      </c>
      <c r="C2427" s="17">
        <v>6</v>
      </c>
      <c r="D2427" s="26" t="str">
        <f>HYPERLINK("https://github.com/VAMPIER000001/CompetitiveProgramming/blob/34bb83d01a91fa9d1a32e02619ddb3ae58d6400b/CF/CF950-D2-D.Cpp","Sol")</f>
        <v>Sol</v>
      </c>
      <c r="E2427" s="17" t="s">
        <v>503</v>
      </c>
      <c r="F2427" s="17" t="s">
        <v>242</v>
      </c>
      <c r="G2427" s="18"/>
      <c r="H2427" s="18"/>
    </row>
    <row r="2428" spans="1:8" ht="13.2">
      <c r="A2428" s="19" t="str">
        <f>HYPERLINK("https://codeforces.com/contest/600/problem/D","CF600-D12-D")</f>
        <v>CF600-D12-D</v>
      </c>
      <c r="B2428" s="20" t="s">
        <v>2509</v>
      </c>
      <c r="C2428" s="17">
        <v>6</v>
      </c>
      <c r="D2428" s="18"/>
      <c r="E2428" s="17" t="s">
        <v>2510</v>
      </c>
      <c r="F2428" s="17" t="s">
        <v>242</v>
      </c>
      <c r="G2428" s="18"/>
      <c r="H2428" s="18"/>
    </row>
    <row r="2429" spans="1:8" ht="13.2">
      <c r="A2429" s="15" t="s">
        <v>2656</v>
      </c>
      <c r="B2429" s="29" t="s">
        <v>2657</v>
      </c>
      <c r="C2429" s="24">
        <v>6</v>
      </c>
      <c r="D2429" s="26" t="str">
        <f>HYPERLINK("https://github.com/TheRealImaginary/CompetitiveProgramming/blob/master/UVA/UVA_11130_BilliardBounces.java","Sol")</f>
        <v>Sol</v>
      </c>
      <c r="E2429" s="17" t="s">
        <v>2510</v>
      </c>
      <c r="F2429" s="17" t="s">
        <v>242</v>
      </c>
      <c r="G2429" s="18"/>
      <c r="H2429" s="18"/>
    </row>
    <row r="2430" spans="1:8" ht="13.2">
      <c r="A2430" s="15" t="s">
        <v>2658</v>
      </c>
      <c r="B2430" s="32" t="s">
        <v>2659</v>
      </c>
      <c r="C2430" s="17">
        <v>6</v>
      </c>
      <c r="D2430" s="26" t="str">
        <f>HYPERLINK("https://github.com/ryuzmukhametov/CompetitiveProgramming/blob/master/uva/UVA%201606.cpp", "Sol")</f>
        <v>Sol</v>
      </c>
      <c r="E2430" s="17" t="s">
        <v>2510</v>
      </c>
      <c r="F2430" s="17" t="s">
        <v>242</v>
      </c>
      <c r="G2430" s="18"/>
      <c r="H2430" s="18"/>
    </row>
    <row r="2431" spans="1:8" ht="13.2">
      <c r="A2431" s="19" t="str">
        <f>HYPERLINK("http://codeforces.com/contest/362/problem/D","CF362-D2-D")</f>
        <v>CF362-D2-D</v>
      </c>
      <c r="B2431" s="15" t="s">
        <v>3346</v>
      </c>
      <c r="C2431" s="24">
        <v>6</v>
      </c>
      <c r="D2431" s="18"/>
      <c r="E2431" s="17" t="s">
        <v>3257</v>
      </c>
      <c r="F2431" s="17" t="s">
        <v>242</v>
      </c>
      <c r="G2431" s="18"/>
      <c r="H2431" s="18"/>
    </row>
    <row r="2432" spans="1:8" ht="13.2">
      <c r="A2432" s="19" t="str">
        <f>HYPERLINK("https://beta.atcoder.jp/contests/soundhound2018-summer-qual/tasks/soundhound2018_summer_qual_e","SoundHound 18-E")</f>
        <v>SoundHound 18-E</v>
      </c>
      <c r="B2432" s="20" t="s">
        <v>3718</v>
      </c>
      <c r="C2432" s="21">
        <v>6</v>
      </c>
      <c r="D2432" s="18"/>
      <c r="E2432" s="17" t="s">
        <v>3650</v>
      </c>
      <c r="F2432" s="17" t="s">
        <v>242</v>
      </c>
      <c r="G2432" s="18"/>
      <c r="H2432" s="18"/>
    </row>
    <row r="2433" spans="1:8" ht="13.2">
      <c r="A2433" s="15" t="s">
        <v>3819</v>
      </c>
      <c r="B2433" s="35" t="s">
        <v>3820</v>
      </c>
      <c r="C2433" s="40">
        <v>6</v>
      </c>
      <c r="D2433" s="18"/>
      <c r="E2433" s="17" t="s">
        <v>3784</v>
      </c>
      <c r="F2433" s="17" t="s">
        <v>242</v>
      </c>
      <c r="G2433" s="18"/>
      <c r="H2433" s="18"/>
    </row>
    <row r="2434" spans="1:8" ht="13.2">
      <c r="A2434" s="15" t="s">
        <v>3912</v>
      </c>
      <c r="B2434" s="15" t="s">
        <v>3913</v>
      </c>
      <c r="C2434" s="24">
        <v>6</v>
      </c>
      <c r="D2434" s="26" t="str">
        <f>HYPERLINK("https://github.com/mostafa-saad/MyCompetitiveProgramming/blob/master/Timus/TIMUS_1682.txt","Sol")</f>
        <v>Sol</v>
      </c>
      <c r="E2434" s="17" t="s">
        <v>3883</v>
      </c>
      <c r="F2434" s="17" t="s">
        <v>242</v>
      </c>
      <c r="G2434" s="18"/>
      <c r="H2434" s="18"/>
    </row>
    <row r="2435" spans="1:8" ht="13.2">
      <c r="A2435" s="15" t="s">
        <v>4108</v>
      </c>
      <c r="B2435" s="18" t="s">
        <v>4109</v>
      </c>
      <c r="C2435" s="17">
        <v>6</v>
      </c>
      <c r="D2435" s="26" t="str">
        <f>HYPERLINK("https://github.com/TheRealImaginary/CompetitiveProgramming/blob/master/ZOJ/ZOJ_2760_HowManyShortestPath.java","Sol")</f>
        <v>Sol</v>
      </c>
      <c r="E2435" s="17" t="s">
        <v>4060</v>
      </c>
      <c r="F2435" s="17" t="s">
        <v>242</v>
      </c>
      <c r="G2435" s="18"/>
      <c r="H2435" s="18"/>
    </row>
    <row r="2436" spans="1:8" ht="13.2">
      <c r="A2436" s="15" t="s">
        <v>4192</v>
      </c>
      <c r="B2436" s="39" t="s">
        <v>4193</v>
      </c>
      <c r="C2436" s="17">
        <v>6</v>
      </c>
      <c r="D2436" s="18"/>
      <c r="E2436" s="17" t="s">
        <v>4144</v>
      </c>
      <c r="F2436" s="17" t="s">
        <v>242</v>
      </c>
      <c r="G2436" s="18"/>
      <c r="H2436" s="18"/>
    </row>
    <row r="2437" spans="1:8" ht="13.2">
      <c r="A2437" s="19" t="str">
        <f>HYPERLINK("http://codeforces.com/contest/919/problem/E","CF919-D2-E")</f>
        <v>CF919-D2-E</v>
      </c>
      <c r="B2437" s="37" t="s">
        <v>4630</v>
      </c>
      <c r="C2437" s="17">
        <v>6</v>
      </c>
      <c r="D2437" s="26" t="str">
        <f>HYPERLINK("https://github.com/yazanKabbany/CompetitiveProgramming/blob/master/Codeforces/CF919-D2-E.cpp","Sol to read")</f>
        <v>Sol to read</v>
      </c>
      <c r="E2437" s="17" t="s">
        <v>4531</v>
      </c>
      <c r="F2437" s="17" t="s">
        <v>242</v>
      </c>
      <c r="G2437" s="18"/>
      <c r="H2437" s="18"/>
    </row>
    <row r="2438" spans="1:8" ht="13.2">
      <c r="A2438" s="19" t="str">
        <f>HYPERLINK("http://codeforces.com/contest/509/problem/E","CF509-D2-E")</f>
        <v>CF509-D2-E</v>
      </c>
      <c r="B2438" s="29" t="s">
        <v>4631</v>
      </c>
      <c r="C2438" s="17">
        <v>6</v>
      </c>
      <c r="D2438" s="18"/>
      <c r="E2438" s="17" t="s">
        <v>4531</v>
      </c>
      <c r="F2438" s="17" t="s">
        <v>242</v>
      </c>
      <c r="G2438" s="18"/>
      <c r="H2438" s="18"/>
    </row>
    <row r="2439" spans="1:8" ht="13.2">
      <c r="A2439" s="15" t="s">
        <v>4992</v>
      </c>
      <c r="B2439" s="28" t="s">
        <v>4993</v>
      </c>
      <c r="C2439" s="24">
        <v>6</v>
      </c>
      <c r="D2439" s="18"/>
      <c r="E2439" s="17" t="s">
        <v>4958</v>
      </c>
      <c r="F2439" s="17" t="s">
        <v>242</v>
      </c>
      <c r="G2439" s="18"/>
      <c r="H2439" s="18"/>
    </row>
    <row r="2440" spans="1:8" ht="13.2">
      <c r="A2440" s="19" t="str">
        <f>HYPERLINK("http://codeforces.com/contest/831/problem/F","CF831-D12-F")</f>
        <v>CF831-D12-F</v>
      </c>
      <c r="B2440" s="15" t="s">
        <v>5085</v>
      </c>
      <c r="C2440" s="17">
        <v>6</v>
      </c>
      <c r="D2440" s="18"/>
      <c r="E2440" s="17" t="s">
        <v>5075</v>
      </c>
      <c r="F2440" s="17" t="s">
        <v>242</v>
      </c>
      <c r="G2440" s="18"/>
      <c r="H2440" s="18"/>
    </row>
    <row r="2441" spans="1:8" ht="13.2">
      <c r="A2441" s="19" t="str">
        <f>HYPERLINK("http://codeforces.com/contest/300/problem/E","CF300-D2-E")</f>
        <v>CF300-D2-E</v>
      </c>
      <c r="B2441" s="29" t="s">
        <v>5093</v>
      </c>
      <c r="C2441" s="17">
        <v>6</v>
      </c>
      <c r="D2441" s="18"/>
      <c r="E2441" s="17" t="s">
        <v>5075</v>
      </c>
      <c r="F2441" s="17" t="s">
        <v>242</v>
      </c>
      <c r="G2441" s="18"/>
      <c r="H2441" s="18"/>
    </row>
    <row r="2442" spans="1:8" ht="13.2">
      <c r="A2442" s="19" t="str">
        <f>HYPERLINK("http://codeforces.com/contest/816/problem/D","CF816-D2-D")</f>
        <v>CF816-D2-D</v>
      </c>
      <c r="B2442" s="15" t="s">
        <v>5560</v>
      </c>
      <c r="C2442" s="17">
        <v>6</v>
      </c>
      <c r="D2442" s="18"/>
      <c r="E2442" s="17" t="s">
        <v>5524</v>
      </c>
      <c r="F2442" s="17" t="s">
        <v>242</v>
      </c>
      <c r="G2442" s="18"/>
      <c r="H2442" s="18"/>
    </row>
    <row r="2443" spans="1:8" ht="13.2">
      <c r="A2443" s="15" t="s">
        <v>202</v>
      </c>
      <c r="B2443" s="30" t="s">
        <v>124</v>
      </c>
      <c r="C2443" s="17">
        <v>6</v>
      </c>
      <c r="D2443" s="18"/>
      <c r="E2443" s="17" t="s">
        <v>125</v>
      </c>
      <c r="F2443" s="17"/>
      <c r="G2443" s="18"/>
      <c r="H2443" s="18"/>
    </row>
    <row r="2444" spans="1:8" ht="13.2">
      <c r="A2444" s="15" t="s">
        <v>203</v>
      </c>
      <c r="B2444" s="18" t="s">
        <v>124</v>
      </c>
      <c r="C2444" s="31">
        <v>6</v>
      </c>
      <c r="D2444" s="18"/>
      <c r="E2444" s="17" t="s">
        <v>125</v>
      </c>
      <c r="F2444" s="17"/>
      <c r="G2444" s="18"/>
      <c r="H2444" s="18"/>
    </row>
    <row r="2445" spans="1:8" ht="13.2">
      <c r="A2445" s="19" t="str">
        <f>HYPERLINK("http://codeforces.com/gym/101149/problem/M?locale=en","CF101149-gym-E")</f>
        <v>CF101149-gym-E</v>
      </c>
      <c r="B2445" s="15" t="s">
        <v>204</v>
      </c>
      <c r="C2445" s="17">
        <v>6</v>
      </c>
      <c r="D2445" s="18"/>
      <c r="E2445" s="17" t="s">
        <v>125</v>
      </c>
      <c r="F2445" s="17"/>
      <c r="G2445" s="18"/>
      <c r="H2445" s="18"/>
    </row>
    <row r="2446" spans="1:8" ht="13.2">
      <c r="A2446" s="15" t="s">
        <v>205</v>
      </c>
      <c r="B2446" s="30" t="s">
        <v>206</v>
      </c>
      <c r="C2446" s="17">
        <v>6</v>
      </c>
      <c r="D2446" s="18"/>
      <c r="E2446" s="17" t="s">
        <v>125</v>
      </c>
      <c r="F2446" s="17"/>
      <c r="G2446" s="18"/>
      <c r="H2446" s="18"/>
    </row>
    <row r="2447" spans="1:8" ht="13.2">
      <c r="A2447" s="19" t="str">
        <f>HYPERLINK("http://codeforces.com/gym/101102/problem/I","CF101102-GYM-I")</f>
        <v>CF101102-GYM-I</v>
      </c>
      <c r="B2447" s="29" t="s">
        <v>927</v>
      </c>
      <c r="C2447" s="17">
        <v>6</v>
      </c>
      <c r="D2447" s="26" t="str">
        <f>HYPERLINK("https://github.com/arvindr9/CompetitiveProgramming/blob/master/CodeForces/CF101102-GYM-I.cpp","Sol")</f>
        <v>Sol</v>
      </c>
      <c r="E2447" s="17" t="s">
        <v>910</v>
      </c>
      <c r="F2447" s="17"/>
      <c r="G2447" s="18"/>
      <c r="H2447" s="18"/>
    </row>
    <row r="2448" spans="1:8" ht="13.2">
      <c r="A2448" s="15" t="s">
        <v>5659</v>
      </c>
      <c r="B2448" s="28" t="s">
        <v>5642</v>
      </c>
      <c r="C2448" s="24">
        <v>6</v>
      </c>
      <c r="D2448" s="18"/>
      <c r="E2448" s="24" t="s">
        <v>5643</v>
      </c>
      <c r="F2448" s="17"/>
      <c r="G2448" s="18"/>
      <c r="H2448" s="18"/>
    </row>
    <row r="2449" spans="1:8" ht="13.2">
      <c r="A2449" s="19" t="str">
        <f>HYPERLINK("https://www.codechef.com/problems/SUBBXOR","CODECHEF SUBBXOR")</f>
        <v>CODECHEF SUBBXOR</v>
      </c>
      <c r="B2449" s="29" t="s">
        <v>5660</v>
      </c>
      <c r="C2449" s="17">
        <v>6</v>
      </c>
      <c r="D2449" s="18" t="s">
        <v>5661</v>
      </c>
      <c r="E2449" s="17" t="s">
        <v>5643</v>
      </c>
      <c r="F2449" s="17"/>
      <c r="G2449" s="18"/>
      <c r="H2449" s="18"/>
    </row>
    <row r="2450" spans="1:8" ht="13.2">
      <c r="A2450" s="15" t="s">
        <v>5662</v>
      </c>
      <c r="B2450" s="28" t="s">
        <v>5660</v>
      </c>
      <c r="C2450" s="24">
        <v>6</v>
      </c>
      <c r="D2450" s="18"/>
      <c r="E2450" s="17" t="s">
        <v>5643</v>
      </c>
      <c r="F2450" s="17"/>
      <c r="G2450" s="18"/>
      <c r="H2450" s="18"/>
    </row>
    <row r="2451" spans="1:8" ht="13.2">
      <c r="A2451" s="15" t="s">
        <v>5663</v>
      </c>
      <c r="B2451" s="28" t="s">
        <v>5664</v>
      </c>
      <c r="C2451" s="24">
        <v>6</v>
      </c>
      <c r="D2451" s="18"/>
      <c r="E2451" s="17" t="s">
        <v>5643</v>
      </c>
      <c r="F2451" s="17"/>
      <c r="G2451" s="18"/>
      <c r="H2451" s="18"/>
    </row>
    <row r="2452" spans="1:8" ht="13.2">
      <c r="A2452" s="15" t="s">
        <v>5665</v>
      </c>
      <c r="B2452" s="28" t="s">
        <v>5666</v>
      </c>
      <c r="C2452" s="17">
        <v>6</v>
      </c>
      <c r="D2452" s="26" t="str">
        <f>HYPERLINK("https://github.com/ilyesG/Competitive-Programming/blob/master/UVA/UVA%2010745.cpp","AC")</f>
        <v>AC</v>
      </c>
      <c r="E2452" s="17" t="s">
        <v>5643</v>
      </c>
      <c r="F2452" s="17"/>
      <c r="G2452" s="18"/>
      <c r="H2452" s="18"/>
    </row>
    <row r="2453" spans="1:8" ht="13.2">
      <c r="A2453" s="19" t="str">
        <f>HYPERLINK("http://codeforces.com/gym/100781/attachments","CF100781-GYM-J")</f>
        <v>CF100781-GYM-J</v>
      </c>
      <c r="B2453" s="18" t="s">
        <v>5667</v>
      </c>
      <c r="C2453" s="17">
        <v>6</v>
      </c>
      <c r="D2453" s="26" t="str">
        <f>HYPERLINK("https://github.com/hosamk92/CompetitiveProgramming/blob/master/Codeforces/CF100781-GYM-J.cpp","Sol")</f>
        <v>Sol</v>
      </c>
      <c r="E2453" s="17" t="s">
        <v>5643</v>
      </c>
      <c r="F2453" s="17"/>
      <c r="G2453" s="18"/>
      <c r="H2453" s="18"/>
    </row>
    <row r="2454" spans="1:8" ht="13.2">
      <c r="A2454" s="15" t="s">
        <v>5668</v>
      </c>
      <c r="B2454" s="29" t="s">
        <v>5669</v>
      </c>
      <c r="C2454" s="24">
        <v>6</v>
      </c>
      <c r="D2454" s="26" t="str">
        <f>HYPERLINK("https://github.com/racsosabe/CompetitiveProgramming/blob/master/PKU/3764.cpp","Sol")</f>
        <v>Sol</v>
      </c>
      <c r="E2454" s="17" t="s">
        <v>5643</v>
      </c>
      <c r="F2454" s="17"/>
      <c r="G2454" s="18"/>
      <c r="H2454" s="18"/>
    </row>
    <row r="2455" spans="1:8" ht="13.2">
      <c r="A2455" s="15" t="s">
        <v>5713</v>
      </c>
      <c r="B2455" s="28" t="s">
        <v>5714</v>
      </c>
      <c r="C2455" s="24">
        <v>6</v>
      </c>
      <c r="D2455" s="18"/>
      <c r="E2455" s="17" t="s">
        <v>5702</v>
      </c>
      <c r="F2455" s="17"/>
      <c r="G2455" s="18"/>
      <c r="H2455" s="18"/>
    </row>
    <row r="2456" spans="1:8" ht="13.2">
      <c r="A2456" s="15" t="s">
        <v>5715</v>
      </c>
      <c r="B2456" s="28" t="s">
        <v>5716</v>
      </c>
      <c r="C2456" s="24">
        <v>6</v>
      </c>
      <c r="D2456" s="18"/>
      <c r="E2456" s="17" t="s">
        <v>5702</v>
      </c>
      <c r="F2456" s="17"/>
      <c r="G2456" s="18"/>
      <c r="H2456" s="18"/>
    </row>
    <row r="2457" spans="1:8" ht="13.2">
      <c r="A2457" s="15" t="s">
        <v>5782</v>
      </c>
      <c r="B2457" s="29" t="s">
        <v>5763</v>
      </c>
      <c r="C2457" s="54">
        <v>6</v>
      </c>
      <c r="D2457" s="26" t="str">
        <f>HYPERLINK("https://problemsolvingnotes.wordpress.com/2012/02/06/live-archive-5064-serial-numbers/","Sol")</f>
        <v>Sol</v>
      </c>
      <c r="E2457" s="17" t="s">
        <v>5761</v>
      </c>
      <c r="F2457" s="17"/>
      <c r="G2457" s="18"/>
      <c r="H2457" s="18"/>
    </row>
    <row r="2458" spans="1:8" ht="13.2">
      <c r="A2458" s="15" t="s">
        <v>5783</v>
      </c>
      <c r="B2458" s="18" t="s">
        <v>5763</v>
      </c>
      <c r="C2458" s="24">
        <v>6</v>
      </c>
      <c r="D2458" s="18"/>
      <c r="E2458" s="17" t="s">
        <v>5761</v>
      </c>
      <c r="F2458" s="17"/>
      <c r="G2458" s="18"/>
      <c r="H2458" s="18"/>
    </row>
    <row r="2459" spans="1:8" ht="13.2">
      <c r="A2459" s="15" t="s">
        <v>5784</v>
      </c>
      <c r="B2459" s="28" t="s">
        <v>5785</v>
      </c>
      <c r="C2459" s="24">
        <v>6</v>
      </c>
      <c r="D2459" s="18"/>
      <c r="E2459" s="17" t="s">
        <v>5761</v>
      </c>
      <c r="F2459" s="17"/>
      <c r="G2459" s="18"/>
      <c r="H2459" s="18"/>
    </row>
    <row r="2460" spans="1:8" ht="13.2">
      <c r="A2460" s="15" t="s">
        <v>5786</v>
      </c>
      <c r="B2460" s="29" t="s">
        <v>5787</v>
      </c>
      <c r="C2460" s="24">
        <v>6</v>
      </c>
      <c r="D2460" s="18"/>
      <c r="E2460" s="17" t="s">
        <v>5761</v>
      </c>
      <c r="F2460" s="17"/>
      <c r="G2460" s="18"/>
      <c r="H2460" s="18"/>
    </row>
    <row r="2461" spans="1:8" ht="13.2">
      <c r="A2461" s="19" t="str">
        <f>HYPERLINK("https://www.codechef.com/problems/LYRC","CODECHEF LYRC")</f>
        <v>CODECHEF LYRC</v>
      </c>
      <c r="B2461" s="18" t="s">
        <v>5768</v>
      </c>
      <c r="C2461" s="17">
        <v>6</v>
      </c>
      <c r="D2461" s="18"/>
      <c r="E2461" s="17" t="s">
        <v>5761</v>
      </c>
      <c r="F2461" s="17"/>
      <c r="G2461" s="18"/>
      <c r="H2461" s="18"/>
    </row>
    <row r="2462" spans="1:8" ht="13.2">
      <c r="A2462" s="15" t="s">
        <v>5836</v>
      </c>
      <c r="B2462" s="28" t="s">
        <v>5796</v>
      </c>
      <c r="C2462" s="24">
        <v>6</v>
      </c>
      <c r="D2462" s="26" t="str">
        <f>HYPERLINK("https://blog.csdn.net/ccsu_cat/article/details/80573161","Sol")</f>
        <v>Sol</v>
      </c>
      <c r="E2462" s="17" t="s">
        <v>5794</v>
      </c>
      <c r="F2462" s="17"/>
      <c r="G2462" s="18"/>
      <c r="H2462" s="18"/>
    </row>
    <row r="2463" spans="1:8" ht="13.2">
      <c r="A2463" s="15" t="s">
        <v>5898</v>
      </c>
      <c r="B2463" s="29" t="s">
        <v>5889</v>
      </c>
      <c r="C2463" s="24">
        <v>6</v>
      </c>
      <c r="D2463" s="18"/>
      <c r="E2463" s="17" t="s">
        <v>5874</v>
      </c>
      <c r="F2463" s="17"/>
      <c r="G2463" s="18"/>
      <c r="H2463" s="18"/>
    </row>
    <row r="2464" spans="1:8" ht="13.2">
      <c r="A2464" s="15" t="s">
        <v>5899</v>
      </c>
      <c r="B2464" s="29" t="s">
        <v>5892</v>
      </c>
      <c r="C2464" s="17">
        <v>6</v>
      </c>
      <c r="D2464" s="18"/>
      <c r="E2464" s="17" t="s">
        <v>5874</v>
      </c>
      <c r="F2464" s="17"/>
      <c r="G2464" s="18"/>
      <c r="H2464" s="18"/>
    </row>
    <row r="2465" spans="1:8" ht="13.2">
      <c r="A2465" s="15" t="s">
        <v>5900</v>
      </c>
      <c r="B2465" s="29" t="s">
        <v>5892</v>
      </c>
      <c r="C2465" s="24">
        <v>6</v>
      </c>
      <c r="D2465" s="18"/>
      <c r="E2465" s="17" t="s">
        <v>5874</v>
      </c>
      <c r="F2465" s="17"/>
      <c r="G2465" s="18"/>
      <c r="H2465" s="18"/>
    </row>
    <row r="2466" spans="1:8" ht="13.2">
      <c r="A2466" s="19" t="str">
        <f>HYPERLINK("https://www.codechef.com/problems/PRESTIGE", "CODECHEF PRESTIGE")</f>
        <v>CODECHEF PRESTIGE</v>
      </c>
      <c r="B2466" s="20" t="s">
        <v>5901</v>
      </c>
      <c r="C2466" s="21">
        <v>6</v>
      </c>
      <c r="D2466" s="18"/>
      <c r="E2466" s="17" t="s">
        <v>5874</v>
      </c>
      <c r="F2466" s="17"/>
      <c r="G2466" s="18"/>
      <c r="H2466" s="18"/>
    </row>
    <row r="2467" spans="1:8" ht="13.2">
      <c r="A2467" s="15" t="s">
        <v>5902</v>
      </c>
      <c r="B2467" s="29" t="s">
        <v>5903</v>
      </c>
      <c r="C2467" s="24">
        <v>6</v>
      </c>
      <c r="D2467" s="26" t="str">
        <f>HYPERLINK("https://codeforces.com/blog/entry/13204","Discu")</f>
        <v>Discu</v>
      </c>
      <c r="E2467" s="17" t="s">
        <v>5874</v>
      </c>
      <c r="F2467" s="17"/>
      <c r="G2467" s="18"/>
      <c r="H2467" s="18"/>
    </row>
    <row r="2468" spans="1:8" ht="13.2">
      <c r="A2468" s="15" t="s">
        <v>5948</v>
      </c>
      <c r="B2468" s="30" t="s">
        <v>5949</v>
      </c>
      <c r="C2468" s="24">
        <v>6</v>
      </c>
      <c r="D2468" s="26" t="str">
        <f>HYPERLINK("https://gitlab.com/mrfathin/UVa/blob/master/volume129/12942%20-%20Sub-expression%20Counting.cpp","Sol")</f>
        <v>Sol</v>
      </c>
      <c r="E2468" s="17" t="s">
        <v>5947</v>
      </c>
      <c r="F2468" s="17"/>
      <c r="G2468" s="18"/>
      <c r="H2468" s="18"/>
    </row>
    <row r="2469" spans="1:8" ht="13.2">
      <c r="A2469" s="19" t="str">
        <f>HYPERLINK("http://codeforces.com/contest/139/problem/D","CF139-D2-D")</f>
        <v>CF139-D2-D</v>
      </c>
      <c r="B2469" s="29" t="s">
        <v>5961</v>
      </c>
      <c r="C2469" s="17">
        <v>6</v>
      </c>
      <c r="D2469" s="18"/>
      <c r="E2469" s="17" t="s">
        <v>5958</v>
      </c>
      <c r="F2469" s="17"/>
      <c r="G2469" s="18"/>
      <c r="H2469" s="18"/>
    </row>
    <row r="2470" spans="1:8" ht="13.2">
      <c r="A2470" s="19" t="str">
        <f>HYPERLINK("http://codeforces.com/contest/292/problem/C","CF292-D12-C")</f>
        <v>CF292-D12-C</v>
      </c>
      <c r="B2470" s="29" t="s">
        <v>5961</v>
      </c>
      <c r="C2470" s="17">
        <v>6</v>
      </c>
      <c r="D2470" s="18"/>
      <c r="E2470" s="17" t="s">
        <v>5958</v>
      </c>
      <c r="F2470" s="17"/>
      <c r="G2470" s="18"/>
      <c r="H2470" s="18"/>
    </row>
    <row r="2471" spans="1:8" ht="13.2">
      <c r="A2471" s="19" t="str">
        <f>HYPERLINK("http://codeforces.com/contest/630/problem/E","CF630-D12-E")</f>
        <v>CF630-D12-E</v>
      </c>
      <c r="B2471" s="15" t="s">
        <v>5961</v>
      </c>
      <c r="C2471" s="21">
        <v>6</v>
      </c>
      <c r="D2471" s="18"/>
      <c r="E2471" s="17" t="s">
        <v>5958</v>
      </c>
      <c r="F2471" s="17"/>
      <c r="G2471" s="18"/>
      <c r="H2471" s="18"/>
    </row>
    <row r="2472" spans="1:8" ht="13.2">
      <c r="A2472" s="19" t="str">
        <f>HYPERLINK("http://codeforces.com/contest/677/problem/E","CF677-D2-E")</f>
        <v>CF677-D2-E</v>
      </c>
      <c r="B2472" s="15" t="s">
        <v>5961</v>
      </c>
      <c r="C2472" s="24">
        <v>6</v>
      </c>
      <c r="D2472" s="18"/>
      <c r="E2472" s="17" t="s">
        <v>5958</v>
      </c>
      <c r="F2472" s="17"/>
      <c r="G2472" s="18"/>
      <c r="H2472" s="18"/>
    </row>
    <row r="2473" spans="1:8" ht="13.2">
      <c r="A2473" s="15" t="s">
        <v>5975</v>
      </c>
      <c r="B2473" s="48" t="s">
        <v>5961</v>
      </c>
      <c r="C2473" s="31">
        <v>6</v>
      </c>
      <c r="D2473" s="18"/>
      <c r="E2473" s="17" t="s">
        <v>5958</v>
      </c>
      <c r="F2473" s="17"/>
      <c r="G2473" s="18"/>
      <c r="H2473" s="18"/>
    </row>
    <row r="2474" spans="1:8" ht="13.2">
      <c r="A2474" s="19" t="str">
        <f>HYPERLINK("http://codeforces.com/contest/714/problem/D","CF714-D2-D")</f>
        <v>CF714-D2-D</v>
      </c>
      <c r="B2474" s="15" t="s">
        <v>5957</v>
      </c>
      <c r="C2474" s="24">
        <v>6</v>
      </c>
      <c r="D2474" s="18"/>
      <c r="E2474" s="17" t="s">
        <v>5958</v>
      </c>
      <c r="F2474" s="17"/>
      <c r="G2474" s="18"/>
      <c r="H2474" s="18"/>
    </row>
    <row r="2475" spans="1:8" ht="13.2">
      <c r="A2475" s="15" t="s">
        <v>5976</v>
      </c>
      <c r="B2475" s="16" t="s">
        <v>5977</v>
      </c>
      <c r="C2475" s="17">
        <v>6</v>
      </c>
      <c r="D2475" s="18"/>
      <c r="E2475" s="17" t="s">
        <v>5958</v>
      </c>
      <c r="F2475" s="17"/>
      <c r="G2475" s="18"/>
      <c r="H2475" s="18"/>
    </row>
    <row r="2476" spans="1:8" ht="13.2">
      <c r="A2476" s="15" t="s">
        <v>5978</v>
      </c>
      <c r="B2476" s="30" t="s">
        <v>5979</v>
      </c>
      <c r="C2476" s="24">
        <v>6</v>
      </c>
      <c r="D2476" s="18"/>
      <c r="E2476" s="17" t="s">
        <v>5958</v>
      </c>
      <c r="F2476" s="17"/>
      <c r="G2476" s="18"/>
      <c r="H2476" s="18"/>
    </row>
    <row r="2477" spans="1:8" ht="13.2">
      <c r="A2477" s="15" t="s">
        <v>5980</v>
      </c>
      <c r="B2477" s="35" t="s">
        <v>5981</v>
      </c>
      <c r="C2477" s="17">
        <v>6</v>
      </c>
      <c r="D2477" s="18"/>
      <c r="E2477" s="17" t="s">
        <v>5958</v>
      </c>
      <c r="F2477" s="17"/>
      <c r="G2477" s="18"/>
      <c r="H2477" s="18"/>
    </row>
    <row r="2478" spans="1:8" ht="13.2">
      <c r="A2478" s="15" t="s">
        <v>5982</v>
      </c>
      <c r="B2478" s="29" t="s">
        <v>5983</v>
      </c>
      <c r="C2478" s="24">
        <v>6</v>
      </c>
      <c r="D2478" s="18"/>
      <c r="E2478" s="17" t="s">
        <v>5958</v>
      </c>
      <c r="F2478" s="17"/>
      <c r="G2478" s="18"/>
      <c r="H2478" s="18"/>
    </row>
    <row r="2479" spans="1:8" ht="13.2">
      <c r="A2479" s="19" t="str">
        <f>HYPERLINK("https://codeforces.com/contest/1148/problem/E","CF1148-D12-E")</f>
        <v>CF1148-D12-E</v>
      </c>
      <c r="B2479" s="20" t="s">
        <v>6043</v>
      </c>
      <c r="C2479" s="21">
        <v>6</v>
      </c>
      <c r="D2479" s="18"/>
      <c r="E2479" s="17" t="s">
        <v>6040</v>
      </c>
      <c r="F2479" s="17"/>
      <c r="G2479" s="18"/>
      <c r="H2479" s="18"/>
    </row>
    <row r="2480" spans="1:8" ht="13.2">
      <c r="A2480" s="15" t="s">
        <v>6086</v>
      </c>
      <c r="B2480" s="29" t="s">
        <v>6074</v>
      </c>
      <c r="C2480" s="17">
        <v>6</v>
      </c>
      <c r="D2480" s="18"/>
      <c r="E2480" s="17" t="s">
        <v>6075</v>
      </c>
      <c r="F2480" s="17"/>
      <c r="G2480" s="18"/>
      <c r="H2480" s="18"/>
    </row>
    <row r="2481" spans="1:8" ht="13.2">
      <c r="A2481" s="15" t="s">
        <v>6109</v>
      </c>
      <c r="B2481" s="37" t="s">
        <v>6110</v>
      </c>
      <c r="C2481" s="17">
        <v>6</v>
      </c>
      <c r="D2481" s="26" t="str">
        <f>HYPERLINK("https://github.com/nikolapesic2802/Programming-Practice/blob/master/Leaves/main.cpp","Sol")</f>
        <v>Sol</v>
      </c>
      <c r="E2481" s="17" t="s">
        <v>6098</v>
      </c>
      <c r="F2481" s="17"/>
      <c r="G2481" s="18"/>
      <c r="H2481" s="18"/>
    </row>
    <row r="2482" spans="1:8" ht="13.2">
      <c r="A2482" s="15" t="s">
        <v>6125</v>
      </c>
      <c r="B2482" s="18" t="s">
        <v>6122</v>
      </c>
      <c r="C2482" s="31">
        <v>6</v>
      </c>
      <c r="D2482" s="18"/>
      <c r="E2482" s="17" t="s">
        <v>6118</v>
      </c>
      <c r="F2482" s="17"/>
      <c r="G2482" s="18"/>
      <c r="H2482" s="18"/>
    </row>
    <row r="2483" spans="1:8" ht="13.2">
      <c r="A2483" s="15" t="s">
        <v>6173</v>
      </c>
      <c r="B2483" s="38" t="s">
        <v>6174</v>
      </c>
      <c r="C2483" s="17">
        <v>6</v>
      </c>
      <c r="D2483" s="26" t="str">
        <f>HYPERLINK("https://ideone.com/7yWKZY","Sol")</f>
        <v>Sol</v>
      </c>
      <c r="E2483" s="17" t="s">
        <v>6169</v>
      </c>
      <c r="F2483" s="17"/>
      <c r="G2483" s="18"/>
      <c r="H2483" s="18"/>
    </row>
    <row r="2484" spans="1:8" ht="13.2">
      <c r="A2484" s="15" t="s">
        <v>6197</v>
      </c>
      <c r="B2484" s="28" t="s">
        <v>6198</v>
      </c>
      <c r="C2484" s="24">
        <v>6</v>
      </c>
      <c r="D2484" s="18"/>
      <c r="E2484" s="17" t="s">
        <v>6194</v>
      </c>
      <c r="F2484" s="17"/>
      <c r="G2484" s="18"/>
      <c r="H2484" s="18"/>
    </row>
    <row r="2485" spans="1:8" ht="13.2">
      <c r="A2485" s="15" t="s">
        <v>6199</v>
      </c>
      <c r="B2485" s="28" t="s">
        <v>6198</v>
      </c>
      <c r="C2485" s="24">
        <v>6</v>
      </c>
      <c r="D2485" s="26" t="str">
        <f>HYPERLINK("https://github.com/mukel/ProgrammingContests/blob/master/OldStuff/SPOJ/new5/transl.cpp","Sol (no editorial)")</f>
        <v>Sol (no editorial)</v>
      </c>
      <c r="E2485" s="17" t="s">
        <v>6194</v>
      </c>
      <c r="F2485" s="17"/>
      <c r="G2485" s="18"/>
      <c r="H2485" s="18"/>
    </row>
    <row r="2486" spans="1:8" ht="13.2">
      <c r="A2486" s="15" t="s">
        <v>6212</v>
      </c>
      <c r="B2486" s="16" t="s">
        <v>6204</v>
      </c>
      <c r="C2486" s="17">
        <v>6</v>
      </c>
      <c r="D2486" s="18"/>
      <c r="E2486" s="17" t="s">
        <v>6205</v>
      </c>
      <c r="F2486" s="17"/>
      <c r="G2486" s="18"/>
      <c r="H2486" s="18"/>
    </row>
    <row r="2487" spans="1:8" ht="13.2">
      <c r="A2487" s="15" t="s">
        <v>6213</v>
      </c>
      <c r="B2487" s="28" t="s">
        <v>6204</v>
      </c>
      <c r="C2487" s="17">
        <v>6</v>
      </c>
      <c r="D2487" s="18"/>
      <c r="E2487" s="17" t="s">
        <v>6205</v>
      </c>
      <c r="F2487" s="17"/>
      <c r="G2487" s="18"/>
      <c r="H2487" s="18"/>
    </row>
    <row r="2488" spans="1:8" ht="13.2">
      <c r="A2488" s="15" t="s">
        <v>6214</v>
      </c>
      <c r="B2488" s="28" t="s">
        <v>6215</v>
      </c>
      <c r="C2488" s="24">
        <v>6</v>
      </c>
      <c r="D2488" s="18"/>
      <c r="E2488" s="17" t="s">
        <v>6205</v>
      </c>
      <c r="F2488" s="17"/>
      <c r="G2488" s="18"/>
      <c r="H2488" s="18"/>
    </row>
    <row r="2489" spans="1:8" ht="13.2">
      <c r="A2489" s="19" t="str">
        <f>HYPERLINK("http://codeforces.com/contest/274/problem/D","CF274-D1-D")</f>
        <v>CF274-D1-D</v>
      </c>
      <c r="B2489" s="29" t="s">
        <v>6216</v>
      </c>
      <c r="C2489" s="17">
        <v>6</v>
      </c>
      <c r="D2489" s="18"/>
      <c r="E2489" s="17" t="s">
        <v>6205</v>
      </c>
      <c r="F2489" s="17"/>
      <c r="G2489" s="18"/>
      <c r="H2489" s="18"/>
    </row>
    <row r="2490" spans="1:8" ht="13.2">
      <c r="A2490" s="19" t="str">
        <f>HYPERLINK("https://www.codechef.com/problems/UPDOTR", "CODECHEF UPDOTR")</f>
        <v>CODECHEF UPDOTR</v>
      </c>
      <c r="B2490" s="15" t="s">
        <v>1002</v>
      </c>
      <c r="C2490" s="17">
        <v>6</v>
      </c>
      <c r="D2490" s="18"/>
      <c r="E2490" s="17" t="s">
        <v>997</v>
      </c>
      <c r="F2490" s="17"/>
      <c r="G2490" s="18"/>
      <c r="H2490" s="18"/>
    </row>
    <row r="2491" spans="1:8" ht="13.2">
      <c r="A2491" s="19" t="str">
        <f>HYPERLINK("http://poj.org/problem?id=3145","PKU 3145")</f>
        <v>PKU 3145</v>
      </c>
      <c r="B2491" s="28" t="s">
        <v>1003</v>
      </c>
      <c r="C2491" s="24">
        <v>6</v>
      </c>
      <c r="D2491" s="18"/>
      <c r="E2491" s="17" t="s">
        <v>997</v>
      </c>
      <c r="F2491" s="17"/>
      <c r="G2491" s="18"/>
      <c r="H2491" s="18"/>
    </row>
    <row r="2492" spans="1:8" ht="13.2">
      <c r="A2492" s="19" t="str">
        <f>HYPERLINK("http://codeforces.com/problemset/gymProblem/101411/K","CF101411-GYM-K")</f>
        <v>CF101411-GYM-K</v>
      </c>
      <c r="B2492" s="18" t="s">
        <v>6276</v>
      </c>
      <c r="C2492" s="17">
        <v>6</v>
      </c>
      <c r="D2492" s="18"/>
      <c r="E2492" s="17" t="s">
        <v>6275</v>
      </c>
      <c r="F2492" s="17"/>
      <c r="G2492" s="18"/>
      <c r="H2492" s="18"/>
    </row>
    <row r="2493" spans="1:8" ht="13.2">
      <c r="A2493" s="15" t="s">
        <v>6291</v>
      </c>
      <c r="B2493" s="15" t="s">
        <v>6276</v>
      </c>
      <c r="C2493" s="17">
        <v>6</v>
      </c>
      <c r="D2493" s="18"/>
      <c r="E2493" s="17" t="s">
        <v>6275</v>
      </c>
      <c r="F2493" s="17"/>
      <c r="G2493" s="18"/>
      <c r="H2493" s="18"/>
    </row>
    <row r="2494" spans="1:8" ht="13.2">
      <c r="A2494" s="19" t="str">
        <f>HYPERLINK("https://www.devskill.com/CodingProblems/ViewProblem/176","DCP 176")</f>
        <v>DCP 176</v>
      </c>
      <c r="B2494" s="15" t="s">
        <v>6352</v>
      </c>
      <c r="C2494" s="17">
        <v>6</v>
      </c>
      <c r="D2494" s="26" t="str">
        <f>HYPERLINK("https://github.com/mostafa-saad/MyCompetitiveProgramming/blob/master/DCP/DCP_176.txt","Sol")</f>
        <v>Sol</v>
      </c>
      <c r="E2494" s="17" t="s">
        <v>6345</v>
      </c>
      <c r="F2494" s="17"/>
      <c r="G2494" s="18"/>
      <c r="H2494" s="18"/>
    </row>
    <row r="2495" spans="1:8" ht="13.2">
      <c r="A2495" s="19" t="str">
        <f>HYPERLINK("http://codeforces.com/contest/319/problem/C","CF319-D1-C")</f>
        <v>CF319-D1-C</v>
      </c>
      <c r="B2495" s="37" t="s">
        <v>6387</v>
      </c>
      <c r="C2495" s="17">
        <v>6</v>
      </c>
      <c r="D2495" s="26" t="str">
        <f>HYPERLINK("https://codeforces.com/contest/319/submission/52469803","Sol")</f>
        <v>Sol</v>
      </c>
      <c r="E2495" s="17" t="s">
        <v>6362</v>
      </c>
      <c r="F2495" s="17"/>
      <c r="G2495" s="18"/>
      <c r="H2495" s="18"/>
    </row>
    <row r="2496" spans="1:8" ht="13.2">
      <c r="A2496" s="19" t="str">
        <f>HYPERLINK("https://codeforces.com/problemset/problem/1083/E", "CF1083-D1-E")</f>
        <v>CF1083-D1-E</v>
      </c>
      <c r="B2496" s="15" t="s">
        <v>6388</v>
      </c>
      <c r="C2496" s="17">
        <v>6</v>
      </c>
      <c r="D2496" s="26" t="str">
        <f>HYPERLINK("https://github.com/nikolapesic2802/Programming-Practice/blob/master/The%20Fair%20Nut%20and%20rectangless/main.cpp","Sol (not intended)")</f>
        <v>Sol (not intended)</v>
      </c>
      <c r="E2496" s="17" t="s">
        <v>6362</v>
      </c>
      <c r="F2496" s="17"/>
      <c r="G2496" s="18"/>
      <c r="H2496" s="18"/>
    </row>
    <row r="2497" spans="1:8" ht="13.2">
      <c r="A2497" s="19" t="str">
        <f>HYPERLINK("http://codeforces.com/contest/551/problem/E","CF551-D2-E")</f>
        <v>CF551-D2-E</v>
      </c>
      <c r="B2497" s="15" t="s">
        <v>6411</v>
      </c>
      <c r="C2497" s="24">
        <v>6</v>
      </c>
      <c r="D2497" s="18"/>
      <c r="E2497" s="17" t="s">
        <v>6397</v>
      </c>
      <c r="F2497" s="17"/>
      <c r="G2497" s="18"/>
      <c r="H2497" s="18"/>
    </row>
    <row r="2498" spans="1:8" ht="13.2">
      <c r="A2498" s="19" t="str">
        <f>HYPERLINK("http://codeforces.com/contest/19/problem/D","CF19-D12-D")</f>
        <v>CF19-D12-D</v>
      </c>
      <c r="B2498" s="29" t="s">
        <v>1017</v>
      </c>
      <c r="C2498" s="17">
        <v>6</v>
      </c>
      <c r="D2498" s="18"/>
      <c r="E2498" s="17" t="s">
        <v>1018</v>
      </c>
      <c r="F2498" s="17"/>
      <c r="G2498" s="18"/>
      <c r="H2498" s="18"/>
    </row>
    <row r="2499" spans="1:8" ht="13.2">
      <c r="A2499" s="19" t="str">
        <f>HYPERLINK("http://codeforces.com/contest/56/problem/E","CF56-D2-E")</f>
        <v>CF56-D2-E</v>
      </c>
      <c r="B2499" s="29" t="s">
        <v>1139</v>
      </c>
      <c r="C2499" s="17">
        <v>6</v>
      </c>
      <c r="D2499" s="18"/>
      <c r="E2499" s="17" t="s">
        <v>1018</v>
      </c>
      <c r="F2499" s="17"/>
      <c r="G2499" s="18"/>
      <c r="H2499" s="18"/>
    </row>
    <row r="2500" spans="1:8" ht="13.2">
      <c r="A2500" s="19" t="str">
        <f>HYPERLINK("https://www.codechef.com/problems/BESTSUM","CODECHEF BESTSUM")</f>
        <v>CODECHEF BESTSUM</v>
      </c>
      <c r="B2500" s="18" t="s">
        <v>1140</v>
      </c>
      <c r="C2500" s="17">
        <v>6</v>
      </c>
      <c r="D2500" s="18"/>
      <c r="E2500" s="17" t="s">
        <v>1018</v>
      </c>
      <c r="F2500" s="17"/>
      <c r="G2500" s="18"/>
      <c r="H2500" s="18"/>
    </row>
    <row r="2501" spans="1:8" ht="13.2">
      <c r="A2501" s="19" t="str">
        <f>HYPERLINK("http://codeforces.com/contest/818/problem/E","CF818-D12-E")</f>
        <v>CF818-D12-E</v>
      </c>
      <c r="B2501" s="29" t="s">
        <v>1141</v>
      </c>
      <c r="C2501" s="17">
        <v>6</v>
      </c>
      <c r="D2501" s="18"/>
      <c r="E2501" s="17" t="s">
        <v>1018</v>
      </c>
      <c r="F2501" s="17"/>
      <c r="G2501" s="18"/>
      <c r="H2501" s="18"/>
    </row>
    <row r="2502" spans="1:8" ht="13.2">
      <c r="A2502" s="19" t="str">
        <f>HYPERLINK("https://www.urionlinejudge.com.br/repository/UOJ_1511_en.html","URI 1511")</f>
        <v>URI 1511</v>
      </c>
      <c r="B2502" s="15" t="s">
        <v>1142</v>
      </c>
      <c r="C2502" s="17">
        <v>6</v>
      </c>
      <c r="D2502" s="18"/>
      <c r="E2502" s="17" t="s">
        <v>1018</v>
      </c>
      <c r="F2502" s="17"/>
      <c r="G2502" s="18"/>
      <c r="H2502" s="18"/>
    </row>
    <row r="2503" spans="1:8" ht="13.2">
      <c r="A2503" s="19" t="str">
        <f>HYPERLINK("https://www.codechef.com/problems/KCOMPRES", "CODECHEF KCOMPRES")</f>
        <v>CODECHEF KCOMPRES</v>
      </c>
      <c r="B2503" s="20" t="s">
        <v>1136</v>
      </c>
      <c r="C2503" s="21">
        <v>6</v>
      </c>
      <c r="D2503" s="18"/>
      <c r="E2503" s="17" t="s">
        <v>1018</v>
      </c>
      <c r="F2503" s="17"/>
      <c r="G2503" s="18"/>
      <c r="H2503" s="18"/>
    </row>
    <row r="2504" spans="1:8" ht="13.2">
      <c r="A2504" s="19" t="str">
        <f>HYPERLINK("https://www.hackerrank.com/contests/w38/challenges/cyclical-queries", "HACKR cyclical-queries")</f>
        <v>HACKR cyclical-queries</v>
      </c>
      <c r="B2504" s="20" t="s">
        <v>1143</v>
      </c>
      <c r="C2504" s="21">
        <v>6</v>
      </c>
      <c r="D2504" s="18"/>
      <c r="E2504" s="17" t="s">
        <v>1018</v>
      </c>
      <c r="F2504" s="17"/>
      <c r="G2504" s="18"/>
      <c r="H2504" s="18"/>
    </row>
    <row r="2505" spans="1:8" ht="13.2">
      <c r="A2505" s="19" t="str">
        <f>HYPERLINK("https://www.hackerrank.com/contests/world-codesprint-12/challenges/factorial-array","HACKR factorial-array")</f>
        <v>HACKR factorial-array</v>
      </c>
      <c r="B2505" s="15" t="s">
        <v>1144</v>
      </c>
      <c r="C2505" s="17">
        <v>6</v>
      </c>
      <c r="D2505" s="26" t="str">
        <f>HYPERLINK("https://ideone.com/iEbaYO","Sol")</f>
        <v>Sol</v>
      </c>
      <c r="E2505" s="17" t="s">
        <v>1018</v>
      </c>
      <c r="F2505" s="17"/>
      <c r="G2505" s="18"/>
      <c r="H2505" s="18"/>
    </row>
    <row r="2506" spans="1:8" ht="13.2">
      <c r="A2506" s="19" t="str">
        <f>HYPERLINK("http://codeforces.com/contest/777/problem/E","CF777-D12-E")</f>
        <v>CF777-D12-E</v>
      </c>
      <c r="B2506" s="29" t="s">
        <v>1145</v>
      </c>
      <c r="C2506" s="17">
        <v>6</v>
      </c>
      <c r="D2506" s="18"/>
      <c r="E2506" s="17" t="s">
        <v>1018</v>
      </c>
      <c r="F2506" s="17"/>
      <c r="G2506" s="18"/>
      <c r="H2506" s="18"/>
    </row>
    <row r="2507" spans="1:8" ht="13.2">
      <c r="A2507" s="19" t="str">
        <f>HYPERLINK("http://codeforces.com/contest/242/problem/E","CF242-D2-E")</f>
        <v>CF242-D2-E</v>
      </c>
      <c r="B2507" s="18" t="s">
        <v>1146</v>
      </c>
      <c r="C2507" s="17">
        <v>6</v>
      </c>
      <c r="D2507" s="18"/>
      <c r="E2507" s="17" t="s">
        <v>1018</v>
      </c>
      <c r="F2507" s="17"/>
      <c r="G2507" s="18"/>
      <c r="H2507" s="18"/>
    </row>
    <row r="2508" spans="1:8" ht="13.2">
      <c r="A2508" s="19" t="str">
        <f>HYPERLINK("http://codeforces.com/gym/101086/problem/C","CF101086-GYM-C")</f>
        <v>CF101086-GYM-C</v>
      </c>
      <c r="B2508" s="18" t="s">
        <v>1147</v>
      </c>
      <c r="C2508" s="17">
        <v>6</v>
      </c>
      <c r="D2508" s="18"/>
      <c r="E2508" s="17" t="s">
        <v>1018</v>
      </c>
      <c r="F2508" s="17"/>
      <c r="G2508" s="18"/>
      <c r="H2508" s="18"/>
    </row>
    <row r="2509" spans="1:8" ht="13.2">
      <c r="A2509" s="19" t="str">
        <f>HYPERLINK("http://codeforces.com/contest/916/problem/D","CF916-D2-D")</f>
        <v>CF916-D2-D</v>
      </c>
      <c r="B2509" s="15" t="s">
        <v>1148</v>
      </c>
      <c r="C2509" s="17">
        <v>6</v>
      </c>
      <c r="D2509" s="18"/>
      <c r="E2509" s="17" t="s">
        <v>1018</v>
      </c>
      <c r="F2509" s="17"/>
      <c r="G2509" s="18"/>
      <c r="H2509" s="18"/>
    </row>
    <row r="2510" spans="1:8" ht="13.2">
      <c r="A2510" s="19" t="str">
        <f>HYPERLINK("http://codeforces.com/contest/174/problem/C","CF174-D2-C")</f>
        <v>CF174-D2-C</v>
      </c>
      <c r="B2510" s="20" t="s">
        <v>1149</v>
      </c>
      <c r="C2510" s="21">
        <v>6</v>
      </c>
      <c r="D2510" s="18"/>
      <c r="E2510" s="17" t="s">
        <v>1018</v>
      </c>
      <c r="F2510" s="17"/>
      <c r="G2510" s="18"/>
      <c r="H2510" s="18"/>
    </row>
    <row r="2511" spans="1:8" ht="13.2">
      <c r="A2511" s="19" t="str">
        <f>HYPERLINK("https://www.hackerrank.com/contests/hourrank-28/challenges/xorry-queries", "HACKR xorry-queries")</f>
        <v>HACKR xorry-queries</v>
      </c>
      <c r="B2511" s="15" t="s">
        <v>1150</v>
      </c>
      <c r="C2511" s="17">
        <v>6</v>
      </c>
      <c r="D2511" s="18"/>
      <c r="E2511" s="17" t="s">
        <v>1018</v>
      </c>
      <c r="F2511" s="17"/>
      <c r="G2511" s="18"/>
      <c r="H2511" s="18"/>
    </row>
    <row r="2512" spans="1:8" ht="13.2">
      <c r="A2512" s="19" t="str">
        <f>HYPERLINK("https://codeforces.com/contest/1241/problem/E","CF1241-D2-E")</f>
        <v>CF1241-D2-E</v>
      </c>
      <c r="B2512" s="15" t="s">
        <v>6458</v>
      </c>
      <c r="C2512" s="17">
        <v>6</v>
      </c>
      <c r="D2512" s="18"/>
      <c r="E2512" s="17" t="s">
        <v>6459</v>
      </c>
      <c r="F2512" s="17"/>
      <c r="G2512" s="18"/>
      <c r="H2512" s="18"/>
    </row>
    <row r="2513" spans="1:8" ht="13.2">
      <c r="A2513" s="15" t="s">
        <v>6486</v>
      </c>
      <c r="B2513" s="30" t="s">
        <v>6458</v>
      </c>
      <c r="C2513" s="24">
        <v>6</v>
      </c>
      <c r="D2513" s="18"/>
      <c r="E2513" s="17" t="s">
        <v>6459</v>
      </c>
      <c r="F2513" s="17"/>
      <c r="G2513" s="18"/>
      <c r="H2513" s="18"/>
    </row>
    <row r="2514" spans="1:8" ht="13.2">
      <c r="A2514" s="19" t="str">
        <f>HYPERLINK("http://codeforces.com/gym/101889/problem/G","CF101889-GYM-G")</f>
        <v>CF101889-GYM-G</v>
      </c>
      <c r="B2514" s="20" t="s">
        <v>6480</v>
      </c>
      <c r="C2514" s="21">
        <v>6</v>
      </c>
      <c r="D2514" s="26" t="str">
        <f>HYPERLINK("https://github.com/OmarHashim/Competitive-Programming/blob/master/CodeForces/CF101889-GYM-G.cpp","Sol")</f>
        <v>Sol</v>
      </c>
      <c r="E2514" s="17" t="s">
        <v>6459</v>
      </c>
      <c r="F2514" s="17"/>
      <c r="G2514" s="18"/>
      <c r="H2514" s="18"/>
    </row>
    <row r="2515" spans="1:8" ht="13.2">
      <c r="A2515" s="19" t="str">
        <f>HYPERLINK("https://codeforces.com/problemset/problem/632/E","CF632-D12-E")</f>
        <v>CF632-D12-E</v>
      </c>
      <c r="B2515" s="15" t="s">
        <v>6527</v>
      </c>
      <c r="C2515" s="17">
        <v>6</v>
      </c>
      <c r="D2515" s="18"/>
      <c r="E2515" s="17" t="s">
        <v>6511</v>
      </c>
      <c r="F2515" s="17"/>
      <c r="G2515" s="18"/>
      <c r="H2515" s="18"/>
    </row>
    <row r="2516" spans="1:8" ht="13.2">
      <c r="A2516" s="15" t="s">
        <v>6532</v>
      </c>
      <c r="B2516" s="15" t="s">
        <v>6533</v>
      </c>
      <c r="C2516" s="17">
        <v>6</v>
      </c>
      <c r="D2516" s="18"/>
      <c r="E2516" s="17" t="s">
        <v>6529</v>
      </c>
      <c r="F2516" s="17"/>
      <c r="G2516" s="18"/>
      <c r="H2516" s="18"/>
    </row>
    <row r="2517" spans="1:8" ht="13.2">
      <c r="A2517" s="19" t="str">
        <f>HYPERLINK("http://acm.timus.ru/problem.aspx?space=1&amp;num=1099", "TIMUS 1099")</f>
        <v>TIMUS 1099</v>
      </c>
      <c r="B2517" s="15" t="s">
        <v>6534</v>
      </c>
      <c r="C2517" s="17">
        <v>6</v>
      </c>
      <c r="D2517" s="26" t="str">
        <f>HYPERLINK("https://github.com/BoleynSu/CompetitiveProgramming/blob/master/archives/problemset/acm.timus.ru/1099.cpp","Sol")</f>
        <v>Sol</v>
      </c>
      <c r="E2517" s="17" t="s">
        <v>6529</v>
      </c>
      <c r="F2517" s="17"/>
      <c r="G2517" s="18"/>
      <c r="H2517" s="18"/>
    </row>
    <row r="2518" spans="1:8" ht="13.2">
      <c r="A2518" s="15" t="s">
        <v>6535</v>
      </c>
      <c r="B2518" s="15" t="s">
        <v>6536</v>
      </c>
      <c r="C2518" s="17">
        <v>6</v>
      </c>
      <c r="D2518" s="18"/>
      <c r="E2518" s="17" t="s">
        <v>6529</v>
      </c>
      <c r="F2518" s="17"/>
      <c r="G2518" s="18"/>
      <c r="H2518" s="18"/>
    </row>
    <row r="2519" spans="1:8" ht="13.2">
      <c r="A2519" s="19" t="str">
        <f>HYPERLINK("http://codeforces.com/contest/431/problem/E","CF431-D2-E")</f>
        <v>CF431-D2-E</v>
      </c>
      <c r="B2519" s="29" t="s">
        <v>1267</v>
      </c>
      <c r="C2519" s="24">
        <v>6</v>
      </c>
      <c r="D2519" s="18"/>
      <c r="E2519" s="17" t="s">
        <v>1223</v>
      </c>
      <c r="F2519" s="17"/>
      <c r="G2519" s="18"/>
      <c r="H2519" s="18"/>
    </row>
    <row r="2520" spans="1:8" ht="13.2">
      <c r="A2520" s="19" t="str">
        <f>HYPERLINK("http://codeforces.com/contest/374/problem/D", "CF374-D2-D")</f>
        <v>CF374-D2-D</v>
      </c>
      <c r="B2520" s="20" t="s">
        <v>1268</v>
      </c>
      <c r="C2520" s="21">
        <v>6</v>
      </c>
      <c r="D2520" s="26" t="str">
        <f>HYPERLINK("https://github.com/tmwilliamlin168/CompetitiveProgramming/blob/master/CodeForces/CF374-D2-D.cpp", "Sol")</f>
        <v>Sol</v>
      </c>
      <c r="E2520" s="17" t="s">
        <v>1223</v>
      </c>
      <c r="F2520" s="17"/>
      <c r="G2520" s="18"/>
      <c r="H2520" s="18"/>
    </row>
    <row r="2521" spans="1:8" ht="13.2">
      <c r="A2521" s="19" t="str">
        <f>HYPERLINK("http://codeforces.com/contest/610/problem/D","CF610-D2-D")</f>
        <v>CF610-D2-D</v>
      </c>
      <c r="B2521" s="29" t="s">
        <v>1269</v>
      </c>
      <c r="C2521" s="31">
        <v>6</v>
      </c>
      <c r="D2521" s="18"/>
      <c r="E2521" s="17" t="s">
        <v>1223</v>
      </c>
      <c r="F2521" s="17"/>
      <c r="G2521" s="18"/>
      <c r="H2521" s="18"/>
    </row>
    <row r="2522" spans="1:8" ht="13.2">
      <c r="A2522" s="15" t="s">
        <v>1270</v>
      </c>
      <c r="B2522" s="29" t="s">
        <v>1271</v>
      </c>
      <c r="C2522" s="24">
        <v>6</v>
      </c>
      <c r="D2522" s="18" t="s">
        <v>1272</v>
      </c>
      <c r="E2522" s="17" t="s">
        <v>1223</v>
      </c>
      <c r="F2522" s="17"/>
      <c r="G2522" s="18"/>
      <c r="H2522" s="18"/>
    </row>
    <row r="2523" spans="1:8" ht="13.2">
      <c r="A2523" s="19" t="str">
        <f>HYPERLINK("http://codeforces.com/contest/191/problem/E", "CF191-D1-E")</f>
        <v>CF191-D1-E</v>
      </c>
      <c r="B2523" s="20" t="s">
        <v>1273</v>
      </c>
      <c r="C2523" s="21">
        <v>6</v>
      </c>
      <c r="D2523" s="26" t="str">
        <f>HYPERLINK("https://github.com/tmwilliamlin168/CompetitiveProgramming/blob/master/CodeForces/CF191-D1-E.cpp", "SolToMe")</f>
        <v>SolToMe</v>
      </c>
      <c r="E2523" s="17" t="s">
        <v>1223</v>
      </c>
      <c r="F2523" s="17"/>
      <c r="G2523" s="18"/>
      <c r="H2523" s="18"/>
    </row>
    <row r="2524" spans="1:8" ht="13.2">
      <c r="A2524" s="15" t="s">
        <v>1274</v>
      </c>
      <c r="B2524" s="28" t="s">
        <v>1275</v>
      </c>
      <c r="C2524" s="17">
        <v>6</v>
      </c>
      <c r="D2524" s="18"/>
      <c r="E2524" s="17" t="s">
        <v>1223</v>
      </c>
      <c r="F2524" s="17"/>
      <c r="G2524" s="18"/>
      <c r="H2524" s="18"/>
    </row>
    <row r="2525" spans="1:8" ht="13.2">
      <c r="A2525" s="19" t="str">
        <f>HYPERLINK("http://codeforces.com/gym/101492/problem/L","CF101492-GYM-L")</f>
        <v>CF101492-GYM-L</v>
      </c>
      <c r="B2525" s="18" t="s">
        <v>1348</v>
      </c>
      <c r="C2525" s="17">
        <v>6</v>
      </c>
      <c r="D2525" s="18"/>
      <c r="E2525" s="17" t="s">
        <v>1337</v>
      </c>
      <c r="F2525" s="17"/>
      <c r="G2525" s="18"/>
      <c r="H2525" s="18"/>
    </row>
    <row r="2526" spans="1:8" ht="13.2">
      <c r="A2526" s="19" t="str">
        <f>HYPERLINK("http://codeforces.com/contest/208/problem/B","CF208-D2-B")</f>
        <v>CF208-D2-B</v>
      </c>
      <c r="B2526" s="29" t="s">
        <v>1348</v>
      </c>
      <c r="C2526" s="17">
        <v>6</v>
      </c>
      <c r="D2526" s="18"/>
      <c r="E2526" s="17" t="s">
        <v>1337</v>
      </c>
      <c r="F2526" s="17"/>
      <c r="G2526" s="18"/>
      <c r="H2526" s="18"/>
    </row>
    <row r="2527" spans="1:8" ht="13.2">
      <c r="A2527" s="19" t="str">
        <f>HYPERLINK("http://codeforces.com/contest/590/problem/D","CF590-D1-D")</f>
        <v>CF590-D1-D</v>
      </c>
      <c r="B2527" s="15" t="s">
        <v>1348</v>
      </c>
      <c r="C2527" s="24">
        <v>6</v>
      </c>
      <c r="D2527" s="18"/>
      <c r="E2527" s="17" t="s">
        <v>1337</v>
      </c>
      <c r="F2527" s="17"/>
      <c r="G2527" s="18"/>
      <c r="H2527" s="18"/>
    </row>
    <row r="2528" spans="1:8" ht="13.2">
      <c r="A2528" s="19" t="str">
        <f>HYPERLINK("http://codeforces.com/contest/675/problem/E","CF675-D2-E")</f>
        <v>CF675-D2-E</v>
      </c>
      <c r="B2528" s="15" t="s">
        <v>1348</v>
      </c>
      <c r="C2528" s="24">
        <v>6</v>
      </c>
      <c r="D2528" s="18"/>
      <c r="E2528" s="17" t="s">
        <v>1337</v>
      </c>
      <c r="F2528" s="17"/>
      <c r="G2528" s="18"/>
      <c r="H2528" s="18"/>
    </row>
    <row r="2529" spans="1:8" ht="13.2">
      <c r="A2529" s="15" t="s">
        <v>1486</v>
      </c>
      <c r="B2529" s="30" t="s">
        <v>1348</v>
      </c>
      <c r="C2529" s="40">
        <v>6</v>
      </c>
      <c r="D2529" s="18"/>
      <c r="E2529" s="17" t="s">
        <v>1337</v>
      </c>
      <c r="F2529" s="17"/>
      <c r="G2529" s="18"/>
      <c r="H2529" s="18"/>
    </row>
    <row r="2530" spans="1:8" ht="13.2">
      <c r="A2530" s="15" t="s">
        <v>1487</v>
      </c>
      <c r="B2530" s="16" t="s">
        <v>1348</v>
      </c>
      <c r="C2530" s="31">
        <v>6</v>
      </c>
      <c r="D2530" s="18"/>
      <c r="E2530" s="17" t="s">
        <v>1337</v>
      </c>
      <c r="F2530" s="17"/>
      <c r="G2530" s="18"/>
      <c r="H2530" s="18"/>
    </row>
    <row r="2531" spans="1:8" ht="13.2">
      <c r="A2531" s="15" t="s">
        <v>1488</v>
      </c>
      <c r="B2531" s="41" t="s">
        <v>1489</v>
      </c>
      <c r="C2531" s="17">
        <v>6</v>
      </c>
      <c r="D2531" s="18"/>
      <c r="E2531" s="17" t="s">
        <v>1337</v>
      </c>
      <c r="F2531" s="17"/>
      <c r="G2531" s="18"/>
      <c r="H2531" s="18"/>
    </row>
    <row r="2532" spans="1:8" ht="13.2">
      <c r="A2532" s="19" t="str">
        <f>HYPERLINK("http://codeforces.com/contest/300/problem/D","CF300-D2-D")</f>
        <v>CF300-D2-D</v>
      </c>
      <c r="B2532" s="15" t="s">
        <v>1490</v>
      </c>
      <c r="C2532" s="24">
        <v>6</v>
      </c>
      <c r="D2532" s="18"/>
      <c r="E2532" s="17" t="s">
        <v>1337</v>
      </c>
      <c r="F2532" s="17"/>
      <c r="G2532" s="18"/>
      <c r="H2532" s="18"/>
    </row>
    <row r="2533" spans="1:8" ht="13.2">
      <c r="A2533" s="15" t="s">
        <v>1491</v>
      </c>
      <c r="B2533" s="29" t="s">
        <v>1492</v>
      </c>
      <c r="C2533" s="24">
        <v>6</v>
      </c>
      <c r="D2533" s="26" t="str">
        <f>HYPERLINK("http://pavelsimo.blogspot.com/2012/07/uva-11654-arithmetic-subsequence.html","Sol")</f>
        <v>Sol</v>
      </c>
      <c r="E2533" s="17" t="s">
        <v>1337</v>
      </c>
      <c r="F2533" s="17"/>
      <c r="G2533" s="18"/>
      <c r="H2533" s="18"/>
    </row>
    <row r="2534" spans="1:8" ht="13.2">
      <c r="A2534" s="15" t="s">
        <v>1493</v>
      </c>
      <c r="B2534" s="30" t="s">
        <v>1494</v>
      </c>
      <c r="C2534" s="17">
        <v>6</v>
      </c>
      <c r="D2534" s="18"/>
      <c r="E2534" s="17" t="s">
        <v>1337</v>
      </c>
      <c r="F2534" s="17"/>
      <c r="G2534" s="18"/>
      <c r="H2534" s="18"/>
    </row>
    <row r="2535" spans="1:8" ht="13.2">
      <c r="A2535" s="19" t="str">
        <f>HYPERLINK("http://codeforces.com/contest/677/problem/D","CF677-D2-D")</f>
        <v>CF677-D2-D</v>
      </c>
      <c r="B2535" s="29" t="s">
        <v>1495</v>
      </c>
      <c r="C2535" s="17">
        <v>6</v>
      </c>
      <c r="D2535" s="18"/>
      <c r="E2535" s="17" t="s">
        <v>1337</v>
      </c>
      <c r="F2535" s="17"/>
      <c r="G2535" s="18"/>
      <c r="H2535" s="18"/>
    </row>
    <row r="2536" spans="1:8" ht="13.2">
      <c r="A2536" s="19" t="str">
        <f>HYPERLINK("http://codeforces.com/contest/235/problem/B","CF235-D1-B")</f>
        <v>CF235-D1-B</v>
      </c>
      <c r="B2536" s="15" t="s">
        <v>1496</v>
      </c>
      <c r="C2536" s="21">
        <v>6</v>
      </c>
      <c r="D2536" s="18"/>
      <c r="E2536" s="17" t="s">
        <v>1337</v>
      </c>
      <c r="F2536" s="17"/>
      <c r="G2536" s="18"/>
      <c r="H2536" s="18"/>
    </row>
    <row r="2537" spans="1:8" ht="13.2">
      <c r="A2537" s="15" t="s">
        <v>1497</v>
      </c>
      <c r="B2537" s="30" t="s">
        <v>1366</v>
      </c>
      <c r="C2537" s="40">
        <v>6</v>
      </c>
      <c r="D2537" s="18"/>
      <c r="E2537" s="17" t="s">
        <v>1337</v>
      </c>
      <c r="F2537" s="17"/>
      <c r="G2537" s="18"/>
      <c r="H2537" s="18"/>
    </row>
    <row r="2538" spans="1:8" ht="13.2">
      <c r="A2538" s="15" t="s">
        <v>1498</v>
      </c>
      <c r="B2538" s="16" t="s">
        <v>1499</v>
      </c>
      <c r="C2538" s="17">
        <v>6</v>
      </c>
      <c r="D2538" s="18"/>
      <c r="E2538" s="17" t="s">
        <v>1337</v>
      </c>
      <c r="F2538" s="17"/>
      <c r="G2538" s="18"/>
      <c r="H2538" s="18"/>
    </row>
    <row r="2539" spans="1:8" ht="13.2">
      <c r="A2539" s="15" t="s">
        <v>1500</v>
      </c>
      <c r="B2539" s="30" t="s">
        <v>1501</v>
      </c>
      <c r="C2539" s="24">
        <v>6</v>
      </c>
      <c r="D2539" s="18"/>
      <c r="E2539" s="17" t="s">
        <v>1337</v>
      </c>
      <c r="F2539" s="17"/>
      <c r="G2539" s="18"/>
      <c r="H2539" s="18"/>
    </row>
    <row r="2540" spans="1:8" ht="13.2">
      <c r="A2540" s="19" t="str">
        <f>HYPERLINK("http://codeforces.com/contest/157/problem/E","CF157-D2-E")</f>
        <v>CF157-D2-E</v>
      </c>
      <c r="B2540" s="29" t="s">
        <v>1346</v>
      </c>
      <c r="C2540" s="17">
        <v>6</v>
      </c>
      <c r="D2540" s="18"/>
      <c r="E2540" s="17" t="s">
        <v>1337</v>
      </c>
      <c r="F2540" s="17"/>
      <c r="G2540" s="18"/>
      <c r="H2540" s="18"/>
    </row>
    <row r="2541" spans="1:8" ht="13.2">
      <c r="A2541" s="15" t="s">
        <v>1502</v>
      </c>
      <c r="B2541" s="34" t="s">
        <v>1503</v>
      </c>
      <c r="C2541" s="31">
        <v>6</v>
      </c>
      <c r="D2541" s="18"/>
      <c r="E2541" s="17" t="s">
        <v>1337</v>
      </c>
      <c r="F2541" s="17"/>
      <c r="G2541" s="18"/>
      <c r="H2541" s="18"/>
    </row>
    <row r="2542" spans="1:8" ht="13.2">
      <c r="A2542" s="19" t="str">
        <f>HYPERLINK("https://www.codechef.com/problems/MKSTR", "CODECHEF MKSTR")</f>
        <v>CODECHEF MKSTR</v>
      </c>
      <c r="B2542" s="20" t="s">
        <v>1504</v>
      </c>
      <c r="C2542" s="21">
        <v>6</v>
      </c>
      <c r="D2542" s="18"/>
      <c r="E2542" s="17" t="s">
        <v>1337</v>
      </c>
      <c r="F2542" s="17"/>
      <c r="G2542" s="18"/>
      <c r="H2542" s="18"/>
    </row>
    <row r="2543" spans="1:8" ht="13.2">
      <c r="A2543" s="15" t="s">
        <v>1505</v>
      </c>
      <c r="B2543" s="15" t="s">
        <v>1441</v>
      </c>
      <c r="C2543" s="24">
        <v>6</v>
      </c>
      <c r="D2543" s="26" t="str">
        <f>HYPERLINK("https://github.com/goswami-rahul/competitive-coding/blob/master/CompetitiveProgramming/zoj/2349.cpp","Sol")</f>
        <v>Sol</v>
      </c>
      <c r="E2543" s="17" t="s">
        <v>1337</v>
      </c>
      <c r="F2543" s="17"/>
      <c r="G2543" s="18"/>
      <c r="H2543" s="18"/>
    </row>
    <row r="2544" spans="1:8" ht="13.2">
      <c r="A2544" s="15" t="s">
        <v>1707</v>
      </c>
      <c r="B2544" s="30" t="s">
        <v>1708</v>
      </c>
      <c r="C2544" s="17">
        <v>6</v>
      </c>
      <c r="D2544" s="18"/>
      <c r="E2544" s="17" t="s">
        <v>1691</v>
      </c>
      <c r="F2544" s="17"/>
      <c r="G2544" s="18"/>
      <c r="H2544" s="18"/>
    </row>
    <row r="2545" spans="1:8" ht="13.2">
      <c r="A2545" s="15" t="s">
        <v>1723</v>
      </c>
      <c r="B2545" s="30" t="s">
        <v>1722</v>
      </c>
      <c r="C2545" s="24">
        <v>6</v>
      </c>
      <c r="D2545" s="26" t="str">
        <f>HYPERLINK("https://github.com/Mahmoud3ali/CompetitiveProgramming/blob/master/TopCoder/SRM508-D1-500.cpp","Sol")</f>
        <v>Sol</v>
      </c>
      <c r="E2545" s="17" t="s">
        <v>1716</v>
      </c>
      <c r="F2545" s="17"/>
      <c r="G2545" s="18"/>
      <c r="H2545" s="18"/>
    </row>
    <row r="2546" spans="1:8" ht="13.2">
      <c r="A2546" s="19" t="str">
        <f>HYPERLINK("http://codeforces.com/contest/250/problem/E","CF250-D2-E")</f>
        <v>CF250-D2-E</v>
      </c>
      <c r="B2546" s="29" t="s">
        <v>359</v>
      </c>
      <c r="C2546" s="17">
        <v>6</v>
      </c>
      <c r="D2546" s="18"/>
      <c r="E2546" s="17" t="s">
        <v>332</v>
      </c>
      <c r="F2546" s="17"/>
      <c r="G2546" s="18"/>
      <c r="H2546" s="18"/>
    </row>
    <row r="2547" spans="1:8" ht="13.2">
      <c r="A2547" s="15" t="s">
        <v>375</v>
      </c>
      <c r="B2547" s="18" t="s">
        <v>359</v>
      </c>
      <c r="C2547" s="31">
        <v>6</v>
      </c>
      <c r="D2547" s="18"/>
      <c r="E2547" s="17" t="s">
        <v>332</v>
      </c>
      <c r="F2547" s="17"/>
      <c r="G2547" s="18"/>
      <c r="H2547" s="18"/>
    </row>
    <row r="2548" spans="1:8" ht="13.2">
      <c r="A2548" s="15" t="s">
        <v>376</v>
      </c>
      <c r="B2548" s="35" t="s">
        <v>377</v>
      </c>
      <c r="C2548" s="40">
        <v>6</v>
      </c>
      <c r="D2548" s="18"/>
      <c r="E2548" s="17" t="s">
        <v>332</v>
      </c>
      <c r="F2548" s="17"/>
      <c r="G2548" s="18"/>
      <c r="H2548" s="18"/>
    </row>
    <row r="2549" spans="1:8" ht="13.2">
      <c r="A2549" s="19" t="str">
        <f>HYPERLINK("http://codeforces.com/contest/745/problem/D","CF745-D2-D")</f>
        <v>CF745-D2-D</v>
      </c>
      <c r="B2549" s="29" t="s">
        <v>347</v>
      </c>
      <c r="C2549" s="17">
        <v>6</v>
      </c>
      <c r="D2549" s="18"/>
      <c r="E2549" s="17" t="s">
        <v>332</v>
      </c>
      <c r="F2549" s="17"/>
      <c r="G2549" s="18"/>
      <c r="H2549" s="18"/>
    </row>
    <row r="2550" spans="1:8" ht="13.2">
      <c r="A2550" s="19" t="str">
        <f>HYPERLINK("http://codeforces.com/contest/552/problem/E","CF552-D2-E")</f>
        <v>CF552-D2-E</v>
      </c>
      <c r="B2550" s="15" t="s">
        <v>378</v>
      </c>
      <c r="C2550" s="24">
        <v>6</v>
      </c>
      <c r="D2550" s="18"/>
      <c r="E2550" s="17" t="s">
        <v>332</v>
      </c>
      <c r="F2550" s="17"/>
      <c r="G2550" s="18"/>
      <c r="H2550" s="18"/>
    </row>
    <row r="2551" spans="1:8" ht="15" customHeight="1">
      <c r="A2551" s="15" t="s">
        <v>379</v>
      </c>
      <c r="B2551" s="29" t="s">
        <v>380</v>
      </c>
      <c r="C2551" s="31">
        <v>6</v>
      </c>
      <c r="D2551" s="18"/>
      <c r="E2551" s="24" t="s">
        <v>332</v>
      </c>
      <c r="F2551" s="17"/>
      <c r="G2551" s="18"/>
      <c r="H2551" s="18"/>
    </row>
    <row r="2552" spans="1:8" ht="13.2">
      <c r="A2552" s="15" t="s">
        <v>381</v>
      </c>
      <c r="B2552" s="29" t="s">
        <v>382</v>
      </c>
      <c r="C2552" s="31">
        <v>6</v>
      </c>
      <c r="D2552" s="18"/>
      <c r="E2552" s="24" t="s">
        <v>332</v>
      </c>
      <c r="F2552" s="17"/>
      <c r="G2552" s="18"/>
      <c r="H2552" s="18"/>
    </row>
    <row r="2553" spans="1:8" ht="13.2">
      <c r="A2553" s="15" t="s">
        <v>383</v>
      </c>
      <c r="B2553" s="35" t="s">
        <v>384</v>
      </c>
      <c r="C2553" s="40">
        <v>6</v>
      </c>
      <c r="D2553" s="18"/>
      <c r="E2553" s="17" t="s">
        <v>332</v>
      </c>
      <c r="F2553" s="17"/>
      <c r="G2553" s="18"/>
      <c r="H2553" s="18"/>
    </row>
    <row r="2554" spans="1:8" ht="13.2">
      <c r="A2554" s="15" t="s">
        <v>385</v>
      </c>
      <c r="B2554" s="29" t="s">
        <v>386</v>
      </c>
      <c r="C2554" s="31">
        <v>6</v>
      </c>
      <c r="D2554" s="18"/>
      <c r="E2554" s="24" t="s">
        <v>332</v>
      </c>
      <c r="F2554" s="17"/>
      <c r="G2554" s="18"/>
      <c r="H2554" s="18"/>
    </row>
    <row r="2555" spans="1:8" ht="13.2">
      <c r="A2555" s="19" t="str">
        <f>HYPERLINK("http://codeforces.com/contest/448/problem/E","CF448-D2-E")</f>
        <v>CF448-D2-E</v>
      </c>
      <c r="B2555" s="29" t="s">
        <v>387</v>
      </c>
      <c r="C2555" s="17">
        <v>6</v>
      </c>
      <c r="D2555" s="18"/>
      <c r="E2555" s="17" t="s">
        <v>332</v>
      </c>
      <c r="F2555" s="17"/>
      <c r="G2555" s="18"/>
      <c r="H2555" s="18"/>
    </row>
    <row r="2556" spans="1:8" ht="13.2">
      <c r="A2556" s="15" t="s">
        <v>388</v>
      </c>
      <c r="B2556" s="34" t="s">
        <v>389</v>
      </c>
      <c r="C2556" s="31">
        <v>6</v>
      </c>
      <c r="D2556" s="18"/>
      <c r="E2556" s="17" t="s">
        <v>332</v>
      </c>
      <c r="F2556" s="17"/>
      <c r="G2556" s="18"/>
      <c r="H2556" s="18"/>
    </row>
    <row r="2557" spans="1:8" ht="13.2">
      <c r="A2557" s="15" t="s">
        <v>390</v>
      </c>
      <c r="B2557" s="34" t="s">
        <v>391</v>
      </c>
      <c r="C2557" s="31">
        <v>6</v>
      </c>
      <c r="D2557" s="18"/>
      <c r="E2557" s="17" t="s">
        <v>332</v>
      </c>
      <c r="F2557" s="17"/>
      <c r="G2557" s="18"/>
      <c r="H2557" s="18"/>
    </row>
    <row r="2558" spans="1:8" ht="13.2">
      <c r="A2558" s="15" t="s">
        <v>392</v>
      </c>
      <c r="B2558" s="34" t="s">
        <v>391</v>
      </c>
      <c r="C2558" s="31">
        <v>6</v>
      </c>
      <c r="D2558" s="18"/>
      <c r="E2558" s="17" t="s">
        <v>332</v>
      </c>
      <c r="F2558" s="17"/>
      <c r="G2558" s="18"/>
      <c r="H2558" s="18"/>
    </row>
    <row r="2559" spans="1:8" ht="13.2">
      <c r="A2559" s="19" t="str">
        <f>HYPERLINK("https://beta.atcoder.jp/contests/abc113/tasks/abc113_d","AtCoder113-ABC-D")</f>
        <v>AtCoder113-ABC-D</v>
      </c>
      <c r="B2559" s="15" t="s">
        <v>1818</v>
      </c>
      <c r="C2559" s="17">
        <v>6</v>
      </c>
      <c r="D2559" s="18"/>
      <c r="E2559" s="17" t="s">
        <v>1819</v>
      </c>
      <c r="F2559" s="17"/>
      <c r="G2559" s="18"/>
      <c r="H2559" s="18"/>
    </row>
    <row r="2560" spans="1:8" ht="13.2">
      <c r="A2560" s="19" t="str">
        <f>HYPERLINK("http://codeforces.com/gym/101484/problem/E","CF101484-GYM-K")</f>
        <v>CF101484-GYM-K</v>
      </c>
      <c r="B2560" s="15" t="s">
        <v>1818</v>
      </c>
      <c r="C2560" s="17">
        <v>6</v>
      </c>
      <c r="D2560" s="26" t="str">
        <f>HYPERLINK("https://github.com/HosamEissa/Competitive-programming-/blob/master/Codeforces/CF101484-GYM-K.cpp","Sol")</f>
        <v>Sol</v>
      </c>
      <c r="E2560" s="17" t="s">
        <v>1819</v>
      </c>
      <c r="F2560" s="17"/>
      <c r="G2560" s="18"/>
      <c r="H2560" s="18"/>
    </row>
    <row r="2561" spans="1:8" ht="13.2">
      <c r="A2561" s="15" t="s">
        <v>1855</v>
      </c>
      <c r="B2561" s="28" t="s">
        <v>1818</v>
      </c>
      <c r="C2561" s="24">
        <v>6</v>
      </c>
      <c r="D2561" s="26" t="str">
        <f>HYPERLINK("https://github.com/OmarHashim/Competitive-Programming/blob/master/SPOJ/HELPBOB.cpp","Sol")</f>
        <v>Sol</v>
      </c>
      <c r="E2561" s="17" t="s">
        <v>1819</v>
      </c>
      <c r="F2561" s="17"/>
      <c r="G2561" s="18"/>
      <c r="H2561" s="18"/>
    </row>
    <row r="2562" spans="1:8" ht="13.2">
      <c r="A2562" s="19" t="str">
        <f>HYPERLINK("http://codeforces.com/contest/472/problem/G","CF472-D12-G")</f>
        <v>CF472-D12-G</v>
      </c>
      <c r="B2562" s="15" t="s">
        <v>1856</v>
      </c>
      <c r="C2562" s="24">
        <v>6</v>
      </c>
      <c r="D2562" s="18"/>
      <c r="E2562" s="17" t="s">
        <v>1819</v>
      </c>
      <c r="F2562" s="17"/>
      <c r="G2562" s="18"/>
      <c r="H2562" s="18"/>
    </row>
    <row r="2563" spans="1:8" ht="13.2">
      <c r="A2563" s="15" t="s">
        <v>1857</v>
      </c>
      <c r="B2563" s="16" t="s">
        <v>1858</v>
      </c>
      <c r="C2563" s="31">
        <v>6</v>
      </c>
      <c r="D2563" s="18"/>
      <c r="E2563" s="17" t="s">
        <v>1819</v>
      </c>
      <c r="F2563" s="17"/>
      <c r="G2563" s="18"/>
      <c r="H2563" s="18"/>
    </row>
    <row r="2564" spans="1:8" ht="13.2">
      <c r="A2564" s="15" t="s">
        <v>1859</v>
      </c>
      <c r="B2564" s="29" t="s">
        <v>1860</v>
      </c>
      <c r="C2564" s="17">
        <v>6</v>
      </c>
      <c r="D2564" s="26" t="str">
        <f>HYPERLINK("https://github.com/SaraElkadi/competitive-programming-/blob/master/UVA/11284.cpp","Sol")</f>
        <v>Sol</v>
      </c>
      <c r="E2564" s="17" t="s">
        <v>1819</v>
      </c>
      <c r="F2564" s="17"/>
      <c r="G2564" s="18"/>
      <c r="H2564" s="18"/>
    </row>
    <row r="2565" spans="1:8" ht="13.2">
      <c r="A2565" s="19" t="str">
        <f>HYPERLINK("http://codeforces.com/contest/510/problem/D","CF510-D2-D")</f>
        <v>CF510-D2-D</v>
      </c>
      <c r="B2565" s="15" t="s">
        <v>1861</v>
      </c>
      <c r="C2565" s="24">
        <v>6</v>
      </c>
      <c r="D2565" s="18"/>
      <c r="E2565" s="17" t="s">
        <v>1819</v>
      </c>
      <c r="F2565" s="17"/>
      <c r="G2565" s="18"/>
      <c r="H2565" s="18"/>
    </row>
    <row r="2566" spans="1:8" ht="13.2">
      <c r="A2566" s="19" t="str">
        <f>HYPERLINK("http://codeforces.com/contest/156/problem/C","CF156-D1-C")</f>
        <v>CF156-D1-C</v>
      </c>
      <c r="B2566" s="29" t="s">
        <v>1913</v>
      </c>
      <c r="C2566" s="17">
        <v>6</v>
      </c>
      <c r="D2566" s="18"/>
      <c r="E2566" s="17" t="s">
        <v>1909</v>
      </c>
      <c r="F2566" s="17"/>
      <c r="G2566" s="18"/>
      <c r="H2566" s="18"/>
    </row>
    <row r="2567" spans="1:8" ht="13.2">
      <c r="A2567" s="15" t="s">
        <v>1954</v>
      </c>
      <c r="B2567" s="29" t="s">
        <v>1913</v>
      </c>
      <c r="C2567" s="24">
        <v>6</v>
      </c>
      <c r="D2567" s="18"/>
      <c r="E2567" s="17" t="s">
        <v>1909</v>
      </c>
      <c r="F2567" s="17"/>
      <c r="G2567" s="18"/>
      <c r="H2567" s="18"/>
    </row>
    <row r="2568" spans="1:8" ht="13.2">
      <c r="A2568" s="19" t="str">
        <f>HYPERLINK("http://codeforces.com/contest/489/problem/F","CF489-D2-F")</f>
        <v>CF489-D2-F</v>
      </c>
      <c r="B2568" s="29" t="s">
        <v>1955</v>
      </c>
      <c r="C2568" s="17">
        <v>6</v>
      </c>
      <c r="D2568" s="18"/>
      <c r="E2568" s="17" t="s">
        <v>1909</v>
      </c>
      <c r="F2568" s="17"/>
      <c r="G2568" s="18"/>
      <c r="H2568" s="18"/>
    </row>
    <row r="2569" spans="1:8" ht="13.2">
      <c r="A2569" s="15" t="s">
        <v>1956</v>
      </c>
      <c r="B2569" s="28" t="s">
        <v>1908</v>
      </c>
      <c r="C2569" s="24">
        <v>6</v>
      </c>
      <c r="D2569" s="18"/>
      <c r="E2569" s="17" t="s">
        <v>1909</v>
      </c>
      <c r="F2569" s="17"/>
      <c r="G2569" s="18"/>
      <c r="H2569" s="18"/>
    </row>
    <row r="2570" spans="1:8" ht="13.2">
      <c r="A2570" s="15" t="s">
        <v>1957</v>
      </c>
      <c r="B2570" s="41" t="s">
        <v>1958</v>
      </c>
      <c r="C2570" s="17">
        <v>6</v>
      </c>
      <c r="D2570" s="18"/>
      <c r="E2570" s="17" t="s">
        <v>1909</v>
      </c>
      <c r="F2570" s="17"/>
      <c r="G2570" s="18"/>
      <c r="H2570" s="18"/>
    </row>
    <row r="2571" spans="1:8" ht="13.2">
      <c r="A2571" s="15" t="s">
        <v>1959</v>
      </c>
      <c r="B2571" s="30" t="s">
        <v>1939</v>
      </c>
      <c r="C2571" s="24">
        <v>6</v>
      </c>
      <c r="D2571" s="18"/>
      <c r="E2571" s="17" t="s">
        <v>1909</v>
      </c>
      <c r="F2571" s="17"/>
      <c r="G2571" s="18"/>
      <c r="H2571" s="18"/>
    </row>
    <row r="2572" spans="1:8" ht="13.2">
      <c r="A2572" s="15" t="s">
        <v>1960</v>
      </c>
      <c r="B2572" s="29" t="s">
        <v>1961</v>
      </c>
      <c r="C2572" s="17">
        <v>6</v>
      </c>
      <c r="D2572" s="18"/>
      <c r="E2572" s="17" t="s">
        <v>1909</v>
      </c>
      <c r="F2572" s="17"/>
      <c r="G2572" s="18"/>
      <c r="H2572" s="18"/>
    </row>
    <row r="2573" spans="1:8" ht="13.2">
      <c r="A2573" s="15" t="s">
        <v>2000</v>
      </c>
      <c r="B2573" s="30" t="s">
        <v>2001</v>
      </c>
      <c r="C2573" s="24">
        <v>6</v>
      </c>
      <c r="D2573" s="18"/>
      <c r="E2573" s="17" t="s">
        <v>1989</v>
      </c>
      <c r="F2573" s="17"/>
      <c r="G2573" s="18"/>
      <c r="H2573" s="18"/>
    </row>
    <row r="2574" spans="1:8" ht="13.2">
      <c r="A2574" s="15" t="s">
        <v>2047</v>
      </c>
      <c r="B2574" s="18" t="s">
        <v>2025</v>
      </c>
      <c r="C2574" s="17">
        <v>6</v>
      </c>
      <c r="D2574" s="18"/>
      <c r="E2574" s="17" t="s">
        <v>2026</v>
      </c>
      <c r="F2574" s="17"/>
      <c r="G2574" s="18"/>
      <c r="H2574" s="18"/>
    </row>
    <row r="2575" spans="1:8" ht="13.2">
      <c r="A2575" s="19" t="str">
        <f>HYPERLINK("http://codeforces.com/contest/236/problem/D","CF236-D2-D")</f>
        <v>CF236-D2-D</v>
      </c>
      <c r="B2575" s="29" t="s">
        <v>2027</v>
      </c>
      <c r="C2575" s="17">
        <v>6</v>
      </c>
      <c r="D2575" s="18"/>
      <c r="E2575" s="17" t="s">
        <v>2026</v>
      </c>
      <c r="F2575" s="17"/>
      <c r="G2575" s="18"/>
      <c r="H2575" s="18"/>
    </row>
    <row r="2576" spans="1:8" ht="13.2">
      <c r="A2576" s="19" t="str">
        <f>HYPERLINK("http://codeforces.com/contest/167/problem/D","CF167-D1-D")</f>
        <v>CF167-D1-D</v>
      </c>
      <c r="B2576" s="15" t="s">
        <v>2048</v>
      </c>
      <c r="C2576" s="24">
        <v>6</v>
      </c>
      <c r="D2576" s="18"/>
      <c r="E2576" s="17" t="s">
        <v>2026</v>
      </c>
      <c r="F2576" s="17"/>
      <c r="G2576" s="18"/>
      <c r="H2576" s="18"/>
    </row>
    <row r="2577" spans="1:8" ht="13.2">
      <c r="A2577" s="15" t="s">
        <v>2049</v>
      </c>
      <c r="B2577" s="30" t="s">
        <v>2050</v>
      </c>
      <c r="C2577" s="24">
        <v>6</v>
      </c>
      <c r="D2577" s="18"/>
      <c r="E2577" s="17" t="s">
        <v>2026</v>
      </c>
      <c r="F2577" s="17"/>
      <c r="G2577" s="18"/>
      <c r="H2577" s="18"/>
    </row>
    <row r="2578" spans="1:8" ht="13.2">
      <c r="A2578" s="15" t="s">
        <v>519</v>
      </c>
      <c r="B2578" s="28" t="s">
        <v>502</v>
      </c>
      <c r="C2578" s="31">
        <v>6</v>
      </c>
      <c r="D2578" s="18"/>
      <c r="E2578" s="17" t="s">
        <v>503</v>
      </c>
      <c r="F2578" s="17"/>
      <c r="G2578" s="18"/>
      <c r="H2578" s="18"/>
    </row>
    <row r="2579" spans="1:8" ht="13.2">
      <c r="A2579" s="15" t="s">
        <v>520</v>
      </c>
      <c r="B2579" s="16" t="s">
        <v>502</v>
      </c>
      <c r="C2579" s="31">
        <v>6</v>
      </c>
      <c r="D2579" s="18"/>
      <c r="E2579" s="17" t="s">
        <v>503</v>
      </c>
      <c r="F2579" s="17"/>
      <c r="G2579" s="18"/>
      <c r="H2579" s="18"/>
    </row>
    <row r="2580" spans="1:8" ht="13.2">
      <c r="A2580" s="15" t="s">
        <v>521</v>
      </c>
      <c r="B2580" s="41" t="s">
        <v>502</v>
      </c>
      <c r="C2580" s="31">
        <v>6</v>
      </c>
      <c r="D2580" s="18"/>
      <c r="E2580" s="17" t="s">
        <v>503</v>
      </c>
      <c r="F2580" s="17"/>
      <c r="G2580" s="18"/>
      <c r="H2580" s="18"/>
    </row>
    <row r="2581" spans="1:8" ht="13.2">
      <c r="A2581" s="15" t="s">
        <v>522</v>
      </c>
      <c r="B2581" s="35" t="s">
        <v>502</v>
      </c>
      <c r="C2581" s="40">
        <v>6</v>
      </c>
      <c r="D2581" s="18"/>
      <c r="E2581" s="17" t="s">
        <v>503</v>
      </c>
      <c r="F2581" s="17"/>
      <c r="G2581" s="18"/>
      <c r="H2581" s="18"/>
    </row>
    <row r="2582" spans="1:8" ht="13.2">
      <c r="A2582" s="15" t="s">
        <v>523</v>
      </c>
      <c r="B2582" s="15" t="s">
        <v>502</v>
      </c>
      <c r="C2582" s="17">
        <v>6</v>
      </c>
      <c r="D2582" s="18"/>
      <c r="E2582" s="17" t="s">
        <v>503</v>
      </c>
      <c r="F2582" s="17"/>
      <c r="G2582" s="18"/>
      <c r="H2582" s="18"/>
    </row>
    <row r="2583" spans="1:8" ht="13.2">
      <c r="A2583" s="15" t="s">
        <v>524</v>
      </c>
      <c r="B2583" s="34" t="s">
        <v>525</v>
      </c>
      <c r="C2583" s="31">
        <v>6</v>
      </c>
      <c r="D2583" s="18"/>
      <c r="E2583" s="17" t="s">
        <v>503</v>
      </c>
      <c r="F2583" s="17"/>
      <c r="G2583" s="18"/>
      <c r="H2583" s="18"/>
    </row>
    <row r="2584" spans="1:8" ht="13.2">
      <c r="A2584" s="15" t="s">
        <v>526</v>
      </c>
      <c r="B2584" s="41" t="s">
        <v>527</v>
      </c>
      <c r="C2584" s="17">
        <v>6</v>
      </c>
      <c r="D2584" s="18"/>
      <c r="E2584" s="17" t="s">
        <v>503</v>
      </c>
      <c r="F2584" s="17"/>
      <c r="G2584" s="18"/>
      <c r="H2584" s="18"/>
    </row>
    <row r="2585" spans="1:8" ht="13.2">
      <c r="A2585" s="15" t="s">
        <v>2090</v>
      </c>
      <c r="B2585" s="28" t="s">
        <v>2073</v>
      </c>
      <c r="C2585" s="24">
        <v>6</v>
      </c>
      <c r="D2585" s="18"/>
      <c r="E2585" s="17" t="s">
        <v>2074</v>
      </c>
      <c r="F2585" s="17"/>
      <c r="G2585" s="18"/>
      <c r="H2585" s="18"/>
    </row>
    <row r="2586" spans="1:8" ht="13.2">
      <c r="A2586" s="15" t="s">
        <v>2091</v>
      </c>
      <c r="B2586" s="28" t="s">
        <v>2073</v>
      </c>
      <c r="C2586" s="17">
        <v>6</v>
      </c>
      <c r="D2586" s="18"/>
      <c r="E2586" s="17" t="s">
        <v>2074</v>
      </c>
      <c r="F2586" s="17"/>
      <c r="G2586" s="18"/>
      <c r="H2586" s="18"/>
    </row>
    <row r="2587" spans="1:8" ht="13.2">
      <c r="A2587" s="19" t="str">
        <f>HYPERLINK("http://codeforces.com/contest/432/problem/E","CF432-D2-E")</f>
        <v>CF432-D2-E</v>
      </c>
      <c r="B2587" s="15" t="s">
        <v>2163</v>
      </c>
      <c r="C2587" s="24">
        <v>6</v>
      </c>
      <c r="D2587" s="18"/>
      <c r="E2587" s="17" t="s">
        <v>2153</v>
      </c>
      <c r="F2587" s="17"/>
      <c r="G2587" s="18"/>
      <c r="H2587" s="18"/>
    </row>
    <row r="2588" spans="1:8" ht="13.2">
      <c r="A2588" s="19" t="str">
        <f>HYPERLINK("http://codeforces.com/contest/627/problem/C","CF627-D12-C")</f>
        <v>CF627-D12-C</v>
      </c>
      <c r="B2588" s="15" t="s">
        <v>2163</v>
      </c>
      <c r="C2588" s="24">
        <v>6</v>
      </c>
      <c r="D2588" s="18"/>
      <c r="E2588" s="17" t="s">
        <v>2153</v>
      </c>
      <c r="F2588" s="17"/>
      <c r="G2588" s="18"/>
      <c r="H2588" s="18"/>
    </row>
    <row r="2589" spans="1:8" ht="13.2">
      <c r="A2589" s="19" t="str">
        <f>HYPERLINK("http://codeforces.com/problemset/problem/884/D","CF884-D12-D")</f>
        <v>CF884-D12-D</v>
      </c>
      <c r="B2589" s="18" t="s">
        <v>2163</v>
      </c>
      <c r="C2589" s="17">
        <v>6</v>
      </c>
      <c r="D2589" s="18"/>
      <c r="E2589" s="17" t="s">
        <v>2153</v>
      </c>
      <c r="F2589" s="17"/>
      <c r="G2589" s="18"/>
      <c r="H2589" s="18"/>
    </row>
    <row r="2590" spans="1:8" ht="13.2">
      <c r="A2590" s="19" t="str">
        <f>HYPERLINK("https://www.codechef.com/problems/CENTREE","CODECHEF CENTREE")</f>
        <v>CODECHEF CENTREE</v>
      </c>
      <c r="B2590" s="18" t="s">
        <v>2163</v>
      </c>
      <c r="C2590" s="24">
        <v>6</v>
      </c>
      <c r="D2590" s="18"/>
      <c r="E2590" s="17" t="s">
        <v>2153</v>
      </c>
      <c r="F2590" s="17"/>
      <c r="G2590" s="18"/>
      <c r="H2590" s="18"/>
    </row>
    <row r="2591" spans="1:8" ht="13.2">
      <c r="A2591" s="15" t="s">
        <v>2228</v>
      </c>
      <c r="B2591" s="30" t="s">
        <v>2163</v>
      </c>
      <c r="C2591" s="40">
        <v>6</v>
      </c>
      <c r="D2591" s="26" t="str">
        <f>HYPERLINK("https://github.com/ahmedcpbl/CompetitiveProgramming/blob/master/TopCoder/SRM421-D1-500.cpp","SolToMe")</f>
        <v>SolToMe</v>
      </c>
      <c r="E2591" s="17" t="s">
        <v>2153</v>
      </c>
      <c r="F2591" s="17"/>
      <c r="G2591" s="18"/>
      <c r="H2591" s="18"/>
    </row>
    <row r="2592" spans="1:8" ht="13.2">
      <c r="A2592" s="15" t="s">
        <v>2229</v>
      </c>
      <c r="B2592" s="29" t="s">
        <v>2163</v>
      </c>
      <c r="C2592" s="31">
        <v>6</v>
      </c>
      <c r="D2592" s="18"/>
      <c r="E2592" s="24" t="s">
        <v>2153</v>
      </c>
      <c r="F2592" s="17"/>
      <c r="G2592" s="18"/>
      <c r="H2592" s="18"/>
    </row>
    <row r="2593" spans="1:8" ht="13.2">
      <c r="A2593" s="15" t="s">
        <v>2230</v>
      </c>
      <c r="B2593" s="30" t="s">
        <v>2163</v>
      </c>
      <c r="C2593" s="40">
        <v>6</v>
      </c>
      <c r="D2593" s="18"/>
      <c r="E2593" s="17" t="s">
        <v>2153</v>
      </c>
      <c r="F2593" s="17"/>
      <c r="G2593" s="18"/>
      <c r="H2593" s="18"/>
    </row>
    <row r="2594" spans="1:8" ht="13.2">
      <c r="A2594" s="15" t="s">
        <v>2231</v>
      </c>
      <c r="B2594" s="30" t="s">
        <v>2163</v>
      </c>
      <c r="C2594" s="24">
        <v>6</v>
      </c>
      <c r="D2594" s="18"/>
      <c r="E2594" s="17" t="s">
        <v>2153</v>
      </c>
      <c r="F2594" s="17"/>
      <c r="G2594" s="18"/>
      <c r="H2594" s="18"/>
    </row>
    <row r="2595" spans="1:8" ht="13.2">
      <c r="A2595" s="19" t="str">
        <f>HYPERLINK("http://codeforces.com/contest/679/problem/B","CF679-D1-B")</f>
        <v>CF679-D1-B</v>
      </c>
      <c r="B2595" s="29" t="s">
        <v>2232</v>
      </c>
      <c r="C2595" s="17">
        <v>6</v>
      </c>
      <c r="D2595" s="18"/>
      <c r="E2595" s="17" t="s">
        <v>2153</v>
      </c>
      <c r="F2595" s="17"/>
      <c r="G2595" s="18"/>
      <c r="H2595" s="18"/>
    </row>
    <row r="2596" spans="1:8" ht="13.2">
      <c r="A2596" s="19" t="str">
        <f>HYPERLINK("http://codeforces.com/contest/518/problem/E","CF518-D2-E")</f>
        <v>CF518-D2-E</v>
      </c>
      <c r="B2596" s="20" t="s">
        <v>2233</v>
      </c>
      <c r="C2596" s="21">
        <v>6</v>
      </c>
      <c r="D2596" s="26" t="str">
        <f>HYPERLINK("https://github.com/tmwilliamlin168/CompetitiveProgramming/blob/master/CodeForces/CF518-D2-E.cpp", "SolToMe")</f>
        <v>SolToMe</v>
      </c>
      <c r="E2596" s="17" t="s">
        <v>2153</v>
      </c>
      <c r="F2596" s="17"/>
      <c r="G2596" s="18"/>
      <c r="H2596" s="18"/>
    </row>
    <row r="2597" spans="1:8" ht="13.2">
      <c r="A2597" s="19" t="str">
        <f>HYPERLINK("http://codeforces.com/problemset/problem/463/E","CF463-D2-E")</f>
        <v>CF463-D2-E</v>
      </c>
      <c r="B2597" s="29" t="s">
        <v>2234</v>
      </c>
      <c r="C2597" s="17">
        <v>6</v>
      </c>
      <c r="D2597" s="18"/>
      <c r="E2597" s="17" t="s">
        <v>2153</v>
      </c>
      <c r="F2597" s="17"/>
      <c r="G2597" s="18"/>
      <c r="H2597" s="18"/>
    </row>
    <row r="2598" spans="1:8" ht="13.2">
      <c r="A2598" s="19" t="str">
        <f>HYPERLINK("http://codeforces.com/contest/748/problem/E","CF748-D12-E")</f>
        <v>CF748-D12-E</v>
      </c>
      <c r="B2598" s="29" t="s">
        <v>2157</v>
      </c>
      <c r="C2598" s="17">
        <v>6</v>
      </c>
      <c r="D2598" s="18"/>
      <c r="E2598" s="17" t="s">
        <v>2153</v>
      </c>
      <c r="F2598" s="17"/>
      <c r="G2598" s="18"/>
      <c r="H2598" s="18"/>
    </row>
    <row r="2599" spans="1:8" ht="13.2">
      <c r="A2599" s="19" t="str">
        <f>HYPERLINK("http://codeforces.com/contest/416/problem/D","CF416-D2-D")</f>
        <v>CF416-D2-D</v>
      </c>
      <c r="B2599" s="29" t="s">
        <v>2235</v>
      </c>
      <c r="C2599" s="33">
        <v>6</v>
      </c>
      <c r="D2599" s="18"/>
      <c r="E2599" s="17" t="s">
        <v>2153</v>
      </c>
      <c r="F2599" s="17"/>
      <c r="G2599" s="18"/>
      <c r="H2599" s="18"/>
    </row>
    <row r="2600" spans="1:8" ht="13.2">
      <c r="A2600" s="15" t="s">
        <v>2236</v>
      </c>
      <c r="B2600" s="28" t="s">
        <v>2237</v>
      </c>
      <c r="C2600" s="17">
        <v>6</v>
      </c>
      <c r="D2600" s="18"/>
      <c r="E2600" s="17" t="s">
        <v>2153</v>
      </c>
      <c r="F2600" s="17"/>
      <c r="G2600" s="18"/>
      <c r="H2600" s="18"/>
    </row>
    <row r="2601" spans="1:8" ht="13.2">
      <c r="A2601" s="15" t="s">
        <v>2238</v>
      </c>
      <c r="B2601" s="28" t="s">
        <v>2239</v>
      </c>
      <c r="C2601" s="24">
        <v>6</v>
      </c>
      <c r="D2601" s="18"/>
      <c r="E2601" s="24" t="s">
        <v>2153</v>
      </c>
      <c r="F2601" s="17"/>
      <c r="G2601" s="18"/>
      <c r="H2601" s="18"/>
    </row>
    <row r="2602" spans="1:8" ht="13.2">
      <c r="A2602" s="15" t="s">
        <v>2240</v>
      </c>
      <c r="B2602" s="30" t="s">
        <v>2181</v>
      </c>
      <c r="C2602" s="40">
        <v>6</v>
      </c>
      <c r="D2602" s="18"/>
      <c r="E2602" s="17" t="s">
        <v>2153</v>
      </c>
      <c r="F2602" s="17"/>
      <c r="G2602" s="18"/>
      <c r="H2602" s="18"/>
    </row>
    <row r="2603" spans="1:8" ht="13.2">
      <c r="A2603" s="19" t="str">
        <f>HYPERLINK("http://codeforces.com/contest/86/problem/B","CF86-D12-B")</f>
        <v>CF86-D12-B</v>
      </c>
      <c r="B2603" s="15" t="s">
        <v>2241</v>
      </c>
      <c r="C2603" s="24">
        <v>6</v>
      </c>
      <c r="D2603" s="18"/>
      <c r="E2603" s="17" t="s">
        <v>2153</v>
      </c>
      <c r="F2603" s="17"/>
      <c r="G2603" s="18"/>
      <c r="H2603" s="18"/>
    </row>
    <row r="2604" spans="1:8" ht="13.2">
      <c r="A2604" s="19" t="str">
        <f>HYPERLINK("http://codeforces.com/contest/746/problem/E","CF746-D2-E")</f>
        <v>CF746-D2-E</v>
      </c>
      <c r="B2604" s="29" t="s">
        <v>2225</v>
      </c>
      <c r="C2604" s="24">
        <v>6</v>
      </c>
      <c r="D2604" s="18"/>
      <c r="E2604" s="17" t="s">
        <v>2153</v>
      </c>
      <c r="F2604" s="17"/>
      <c r="G2604" s="18"/>
      <c r="H2604" s="18"/>
    </row>
    <row r="2605" spans="1:8" ht="13.2">
      <c r="A2605" s="15" t="s">
        <v>2242</v>
      </c>
      <c r="B2605" s="34" t="s">
        <v>2200</v>
      </c>
      <c r="C2605" s="31">
        <v>6</v>
      </c>
      <c r="D2605" s="18"/>
      <c r="E2605" s="17" t="s">
        <v>2153</v>
      </c>
      <c r="F2605" s="17"/>
      <c r="G2605" s="18"/>
      <c r="H2605" s="18"/>
    </row>
    <row r="2606" spans="1:8" ht="13.2">
      <c r="A2606" s="15" t="s">
        <v>2243</v>
      </c>
      <c r="B2606" s="34" t="s">
        <v>2244</v>
      </c>
      <c r="C2606" s="17">
        <v>6</v>
      </c>
      <c r="D2606" s="18"/>
      <c r="E2606" s="17" t="s">
        <v>2153</v>
      </c>
      <c r="F2606" s="17"/>
      <c r="G2606" s="18"/>
      <c r="H2606" s="18"/>
    </row>
    <row r="2607" spans="1:8" ht="13.2">
      <c r="A2607" s="19" t="str">
        <f>HYPERLINK("https://www.codechef.com/problems/XTGR", "CODECHEF XTGR")</f>
        <v>CODECHEF XTGR</v>
      </c>
      <c r="B2607" s="20" t="s">
        <v>2245</v>
      </c>
      <c r="C2607" s="21">
        <v>6</v>
      </c>
      <c r="D2607" s="18"/>
      <c r="E2607" s="17" t="s">
        <v>2153</v>
      </c>
      <c r="F2607" s="17"/>
      <c r="G2607" s="18"/>
      <c r="H2607" s="18"/>
    </row>
    <row r="2608" spans="1:8" ht="13.2">
      <c r="A2608" s="15" t="s">
        <v>2246</v>
      </c>
      <c r="B2608" s="29" t="s">
        <v>2247</v>
      </c>
      <c r="C2608" s="31">
        <v>6</v>
      </c>
      <c r="D2608" s="18"/>
      <c r="E2608" s="24" t="s">
        <v>2153</v>
      </c>
      <c r="F2608" s="17"/>
      <c r="G2608" s="18"/>
      <c r="H2608" s="18"/>
    </row>
    <row r="2609" spans="1:8" ht="13.2">
      <c r="A2609" s="19" t="str">
        <f>HYPERLINK("http://codeforces.com/contest/976/problem/E", "CF976-D2-E")</f>
        <v>CF976-D2-E</v>
      </c>
      <c r="B2609" s="52" t="s">
        <v>2248</v>
      </c>
      <c r="C2609" s="17">
        <v>6</v>
      </c>
      <c r="D2609" s="26" t="str">
        <f>HYPERLINK("https://github.com/Huvok/CompetitiveProgramming/blob/master/Codeforces/CF976-D2-E.cpp", "SolToMe")</f>
        <v>SolToMe</v>
      </c>
      <c r="E2609" s="17" t="s">
        <v>2153</v>
      </c>
      <c r="F2609" s="17"/>
      <c r="G2609" s="18"/>
      <c r="H2609" s="18"/>
    </row>
    <row r="2610" spans="1:8" ht="13.2">
      <c r="A2610" s="19" t="str">
        <f>HYPERLINK("http://codeforces.com/contest/282/problem/D","CF282-D2-D")</f>
        <v>CF282-D2-D</v>
      </c>
      <c r="B2610" s="29" t="s">
        <v>2507</v>
      </c>
      <c r="C2610" s="24">
        <v>6</v>
      </c>
      <c r="D2610" s="18"/>
      <c r="E2610" s="17" t="s">
        <v>2506</v>
      </c>
      <c r="F2610" s="17"/>
      <c r="G2610" s="18"/>
      <c r="H2610" s="18"/>
    </row>
    <row r="2611" spans="1:8" ht="13.2">
      <c r="A2611" s="19" t="str">
        <f>HYPERLINK("http://codeforces.com/contest/346/problem/D","CF346-D1-D")</f>
        <v>CF346-D1-D</v>
      </c>
      <c r="B2611" s="15" t="s">
        <v>2509</v>
      </c>
      <c r="C2611" s="24">
        <v>6</v>
      </c>
      <c r="D2611" s="18"/>
      <c r="E2611" s="17" t="s">
        <v>2510</v>
      </c>
      <c r="F2611" s="17"/>
      <c r="G2611" s="18"/>
      <c r="H2611" s="18"/>
    </row>
    <row r="2612" spans="1:8" ht="13.2">
      <c r="A2612" s="15" t="s">
        <v>2660</v>
      </c>
      <c r="B2612" s="30" t="s">
        <v>2561</v>
      </c>
      <c r="C2612" s="24">
        <v>6</v>
      </c>
      <c r="D2612" s="18"/>
      <c r="E2612" s="17" t="s">
        <v>2510</v>
      </c>
      <c r="F2612" s="17"/>
      <c r="G2612" s="18"/>
      <c r="H2612" s="18"/>
    </row>
    <row r="2613" spans="1:8" ht="13.2">
      <c r="A2613" s="15" t="s">
        <v>2661</v>
      </c>
      <c r="B2613" s="30" t="s">
        <v>2561</v>
      </c>
      <c r="C2613" s="24">
        <v>6</v>
      </c>
      <c r="D2613" s="18"/>
      <c r="E2613" s="17" t="s">
        <v>2510</v>
      </c>
      <c r="F2613" s="17"/>
      <c r="G2613" s="18"/>
      <c r="H2613" s="18"/>
    </row>
    <row r="2614" spans="1:8" ht="13.2">
      <c r="A2614" s="15" t="s">
        <v>2662</v>
      </c>
      <c r="B2614" s="16" t="s">
        <v>2663</v>
      </c>
      <c r="C2614" s="17">
        <v>6</v>
      </c>
      <c r="D2614" s="18"/>
      <c r="E2614" s="17" t="s">
        <v>2510</v>
      </c>
      <c r="F2614" s="17"/>
      <c r="G2614" s="18"/>
      <c r="H2614" s="18"/>
    </row>
    <row r="2615" spans="1:8" ht="13.2">
      <c r="A2615" s="15" t="s">
        <v>2664</v>
      </c>
      <c r="B2615" s="28" t="s">
        <v>2665</v>
      </c>
      <c r="C2615" s="24">
        <v>6</v>
      </c>
      <c r="D2615" s="18"/>
      <c r="E2615" s="17" t="s">
        <v>2510</v>
      </c>
      <c r="F2615" s="17"/>
      <c r="G2615" s="18"/>
      <c r="H2615" s="18"/>
    </row>
    <row r="2616" spans="1:8" ht="13.2">
      <c r="A2616" s="15" t="s">
        <v>2666</v>
      </c>
      <c r="B2616" s="29" t="s">
        <v>2667</v>
      </c>
      <c r="C2616" s="24">
        <v>6</v>
      </c>
      <c r="D2616" s="26" t="str">
        <f>HYPERLINK("http://harunurrashid-coding.blogspot.com/2014/08/problem-link-httpwww_19.html","Sol")</f>
        <v>Sol</v>
      </c>
      <c r="E2616" s="17" t="s">
        <v>2510</v>
      </c>
      <c r="F2616" s="17"/>
      <c r="G2616" s="18"/>
      <c r="H2616" s="18"/>
    </row>
    <row r="2617" spans="1:8" ht="13.2">
      <c r="A2617" s="15" t="s">
        <v>2907</v>
      </c>
      <c r="B2617" s="29" t="s">
        <v>2908</v>
      </c>
      <c r="C2617" s="24">
        <v>6</v>
      </c>
      <c r="D2617" s="18"/>
      <c r="E2617" s="17" t="s">
        <v>2865</v>
      </c>
      <c r="F2617" s="17"/>
      <c r="G2617" s="18"/>
      <c r="H2617" s="18"/>
    </row>
    <row r="2618" spans="1:8" ht="13.2">
      <c r="A2618" s="19" t="str">
        <f>HYPERLINK("https://agc018.contest.atcoder.jp/tasks/agc018_c", "AtCoder018-AGC-C")</f>
        <v>AtCoder018-AGC-C</v>
      </c>
      <c r="B2618" s="23" t="s">
        <v>587</v>
      </c>
      <c r="C2618" s="17">
        <v>6</v>
      </c>
      <c r="D2618" s="18"/>
      <c r="E2618" s="17" t="s">
        <v>575</v>
      </c>
      <c r="F2618" s="17"/>
      <c r="G2618" s="18"/>
      <c r="H2618" s="18"/>
    </row>
    <row r="2619" spans="1:8" ht="13.2">
      <c r="A2619" s="19" t="str">
        <f>HYPERLINK("http://codeforces.com/contest/286/problem/B","CF286-D1-B")</f>
        <v>CF286-D1-B</v>
      </c>
      <c r="B2619" s="18" t="s">
        <v>605</v>
      </c>
      <c r="C2619" s="17">
        <v>6</v>
      </c>
      <c r="D2619" s="18"/>
      <c r="E2619" s="17" t="s">
        <v>575</v>
      </c>
      <c r="F2619" s="17"/>
      <c r="G2619" s="18"/>
      <c r="H2619" s="18"/>
    </row>
    <row r="2620" spans="1:8" ht="13.2">
      <c r="A2620" s="19" t="str">
        <f>HYPERLINK("http://codeforces.com/contest/114/problem/D","CF114-D2-D")</f>
        <v>CF114-D2-D</v>
      </c>
      <c r="B2620" s="42" t="s">
        <v>606</v>
      </c>
      <c r="C2620" s="17">
        <v>6</v>
      </c>
      <c r="D2620" s="18"/>
      <c r="E2620" s="17" t="s">
        <v>575</v>
      </c>
      <c r="F2620" s="17"/>
      <c r="G2620" s="18"/>
      <c r="H2620" s="18"/>
    </row>
    <row r="2621" spans="1:8" ht="13.2">
      <c r="A2621" s="15" t="s">
        <v>607</v>
      </c>
      <c r="B2621" s="30" t="s">
        <v>608</v>
      </c>
      <c r="C2621" s="24">
        <v>6</v>
      </c>
      <c r="D2621" s="18"/>
      <c r="E2621" s="17" t="s">
        <v>575</v>
      </c>
      <c r="F2621" s="17"/>
      <c r="G2621" s="18"/>
      <c r="H2621" s="18"/>
    </row>
    <row r="2622" spans="1:8" ht="13.2">
      <c r="A2622" s="19" t="str">
        <f>HYPERLINK("https://csacademy.com/contest/round-75/task/electric-cars/","CSA75-D")</f>
        <v>CSA75-D</v>
      </c>
      <c r="B2622" s="15" t="s">
        <v>609</v>
      </c>
      <c r="C2622" s="17">
        <v>6</v>
      </c>
      <c r="D2622" s="18"/>
      <c r="E2622" s="17" t="s">
        <v>575</v>
      </c>
      <c r="F2622" s="17"/>
      <c r="G2622" s="18"/>
      <c r="H2622" s="18"/>
    </row>
    <row r="2623" spans="1:8" ht="13.2">
      <c r="A2623" s="15" t="s">
        <v>3012</v>
      </c>
      <c r="B2623" s="30" t="s">
        <v>3013</v>
      </c>
      <c r="C2623" s="24">
        <v>6</v>
      </c>
      <c r="D2623" s="18"/>
      <c r="E2623" s="24" t="s">
        <v>2948</v>
      </c>
      <c r="F2623" s="17"/>
      <c r="G2623" s="18"/>
      <c r="H2623" s="18"/>
    </row>
    <row r="2624" spans="1:8" ht="13.2">
      <c r="A2624" s="19" t="str">
        <f>HYPERLINK("https://csacademy.com/contest/round-34/task/point-in-kgon/","CSA34-E")</f>
        <v>CSA34-E</v>
      </c>
      <c r="B2624" s="18" t="s">
        <v>3014</v>
      </c>
      <c r="C2624" s="17">
        <v>6</v>
      </c>
      <c r="D2624" s="26" t="str">
        <f>HYPERLINK("https://github.com/LeTrongDat/CompetitiveProgramming/blob/master/Csacademy/CSA34-E.cpp","Sol")</f>
        <v>Sol</v>
      </c>
      <c r="E2624" s="17" t="s">
        <v>2948</v>
      </c>
      <c r="F2624" s="17"/>
      <c r="G2624" s="18"/>
      <c r="H2624" s="18"/>
    </row>
    <row r="2625" spans="1:8" ht="13.2">
      <c r="A2625" s="15" t="s">
        <v>3060</v>
      </c>
      <c r="B2625" s="30" t="s">
        <v>3046</v>
      </c>
      <c r="C2625" s="24">
        <v>6</v>
      </c>
      <c r="D2625" s="18"/>
      <c r="E2625" s="17" t="s">
        <v>3041</v>
      </c>
      <c r="F2625" s="17"/>
      <c r="G2625" s="18"/>
      <c r="H2625" s="18"/>
    </row>
    <row r="2626" spans="1:8" ht="13.2">
      <c r="A2626" s="15" t="s">
        <v>3103</v>
      </c>
      <c r="B2626" s="30" t="s">
        <v>3104</v>
      </c>
      <c r="C2626" s="24">
        <v>6</v>
      </c>
      <c r="D2626" s="18"/>
      <c r="E2626" s="17" t="s">
        <v>3065</v>
      </c>
      <c r="F2626" s="17"/>
      <c r="G2626" s="18"/>
      <c r="H2626" s="18"/>
    </row>
    <row r="2627" spans="1:8" ht="13.2">
      <c r="A2627" s="15" t="s">
        <v>3132</v>
      </c>
      <c r="B2627" s="28" t="s">
        <v>3129</v>
      </c>
      <c r="C2627" s="17">
        <v>6</v>
      </c>
      <c r="D2627" s="18" t="s">
        <v>3133</v>
      </c>
      <c r="E2627" s="17" t="s">
        <v>3130</v>
      </c>
      <c r="F2627" s="17"/>
      <c r="G2627" s="18"/>
      <c r="H2627" s="18"/>
    </row>
    <row r="2628" spans="1:8" ht="13.2">
      <c r="A2628" s="15" t="s">
        <v>3185</v>
      </c>
      <c r="B2628" s="28" t="s">
        <v>3139</v>
      </c>
      <c r="C2628" s="24">
        <v>6</v>
      </c>
      <c r="D2628" s="18"/>
      <c r="E2628" s="17" t="s">
        <v>3140</v>
      </c>
      <c r="F2628" s="17"/>
      <c r="G2628" s="18"/>
      <c r="H2628" s="18"/>
    </row>
    <row r="2629" spans="1:8" ht="13.2">
      <c r="A2629" s="15" t="s">
        <v>3186</v>
      </c>
      <c r="B2629" s="28" t="s">
        <v>3187</v>
      </c>
      <c r="C2629" s="17">
        <v>6</v>
      </c>
      <c r="D2629" s="18"/>
      <c r="E2629" s="17" t="s">
        <v>3140</v>
      </c>
      <c r="F2629" s="17"/>
      <c r="G2629" s="18"/>
      <c r="H2629" s="18"/>
    </row>
    <row r="2630" spans="1:8" ht="13.2">
      <c r="A2630" s="15" t="s">
        <v>3238</v>
      </c>
      <c r="B2630" s="39" t="s">
        <v>3239</v>
      </c>
      <c r="C2630" s="24">
        <v>6</v>
      </c>
      <c r="D2630" s="26" t="str">
        <f>HYPERLINK("https://github.com/osamahatem/CompetitiveProgramming/blob/master/ZOJ/2369%20-%20Two%20Cylinders.cpp","Sol")</f>
        <v>Sol</v>
      </c>
      <c r="E2630" s="17" t="s">
        <v>3214</v>
      </c>
      <c r="F2630" s="17"/>
      <c r="G2630" s="18"/>
      <c r="H2630" s="18"/>
    </row>
    <row r="2631" spans="1:8" ht="13.2">
      <c r="A2631" s="15" t="s">
        <v>3240</v>
      </c>
      <c r="B2631" s="16" t="s">
        <v>3241</v>
      </c>
      <c r="C2631" s="17">
        <v>6</v>
      </c>
      <c r="D2631" s="18"/>
      <c r="E2631" s="17" t="s">
        <v>3214</v>
      </c>
      <c r="F2631" s="17"/>
      <c r="G2631" s="18"/>
      <c r="H2631" s="18"/>
    </row>
    <row r="2632" spans="1:8" ht="13.2">
      <c r="A2632" s="15" t="s">
        <v>3347</v>
      </c>
      <c r="B2632" s="29" t="s">
        <v>3256</v>
      </c>
      <c r="C2632" s="17">
        <v>6</v>
      </c>
      <c r="D2632" s="18"/>
      <c r="E2632" s="17" t="s">
        <v>3257</v>
      </c>
      <c r="F2632" s="17"/>
      <c r="G2632" s="18"/>
      <c r="H2632" s="18"/>
    </row>
    <row r="2633" spans="1:8" ht="13.2">
      <c r="A2633" s="19" t="str">
        <f>HYPERLINK("http://codeforces.com/contest/315/problem/D","CF315-D2-D")</f>
        <v>CF315-D2-D</v>
      </c>
      <c r="B2633" s="29" t="s">
        <v>3348</v>
      </c>
      <c r="C2633" s="17">
        <v>6</v>
      </c>
      <c r="D2633" s="18"/>
      <c r="E2633" s="17" t="s">
        <v>3257</v>
      </c>
      <c r="F2633" s="17"/>
      <c r="G2633" s="18"/>
      <c r="H2633" s="18"/>
    </row>
    <row r="2634" spans="1:8" ht="13.2">
      <c r="A2634" s="15" t="s">
        <v>3349</v>
      </c>
      <c r="B2634" s="15" t="s">
        <v>3350</v>
      </c>
      <c r="C2634" s="24">
        <v>6</v>
      </c>
      <c r="D2634" s="18"/>
      <c r="E2634" s="17" t="s">
        <v>3257</v>
      </c>
      <c r="F2634" s="17"/>
      <c r="G2634" s="18"/>
      <c r="H2634" s="18"/>
    </row>
    <row r="2635" spans="1:8" ht="13.2">
      <c r="A2635" s="15" t="s">
        <v>3351</v>
      </c>
      <c r="B2635" s="16" t="s">
        <v>3352</v>
      </c>
      <c r="C2635" s="17">
        <v>6</v>
      </c>
      <c r="D2635" s="18"/>
      <c r="E2635" s="17" t="s">
        <v>3257</v>
      </c>
      <c r="F2635" s="17"/>
      <c r="G2635" s="18"/>
      <c r="H2635" s="18"/>
    </row>
    <row r="2636" spans="1:8" ht="13.2">
      <c r="A2636" s="19" t="str">
        <f>HYPERLINK("http://codeforces.com/contest/27/problem/D","CF27-D2-D")</f>
        <v>CF27-D2-D</v>
      </c>
      <c r="B2636" s="29" t="s">
        <v>3353</v>
      </c>
      <c r="C2636" s="17">
        <v>6</v>
      </c>
      <c r="D2636" s="18"/>
      <c r="E2636" s="17" t="s">
        <v>3257</v>
      </c>
      <c r="F2636" s="17"/>
      <c r="G2636" s="18"/>
      <c r="H2636" s="18"/>
    </row>
    <row r="2637" spans="1:8" ht="13.2">
      <c r="A2637" s="19" t="str">
        <f>HYPERLINK("http://codeforces.com/gym/101490/attachments/download/5853/2016-benelux-algorithm-programming-contest-bapc-16-en.pdf","CF101490-GYM-E")</f>
        <v>CF101490-GYM-E</v>
      </c>
      <c r="B2637" s="15" t="s">
        <v>3354</v>
      </c>
      <c r="C2637" s="17">
        <v>6</v>
      </c>
      <c r="D2637" s="18"/>
      <c r="E2637" s="17" t="s">
        <v>3257</v>
      </c>
      <c r="F2637" s="17"/>
      <c r="G2637" s="18"/>
      <c r="H2637" s="18"/>
    </row>
    <row r="2638" spans="1:8" ht="13.2">
      <c r="A2638" s="19" t="str">
        <f>HYPERLINK("http://codeforces.com/contest/389/problem/D","CF389-D2-D")</f>
        <v>CF389-D2-D</v>
      </c>
      <c r="B2638" s="29" t="s">
        <v>3355</v>
      </c>
      <c r="C2638" s="17">
        <v>6</v>
      </c>
      <c r="D2638" s="18"/>
      <c r="E2638" s="17" t="s">
        <v>3257</v>
      </c>
      <c r="F2638" s="17"/>
      <c r="G2638" s="18"/>
      <c r="H2638" s="18"/>
    </row>
    <row r="2639" spans="1:8" ht="13.2">
      <c r="A2639" s="15" t="s">
        <v>3356</v>
      </c>
      <c r="B2639" s="28" t="s">
        <v>3357</v>
      </c>
      <c r="C2639" s="24">
        <v>6</v>
      </c>
      <c r="D2639" s="26" t="str">
        <f>HYPERLINK("https://github.com/magdy-hasan/competitive-programming/blob/00b274d42ecd0bd42d9fb3b3a10532e5dadcc7c7/uva-/uva%2011202%20-%20The%20least%20possible%20effort.cpp","Sol")</f>
        <v>Sol</v>
      </c>
      <c r="E2639" s="17" t="s">
        <v>3257</v>
      </c>
      <c r="F2639" s="17"/>
      <c r="G2639" s="18"/>
      <c r="H2639" s="18"/>
    </row>
    <row r="2640" spans="1:8" ht="13.2">
      <c r="A2640" s="19" t="str">
        <f>HYPERLINK("http://codeforces.com/contest/542/problem/C","CF542-D1-C")</f>
        <v>CF542-D1-C</v>
      </c>
      <c r="B2640" s="29" t="s">
        <v>3358</v>
      </c>
      <c r="C2640" s="17">
        <v>6</v>
      </c>
      <c r="D2640" s="18"/>
      <c r="E2640" s="17" t="s">
        <v>3257</v>
      </c>
      <c r="F2640" s="17"/>
      <c r="G2640" s="18"/>
      <c r="H2640" s="18"/>
    </row>
    <row r="2641" spans="1:8" ht="13.2">
      <c r="A2641" s="15" t="s">
        <v>3359</v>
      </c>
      <c r="B2641" s="30" t="s">
        <v>3360</v>
      </c>
      <c r="C2641" s="24">
        <v>6</v>
      </c>
      <c r="D2641" s="26" t="str">
        <f>HYPERLINK("https://github.com/Maverick10/Competitive-Programming/blob/master/Solutions/UVa/UVa%20-%2012118.cpp","Sol")</f>
        <v>Sol</v>
      </c>
      <c r="E2641" s="17" t="s">
        <v>3257</v>
      </c>
      <c r="F2641" s="17"/>
      <c r="G2641" s="18"/>
      <c r="H2641" s="18"/>
    </row>
    <row r="2642" spans="1:8" ht="13.2">
      <c r="A2642" s="15" t="s">
        <v>3361</v>
      </c>
      <c r="B2642" s="48" t="s">
        <v>3362</v>
      </c>
      <c r="C2642" s="31">
        <v>6</v>
      </c>
      <c r="D2642" s="18"/>
      <c r="E2642" s="17" t="s">
        <v>3257</v>
      </c>
      <c r="F2642" s="17"/>
      <c r="G2642" s="18"/>
      <c r="H2642" s="18"/>
    </row>
    <row r="2643" spans="1:8" ht="13.2">
      <c r="A2643" s="19" t="str">
        <f>HYPERLINK("http://codeforces.com/contest/368/problem/E","CF368-D2-E")</f>
        <v>CF368-D2-E</v>
      </c>
      <c r="B2643" s="15" t="s">
        <v>3284</v>
      </c>
      <c r="C2643" s="24">
        <v>6</v>
      </c>
      <c r="D2643" s="18"/>
      <c r="E2643" s="17" t="s">
        <v>3257</v>
      </c>
      <c r="F2643" s="17"/>
      <c r="G2643" s="18"/>
      <c r="H2643" s="18"/>
    </row>
    <row r="2644" spans="1:8" ht="13.2">
      <c r="A2644" s="19" t="str">
        <f>HYPERLINK("http://codeforces.com/contest/332/problem/D","CF332-D2-D")</f>
        <v>CF332-D2-D</v>
      </c>
      <c r="B2644" s="29" t="s">
        <v>3277</v>
      </c>
      <c r="C2644" s="17">
        <v>6</v>
      </c>
      <c r="D2644" s="18"/>
      <c r="E2644" s="17" t="s">
        <v>3257</v>
      </c>
      <c r="F2644" s="17"/>
      <c r="G2644" s="18"/>
      <c r="H2644" s="18"/>
    </row>
    <row r="2645" spans="1:8" ht="13.2">
      <c r="A2645" s="19" t="str">
        <f>HYPERLINK("http://codeforces.com/gym/101615/attachments/download/6308/20172018-acmicpc-pacific-northwest-regional-contest-div-1-en.pdf","CF101615-GYM-G")</f>
        <v>CF101615-GYM-G</v>
      </c>
      <c r="B2645" s="18" t="s">
        <v>3363</v>
      </c>
      <c r="C2645" s="17">
        <v>6</v>
      </c>
      <c r="D2645" s="26" t="str">
        <f>HYPERLINK("https://github.com/mostafa-saad/MyCompetitiveProgramming/blob/master/Codeforces/CF101615-GYM-G.txt","Sol")</f>
        <v>Sol</v>
      </c>
      <c r="E2645" s="17" t="s">
        <v>3257</v>
      </c>
      <c r="F2645" s="17"/>
      <c r="G2645" s="18"/>
      <c r="H2645" s="18"/>
    </row>
    <row r="2646" spans="1:8" ht="13.2">
      <c r="A2646" s="15" t="s">
        <v>3364</v>
      </c>
      <c r="B2646" s="28" t="s">
        <v>3365</v>
      </c>
      <c r="C2646" s="24">
        <v>6</v>
      </c>
      <c r="D2646" s="18"/>
      <c r="E2646" s="24" t="s">
        <v>3257</v>
      </c>
      <c r="F2646" s="17"/>
      <c r="G2646" s="18"/>
      <c r="H2646" s="18"/>
    </row>
    <row r="2647" spans="1:8" ht="13.2">
      <c r="A2647" s="15" t="s">
        <v>3366</v>
      </c>
      <c r="B2647" s="30" t="s">
        <v>3367</v>
      </c>
      <c r="C2647" s="40">
        <v>6</v>
      </c>
      <c r="D2647" s="18"/>
      <c r="E2647" s="17" t="s">
        <v>3257</v>
      </c>
      <c r="F2647" s="17"/>
      <c r="G2647" s="18"/>
      <c r="H2647" s="18"/>
    </row>
    <row r="2648" spans="1:8" ht="13.2">
      <c r="A2648" s="19" t="str">
        <f>HYPERLINK("http://codeforces.com/gym/101191/problem/G","CF101191-GYM-G")</f>
        <v>CF101191-GYM-G</v>
      </c>
      <c r="B2648" s="29" t="s">
        <v>3368</v>
      </c>
      <c r="C2648" s="17">
        <v>6</v>
      </c>
      <c r="D2648" s="18"/>
      <c r="E2648" s="17" t="s">
        <v>3257</v>
      </c>
      <c r="F2648" s="17"/>
      <c r="G2648" s="18"/>
      <c r="H2648" s="18"/>
    </row>
    <row r="2649" spans="1:8" ht="13.2">
      <c r="A2649" s="19" t="str">
        <f>HYPERLINK("http://codeforces.com/contest/275/problem/D","CF275-D2-D")</f>
        <v>CF275-D2-D</v>
      </c>
      <c r="B2649" s="29" t="s">
        <v>3369</v>
      </c>
      <c r="C2649" s="17">
        <v>6</v>
      </c>
      <c r="D2649" s="18"/>
      <c r="E2649" s="17" t="s">
        <v>3257</v>
      </c>
      <c r="F2649" s="17"/>
      <c r="G2649" s="18"/>
      <c r="H2649" s="18"/>
    </row>
    <row r="2650" spans="1:8" ht="13.2">
      <c r="A2650" s="19" t="str">
        <f>HYPERLINK("http://codeforces.com/contest/269/problem/C","CF269-D1-C")</f>
        <v>CF269-D1-C</v>
      </c>
      <c r="B2650" s="29" t="s">
        <v>3466</v>
      </c>
      <c r="C2650" s="17">
        <v>6</v>
      </c>
      <c r="D2650" s="18"/>
      <c r="E2650" s="17" t="s">
        <v>3467</v>
      </c>
      <c r="F2650" s="17"/>
      <c r="G2650" s="18"/>
      <c r="H2650" s="18"/>
    </row>
    <row r="2651" spans="1:8" ht="13.2">
      <c r="A2651" s="15" t="s">
        <v>3511</v>
      </c>
      <c r="B2651" s="34" t="s">
        <v>3466</v>
      </c>
      <c r="C2651" s="31">
        <v>6</v>
      </c>
      <c r="D2651" s="18"/>
      <c r="E2651" s="17" t="s">
        <v>3467</v>
      </c>
      <c r="F2651" s="17"/>
      <c r="G2651" s="18"/>
      <c r="H2651" s="18"/>
    </row>
    <row r="2652" spans="1:8" ht="13.2">
      <c r="A2652" s="15" t="s">
        <v>3512</v>
      </c>
      <c r="B2652" s="20" t="s">
        <v>3466</v>
      </c>
      <c r="C2652" s="17">
        <v>6</v>
      </c>
      <c r="D2652" s="18"/>
      <c r="E2652" s="17" t="s">
        <v>3467</v>
      </c>
      <c r="F2652" s="17"/>
      <c r="G2652" s="18"/>
      <c r="H2652" s="18"/>
    </row>
    <row r="2653" spans="1:8" ht="13.2">
      <c r="A2653" s="15" t="s">
        <v>3513</v>
      </c>
      <c r="B2653" s="30" t="s">
        <v>3466</v>
      </c>
      <c r="C2653" s="24">
        <v>6</v>
      </c>
      <c r="D2653" s="18"/>
      <c r="E2653" s="17" t="s">
        <v>3467</v>
      </c>
      <c r="F2653" s="17"/>
      <c r="G2653" s="18"/>
      <c r="H2653" s="18"/>
    </row>
    <row r="2654" spans="1:8" ht="13.2">
      <c r="A2654" s="15" t="s">
        <v>3514</v>
      </c>
      <c r="B2654" s="29" t="s">
        <v>3466</v>
      </c>
      <c r="C2654" s="17">
        <v>6</v>
      </c>
      <c r="D2654" s="18"/>
      <c r="E2654" s="17" t="s">
        <v>3467</v>
      </c>
      <c r="F2654" s="17"/>
      <c r="G2654" s="18"/>
      <c r="H2654" s="18"/>
    </row>
    <row r="2655" spans="1:8" ht="13.2">
      <c r="A2655" s="19" t="str">
        <f>HYPERLINK("http://codeforces.com/contest/359/problem/E","CF359-D2-E")</f>
        <v>CF359-D2-E</v>
      </c>
      <c r="B2655" s="29" t="s">
        <v>3515</v>
      </c>
      <c r="C2655" s="17">
        <v>6</v>
      </c>
      <c r="D2655" s="18"/>
      <c r="E2655" s="17" t="s">
        <v>3467</v>
      </c>
      <c r="F2655" s="17"/>
      <c r="G2655" s="18"/>
      <c r="H2655" s="18"/>
    </row>
    <row r="2656" spans="1:8" ht="13.2">
      <c r="A2656" s="15" t="s">
        <v>3516</v>
      </c>
      <c r="B2656" s="16" t="s">
        <v>3517</v>
      </c>
      <c r="C2656" s="17">
        <v>6</v>
      </c>
      <c r="D2656" s="18"/>
      <c r="E2656" s="17" t="s">
        <v>3467</v>
      </c>
      <c r="F2656" s="17"/>
      <c r="G2656" s="18"/>
      <c r="H2656" s="18"/>
    </row>
    <row r="2657" spans="1:8" ht="13.2">
      <c r="A2657" s="15" t="s">
        <v>3518</v>
      </c>
      <c r="B2657" s="18" t="s">
        <v>3519</v>
      </c>
      <c r="C2657" s="17">
        <v>6</v>
      </c>
      <c r="D2657" s="18"/>
      <c r="E2657" s="17" t="s">
        <v>3467</v>
      </c>
      <c r="F2657" s="17"/>
      <c r="G2657" s="18"/>
      <c r="H2657" s="18"/>
    </row>
    <row r="2658" spans="1:8" ht="13.2">
      <c r="A2658" s="15" t="s">
        <v>3520</v>
      </c>
      <c r="B2658" s="18" t="s">
        <v>3521</v>
      </c>
      <c r="C2658" s="31">
        <v>6</v>
      </c>
      <c r="D2658" s="18"/>
      <c r="E2658" s="17" t="s">
        <v>3467</v>
      </c>
      <c r="F2658" s="17"/>
      <c r="G2658" s="18"/>
      <c r="H2658" s="18"/>
    </row>
    <row r="2659" spans="1:8" ht="13.2">
      <c r="A2659" s="15" t="s">
        <v>3522</v>
      </c>
      <c r="B2659" s="41" t="s">
        <v>3523</v>
      </c>
      <c r="C2659" s="17">
        <v>6</v>
      </c>
      <c r="D2659" s="18"/>
      <c r="E2659" s="17" t="s">
        <v>3467</v>
      </c>
      <c r="F2659" s="17"/>
      <c r="G2659" s="18"/>
      <c r="H2659" s="18"/>
    </row>
    <row r="2660" spans="1:8" ht="13.2">
      <c r="A2660" s="19" t="str">
        <f>HYPERLINK("http://codeforces.com/contest/225/problem/D","CF225-D2-D")</f>
        <v>CF225-D2-D</v>
      </c>
      <c r="B2660" s="29" t="s">
        <v>3524</v>
      </c>
      <c r="C2660" s="17">
        <v>6</v>
      </c>
      <c r="D2660" s="18"/>
      <c r="E2660" s="17" t="s">
        <v>3467</v>
      </c>
      <c r="F2660" s="17"/>
      <c r="G2660" s="18"/>
      <c r="H2660" s="18"/>
    </row>
    <row r="2661" spans="1:8" ht="13.2">
      <c r="A2661" s="19" t="str">
        <f>HYPERLINK("https://uva.onlinejudge.org/index.php?option=com_onlinejudge&amp;Itemid=8&amp;category=24&amp;page=show_problem&amp;problem=1858","UVA 10917")</f>
        <v>UVA 10917</v>
      </c>
      <c r="B2661" s="18" t="s">
        <v>3494</v>
      </c>
      <c r="C2661" s="17">
        <v>6</v>
      </c>
      <c r="D2661" s="18"/>
      <c r="E2661" s="17" t="s">
        <v>3467</v>
      </c>
      <c r="F2661" s="17"/>
      <c r="G2661" s="18"/>
      <c r="H2661" s="18"/>
    </row>
    <row r="2662" spans="1:8" ht="13.2">
      <c r="A2662" s="19" t="str">
        <f>HYPERLINK("http://codeforces.com/contest/525/problem/D","CF525-D2-D")</f>
        <v>CF525-D2-D</v>
      </c>
      <c r="B2662" s="15" t="s">
        <v>3525</v>
      </c>
      <c r="C2662" s="24">
        <v>6</v>
      </c>
      <c r="D2662" s="18"/>
      <c r="E2662" s="17" t="s">
        <v>3467</v>
      </c>
      <c r="F2662" s="17"/>
      <c r="G2662" s="18"/>
      <c r="H2662" s="18"/>
    </row>
    <row r="2663" spans="1:8" ht="13.2">
      <c r="A2663" s="15" t="s">
        <v>3526</v>
      </c>
      <c r="B2663" s="30" t="s">
        <v>3527</v>
      </c>
      <c r="C2663" s="24">
        <v>6</v>
      </c>
      <c r="D2663" s="18"/>
      <c r="E2663" s="17" t="s">
        <v>3467</v>
      </c>
      <c r="F2663" s="17"/>
      <c r="G2663" s="18"/>
      <c r="H2663" s="18"/>
    </row>
    <row r="2664" spans="1:8" ht="13.2">
      <c r="A2664" s="19" t="str">
        <f>HYPERLINK("http://codeforces.com/contest/1065/problem/D","CF1065-D12-D")</f>
        <v>CF1065-D12-D</v>
      </c>
      <c r="B2664" s="15" t="s">
        <v>3528</v>
      </c>
      <c r="C2664" s="17">
        <v>6</v>
      </c>
      <c r="D2664" s="18"/>
      <c r="E2664" s="17" t="s">
        <v>3467</v>
      </c>
      <c r="F2664" s="17"/>
      <c r="G2664" s="18"/>
      <c r="H2664" s="18"/>
    </row>
    <row r="2665" spans="1:8" ht="13.2">
      <c r="A2665" s="19" t="str">
        <f>HYPERLINK("http://codeforces.com/contest/59/problem/E","CF59-D12-E")</f>
        <v>CF59-D12-E</v>
      </c>
      <c r="B2665" s="15" t="s">
        <v>3529</v>
      </c>
      <c r="C2665" s="17">
        <v>6</v>
      </c>
      <c r="D2665" s="18"/>
      <c r="E2665" s="17" t="s">
        <v>3467</v>
      </c>
      <c r="F2665" s="17"/>
      <c r="G2665" s="18"/>
      <c r="H2665" s="18"/>
    </row>
    <row r="2666" spans="1:8" ht="13.2">
      <c r="A2666" s="15" t="s">
        <v>678</v>
      </c>
      <c r="B2666" s="29" t="s">
        <v>679</v>
      </c>
      <c r="C2666" s="17">
        <v>6</v>
      </c>
      <c r="D2666" s="18"/>
      <c r="E2666" s="24" t="s">
        <v>655</v>
      </c>
      <c r="F2666" s="17"/>
      <c r="G2666" s="18"/>
      <c r="H2666" s="18"/>
    </row>
    <row r="2667" spans="1:8" ht="13.2">
      <c r="A2667" s="15" t="s">
        <v>680</v>
      </c>
      <c r="B2667" s="16" t="s">
        <v>681</v>
      </c>
      <c r="C2667" s="31">
        <v>6</v>
      </c>
      <c r="D2667" s="18"/>
      <c r="E2667" s="17" t="s">
        <v>655</v>
      </c>
      <c r="F2667" s="17"/>
      <c r="G2667" s="18"/>
      <c r="H2667" s="18"/>
    </row>
    <row r="2668" spans="1:8" ht="13.2">
      <c r="A2668" s="15" t="s">
        <v>682</v>
      </c>
      <c r="B2668" s="28" t="s">
        <v>683</v>
      </c>
      <c r="C2668" s="24">
        <v>6</v>
      </c>
      <c r="D2668" s="26" t="str">
        <f>HYPERLINK("https://github.com/engyebrahim/CompetitiveProgramming/blob/master/TJU/1533.cpp","Sol")</f>
        <v>Sol</v>
      </c>
      <c r="E2668" s="24" t="s">
        <v>655</v>
      </c>
      <c r="F2668" s="17"/>
      <c r="G2668" s="18"/>
      <c r="H2668" s="18"/>
    </row>
    <row r="2669" spans="1:8" ht="13.2">
      <c r="A2669" s="19" t="str">
        <f>HYPERLINK("http://codeforces.com/gym/100517/problem/L","CF100517-GYM-L")</f>
        <v>CF100517-GYM-L</v>
      </c>
      <c r="B2669" s="20" t="s">
        <v>3649</v>
      </c>
      <c r="C2669" s="17">
        <v>6</v>
      </c>
      <c r="D2669" s="26" t="str">
        <f>HYPERLINK("https://github.com/osamahatem/CompetitiveProgramming/blob/master/Codeforces/100517L.%20Least%20Common%20Ancestor.cpp","Sol")</f>
        <v>Sol</v>
      </c>
      <c r="E2669" s="17" t="s">
        <v>3650</v>
      </c>
      <c r="F2669" s="17"/>
      <c r="G2669" s="18"/>
      <c r="H2669" s="18"/>
    </row>
    <row r="2670" spans="1:8" ht="13.2">
      <c r="A2670" s="19" t="str">
        <f>HYPERLINK("http://codeforces.com/contest/596/problem/E","CF596-D2-E")</f>
        <v>CF596-D2-E</v>
      </c>
      <c r="B2670" s="15" t="s">
        <v>3649</v>
      </c>
      <c r="C2670" s="24">
        <v>6</v>
      </c>
      <c r="D2670" s="18"/>
      <c r="E2670" s="17" t="s">
        <v>3650</v>
      </c>
      <c r="F2670" s="17"/>
      <c r="G2670" s="18"/>
      <c r="H2670" s="18"/>
    </row>
    <row r="2671" spans="1:8" ht="13.2">
      <c r="A2671" s="15" t="s">
        <v>3719</v>
      </c>
      <c r="B2671" s="28" t="s">
        <v>3649</v>
      </c>
      <c r="C2671" s="24">
        <v>6</v>
      </c>
      <c r="D2671" s="18"/>
      <c r="E2671" s="17" t="s">
        <v>3650</v>
      </c>
      <c r="F2671" s="17"/>
      <c r="G2671" s="18"/>
      <c r="H2671" s="18"/>
    </row>
    <row r="2672" spans="1:8" ht="13.2">
      <c r="A2672" s="19" t="str">
        <f>HYPERLINK("https://codeforces.com/problemset/problem/1147/D", "CF1147-D1-D")</f>
        <v>CF1147-D1-D</v>
      </c>
      <c r="B2672" s="20" t="s">
        <v>3720</v>
      </c>
      <c r="C2672" s="17">
        <v>6</v>
      </c>
      <c r="D2672" s="18"/>
      <c r="E2672" s="17" t="s">
        <v>3650</v>
      </c>
      <c r="F2672" s="17"/>
      <c r="G2672" s="18"/>
      <c r="H2672" s="18"/>
    </row>
    <row r="2673" spans="1:8" ht="13.2">
      <c r="A2673" s="15" t="s">
        <v>3721</v>
      </c>
      <c r="B2673" s="29" t="s">
        <v>3722</v>
      </c>
      <c r="C2673" s="17">
        <v>6</v>
      </c>
      <c r="D2673" s="18"/>
      <c r="E2673" s="24" t="s">
        <v>3650</v>
      </c>
      <c r="F2673" s="17"/>
      <c r="G2673" s="18"/>
      <c r="H2673" s="18"/>
    </row>
    <row r="2674" spans="1:8" ht="13.2">
      <c r="A2674" s="15" t="s">
        <v>3723</v>
      </c>
      <c r="B2674" s="15" t="s">
        <v>3724</v>
      </c>
      <c r="C2674" s="24">
        <v>6</v>
      </c>
      <c r="D2674" s="18"/>
      <c r="E2674" s="17" t="s">
        <v>3650</v>
      </c>
      <c r="F2674" s="17"/>
      <c r="G2674" s="18"/>
      <c r="H2674" s="18"/>
    </row>
    <row r="2675" spans="1:8" ht="13.2">
      <c r="A2675" s="19" t="str">
        <f>HYPERLINK("http://codeforces.com/contest/859/problem/E","CF859-D12-E")</f>
        <v>CF859-D12-E</v>
      </c>
      <c r="B2675" s="15" t="s">
        <v>3725</v>
      </c>
      <c r="C2675" s="17">
        <v>6</v>
      </c>
      <c r="D2675" s="18"/>
      <c r="E2675" s="17" t="s">
        <v>3650</v>
      </c>
      <c r="F2675" s="17"/>
      <c r="G2675" s="18"/>
      <c r="H2675" s="18"/>
    </row>
    <row r="2676" spans="1:8" ht="13.2">
      <c r="A2676" s="19" t="str">
        <f>HYPERLINK("https://icpcarchive.ecs.baylor.edu/index.php?option=com_onlinejudge&amp;Itemid=8&amp;page=show_problem&amp;problem=3865", "LIVEARCHIVE 5854")</f>
        <v>LIVEARCHIVE 5854</v>
      </c>
      <c r="B2676" s="20" t="s">
        <v>3791</v>
      </c>
      <c r="C2676" s="21">
        <v>6</v>
      </c>
      <c r="D2676" s="26" t="str">
        <f>HYPERLINK("https://github.com/tmwilliamlin168/CompetitiveProgramming/blob/master/LiveArchive/5854.cpp", "Sol")</f>
        <v>Sol</v>
      </c>
      <c r="E2676" s="17" t="s">
        <v>3784</v>
      </c>
      <c r="F2676" s="17"/>
      <c r="G2676" s="18"/>
      <c r="H2676" s="18"/>
    </row>
    <row r="2677" spans="1:8" ht="13.2">
      <c r="A2677" s="15" t="s">
        <v>3821</v>
      </c>
      <c r="B2677" s="30" t="s">
        <v>3791</v>
      </c>
      <c r="C2677" s="40">
        <v>6</v>
      </c>
      <c r="D2677" s="18"/>
      <c r="E2677" s="17" t="s">
        <v>3784</v>
      </c>
      <c r="F2677" s="17"/>
      <c r="G2677" s="18"/>
      <c r="H2677" s="18"/>
    </row>
    <row r="2678" spans="1:8" ht="13.2">
      <c r="A2678" s="15" t="s">
        <v>3822</v>
      </c>
      <c r="B2678" s="28" t="s">
        <v>3806</v>
      </c>
      <c r="C2678" s="24">
        <v>6</v>
      </c>
      <c r="D2678" s="18"/>
      <c r="E2678" s="17" t="s">
        <v>3784</v>
      </c>
      <c r="F2678" s="17"/>
      <c r="G2678" s="18"/>
      <c r="H2678" s="18"/>
    </row>
    <row r="2679" spans="1:8" ht="13.2">
      <c r="A2679" s="15" t="s">
        <v>3823</v>
      </c>
      <c r="B2679" s="29" t="s">
        <v>3824</v>
      </c>
      <c r="C2679" s="17">
        <v>6</v>
      </c>
      <c r="D2679" s="18"/>
      <c r="E2679" s="17" t="s">
        <v>3784</v>
      </c>
      <c r="F2679" s="17"/>
      <c r="G2679" s="18"/>
      <c r="H2679" s="18"/>
    </row>
    <row r="2680" spans="1:8" ht="13.2">
      <c r="A2680" s="15" t="s">
        <v>3825</v>
      </c>
      <c r="B2680" s="18" t="s">
        <v>3826</v>
      </c>
      <c r="C2680" s="17">
        <v>6</v>
      </c>
      <c r="D2680" s="18"/>
      <c r="E2680" s="17" t="s">
        <v>3784</v>
      </c>
      <c r="F2680" s="17"/>
      <c r="G2680" s="18"/>
      <c r="H2680" s="18"/>
    </row>
    <row r="2681" spans="1:8" ht="13.2">
      <c r="A2681" s="15" t="s">
        <v>3827</v>
      </c>
      <c r="B2681" s="30" t="s">
        <v>3828</v>
      </c>
      <c r="C2681" s="24">
        <v>6</v>
      </c>
      <c r="D2681" s="18"/>
      <c r="E2681" s="17" t="s">
        <v>3784</v>
      </c>
      <c r="F2681" s="17"/>
      <c r="G2681" s="18"/>
      <c r="H2681" s="18"/>
    </row>
    <row r="2682" spans="1:8" ht="13.2">
      <c r="A2682" s="15" t="s">
        <v>3914</v>
      </c>
      <c r="B2682" s="28" t="s">
        <v>3886</v>
      </c>
      <c r="C2682" s="24">
        <v>6</v>
      </c>
      <c r="D2682" s="18"/>
      <c r="E2682" s="24" t="s">
        <v>3883</v>
      </c>
      <c r="F2682" s="17"/>
      <c r="G2682" s="18"/>
      <c r="H2682" s="18"/>
    </row>
    <row r="2683" spans="1:8" ht="13.2">
      <c r="A2683" s="15" t="s">
        <v>3915</v>
      </c>
      <c r="B2683" s="28" t="s">
        <v>3886</v>
      </c>
      <c r="C2683" s="24">
        <v>6</v>
      </c>
      <c r="D2683" s="26" t="str">
        <f>HYPERLINK("https://github.com/Maverick10/Competitive-Programming/blob/master/Solutions/SPOJ/SPOJ%20INVENT.cpp","Sol")</f>
        <v>Sol</v>
      </c>
      <c r="E2683" s="17" t="s">
        <v>3883</v>
      </c>
      <c r="F2683" s="17"/>
      <c r="G2683" s="18"/>
      <c r="H2683" s="18"/>
    </row>
    <row r="2684" spans="1:8" ht="13.2">
      <c r="A2684" s="15" t="s">
        <v>3916</v>
      </c>
      <c r="B2684" s="15" t="s">
        <v>3917</v>
      </c>
      <c r="C2684" s="17">
        <v>6</v>
      </c>
      <c r="D2684" s="26" t="str">
        <f>HYPERLINK("https://github.com/AMR-KELEG/Competitive-Programming/blob/master/ICPC-Archive/8028.cpp","Sol")</f>
        <v>Sol</v>
      </c>
      <c r="E2684" s="17" t="s">
        <v>3883</v>
      </c>
      <c r="F2684" s="17"/>
      <c r="G2684" s="18"/>
      <c r="H2684" s="18"/>
    </row>
    <row r="2685" spans="1:8" ht="13.2">
      <c r="A2685" s="15" t="s">
        <v>3918</v>
      </c>
      <c r="B2685" s="18" t="s">
        <v>3919</v>
      </c>
      <c r="C2685" s="17">
        <v>6</v>
      </c>
      <c r="D2685" s="18"/>
      <c r="E2685" s="17" t="s">
        <v>3883</v>
      </c>
      <c r="F2685" s="17"/>
      <c r="G2685" s="18"/>
      <c r="H2685" s="18"/>
    </row>
    <row r="2686" spans="1:8" ht="13.2">
      <c r="A2686" s="19" t="str">
        <f>HYPERLINK("http://codeforces.com/contest/433/problem/D","CF433-D2-D")</f>
        <v>CF433-D2-D</v>
      </c>
      <c r="B2686" s="32" t="s">
        <v>3920</v>
      </c>
      <c r="C2686" s="17">
        <v>6</v>
      </c>
      <c r="D2686" s="18"/>
      <c r="E2686" s="17" t="s">
        <v>3883</v>
      </c>
      <c r="F2686" s="17"/>
      <c r="G2686" s="18"/>
      <c r="H2686" s="18"/>
    </row>
    <row r="2687" spans="1:8" ht="13.2">
      <c r="A2687" s="19" t="str">
        <f>HYPERLINK("http://codeforces.com/contest/62/problem/D","CF62-D12-D")</f>
        <v>CF62-D12-D</v>
      </c>
      <c r="B2687" s="29" t="s">
        <v>3975</v>
      </c>
      <c r="C2687" s="17">
        <v>6</v>
      </c>
      <c r="D2687" s="18"/>
      <c r="E2687" s="17" t="s">
        <v>3955</v>
      </c>
      <c r="F2687" s="17"/>
      <c r="G2687" s="18"/>
      <c r="H2687" s="18"/>
    </row>
    <row r="2688" spans="1:8" ht="13.2">
      <c r="A2688" s="15" t="s">
        <v>3976</v>
      </c>
      <c r="B2688" s="29" t="s">
        <v>3977</v>
      </c>
      <c r="C2688" s="17">
        <v>6</v>
      </c>
      <c r="D2688" s="18"/>
      <c r="E2688" s="17" t="s">
        <v>3955</v>
      </c>
      <c r="F2688" s="17"/>
      <c r="G2688" s="18"/>
      <c r="H2688" s="18"/>
    </row>
    <row r="2689" spans="1:8" ht="13.2">
      <c r="A2689" s="15" t="s">
        <v>4004</v>
      </c>
      <c r="B2689" s="30" t="s">
        <v>4005</v>
      </c>
      <c r="C2689" s="24">
        <v>6</v>
      </c>
      <c r="D2689" s="18" t="s">
        <v>3299</v>
      </c>
      <c r="E2689" s="17" t="s">
        <v>3998</v>
      </c>
      <c r="F2689" s="17"/>
      <c r="G2689" s="18"/>
      <c r="H2689" s="18"/>
    </row>
    <row r="2690" spans="1:8" ht="13.2">
      <c r="A2690" s="15" t="s">
        <v>4110</v>
      </c>
      <c r="B2690" s="28" t="s">
        <v>4059</v>
      </c>
      <c r="C2690" s="24">
        <v>6</v>
      </c>
      <c r="D2690" s="18"/>
      <c r="E2690" s="17" t="s">
        <v>4060</v>
      </c>
      <c r="F2690" s="17"/>
      <c r="G2690" s="18"/>
      <c r="H2690" s="18"/>
    </row>
    <row r="2691" spans="1:8" ht="13.2">
      <c r="A2691" s="15" t="s">
        <v>4111</v>
      </c>
      <c r="B2691" s="28" t="s">
        <v>4059</v>
      </c>
      <c r="C2691" s="24">
        <v>6</v>
      </c>
      <c r="D2691" s="18"/>
      <c r="E2691" s="24" t="s">
        <v>4060</v>
      </c>
      <c r="F2691" s="17"/>
      <c r="G2691" s="18"/>
      <c r="H2691" s="18"/>
    </row>
    <row r="2692" spans="1:8" ht="13.2">
      <c r="A2692" s="15" t="s">
        <v>4112</v>
      </c>
      <c r="B2692" s="28" t="s">
        <v>4059</v>
      </c>
      <c r="C2692" s="24">
        <v>6</v>
      </c>
      <c r="D2692" s="18"/>
      <c r="E2692" s="24" t="s">
        <v>4060</v>
      </c>
      <c r="F2692" s="17"/>
      <c r="G2692" s="18"/>
      <c r="H2692" s="18"/>
    </row>
    <row r="2693" spans="1:8" ht="13.2">
      <c r="A2693" s="19" t="str">
        <f>HYPERLINK("https://csacademy.com/contest/round-66/task/flipping-matrix/","CSA66-D")</f>
        <v>CSA66-D</v>
      </c>
      <c r="B2693" s="29" t="s">
        <v>4149</v>
      </c>
      <c r="C2693" s="17">
        <v>6</v>
      </c>
      <c r="D2693" s="18"/>
      <c r="E2693" s="17" t="s">
        <v>4144</v>
      </c>
      <c r="F2693" s="17"/>
      <c r="G2693" s="18"/>
      <c r="H2693" s="18"/>
    </row>
    <row r="2694" spans="1:8" ht="13.2">
      <c r="A2694" s="19" t="str">
        <f>HYPERLINK("http://codeforces.com/contest/166/problem/D","CF166-D2-D")</f>
        <v>CF166-D2-D</v>
      </c>
      <c r="B2694" s="29" t="s">
        <v>4194</v>
      </c>
      <c r="C2694" s="17">
        <v>6</v>
      </c>
      <c r="D2694" s="18"/>
      <c r="E2694" s="17" t="s">
        <v>4144</v>
      </c>
      <c r="F2694" s="17"/>
      <c r="G2694" s="18"/>
      <c r="H2694" s="18"/>
    </row>
    <row r="2695" spans="1:8" ht="13.2">
      <c r="A2695" s="15" t="s">
        <v>4195</v>
      </c>
      <c r="B2695" s="28" t="s">
        <v>4196</v>
      </c>
      <c r="C2695" s="24">
        <v>6</v>
      </c>
      <c r="D2695" s="18"/>
      <c r="E2695" s="17" t="s">
        <v>4144</v>
      </c>
      <c r="F2695" s="17"/>
      <c r="G2695" s="18"/>
      <c r="H2695" s="18"/>
    </row>
    <row r="2696" spans="1:8" ht="13.2">
      <c r="A2696" s="15" t="s">
        <v>4254</v>
      </c>
      <c r="B2696" s="30" t="s">
        <v>4245</v>
      </c>
      <c r="C2696" s="24">
        <v>6</v>
      </c>
      <c r="D2696" s="18"/>
      <c r="E2696" s="17" t="s">
        <v>4238</v>
      </c>
      <c r="F2696" s="17"/>
      <c r="G2696" s="18"/>
      <c r="H2696" s="18"/>
    </row>
    <row r="2697" spans="1:8" ht="13.2">
      <c r="A2697" s="15" t="s">
        <v>4255</v>
      </c>
      <c r="B2697" s="30" t="s">
        <v>4245</v>
      </c>
      <c r="C2697" s="17">
        <v>6</v>
      </c>
      <c r="D2697" s="18"/>
      <c r="E2697" s="17" t="s">
        <v>4238</v>
      </c>
      <c r="F2697" s="17"/>
      <c r="G2697" s="18"/>
      <c r="H2697" s="18"/>
    </row>
    <row r="2698" spans="1:8" ht="13.2">
      <c r="A2698" s="15" t="s">
        <v>728</v>
      </c>
      <c r="B2698" s="28" t="s">
        <v>729</v>
      </c>
      <c r="C2698" s="24">
        <v>6</v>
      </c>
      <c r="D2698" s="18"/>
      <c r="E2698" s="17" t="s">
        <v>719</v>
      </c>
      <c r="F2698" s="17"/>
      <c r="G2698" s="18"/>
      <c r="H2698" s="18"/>
    </row>
    <row r="2699" spans="1:8" ht="13.2">
      <c r="A2699" s="15" t="s">
        <v>730</v>
      </c>
      <c r="B2699" s="29" t="s">
        <v>731</v>
      </c>
      <c r="C2699" s="17">
        <v>6</v>
      </c>
      <c r="D2699" s="18"/>
      <c r="E2699" s="17" t="s">
        <v>719</v>
      </c>
      <c r="F2699" s="17"/>
      <c r="G2699" s="18"/>
      <c r="H2699" s="18"/>
    </row>
    <row r="2700" spans="1:8" ht="13.2">
      <c r="A2700" s="15" t="s">
        <v>4399</v>
      </c>
      <c r="B2700" s="23" t="s">
        <v>4385</v>
      </c>
      <c r="C2700" s="17">
        <v>6</v>
      </c>
      <c r="D2700" s="26" t="str">
        <f>HYPERLINK("https://github.com/HeartBlue/CompetitiveProgramming/blob/master/LIVEARCHIVE/LIVEARCHIVE%205010%20Go%20Deeper.cpp","Sol")</f>
        <v>Sol</v>
      </c>
      <c r="E2700" s="17" t="s">
        <v>4379</v>
      </c>
      <c r="F2700" s="17"/>
      <c r="G2700" s="18"/>
      <c r="H2700" s="18"/>
    </row>
    <row r="2701" spans="1:8" ht="13.2">
      <c r="A2701" s="15" t="s">
        <v>4400</v>
      </c>
      <c r="B2701" s="23" t="s">
        <v>4385</v>
      </c>
      <c r="C2701" s="17">
        <v>6</v>
      </c>
      <c r="D2701" s="26" t="str">
        <f>HYPERLINK("https://github.com/HeartBlue/CompetitiveProgramming/blob/master/PKU/PKU%202723%20Get%20Luffy%20Out.cpp","Sol")</f>
        <v>Sol</v>
      </c>
      <c r="E2701" s="17" t="s">
        <v>4379</v>
      </c>
      <c r="F2701" s="17"/>
      <c r="G2701" s="18"/>
      <c r="H2701" s="18"/>
    </row>
    <row r="2702" spans="1:8" ht="13.2">
      <c r="A2702" s="15" t="s">
        <v>4401</v>
      </c>
      <c r="B2702" s="23" t="s">
        <v>4385</v>
      </c>
      <c r="C2702" s="17">
        <v>6</v>
      </c>
      <c r="D2702" s="26" t="str">
        <f>HYPERLINK("https://github.com/HeartBlue/CompetitiveProgramming/blob/master/PKU/PKU%203207%20Ikki's%20Story%20IV%20-%20Panda's%20Trick.cpp","Sol")</f>
        <v>Sol</v>
      </c>
      <c r="E2702" s="17" t="s">
        <v>4379</v>
      </c>
      <c r="F2702" s="17"/>
      <c r="G2702" s="18"/>
      <c r="H2702" s="18"/>
    </row>
    <row r="2703" spans="1:8" ht="13.2">
      <c r="A2703" s="15" t="s">
        <v>4402</v>
      </c>
      <c r="B2703" s="23" t="s">
        <v>4385</v>
      </c>
      <c r="C2703" s="17">
        <v>6</v>
      </c>
      <c r="D2703" s="26" t="str">
        <f>HYPERLINK("https://github.com/HeartBlue/CompetitiveProgramming/blob/master/PKU/PKU%203678%20Katu%20Puzzle.cpp","Sol")</f>
        <v>Sol</v>
      </c>
      <c r="E2703" s="17" t="s">
        <v>4379</v>
      </c>
      <c r="F2703" s="17"/>
      <c r="G2703" s="18"/>
      <c r="H2703" s="18"/>
    </row>
    <row r="2704" spans="1:8" ht="13.2">
      <c r="A2704" s="15" t="s">
        <v>4403</v>
      </c>
      <c r="B2704" s="43" t="s">
        <v>4385</v>
      </c>
      <c r="C2704" s="24">
        <v>6</v>
      </c>
      <c r="D2704" s="18"/>
      <c r="E2704" s="17" t="s">
        <v>4379</v>
      </c>
      <c r="F2704" s="17"/>
      <c r="G2704" s="18"/>
      <c r="H2704" s="18"/>
    </row>
    <row r="2705" spans="1:8" ht="13.2">
      <c r="A2705" s="15" t="s">
        <v>4404</v>
      </c>
      <c r="B2705" s="29" t="s">
        <v>4385</v>
      </c>
      <c r="C2705" s="17">
        <v>6</v>
      </c>
      <c r="D2705" s="26" t="str">
        <f>HYPERLINK("https://github.com/HeartBlue/CompetitiveProgramming/blob/master/UVA/UVA%201146%20Now%20or%20later.cpp","Sol")</f>
        <v>Sol</v>
      </c>
      <c r="E2705" s="17" t="s">
        <v>4379</v>
      </c>
      <c r="F2705" s="17"/>
      <c r="G2705" s="18"/>
      <c r="H2705" s="18"/>
    </row>
    <row r="2706" spans="1:8" ht="13.2">
      <c r="A2706" s="19" t="str">
        <f>HYPERLINK("https://www.codechef.com/problems/LONCYC", "CODECHEF LONCYC")</f>
        <v>CODECHEF LONCYC</v>
      </c>
      <c r="B2706" s="20" t="s">
        <v>4444</v>
      </c>
      <c r="C2706" s="21">
        <v>6</v>
      </c>
      <c r="D2706" s="18"/>
      <c r="E2706" s="17" t="s">
        <v>4423</v>
      </c>
      <c r="F2706" s="17"/>
      <c r="G2706" s="18"/>
      <c r="H2706" s="18"/>
    </row>
    <row r="2707" spans="1:8" ht="13.2">
      <c r="A2707" s="19" t="str">
        <f>HYPERLINK("http://codeforces.com/gym/100091/problem/D","CF100091-GYM-D")</f>
        <v>CF100091-GYM-D</v>
      </c>
      <c r="B2707" s="20" t="s">
        <v>4479</v>
      </c>
      <c r="C2707" s="17">
        <v>6</v>
      </c>
      <c r="D2707" s="26" t="str">
        <f>HYPERLINK("https://github.com/SpeedOfMagic/CompetitiveProgramming/blob/master/CodeforcesGym/CF100091-GYM-D.cpp","Sol")</f>
        <v>Sol</v>
      </c>
      <c r="E2707" s="17" t="s">
        <v>4454</v>
      </c>
      <c r="F2707" s="17"/>
      <c r="G2707" s="18"/>
      <c r="H2707" s="18"/>
    </row>
    <row r="2708" spans="1:8" ht="13.2">
      <c r="A2708" s="19" t="str">
        <f>HYPERLINK("http://codeforces.com/contest/121/problem/C","CF121-D1-C")</f>
        <v>CF121-D1-C</v>
      </c>
      <c r="B2708" s="15" t="s">
        <v>4480</v>
      </c>
      <c r="C2708" s="17">
        <v>6</v>
      </c>
      <c r="D2708" s="18"/>
      <c r="E2708" s="17" t="s">
        <v>4454</v>
      </c>
      <c r="F2708" s="17"/>
      <c r="G2708" s="18"/>
      <c r="H2708" s="18"/>
    </row>
    <row r="2709" spans="1:8" ht="13.2">
      <c r="A2709" s="19" t="str">
        <f>HYPERLINK("http://codeforces.com/contest/216/problem/E","CF216-D2-E")</f>
        <v>CF216-D2-E</v>
      </c>
      <c r="B2709" s="29" t="s">
        <v>4530</v>
      </c>
      <c r="C2709" s="17">
        <v>6</v>
      </c>
      <c r="D2709" s="18"/>
      <c r="E2709" s="17" t="s">
        <v>4531</v>
      </c>
      <c r="F2709" s="17"/>
      <c r="G2709" s="18"/>
      <c r="H2709" s="18"/>
    </row>
    <row r="2710" spans="1:8" ht="13.2">
      <c r="A2710" s="15" t="s">
        <v>4632</v>
      </c>
      <c r="B2710" s="34" t="s">
        <v>4530</v>
      </c>
      <c r="C2710" s="31">
        <v>6</v>
      </c>
      <c r="D2710" s="18"/>
      <c r="E2710" s="17" t="s">
        <v>4531</v>
      </c>
      <c r="F2710" s="17"/>
      <c r="G2710" s="18"/>
      <c r="H2710" s="18"/>
    </row>
    <row r="2711" spans="1:8" ht="13.2">
      <c r="A2711" s="15" t="s">
        <v>4633</v>
      </c>
      <c r="B2711" s="29" t="s">
        <v>4530</v>
      </c>
      <c r="C2711" s="17">
        <v>6</v>
      </c>
      <c r="D2711" s="18"/>
      <c r="E2711" s="17" t="s">
        <v>4531</v>
      </c>
      <c r="F2711" s="17"/>
      <c r="G2711" s="18"/>
      <c r="H2711" s="18"/>
    </row>
    <row r="2712" spans="1:8" ht="13.2">
      <c r="A2712" s="15" t="s">
        <v>4634</v>
      </c>
      <c r="B2712" s="29" t="s">
        <v>4530</v>
      </c>
      <c r="C2712" s="31">
        <v>6</v>
      </c>
      <c r="D2712" s="18"/>
      <c r="E2712" s="24" t="s">
        <v>4531</v>
      </c>
      <c r="F2712" s="17"/>
      <c r="G2712" s="18"/>
      <c r="H2712" s="18"/>
    </row>
    <row r="2713" spans="1:8" ht="13.2">
      <c r="A2713" s="15" t="s">
        <v>4635</v>
      </c>
      <c r="B2713" s="28" t="s">
        <v>4530</v>
      </c>
      <c r="C2713" s="24">
        <v>6</v>
      </c>
      <c r="D2713" s="18"/>
      <c r="E2713" s="24" t="s">
        <v>4531</v>
      </c>
      <c r="F2713" s="17"/>
      <c r="G2713" s="18"/>
      <c r="H2713" s="18"/>
    </row>
    <row r="2714" spans="1:8" ht="13.2">
      <c r="A2714" s="15" t="s">
        <v>4636</v>
      </c>
      <c r="B2714" s="29" t="s">
        <v>4637</v>
      </c>
      <c r="C2714" s="24">
        <v>6</v>
      </c>
      <c r="D2714" s="18"/>
      <c r="E2714" s="17" t="s">
        <v>4531</v>
      </c>
      <c r="F2714" s="17"/>
      <c r="G2714" s="18"/>
      <c r="H2714" s="18"/>
    </row>
    <row r="2715" spans="1:8" ht="13.2">
      <c r="A2715" s="15" t="s">
        <v>4638</v>
      </c>
      <c r="B2715" s="28" t="s">
        <v>4639</v>
      </c>
      <c r="C2715" s="24">
        <v>6</v>
      </c>
      <c r="D2715" s="18"/>
      <c r="E2715" s="17" t="s">
        <v>4531</v>
      </c>
      <c r="F2715" s="17"/>
      <c r="G2715" s="18"/>
      <c r="H2715" s="18"/>
    </row>
    <row r="2716" spans="1:8" ht="13.2">
      <c r="A2716" s="15" t="s">
        <v>4640</v>
      </c>
      <c r="B2716" s="28" t="s">
        <v>4641</v>
      </c>
      <c r="C2716" s="24">
        <v>6</v>
      </c>
      <c r="D2716" s="26" t="str">
        <f>HYPERLINK("https://pastebin.com/4uSGv4sZ","Sol (link to study)")</f>
        <v>Sol (link to study)</v>
      </c>
      <c r="E2716" s="17" t="s">
        <v>4531</v>
      </c>
      <c r="F2716" s="17"/>
      <c r="G2716" s="18"/>
      <c r="H2716" s="18"/>
    </row>
    <row r="2717" spans="1:8" ht="13.2">
      <c r="A2717" s="15" t="s">
        <v>4642</v>
      </c>
      <c r="B2717" s="34" t="s">
        <v>4643</v>
      </c>
      <c r="C2717" s="17">
        <v>6</v>
      </c>
      <c r="D2717" s="18"/>
      <c r="E2717" s="17" t="s">
        <v>4531</v>
      </c>
      <c r="F2717" s="17"/>
      <c r="G2717" s="18"/>
      <c r="H2717" s="18"/>
    </row>
    <row r="2718" spans="1:8" ht="13.2">
      <c r="A2718" s="19" t="str">
        <f>HYPERLINK("http://codeforces.com/contest/185/problem/B","CF185-D1-B")</f>
        <v>CF185-D1-B</v>
      </c>
      <c r="B2718" s="29" t="s">
        <v>4644</v>
      </c>
      <c r="C2718" s="17">
        <v>6</v>
      </c>
      <c r="D2718" s="26" t="str">
        <f>HYPERLINK("https://brilliant.org/wiki/arithmetic-mean-geometric-mean/","Read first")</f>
        <v>Read first</v>
      </c>
      <c r="E2718" s="17" t="s">
        <v>4531</v>
      </c>
      <c r="F2718" s="17"/>
      <c r="G2718" s="18"/>
      <c r="H2718" s="18"/>
    </row>
    <row r="2719" spans="1:8" ht="13.2">
      <c r="A2719" s="19" t="str">
        <f>HYPERLINK("http://codeforces.com/gym/101615/attachments/download/6308/20172018-acmicpc-pacific-northwest-regional-contest-div-1-en.pdf","CF101615-GYM-C")</f>
        <v>CF101615-GYM-C</v>
      </c>
      <c r="B2719" s="18" t="s">
        <v>4564</v>
      </c>
      <c r="C2719" s="17">
        <v>6</v>
      </c>
      <c r="D2719" s="26" t="str">
        <f>HYPERLINK("https://github.com/MedoN11/CompetitiveProgramming/blob/master/CodeForces/CF101615-GYM-C.cpp","Sol")</f>
        <v>Sol</v>
      </c>
      <c r="E2719" s="17" t="s">
        <v>4531</v>
      </c>
      <c r="F2719" s="17"/>
      <c r="G2719" s="18"/>
      <c r="H2719" s="18"/>
    </row>
    <row r="2720" spans="1:8" ht="13.2">
      <c r="A2720" s="15" t="s">
        <v>4645</v>
      </c>
      <c r="B2720" s="29" t="s">
        <v>4646</v>
      </c>
      <c r="C2720" s="33">
        <v>6</v>
      </c>
      <c r="D2720" s="26" t="str">
        <f>HYPERLINK("https://github.com/Andres-Unt/problem_solving/blob/master/TopCoder/SRM596-D2-1000.cpp","Sol")</f>
        <v>Sol</v>
      </c>
      <c r="E2720" s="24" t="s">
        <v>4531</v>
      </c>
      <c r="F2720" s="17"/>
      <c r="G2720" s="18"/>
      <c r="H2720" s="18"/>
    </row>
    <row r="2721" spans="1:8" ht="13.2">
      <c r="A2721" s="15" t="s">
        <v>4647</v>
      </c>
      <c r="B2721" s="30" t="s">
        <v>4648</v>
      </c>
      <c r="C2721" s="40">
        <v>6</v>
      </c>
      <c r="D2721" s="18"/>
      <c r="E2721" s="17" t="s">
        <v>4531</v>
      </c>
      <c r="F2721" s="17"/>
      <c r="G2721" s="18"/>
      <c r="H2721" s="18"/>
    </row>
    <row r="2722" spans="1:8" ht="13.2">
      <c r="A2722" s="15" t="s">
        <v>773</v>
      </c>
      <c r="B2722" s="30" t="s">
        <v>740</v>
      </c>
      <c r="C2722" s="24">
        <v>6</v>
      </c>
      <c r="D2722" s="18"/>
      <c r="E2722" s="17" t="s">
        <v>741</v>
      </c>
      <c r="F2722" s="17"/>
      <c r="G2722" s="18"/>
      <c r="H2722" s="18"/>
    </row>
    <row r="2723" spans="1:8" ht="13.2">
      <c r="A2723" s="15" t="s">
        <v>774</v>
      </c>
      <c r="B2723" s="30" t="s">
        <v>740</v>
      </c>
      <c r="C2723" s="17">
        <v>6</v>
      </c>
      <c r="D2723" s="18"/>
      <c r="E2723" s="17" t="s">
        <v>741</v>
      </c>
      <c r="F2723" s="17"/>
      <c r="G2723" s="18"/>
      <c r="H2723" s="18"/>
    </row>
    <row r="2724" spans="1:8" ht="13.2">
      <c r="A2724" s="19" t="str">
        <f>HYPERLINK("https://codejam.withgoogle.com/2018/challenges/0000000000007706/dashboard/00000000000459f3", "CODEJAM 18-R2-B")</f>
        <v>CODEJAM 18-R2-B</v>
      </c>
      <c r="B2724" s="20" t="s">
        <v>775</v>
      </c>
      <c r="C2724" s="21">
        <v>6</v>
      </c>
      <c r="D2724" s="26" t="str">
        <f>HYPERLINK("https://github.com/tmwilliamlin168/CompetitiveProgramming/blob/master/GoogleCodeJam/18-R2-B(2).java", "SolToMe")</f>
        <v>SolToMe</v>
      </c>
      <c r="E2724" s="17" t="s">
        <v>741</v>
      </c>
      <c r="F2724" s="17"/>
      <c r="G2724" s="18"/>
      <c r="H2724" s="18"/>
    </row>
    <row r="2725" spans="1:8" ht="13.2">
      <c r="A2725" s="15" t="s">
        <v>776</v>
      </c>
      <c r="B2725" s="16" t="s">
        <v>765</v>
      </c>
      <c r="C2725" s="31">
        <v>6</v>
      </c>
      <c r="D2725" s="18"/>
      <c r="E2725" s="17" t="s">
        <v>741</v>
      </c>
      <c r="F2725" s="17"/>
      <c r="G2725" s="18"/>
      <c r="H2725" s="18"/>
    </row>
    <row r="2726" spans="1:8" ht="13.2">
      <c r="A2726" s="15" t="s">
        <v>777</v>
      </c>
      <c r="B2726" s="30" t="s">
        <v>778</v>
      </c>
      <c r="C2726" s="17">
        <v>6</v>
      </c>
      <c r="D2726" s="18"/>
      <c r="E2726" s="17" t="s">
        <v>741</v>
      </c>
      <c r="F2726" s="17"/>
      <c r="G2726" s="18"/>
      <c r="H2726" s="18"/>
    </row>
    <row r="2727" spans="1:8" ht="13.2">
      <c r="A2727" s="15" t="s">
        <v>4770</v>
      </c>
      <c r="B2727" s="28" t="s">
        <v>4771</v>
      </c>
      <c r="C2727" s="24">
        <v>6</v>
      </c>
      <c r="D2727" s="18"/>
      <c r="E2727" s="17" t="s">
        <v>4767</v>
      </c>
      <c r="F2727" s="17"/>
      <c r="G2727" s="18"/>
      <c r="H2727" s="18"/>
    </row>
    <row r="2728" spans="1:8" ht="13.2">
      <c r="A2728" s="19" t="str">
        <f>HYPERLINK("https://atcoder.jp/contests/yahoo-procon2019-qual/tasks/yahoo_procon2019_qual_c","AtCoder-YahooProcon-C")</f>
        <v>AtCoder-YahooProcon-C</v>
      </c>
      <c r="B2728" s="20" t="s">
        <v>4779</v>
      </c>
      <c r="C2728" s="21">
        <v>6</v>
      </c>
      <c r="D2728" s="18"/>
      <c r="E2728" s="17" t="s">
        <v>4778</v>
      </c>
      <c r="F2728" s="17"/>
      <c r="G2728" s="18"/>
      <c r="H2728" s="18"/>
    </row>
    <row r="2729" spans="1:8" ht="13.2">
      <c r="A2729" s="15" t="s">
        <v>4780</v>
      </c>
      <c r="B2729" s="30" t="s">
        <v>4779</v>
      </c>
      <c r="C2729" s="24">
        <v>6</v>
      </c>
      <c r="D2729" s="18"/>
      <c r="E2729" s="17" t="s">
        <v>4778</v>
      </c>
      <c r="F2729" s="17"/>
      <c r="G2729" s="18"/>
      <c r="H2729" s="18"/>
    </row>
    <row r="2730" spans="1:8" ht="13.2">
      <c r="A2730" s="15" t="s">
        <v>4781</v>
      </c>
      <c r="B2730" s="30" t="s">
        <v>4782</v>
      </c>
      <c r="C2730" s="17">
        <v>6</v>
      </c>
      <c r="D2730" s="18"/>
      <c r="E2730" s="17" t="s">
        <v>4778</v>
      </c>
      <c r="F2730" s="17"/>
      <c r="G2730" s="18"/>
      <c r="H2730" s="18"/>
    </row>
    <row r="2731" spans="1:8" ht="13.2">
      <c r="A2731" s="15" t="s">
        <v>4825</v>
      </c>
      <c r="B2731" s="30" t="s">
        <v>4808</v>
      </c>
      <c r="C2731" s="24">
        <v>6</v>
      </c>
      <c r="D2731" s="18"/>
      <c r="E2731" s="17" t="s">
        <v>4809</v>
      </c>
      <c r="F2731" s="17"/>
      <c r="G2731" s="18"/>
      <c r="H2731" s="18"/>
    </row>
    <row r="2732" spans="1:8" ht="13.2">
      <c r="A2732" s="15" t="s">
        <v>4826</v>
      </c>
      <c r="B2732" s="28" t="s">
        <v>4827</v>
      </c>
      <c r="C2732" s="24">
        <v>6</v>
      </c>
      <c r="D2732" s="18"/>
      <c r="E2732" s="17" t="s">
        <v>4809</v>
      </c>
      <c r="F2732" s="17"/>
      <c r="G2732" s="18"/>
      <c r="H2732" s="18"/>
    </row>
    <row r="2733" spans="1:8" ht="13.2">
      <c r="A2733" s="15" t="s">
        <v>4828</v>
      </c>
      <c r="B2733" s="18" t="s">
        <v>4829</v>
      </c>
      <c r="C2733" s="17">
        <v>6</v>
      </c>
      <c r="D2733" s="18"/>
      <c r="E2733" s="17" t="s">
        <v>4809</v>
      </c>
      <c r="F2733" s="17"/>
      <c r="G2733" s="18"/>
      <c r="H2733" s="18"/>
    </row>
    <row r="2734" spans="1:8" ht="13.2">
      <c r="A2734" s="19" t="str">
        <f>HYPERLINK("http://codeforces.com/contest/902/problem/D","CF918-D2-D")</f>
        <v>CF918-D2-D</v>
      </c>
      <c r="B2734" s="18" t="s">
        <v>4830</v>
      </c>
      <c r="C2734" s="17">
        <v>6</v>
      </c>
      <c r="D2734" s="18"/>
      <c r="E2734" s="17" t="s">
        <v>4809</v>
      </c>
      <c r="F2734" s="17"/>
      <c r="G2734" s="18"/>
      <c r="H2734" s="18"/>
    </row>
    <row r="2735" spans="1:8" ht="13.2">
      <c r="A2735" s="15" t="s">
        <v>4889</v>
      </c>
      <c r="B2735" s="34" t="s">
        <v>4890</v>
      </c>
      <c r="C2735" s="31">
        <v>6</v>
      </c>
      <c r="D2735" s="18"/>
      <c r="E2735" s="17" t="s">
        <v>4885</v>
      </c>
      <c r="F2735" s="17"/>
      <c r="G2735" s="18"/>
      <c r="H2735" s="18"/>
    </row>
    <row r="2736" spans="1:8" ht="13.2">
      <c r="A2736" s="15" t="s">
        <v>802</v>
      </c>
      <c r="B2736" s="28" t="s">
        <v>797</v>
      </c>
      <c r="C2736" s="24">
        <v>6</v>
      </c>
      <c r="D2736" s="18"/>
      <c r="E2736" s="17" t="s">
        <v>798</v>
      </c>
      <c r="F2736" s="17"/>
      <c r="G2736" s="18"/>
      <c r="H2736" s="18"/>
    </row>
    <row r="2737" spans="1:8" ht="13.2">
      <c r="A2737" s="19" t="str">
        <f>HYPERLINK("https://atcoder.jp/contests/abc154/tasks/abc154_f","AtCoder154-ABC-F")</f>
        <v>AtCoder154-ABC-F</v>
      </c>
      <c r="B2737" s="23" t="s">
        <v>4964</v>
      </c>
      <c r="C2737" s="17">
        <v>6</v>
      </c>
      <c r="D2737" s="18"/>
      <c r="E2737" s="17" t="s">
        <v>4958</v>
      </c>
      <c r="F2737" s="17"/>
      <c r="G2737" s="18"/>
      <c r="H2737" s="18"/>
    </row>
    <row r="2738" spans="1:8" ht="13.2">
      <c r="A2738" s="19" t="str">
        <f>HYPERLINK("http://codeforces.com/problemset/gymProblem/101498/D","CF1014980-GYM-D")</f>
        <v>CF1014980-GYM-D</v>
      </c>
      <c r="B2738" s="15" t="s">
        <v>4964</v>
      </c>
      <c r="C2738" s="17">
        <v>6</v>
      </c>
      <c r="D2738" s="26" t="str">
        <f>HYPERLINK("https://github.com/MedoN11/CompetitiveProgramming/blob/master/CodeForces/GYM/CF10149-GYM-D.cpp","Sol")</f>
        <v>Sol</v>
      </c>
      <c r="E2738" s="17" t="s">
        <v>4958</v>
      </c>
      <c r="F2738" s="17"/>
      <c r="G2738" s="18"/>
      <c r="H2738" s="18"/>
    </row>
    <row r="2739" spans="1:8" ht="13.2">
      <c r="A2739" s="15" t="s">
        <v>4994</v>
      </c>
      <c r="B2739" s="34" t="s">
        <v>4964</v>
      </c>
      <c r="C2739" s="33">
        <v>6</v>
      </c>
      <c r="D2739" s="18"/>
      <c r="E2739" s="17" t="s">
        <v>4958</v>
      </c>
      <c r="F2739" s="17"/>
      <c r="G2739" s="18"/>
      <c r="H2739" s="18"/>
    </row>
    <row r="2740" spans="1:8" ht="13.2">
      <c r="A2740" s="15" t="s">
        <v>4995</v>
      </c>
      <c r="B2740" s="34" t="s">
        <v>4964</v>
      </c>
      <c r="C2740" s="31">
        <v>6</v>
      </c>
      <c r="D2740" s="18"/>
      <c r="E2740" s="17" t="s">
        <v>4958</v>
      </c>
      <c r="F2740" s="17"/>
      <c r="G2740" s="18"/>
      <c r="H2740" s="18"/>
    </row>
    <row r="2741" spans="1:8" ht="13.2">
      <c r="A2741" s="15" t="s">
        <v>4996</v>
      </c>
      <c r="B2741" s="28" t="s">
        <v>4981</v>
      </c>
      <c r="C2741" s="17">
        <v>6</v>
      </c>
      <c r="D2741" s="18"/>
      <c r="E2741" s="17" t="s">
        <v>4958</v>
      </c>
      <c r="F2741" s="17"/>
      <c r="G2741" s="18"/>
      <c r="H2741" s="18"/>
    </row>
    <row r="2742" spans="1:8" ht="13.2">
      <c r="A2742" s="15" t="s">
        <v>4997</v>
      </c>
      <c r="B2742" s="29" t="s">
        <v>4998</v>
      </c>
      <c r="C2742" s="17">
        <v>6</v>
      </c>
      <c r="D2742" s="18"/>
      <c r="E2742" s="17" t="s">
        <v>4958</v>
      </c>
      <c r="F2742" s="17"/>
      <c r="G2742" s="18"/>
      <c r="H2742" s="18"/>
    </row>
    <row r="2743" spans="1:8" ht="13.2">
      <c r="A2743" s="19" t="str">
        <f>HYPERLINK("http://codeforces.com/contest/340/problem/E","CF340-D2-E")</f>
        <v>CF340-D2-E</v>
      </c>
      <c r="B2743" s="29" t="s">
        <v>4999</v>
      </c>
      <c r="C2743" s="17">
        <v>6</v>
      </c>
      <c r="D2743" s="18"/>
      <c r="E2743" s="17" t="s">
        <v>4958</v>
      </c>
      <c r="F2743" s="17"/>
      <c r="G2743" s="18"/>
      <c r="H2743" s="18"/>
    </row>
    <row r="2744" spans="1:8" ht="13.2">
      <c r="A2744" s="19" t="str">
        <f>HYPERLINK("https://csacademy.com/contest/round-82/task/restricted-arrays/", "CSA82-D")</f>
        <v>CSA82-D</v>
      </c>
      <c r="B2744" s="15" t="s">
        <v>5000</v>
      </c>
      <c r="C2744" s="17">
        <v>6</v>
      </c>
      <c r="D2744" s="18"/>
      <c r="E2744" s="17" t="s">
        <v>4958</v>
      </c>
      <c r="F2744" s="17"/>
      <c r="G2744" s="18"/>
      <c r="H2744" s="18"/>
    </row>
    <row r="2745" spans="1:8" ht="13.2">
      <c r="A2745" s="15" t="s">
        <v>5001</v>
      </c>
      <c r="B2745" s="28" t="s">
        <v>5002</v>
      </c>
      <c r="C2745" s="24">
        <v>6</v>
      </c>
      <c r="D2745" s="18"/>
      <c r="E2745" s="17" t="s">
        <v>4958</v>
      </c>
      <c r="F2745" s="17"/>
      <c r="G2745" s="18"/>
      <c r="H2745" s="18"/>
    </row>
    <row r="2746" spans="1:8" ht="13.2">
      <c r="A2746" s="19" t="str">
        <f>HYPERLINK("http://codeforces.com/contest/180/problem/B","CF180-D2-B")</f>
        <v>CF180-D2-B</v>
      </c>
      <c r="B2746" s="29" t="s">
        <v>5085</v>
      </c>
      <c r="C2746" s="17">
        <v>6</v>
      </c>
      <c r="D2746" s="18"/>
      <c r="E2746" s="17" t="s">
        <v>5075</v>
      </c>
      <c r="F2746" s="17"/>
      <c r="G2746" s="18"/>
      <c r="H2746" s="18"/>
    </row>
    <row r="2747" spans="1:8" ht="13.2">
      <c r="A2747" s="15" t="s">
        <v>5094</v>
      </c>
      <c r="B2747" s="30" t="s">
        <v>5074</v>
      </c>
      <c r="C2747" s="17">
        <v>6</v>
      </c>
      <c r="D2747" s="18"/>
      <c r="E2747" s="17" t="s">
        <v>5075</v>
      </c>
      <c r="F2747" s="17"/>
      <c r="G2747" s="18"/>
      <c r="H2747" s="18"/>
    </row>
    <row r="2748" spans="1:8" ht="13.2">
      <c r="A2748" s="15" t="s">
        <v>5095</v>
      </c>
      <c r="B2748" s="30" t="s">
        <v>5096</v>
      </c>
      <c r="C2748" s="54">
        <v>6</v>
      </c>
      <c r="D2748" s="18"/>
      <c r="E2748" s="17" t="s">
        <v>5075</v>
      </c>
      <c r="F2748" s="17"/>
      <c r="G2748" s="18"/>
      <c r="H2748" s="18"/>
    </row>
    <row r="2749" spans="1:8" ht="13.2">
      <c r="A2749" s="19" t="str">
        <f>HYPERLINK("http://codeforces.com/problemset/problem/547/C","CF547-D1-C")</f>
        <v>CF547-D1-C</v>
      </c>
      <c r="B2749" s="20" t="s">
        <v>5155</v>
      </c>
      <c r="C2749" s="17">
        <v>6</v>
      </c>
      <c r="D2749" s="18"/>
      <c r="E2749" s="17" t="s">
        <v>5134</v>
      </c>
      <c r="F2749" s="17"/>
      <c r="G2749" s="18"/>
      <c r="H2749" s="18"/>
    </row>
    <row r="2750" spans="1:8" ht="13.2">
      <c r="A2750" s="19" t="str">
        <f>HYPERLINK("https://www.hackerrank.com/contests/university-codesprint-5/challenges/cube-loving-numbers","HACKR cube-loving-numbers")</f>
        <v>HACKR cube-loving-numbers</v>
      </c>
      <c r="B2750" s="20" t="s">
        <v>5156</v>
      </c>
      <c r="C2750" s="21">
        <v>6</v>
      </c>
      <c r="D2750" s="18"/>
      <c r="E2750" s="17" t="s">
        <v>5134</v>
      </c>
      <c r="F2750" s="17"/>
      <c r="G2750" s="18"/>
      <c r="H2750" s="18"/>
    </row>
    <row r="2751" spans="1:8" ht="13.2">
      <c r="A2751" s="19" t="str">
        <f>HYPERLINK("http://acm.timus.ru/problem.aspx?space=1&amp;num=1619","TIMUS 1619")</f>
        <v>TIMUS 1619</v>
      </c>
      <c r="B2751" s="28" t="s">
        <v>5200</v>
      </c>
      <c r="C2751" s="17">
        <v>6</v>
      </c>
      <c r="D2751" s="26" t="str">
        <f>HYPERLINK("https://github.com/pranavjangir/CompetitiveProgramming/blob/master/Timus/TIMUS%201619.cpp","Sol")</f>
        <v>Sol</v>
      </c>
      <c r="E2751" s="17" t="s">
        <v>5168</v>
      </c>
      <c r="F2751" s="17"/>
      <c r="G2751" s="18"/>
      <c r="H2751" s="18"/>
    </row>
    <row r="2752" spans="1:8" ht="13.2">
      <c r="A2752" s="15" t="s">
        <v>5201</v>
      </c>
      <c r="B2752" s="34" t="s">
        <v>5202</v>
      </c>
      <c r="C2752" s="17">
        <v>6</v>
      </c>
      <c r="D2752" s="18"/>
      <c r="E2752" s="17" t="s">
        <v>5168</v>
      </c>
      <c r="F2752" s="17"/>
      <c r="G2752" s="18"/>
      <c r="H2752" s="18"/>
    </row>
    <row r="2753" spans="1:8" ht="13.2">
      <c r="A2753" s="15" t="s">
        <v>844</v>
      </c>
      <c r="B2753" s="34" t="s">
        <v>845</v>
      </c>
      <c r="C2753" s="31">
        <v>6</v>
      </c>
      <c r="D2753" s="18"/>
      <c r="E2753" s="17" t="s">
        <v>805</v>
      </c>
      <c r="F2753" s="17"/>
      <c r="G2753" s="18"/>
      <c r="H2753" s="18"/>
    </row>
    <row r="2754" spans="1:8" ht="13.2">
      <c r="A2754" s="15" t="s">
        <v>846</v>
      </c>
      <c r="B2754" s="28" t="s">
        <v>847</v>
      </c>
      <c r="C2754" s="24">
        <v>6</v>
      </c>
      <c r="D2754" s="18"/>
      <c r="E2754" s="17" t="s">
        <v>805</v>
      </c>
      <c r="F2754" s="17"/>
      <c r="G2754" s="18"/>
      <c r="H2754" s="18"/>
    </row>
    <row r="2755" spans="1:8" ht="13.2">
      <c r="A2755" s="19" t="str">
        <f>HYPERLINK("https://www.codechef.com/problems/SCHEDULE","CODECHEF SCHEDULE")</f>
        <v>CODECHEF SCHEDULE</v>
      </c>
      <c r="B2755" s="18" t="s">
        <v>848</v>
      </c>
      <c r="C2755" s="17">
        <v>6</v>
      </c>
      <c r="D2755" s="18"/>
      <c r="E2755" s="17" t="s">
        <v>805</v>
      </c>
      <c r="F2755" s="17"/>
      <c r="G2755" s="18"/>
      <c r="H2755" s="18"/>
    </row>
    <row r="2756" spans="1:8" ht="13.2">
      <c r="A2756" s="19" t="str">
        <f>HYPERLINK("http://codeforces.com/contest/378/problem/D","CF378-D2-D")</f>
        <v>CF378-D2-D</v>
      </c>
      <c r="B2756" s="29" t="s">
        <v>849</v>
      </c>
      <c r="C2756" s="17">
        <v>6</v>
      </c>
      <c r="D2756" s="18"/>
      <c r="E2756" s="17" t="s">
        <v>805</v>
      </c>
      <c r="F2756" s="17"/>
      <c r="G2756" s="18"/>
      <c r="H2756" s="18"/>
    </row>
    <row r="2757" spans="1:8" ht="13.2">
      <c r="A2757" s="19" t="str">
        <f>HYPERLINK("http://codeforces.com/contest/810/problem/D","CF810-D2-D")</f>
        <v>CF810-D2-D</v>
      </c>
      <c r="B2757" s="15" t="s">
        <v>808</v>
      </c>
      <c r="C2757" s="17">
        <v>6</v>
      </c>
      <c r="D2757" s="18"/>
      <c r="E2757" s="17" t="s">
        <v>805</v>
      </c>
      <c r="F2757" s="17"/>
      <c r="G2757" s="18"/>
      <c r="H2757" s="18"/>
    </row>
    <row r="2758" spans="1:8" ht="13.2">
      <c r="A2758" s="15" t="s">
        <v>5333</v>
      </c>
      <c r="B2758" s="29" t="s">
        <v>5309</v>
      </c>
      <c r="C2758" s="24">
        <v>6</v>
      </c>
      <c r="D2758" s="26" t="str">
        <f>HYPERLINK("http://acm.timus.ru/forum/thread.aspx?id=27887&amp;upd=634661729512364046","Editorial (Google Sol)")</f>
        <v>Editorial (Google Sol)</v>
      </c>
      <c r="E2758" s="17" t="s">
        <v>5310</v>
      </c>
      <c r="F2758" s="17"/>
      <c r="G2758" s="18"/>
      <c r="H2758" s="18"/>
    </row>
    <row r="2759" spans="1:8" ht="13.2">
      <c r="A2759" s="15" t="s">
        <v>5334</v>
      </c>
      <c r="B2759" s="28" t="s">
        <v>5309</v>
      </c>
      <c r="C2759" s="24">
        <v>6</v>
      </c>
      <c r="D2759" s="26" t="str">
        <f>HYPERLINK("https://blog.sengxian.com/solutions/uva-684","Sol")</f>
        <v>Sol</v>
      </c>
      <c r="E2759" s="17" t="s">
        <v>5310</v>
      </c>
      <c r="F2759" s="17"/>
      <c r="G2759" s="18"/>
      <c r="H2759" s="18"/>
    </row>
    <row r="2760" spans="1:8" ht="13.2">
      <c r="A2760" s="15" t="s">
        <v>5335</v>
      </c>
      <c r="B2760" s="29" t="s">
        <v>5336</v>
      </c>
      <c r="C2760" s="54">
        <v>6</v>
      </c>
      <c r="D2760" s="26" t="str">
        <f>HYPERLINK("https://github.com/marioyc/Online-Judge-Solutions/blob/master/Live%20Archive/4305%20-%20Wizards.cpp","Sol(no editorial)")</f>
        <v>Sol(no editorial)</v>
      </c>
      <c r="E2760" s="17" t="s">
        <v>5310</v>
      </c>
      <c r="F2760" s="17"/>
      <c r="G2760" s="18"/>
      <c r="H2760" s="18"/>
    </row>
    <row r="2761" spans="1:8" ht="13.2">
      <c r="A2761" s="15" t="s">
        <v>5379</v>
      </c>
      <c r="B2761" s="29" t="s">
        <v>5380</v>
      </c>
      <c r="C2761" s="24">
        <v>6</v>
      </c>
      <c r="D2761" s="18"/>
      <c r="E2761" s="17" t="s">
        <v>5346</v>
      </c>
      <c r="F2761" s="17"/>
      <c r="G2761" s="18"/>
      <c r="H2761" s="18"/>
    </row>
    <row r="2762" spans="1:8" ht="13.2">
      <c r="A2762" s="19" t="str">
        <f>HYPERLINK("https://agc003.contest.atcoder.jp/tasks/agc003_d","AtCoder003-AGC-D")</f>
        <v>AtCoder003-AGC-D</v>
      </c>
      <c r="B2762" s="15" t="s">
        <v>5416</v>
      </c>
      <c r="C2762" s="17">
        <v>6</v>
      </c>
      <c r="D2762" s="18"/>
      <c r="E2762" s="17" t="s">
        <v>5414</v>
      </c>
      <c r="F2762" s="17"/>
      <c r="G2762" s="18"/>
      <c r="H2762" s="18"/>
    </row>
    <row r="2763" spans="1:8" ht="13.2">
      <c r="A2763" s="15" t="s">
        <v>5448</v>
      </c>
      <c r="B2763" s="30" t="s">
        <v>5449</v>
      </c>
      <c r="C2763" s="17">
        <v>6</v>
      </c>
      <c r="D2763" s="26" t="str">
        <f>HYPERLINK("https://github.com/Huvok/CompetitiveProgramming/blob/master/UVA/12216.cpp", "Sol")</f>
        <v>Sol</v>
      </c>
      <c r="E2763" s="17" t="s">
        <v>5414</v>
      </c>
      <c r="F2763" s="17"/>
      <c r="G2763" s="18"/>
      <c r="H2763" s="18"/>
    </row>
    <row r="2764" spans="1:8" ht="13.2">
      <c r="A2764" s="15" t="s">
        <v>5450</v>
      </c>
      <c r="B2764" s="28" t="s">
        <v>5451</v>
      </c>
      <c r="C2764" s="24">
        <v>6</v>
      </c>
      <c r="D2764" s="18"/>
      <c r="E2764" s="17" t="s">
        <v>5414</v>
      </c>
      <c r="F2764" s="17"/>
      <c r="G2764" s="18"/>
      <c r="H2764" s="18"/>
    </row>
    <row r="2765" spans="1:8" ht="13.2">
      <c r="A2765" s="19" t="str">
        <f>HYPERLINK("http://codeforces.com/gym/100506/problem/C","CF100506-GYM-C")</f>
        <v>CF100506-GYM-C</v>
      </c>
      <c r="B2765" s="28" t="s">
        <v>5519</v>
      </c>
      <c r="C2765" s="24">
        <v>6</v>
      </c>
      <c r="D2765" s="26" t="str">
        <f>HYPERLINK("https://github.com/sggutier/CompetitiveProgramming/blob/master/Codeforces/CF100506-GYM-C.cpp","Sol")</f>
        <v>Sol</v>
      </c>
      <c r="E2765" s="17" t="s">
        <v>5512</v>
      </c>
      <c r="F2765" s="17"/>
      <c r="G2765" s="18"/>
      <c r="H2765" s="18"/>
    </row>
    <row r="2766" spans="1:8" ht="13.2">
      <c r="A2766" s="19" t="str">
        <f>HYPERLINK("http://codeforces.com/contest/689/problem/E","CF689-D2-E")</f>
        <v>CF689-D2-E</v>
      </c>
      <c r="B2766" s="15" t="s">
        <v>5561</v>
      </c>
      <c r="C2766" s="24">
        <v>6</v>
      </c>
      <c r="D2766" s="18"/>
      <c r="E2766" s="17" t="s">
        <v>5524</v>
      </c>
      <c r="F2766" s="17"/>
      <c r="G2766" s="18"/>
      <c r="H2766" s="18"/>
    </row>
    <row r="2767" spans="1:8" ht="13.2">
      <c r="A2767" s="19" t="str">
        <f>HYPERLINK("https://www.hackerrank.com/challenges/hyperrectangle-gcd/problem","HACKR hyperrectangle-gcd")</f>
        <v>HACKR hyperrectangle-gcd</v>
      </c>
      <c r="B2767" s="15" t="s">
        <v>5596</v>
      </c>
      <c r="C2767" s="17">
        <v>6</v>
      </c>
      <c r="D2767" s="18"/>
      <c r="E2767" s="17" t="s">
        <v>5575</v>
      </c>
      <c r="F2767" s="17"/>
      <c r="G2767" s="18"/>
      <c r="H2767" s="18"/>
    </row>
    <row r="2768" spans="1:8" ht="13.2">
      <c r="A2768" s="15" t="s">
        <v>5602</v>
      </c>
      <c r="B2768" s="28" t="s">
        <v>5603</v>
      </c>
      <c r="C2768" s="24">
        <v>6</v>
      </c>
      <c r="D2768" s="18"/>
      <c r="E2768" s="17" t="s">
        <v>5575</v>
      </c>
      <c r="F2768" s="17"/>
      <c r="G2768" s="18"/>
      <c r="H2768" s="18"/>
    </row>
    <row r="2769" spans="1:8" ht="13.2">
      <c r="A2769" s="15" t="s">
        <v>4113</v>
      </c>
      <c r="B2769" s="39" t="s">
        <v>4114</v>
      </c>
      <c r="C2769" s="24">
        <v>5.75</v>
      </c>
      <c r="D2769" s="26" t="str">
        <f>HYPERLINK("https://github.com/achrafmam2/CompetitiveProgramming/blob/master/UVA/10511.cc","Sol")</f>
        <v>Sol</v>
      </c>
      <c r="E2769" s="17" t="s">
        <v>4060</v>
      </c>
      <c r="F2769" s="17" t="s">
        <v>173</v>
      </c>
      <c r="G2769" s="18"/>
      <c r="H2769" s="18"/>
    </row>
    <row r="2770" spans="1:8" ht="13.2">
      <c r="A2770" s="19" t="str">
        <f>HYPERLINK("http://www.spoj.com/problems/PROOT/","SPOJ PROOT")</f>
        <v>SPOJ PROOT</v>
      </c>
      <c r="B2770" s="29" t="s">
        <v>5097</v>
      </c>
      <c r="C2770" s="17">
        <v>5.75</v>
      </c>
      <c r="D2770" s="26" t="str">
        <f>HYPERLINK("https://github.com/YazanZebak/CompetitiveProgramming/blob/master/Spoj/PROOT.cpp","Sol")</f>
        <v>Sol</v>
      </c>
      <c r="E2770" s="17" t="s">
        <v>5075</v>
      </c>
      <c r="F2770" s="17" t="s">
        <v>1053</v>
      </c>
      <c r="G2770" s="18"/>
      <c r="H2770" s="18"/>
    </row>
    <row r="2771" spans="1:8" ht="13.2">
      <c r="A2771" s="19" t="str">
        <f>HYPERLINK("https://www.hackerrank.com/challenges/xor-key/problem","HACKR XOR-key")</f>
        <v>HACKR XOR-key</v>
      </c>
      <c r="B2771" s="20" t="s">
        <v>5670</v>
      </c>
      <c r="C2771" s="21">
        <v>5.75</v>
      </c>
      <c r="D2771" s="26" t="str">
        <f>HYPERLINK("https://github.com/mostafa-saad/MyCompetitiveProgramming/blob/master/HACKERRANK/HACKR-XOR-key.txt","Sol")</f>
        <v>Sol</v>
      </c>
      <c r="E2771" s="17" t="s">
        <v>5643</v>
      </c>
      <c r="F2771" s="17" t="s">
        <v>154</v>
      </c>
      <c r="G2771" s="18"/>
      <c r="H2771" s="18"/>
    </row>
    <row r="2772" spans="1:8" ht="13.2">
      <c r="A2772" s="15" t="s">
        <v>6487</v>
      </c>
      <c r="B2772" s="29" t="s">
        <v>6488</v>
      </c>
      <c r="C2772" s="17">
        <v>5.75</v>
      </c>
      <c r="D2772" s="26" t="str">
        <f>HYPERLINK("https://github.com/mostafa-saad/MyCompetitiveProgramming/blob/master/UVA/UVA_10859.txt","Sol - must read")</f>
        <v>Sol - must read</v>
      </c>
      <c r="E2772" s="17" t="s">
        <v>6459</v>
      </c>
      <c r="F2772" s="17" t="s">
        <v>154</v>
      </c>
      <c r="G2772" s="18"/>
      <c r="H2772" s="18"/>
    </row>
    <row r="2773" spans="1:8" ht="13.2">
      <c r="A2773" s="15" t="s">
        <v>3370</v>
      </c>
      <c r="B2773" s="29" t="s">
        <v>3371</v>
      </c>
      <c r="C2773" s="17">
        <v>5.75</v>
      </c>
      <c r="D2773" s="26" t="str">
        <f>HYPERLINK("https://github.com/mostafa-saad/MyCompetitiveProgramming/blob/master/TopCoder/SRM608-D2-1000.txt","Sol")</f>
        <v>Sol</v>
      </c>
      <c r="E2773" s="17" t="s">
        <v>3257</v>
      </c>
      <c r="F2773" s="17" t="s">
        <v>154</v>
      </c>
      <c r="G2773" s="18"/>
      <c r="H2773" s="18"/>
    </row>
    <row r="2774" spans="1:8" ht="13.2">
      <c r="A2774" s="19" t="str">
        <f>HYPERLINK("http://codeforces.com/contest/366/problem/D","CF366-D2-D")</f>
        <v>CF366-D2-D</v>
      </c>
      <c r="B2774" s="38" t="s">
        <v>3921</v>
      </c>
      <c r="C2774" s="17">
        <v>5.75</v>
      </c>
      <c r="D2774" s="18"/>
      <c r="E2774" s="17" t="s">
        <v>3883</v>
      </c>
      <c r="F2774" s="17" t="s">
        <v>154</v>
      </c>
      <c r="G2774" s="18"/>
      <c r="H2774" s="18"/>
    </row>
    <row r="2775" spans="1:8" ht="13.2">
      <c r="A2775" s="19" t="str">
        <f>HYPERLINK("https://www.codechef.com/NOV18B/problems/GMEDIAN","CODECHEF GMEDIAN")</f>
        <v>CODECHEF GMEDIAN</v>
      </c>
      <c r="B2775" s="15" t="s">
        <v>5003</v>
      </c>
      <c r="C2775" s="17">
        <v>5.75</v>
      </c>
      <c r="D2775" s="18"/>
      <c r="E2775" s="17" t="s">
        <v>4958</v>
      </c>
      <c r="F2775" s="17" t="s">
        <v>154</v>
      </c>
      <c r="G2775" s="18"/>
      <c r="H2775" s="18"/>
    </row>
    <row r="2776" spans="1:8" ht="13.2">
      <c r="A2776" s="15" t="s">
        <v>5060</v>
      </c>
      <c r="B2776" s="28" t="s">
        <v>5061</v>
      </c>
      <c r="C2776" s="17">
        <v>5.75</v>
      </c>
      <c r="D2776" s="26" t="str">
        <f>HYPERLINK("https://github.com/mostafa-saad/MyCompetitiveProgramming/blob/master/SPOJ/SPOJ_LEONARDO.txt","Sol")</f>
        <v>Sol</v>
      </c>
      <c r="E2776" s="17" t="s">
        <v>5043</v>
      </c>
      <c r="F2776" s="17" t="s">
        <v>154</v>
      </c>
      <c r="G2776" s="18"/>
      <c r="H2776" s="18"/>
    </row>
    <row r="2777" spans="1:8" ht="13.2">
      <c r="A2777" s="19" t="str">
        <f>HYPERLINK("https://www.hackerrank.com/challenges/mehta-and-the-typical-supermarket","HACKR mehta-and-the-typical-supermarket")</f>
        <v>HACKR mehta-and-the-typical-supermarket</v>
      </c>
      <c r="B2777" s="29" t="s">
        <v>5157</v>
      </c>
      <c r="C2777" s="17">
        <v>5.75</v>
      </c>
      <c r="D2777" s="26" t="str">
        <f>HYPERLINK("https://github.com/Huvok/CompetitiveProgramming/blob/master/Hackerrank/HACKR%20mehta-and-the-typical-supermarket.cpp", "Sol")</f>
        <v>Sol</v>
      </c>
      <c r="E2777" s="17" t="s">
        <v>5134</v>
      </c>
      <c r="F2777" s="17" t="s">
        <v>154</v>
      </c>
      <c r="G2777" s="18"/>
      <c r="H2777" s="18"/>
    </row>
    <row r="2778" spans="1:8" ht="13.2">
      <c r="A2778" s="15" t="s">
        <v>5381</v>
      </c>
      <c r="B2778" s="29" t="s">
        <v>5382</v>
      </c>
      <c r="C2778" s="17">
        <v>5.75</v>
      </c>
      <c r="D2778" s="26" t="str">
        <f>HYPERLINK("https://stackoverflow.com/questions/25281005/calculating-probability-for-funprob","Sol")</f>
        <v>Sol</v>
      </c>
      <c r="E2778" s="17" t="s">
        <v>5346</v>
      </c>
      <c r="F2778" s="17" t="s">
        <v>154</v>
      </c>
      <c r="G2778" s="18"/>
      <c r="H2778" s="18"/>
    </row>
    <row r="2779" spans="1:8" ht="13.2">
      <c r="A2779" s="19" t="str">
        <f>HYPERLINK("http://codeforces.com/contest/688/problem/D","CF688-D2-D")</f>
        <v>CF688-D2-D</v>
      </c>
      <c r="B2779" s="29" t="s">
        <v>5562</v>
      </c>
      <c r="C2779" s="17">
        <v>5.75</v>
      </c>
      <c r="D2779" s="18"/>
      <c r="E2779" s="17" t="s">
        <v>5524</v>
      </c>
      <c r="F2779" s="17" t="s">
        <v>154</v>
      </c>
      <c r="G2779" s="18"/>
      <c r="H2779" s="18"/>
    </row>
    <row r="2780" spans="1:8" ht="13.2">
      <c r="A2780" s="19" t="str">
        <f>HYPERLINK("http://codeforces.com/contest/375/problem/D","CF375-D1-D")</f>
        <v>CF375-D1-D</v>
      </c>
      <c r="B2780" s="29" t="s">
        <v>5935</v>
      </c>
      <c r="C2780" s="17">
        <v>5.75</v>
      </c>
      <c r="D2780" s="18"/>
      <c r="E2780" s="17" t="s">
        <v>5915</v>
      </c>
      <c r="F2780" s="17" t="s">
        <v>196</v>
      </c>
      <c r="G2780" s="18"/>
      <c r="H2780" s="18"/>
    </row>
    <row r="2781" spans="1:8" ht="13.2">
      <c r="A2781" s="15" t="s">
        <v>6262</v>
      </c>
      <c r="B2781" s="29" t="s">
        <v>6263</v>
      </c>
      <c r="C2781" s="24">
        <v>5.75</v>
      </c>
      <c r="D2781" s="26" t="str">
        <f>HYPERLINK("https://github.com/Huvok/CompetitiveProgramming/blob/master/Topcoder/SRM465-D1-500.cpp","Sol")</f>
        <v>Sol</v>
      </c>
      <c r="E2781" s="17" t="s">
        <v>6246</v>
      </c>
      <c r="F2781" s="17" t="s">
        <v>196</v>
      </c>
      <c r="G2781" s="18"/>
      <c r="H2781" s="18"/>
    </row>
    <row r="2782" spans="1:8" ht="13.2">
      <c r="A2782" s="19" t="str">
        <f>HYPERLINK("http://codeforces.com/contest/486/problem/E","CF486-D2-E")</f>
        <v>CF486-D2-E</v>
      </c>
      <c r="B2782" s="15" t="s">
        <v>1151</v>
      </c>
      <c r="C2782" s="24">
        <v>5.75</v>
      </c>
      <c r="D2782" s="18"/>
      <c r="E2782" s="17" t="s">
        <v>1018</v>
      </c>
      <c r="F2782" s="17" t="s">
        <v>196</v>
      </c>
      <c r="G2782" s="18"/>
      <c r="H2782" s="18"/>
    </row>
    <row r="2783" spans="1:8" ht="13.2">
      <c r="A2783" s="19" t="str">
        <f>HYPERLINK("http://codeforces.com/contest/1025/problem/D","CF1025-D2-D")</f>
        <v>CF1025-D2-D</v>
      </c>
      <c r="B2783" s="20" t="s">
        <v>1506</v>
      </c>
      <c r="C2783" s="21">
        <v>5.75</v>
      </c>
      <c r="D2783" s="18"/>
      <c r="E2783" s="17" t="s">
        <v>1337</v>
      </c>
      <c r="F2783" s="17" t="s">
        <v>196</v>
      </c>
      <c r="G2783" s="18"/>
      <c r="H2783" s="18"/>
    </row>
    <row r="2784" spans="1:8" ht="13.2">
      <c r="A2784" s="19" t="str">
        <f>HYPERLINK("http://codeforces.com/gym/100956/attachments","CF100956-GYM-D")</f>
        <v>CF100956-GYM-D</v>
      </c>
      <c r="B2784" s="38" t="s">
        <v>2163</v>
      </c>
      <c r="C2784" s="17">
        <v>5.75</v>
      </c>
      <c r="D2784" s="26" t="str">
        <f>HYPERLINK("https://github.com/mostafa-saad/MyCompetitiveProgramming/blob/master/Codeforces/CF100956-GYM-D.txt","Sol")</f>
        <v>Sol</v>
      </c>
      <c r="E2784" s="17" t="s">
        <v>2153</v>
      </c>
      <c r="F2784" s="17" t="s">
        <v>196</v>
      </c>
      <c r="G2784" s="18"/>
      <c r="H2784" s="18"/>
    </row>
    <row r="2785" spans="1:8" ht="13.2">
      <c r="A2785" s="19" t="str">
        <f>HYPERLINK("https://beta.atcoder.jp/contests/arc103/tasks/arc103_c","AtCoder103-ARC-E")</f>
        <v>AtCoder103-ARC-E</v>
      </c>
      <c r="B2785" s="20" t="s">
        <v>3341</v>
      </c>
      <c r="C2785" s="21">
        <v>5.75</v>
      </c>
      <c r="D2785" s="26" t="str">
        <f>HYPERLINK("https://github.com/gs15120/CompetitveProgrammingDirectories/blob/master/Atcoder/AtCoder103-ARC-E","Sol")</f>
        <v>Sol</v>
      </c>
      <c r="E2785" s="17" t="s">
        <v>3257</v>
      </c>
      <c r="F2785" s="17" t="s">
        <v>1112</v>
      </c>
      <c r="G2785" s="18"/>
      <c r="H2785" s="18"/>
    </row>
    <row r="2786" spans="1:8" ht="13.2">
      <c r="A2786" s="19" t="str">
        <f>HYPERLINK("http://codeforces.com/contest/626/problem/E","CF626-D2-E")</f>
        <v>CF626-D2-E</v>
      </c>
      <c r="B2786" s="15" t="s">
        <v>927</v>
      </c>
      <c r="C2786" s="17">
        <v>5.75</v>
      </c>
      <c r="D2786" s="18"/>
      <c r="E2786" s="17" t="s">
        <v>910</v>
      </c>
      <c r="F2786" s="17" t="s">
        <v>139</v>
      </c>
      <c r="G2786" s="18"/>
      <c r="H2786" s="18"/>
    </row>
    <row r="2787" spans="1:8" ht="13.2">
      <c r="A2787" s="19" t="str">
        <f>HYPERLINK("https://codingcompetitions.withgoogle.com/codejam/round/00000000000516b9/0000000000134c90","CODEJAM 19-R1C-A")</f>
        <v>CODEJAM 19-R1C-A</v>
      </c>
      <c r="B2787" s="20" t="s">
        <v>5671</v>
      </c>
      <c r="C2787" s="17">
        <v>5.75</v>
      </c>
      <c r="D2787" s="18"/>
      <c r="E2787" s="17" t="s">
        <v>5643</v>
      </c>
      <c r="F2787" s="17" t="s">
        <v>139</v>
      </c>
      <c r="G2787" s="18"/>
      <c r="H2787" s="18"/>
    </row>
    <row r="2788" spans="1:8" ht="13.2">
      <c r="A2788" s="15" t="s">
        <v>5717</v>
      </c>
      <c r="B2788" s="18" t="s">
        <v>5718</v>
      </c>
      <c r="C2788" s="17">
        <v>5.75</v>
      </c>
      <c r="D2788" s="26" t="str">
        <f>HYPERLINK("https://github.com/sggutier/CompetitiveProgramming/blob/master/UVa/1282.cpp","Sol")</f>
        <v>Sol</v>
      </c>
      <c r="E2788" s="17" t="s">
        <v>5702</v>
      </c>
      <c r="F2788" s="17" t="s">
        <v>139</v>
      </c>
      <c r="G2788" s="18"/>
      <c r="H2788" s="18"/>
    </row>
    <row r="2789" spans="1:8" ht="13.2">
      <c r="A2789" s="19" t="str">
        <f>HYPERLINK("https://codeforces.com/contest/1056/problem/E","CF1056-D12-E")</f>
        <v>CF1056-D12-E</v>
      </c>
      <c r="B2789" s="15" t="s">
        <v>5864</v>
      </c>
      <c r="C2789" s="17">
        <v>5.75</v>
      </c>
      <c r="D2789" s="18"/>
      <c r="E2789" s="17" t="s">
        <v>5857</v>
      </c>
      <c r="F2789" s="17" t="s">
        <v>139</v>
      </c>
      <c r="G2789" s="18"/>
      <c r="H2789" s="18"/>
    </row>
    <row r="2790" spans="1:8" ht="13.2">
      <c r="A2790" s="19" t="str">
        <f>HYPERLINK("http://codeforces.com/contest/9/problem/D","CF9-D2-D")</f>
        <v>CF9-D2-D</v>
      </c>
      <c r="B2790" s="29" t="s">
        <v>5950</v>
      </c>
      <c r="C2790" s="17">
        <v>5.75</v>
      </c>
      <c r="D2790" s="18"/>
      <c r="E2790" s="17" t="s">
        <v>5947</v>
      </c>
      <c r="F2790" s="17" t="s">
        <v>139</v>
      </c>
      <c r="G2790" s="18"/>
      <c r="H2790" s="18"/>
    </row>
    <row r="2791" spans="1:8" ht="13.2">
      <c r="A2791" s="19" t="str">
        <f>HYPERLINK("http://codeforces.com/contest/689/problem/D","CF689-D2-D")</f>
        <v>CF689-D2-D</v>
      </c>
      <c r="B2791" s="29" t="s">
        <v>1004</v>
      </c>
      <c r="C2791" s="24">
        <v>5.75</v>
      </c>
      <c r="D2791" s="18"/>
      <c r="E2791" s="17" t="s">
        <v>997</v>
      </c>
      <c r="F2791" s="17" t="s">
        <v>139</v>
      </c>
      <c r="G2791" s="18"/>
      <c r="H2791" s="18"/>
    </row>
    <row r="2792" spans="1:8" ht="13.2">
      <c r="A2792" s="19" t="str">
        <f>HYPERLINK("http://codeforces.com/contest/342/problem/E","CF342-D2-E")</f>
        <v>CF342-D2-E</v>
      </c>
      <c r="B2792" s="32" t="s">
        <v>6412</v>
      </c>
      <c r="C2792" s="17">
        <v>5.75</v>
      </c>
      <c r="D2792" s="18"/>
      <c r="E2792" s="17" t="s">
        <v>6397</v>
      </c>
      <c r="F2792" s="17" t="s">
        <v>139</v>
      </c>
      <c r="G2792" s="18"/>
      <c r="H2792" s="18"/>
    </row>
    <row r="2793" spans="1:8" ht="13.2">
      <c r="A2793" s="19" t="str">
        <f>HYPERLINK("http://codeforces.com/contest/669/problem/E","CF669-D2-E")</f>
        <v>CF669-D2-E</v>
      </c>
      <c r="B2793" s="32" t="s">
        <v>1152</v>
      </c>
      <c r="C2793" s="17">
        <v>5.75</v>
      </c>
      <c r="D2793" s="26" t="str">
        <f>HYPERLINK("https://github.com/mostafa-saad/MyCompetitiveProgramming/blob/master/Codeforces/CF669-D2-E.txt","Sol - must read")</f>
        <v>Sol - must read</v>
      </c>
      <c r="E2793" s="17" t="s">
        <v>1018</v>
      </c>
      <c r="F2793" s="17" t="s">
        <v>139</v>
      </c>
      <c r="G2793" s="18"/>
      <c r="H2793" s="18"/>
    </row>
    <row r="2794" spans="1:8" ht="13.2">
      <c r="A2794" s="15" t="s">
        <v>1153</v>
      </c>
      <c r="B2794" s="28" t="s">
        <v>1154</v>
      </c>
      <c r="C2794" s="24">
        <v>5.75</v>
      </c>
      <c r="D2794" s="26" t="str">
        <f>HYPERLINK("https://github.com/mostafa-saad/MyCompetitiveProgramming/blob/master/UVA/UVA_10909.txt","Sol")</f>
        <v>Sol</v>
      </c>
      <c r="E2794" s="17" t="s">
        <v>1018</v>
      </c>
      <c r="F2794" s="17" t="s">
        <v>139</v>
      </c>
      <c r="G2794" s="18"/>
      <c r="H2794" s="18"/>
    </row>
    <row r="2795" spans="1:8" ht="13.2">
      <c r="A2795" s="19" t="str">
        <f>HYPERLINK("https://codeforces.com/contest/1156/problem/D", "CF1156-D12-D")</f>
        <v>CF1156-D12-D</v>
      </c>
      <c r="B2795" s="15" t="s">
        <v>1155</v>
      </c>
      <c r="C2795" s="17">
        <v>5.75</v>
      </c>
      <c r="D2795" s="18"/>
      <c r="E2795" s="17" t="s">
        <v>1018</v>
      </c>
      <c r="F2795" s="17" t="s">
        <v>139</v>
      </c>
      <c r="G2795" s="18"/>
      <c r="H2795" s="18"/>
    </row>
    <row r="2796" spans="1:8" ht="13.2">
      <c r="A2796" s="19" t="str">
        <f>HYPERLINK("http://codeforces.com/problemset/problem/461/B", "CF461-D1-B")</f>
        <v>CF461-D1-B</v>
      </c>
      <c r="B2796" s="15" t="s">
        <v>6458</v>
      </c>
      <c r="C2796" s="17">
        <v>5.75</v>
      </c>
      <c r="D2796" s="18"/>
      <c r="E2796" s="17" t="s">
        <v>6459</v>
      </c>
      <c r="F2796" s="17" t="s">
        <v>139</v>
      </c>
      <c r="G2796" s="18"/>
      <c r="H2796" s="18"/>
    </row>
    <row r="2797" spans="1:8" ht="13.2">
      <c r="A2797" s="19" t="str">
        <f>HYPERLINK("https://codeforces.com/contest/1156/problem/E", "CF1156-D12-E")</f>
        <v>CF1156-D12-E</v>
      </c>
      <c r="B2797" s="15" t="s">
        <v>6489</v>
      </c>
      <c r="C2797" s="17">
        <v>5.75</v>
      </c>
      <c r="D2797" s="18"/>
      <c r="E2797" s="17" t="s">
        <v>6459</v>
      </c>
      <c r="F2797" s="17" t="s">
        <v>139</v>
      </c>
      <c r="G2797" s="18"/>
      <c r="H2797" s="18"/>
    </row>
    <row r="2798" spans="1:8" ht="13.2">
      <c r="A2798" s="19" t="str">
        <f>HYPERLINK("http://codeforces.com/contest/313/problem/D","CF313-D2-D")</f>
        <v>CF313-D2-D</v>
      </c>
      <c r="B2798" s="29" t="s">
        <v>1507</v>
      </c>
      <c r="C2798" s="17">
        <v>5.75</v>
      </c>
      <c r="D2798" s="18"/>
      <c r="E2798" s="17" t="s">
        <v>1337</v>
      </c>
      <c r="F2798" s="17" t="s">
        <v>139</v>
      </c>
      <c r="G2798" s="18"/>
      <c r="H2798" s="18"/>
    </row>
    <row r="2799" spans="1:8" ht="13.2">
      <c r="A2799" s="19" t="str">
        <f>HYPERLINK("http://codeforces.com/contest/427/problem/E","CF427-D2-E")</f>
        <v>CF427-D2-E</v>
      </c>
      <c r="B2799" s="29" t="s">
        <v>2249</v>
      </c>
      <c r="C2799" s="17">
        <v>5.75</v>
      </c>
      <c r="D2799" s="18"/>
      <c r="E2799" s="17" t="s">
        <v>2153</v>
      </c>
      <c r="F2799" s="17" t="s">
        <v>139</v>
      </c>
      <c r="G2799" s="18"/>
      <c r="H2799" s="18"/>
    </row>
    <row r="2800" spans="1:8" ht="13.2">
      <c r="A2800" s="19" t="str">
        <f>HYPERLINK("https://codeforces.com/contest/965/problem/D","CF965-D2-D")</f>
        <v>CF965-D2-D</v>
      </c>
      <c r="B2800" s="15" t="s">
        <v>2250</v>
      </c>
      <c r="C2800" s="17">
        <v>5.75</v>
      </c>
      <c r="D2800" s="18"/>
      <c r="E2800" s="17" t="s">
        <v>2153</v>
      </c>
      <c r="F2800" s="17" t="s">
        <v>139</v>
      </c>
      <c r="G2800" s="18"/>
      <c r="H2800" s="18"/>
    </row>
    <row r="2801" spans="1:8" ht="13.2">
      <c r="A2801" s="19" t="str">
        <f>HYPERLINK("http://codeforces.com/contest/981/problem/D", "CF981-D12-D")</f>
        <v>CF981-D12-D</v>
      </c>
      <c r="B2801" s="20" t="s">
        <v>2251</v>
      </c>
      <c r="C2801" s="21">
        <v>5.75</v>
      </c>
      <c r="D2801" s="18"/>
      <c r="E2801" s="17" t="s">
        <v>2153</v>
      </c>
      <c r="F2801" s="17" t="s">
        <v>139</v>
      </c>
      <c r="G2801" s="18"/>
      <c r="H2801" s="18"/>
    </row>
    <row r="2802" spans="1:8" ht="13.2">
      <c r="A2802" s="19" t="str">
        <f>HYPERLINK("https://www.hackerrank.com/challenges/house-location","HACKR house-location")</f>
        <v>HACKR house-location</v>
      </c>
      <c r="B2802" s="29" t="s">
        <v>2836</v>
      </c>
      <c r="C2802" s="24">
        <v>5.75</v>
      </c>
      <c r="D2802" s="26" t="str">
        <f>HYPERLINK("https://github.com/arvindr9/CompetitiveProgramming/blob/master/Hackerrank/HACKR%20house-location.cpp","Sol")</f>
        <v>Sol</v>
      </c>
      <c r="E2802" s="17" t="s">
        <v>2798</v>
      </c>
      <c r="F2802" s="17" t="s">
        <v>139</v>
      </c>
      <c r="G2802" s="18"/>
      <c r="H2802" s="18"/>
    </row>
    <row r="2803" spans="1:8" ht="13.2">
      <c r="A2803" s="19" t="str">
        <f>HYPERLINK("https://uva.onlinejudge.org/index.php?option=com_onlinejudge&amp;Itemid=8&amp;page=show_problem&amp;problem=2175","UVA 11234")</f>
        <v>UVA 11234</v>
      </c>
      <c r="B2803" s="29" t="s">
        <v>610</v>
      </c>
      <c r="C2803" s="17">
        <v>5.75</v>
      </c>
      <c r="D2803" s="26" t="str">
        <f>HYPERLINK("https://github.com/mostafa-saad/MyCompetitiveProgramming/blob/master/UVA/UVA_11234.txt","Sol")</f>
        <v>Sol</v>
      </c>
      <c r="E2803" s="17" t="s">
        <v>575</v>
      </c>
      <c r="F2803" s="17" t="s">
        <v>139</v>
      </c>
      <c r="G2803" s="18"/>
      <c r="H2803" s="18"/>
    </row>
    <row r="2804" spans="1:8" ht="13.2">
      <c r="A2804" s="19" t="str">
        <f>HYPERLINK("http://codeforces.com/contest/821/problem/D","CF821-D2-D")</f>
        <v>CF821-D2-D</v>
      </c>
      <c r="B2804" s="15" t="s">
        <v>3466</v>
      </c>
      <c r="C2804" s="17">
        <v>5.75</v>
      </c>
      <c r="D2804" s="18"/>
      <c r="E2804" s="17" t="s">
        <v>3467</v>
      </c>
      <c r="F2804" s="17" t="s">
        <v>139</v>
      </c>
      <c r="G2804" s="18"/>
      <c r="H2804" s="18"/>
    </row>
    <row r="2805" spans="1:8" ht="13.2">
      <c r="A2805" s="19" t="str">
        <f>HYPERLINK("https://uva.onlinejudge.org/index.php?option=com_onlinejudge&amp;Itemid=8&amp;page=show_problem&amp;problem=648","UVA 707")</f>
        <v>UVA 707</v>
      </c>
      <c r="B2805" s="29" t="s">
        <v>3726</v>
      </c>
      <c r="C2805" s="17">
        <v>5.75</v>
      </c>
      <c r="D2805" s="26" t="str">
        <f>HYPERLINK("https://github.com/mostafa-saad/MyCompetitiveProgramming/blob/master/UVA/UVA_707.txt","Sol")</f>
        <v>Sol</v>
      </c>
      <c r="E2805" s="17" t="s">
        <v>3650</v>
      </c>
      <c r="F2805" s="17" t="s">
        <v>139</v>
      </c>
      <c r="G2805" s="18"/>
      <c r="H2805" s="18"/>
    </row>
    <row r="2806" spans="1:8" ht="13.2">
      <c r="A2806" s="19" t="str">
        <f>HYPERLINK("https://codeforces.com/contest/1243/problem/D","CF1243-D2-D")</f>
        <v>CF1243-D2-D</v>
      </c>
      <c r="B2806" s="20" t="s">
        <v>3922</v>
      </c>
      <c r="C2806" s="17">
        <v>5.75</v>
      </c>
      <c r="D2806" s="26" t="str">
        <f>HYPERLINK("https://github.com/farmerboy95/CompetitiveProgramming/blob/master/Codeforces/CF1242-D1-B.cpp","Sol")</f>
        <v>Sol</v>
      </c>
      <c r="E2806" s="17" t="s">
        <v>3883</v>
      </c>
      <c r="F2806" s="17" t="s">
        <v>139</v>
      </c>
      <c r="G2806" s="18"/>
      <c r="H2806" s="18"/>
    </row>
    <row r="2807" spans="1:8" ht="13.2">
      <c r="A2807" s="19" t="str">
        <f>HYPERLINK("https://code.google.com/codejam/contest/dashboard?c=4304486#s=p2","CODEJAM 16-R1A-B")</f>
        <v>CODEJAM 16-R1A-B</v>
      </c>
      <c r="B2807" s="18" t="s">
        <v>4346</v>
      </c>
      <c r="C2807" s="17">
        <v>5.75</v>
      </c>
      <c r="D2807" s="18"/>
      <c r="E2807" s="17" t="s">
        <v>4344</v>
      </c>
      <c r="F2807" s="17" t="s">
        <v>139</v>
      </c>
      <c r="G2807" s="18"/>
      <c r="H2807" s="18"/>
    </row>
    <row r="2808" spans="1:8" ht="13.2">
      <c r="A2808" s="15" t="s">
        <v>4481</v>
      </c>
      <c r="B2808" s="43" t="s">
        <v>4482</v>
      </c>
      <c r="C2808" s="24">
        <v>5.75</v>
      </c>
      <c r="D2808" s="26" t="str">
        <f>HYPERLINK("https://github.com/BRAINOOOO/CompetitiveProgramming/blob/master/TIMUS/TIMUS%201752","Sol")</f>
        <v>Sol</v>
      </c>
      <c r="E2808" s="17" t="s">
        <v>4454</v>
      </c>
      <c r="F2808" s="17" t="s">
        <v>139</v>
      </c>
      <c r="G2808" s="18"/>
      <c r="H2808" s="18"/>
    </row>
    <row r="2809" spans="1:8" ht="13.2">
      <c r="A2809" s="19" t="str">
        <f>HYPERLINK("https://codeforces.com/contest/1091/problem/D","CF1091-D12-D")</f>
        <v>CF1091-D12-D</v>
      </c>
      <c r="B2809" s="23" t="s">
        <v>4964</v>
      </c>
      <c r="C2809" s="17">
        <v>5.75</v>
      </c>
      <c r="D2809" s="18"/>
      <c r="E2809" s="17" t="s">
        <v>4958</v>
      </c>
      <c r="F2809" s="17" t="s">
        <v>139</v>
      </c>
      <c r="G2809" s="18"/>
      <c r="H2809" s="18"/>
    </row>
    <row r="2810" spans="1:8" ht="13.2">
      <c r="A2810" s="15" t="s">
        <v>5062</v>
      </c>
      <c r="B2810" s="28" t="s">
        <v>5063</v>
      </c>
      <c r="C2810" s="24">
        <v>5.75</v>
      </c>
      <c r="D2810" s="26" t="str">
        <f>HYPERLINK("http://www.topcoder.com/tc?module=Static&amp;d1=match_editorials&amp;d2=srm280","See Editorial")</f>
        <v>See Editorial</v>
      </c>
      <c r="E2810" s="17" t="s">
        <v>5043</v>
      </c>
      <c r="F2810" s="17" t="s">
        <v>139</v>
      </c>
      <c r="G2810" s="18"/>
      <c r="H2810" s="18"/>
    </row>
    <row r="2811" spans="1:8" ht="13.2">
      <c r="A2811" s="19" t="str">
        <f>HYPERLINK("http://codeforces.com/contest/372/problem/B","CF372-D1-B")</f>
        <v>CF372-D1-B</v>
      </c>
      <c r="B2811" s="28" t="s">
        <v>5158</v>
      </c>
      <c r="C2811" s="17">
        <v>5.75</v>
      </c>
      <c r="D2811" s="18"/>
      <c r="E2811" s="17" t="s">
        <v>5134</v>
      </c>
      <c r="F2811" s="17" t="s">
        <v>139</v>
      </c>
      <c r="G2811" s="18"/>
      <c r="H2811" s="18"/>
    </row>
    <row r="2812" spans="1:8" ht="13.2">
      <c r="A2812" s="19" t="str">
        <f>HYPERLINK("https://atcoder.jp/contests/abc056/tasks/arc070_b", "AtCoder070-ARC-B")</f>
        <v>AtCoder070-ARC-B</v>
      </c>
      <c r="B2812" s="15" t="s">
        <v>850</v>
      </c>
      <c r="C2812" s="17">
        <v>5.75</v>
      </c>
      <c r="D2812" s="18"/>
      <c r="E2812" s="17" t="s">
        <v>805</v>
      </c>
      <c r="F2812" s="17" t="s">
        <v>139</v>
      </c>
      <c r="G2812" s="18"/>
      <c r="H2812" s="18"/>
    </row>
    <row r="2813" spans="1:8" ht="13.2">
      <c r="A2813" s="19" t="str">
        <f>HYPERLINK("http://codeforces.com/contest/558/problem/E","CF558-D2-E")</f>
        <v>CF558-D2-E</v>
      </c>
      <c r="B2813" s="42" t="s">
        <v>6559</v>
      </c>
      <c r="C2813" s="17">
        <v>5.75</v>
      </c>
      <c r="D2813" s="18"/>
      <c r="E2813" s="17" t="s">
        <v>1018</v>
      </c>
      <c r="F2813" s="17" t="s">
        <v>227</v>
      </c>
      <c r="G2813" s="18"/>
      <c r="H2813" s="18"/>
    </row>
    <row r="2814" spans="1:8" ht="13.2">
      <c r="A2814" s="15" t="s">
        <v>6353</v>
      </c>
      <c r="B2814" s="28" t="s">
        <v>6354</v>
      </c>
      <c r="C2814" s="24">
        <v>5.75</v>
      </c>
      <c r="D2814" s="26" t="str">
        <f>HYPERLINK("https://github.com/nya-nya-meow/CompetitiveProgramming/blob/master/SPOJ/QTREE5.cpp","Sol")</f>
        <v>Sol</v>
      </c>
      <c r="E2814" s="17" t="s">
        <v>6345</v>
      </c>
      <c r="F2814" s="17" t="s">
        <v>201</v>
      </c>
      <c r="G2814" s="18"/>
      <c r="H2814" s="18"/>
    </row>
    <row r="2815" spans="1:8" ht="13.2">
      <c r="A2815" s="19" t="str">
        <f>HYPERLINK("http://codeforces.com/contest/1009/problem/F","CF1009-D12-F")</f>
        <v>CF1009-D12-F</v>
      </c>
      <c r="B2815" s="20" t="s">
        <v>6391</v>
      </c>
      <c r="C2815" s="21">
        <v>5.75</v>
      </c>
      <c r="D2815" s="18"/>
      <c r="E2815" s="17" t="s">
        <v>6390</v>
      </c>
      <c r="F2815" s="17" t="s">
        <v>201</v>
      </c>
      <c r="G2815" s="18"/>
      <c r="H2815" s="18"/>
    </row>
    <row r="2816" spans="1:8" ht="13.2">
      <c r="A2816" s="19" t="str">
        <f>HYPERLINK("https://www.codechef.com/problems/MATCH2", "CODECHEF MATCH2")</f>
        <v>CODECHEF MATCH2</v>
      </c>
      <c r="B2816" s="20" t="s">
        <v>1157</v>
      </c>
      <c r="C2816" s="21">
        <v>5.75</v>
      </c>
      <c r="D2816" s="18" t="s">
        <v>1158</v>
      </c>
      <c r="E2816" s="17" t="s">
        <v>1018</v>
      </c>
      <c r="F2816" s="17" t="s">
        <v>201</v>
      </c>
      <c r="G2816" s="18"/>
      <c r="H2816" s="18"/>
    </row>
    <row r="2817" spans="1:8" ht="13.2">
      <c r="A2817" s="15" t="s">
        <v>1736</v>
      </c>
      <c r="B2817" s="28" t="s">
        <v>1737</v>
      </c>
      <c r="C2817" s="24">
        <v>5.75</v>
      </c>
      <c r="D2817" s="18"/>
      <c r="E2817" s="17" t="s">
        <v>1734</v>
      </c>
      <c r="F2817" s="17" t="s">
        <v>201</v>
      </c>
      <c r="G2817" s="18"/>
      <c r="H2817" s="18"/>
    </row>
    <row r="2818" spans="1:8" ht="13.2">
      <c r="A2818" s="15" t="s">
        <v>2122</v>
      </c>
      <c r="B2818" s="29" t="s">
        <v>2123</v>
      </c>
      <c r="C2818" s="17">
        <v>5.75</v>
      </c>
      <c r="D2818" s="18"/>
      <c r="E2818" s="17" t="s">
        <v>2113</v>
      </c>
      <c r="F2818" s="17" t="s">
        <v>201</v>
      </c>
      <c r="G2818" s="18"/>
      <c r="H2818" s="18"/>
    </row>
    <row r="2819" spans="1:8" ht="13.2">
      <c r="A2819" s="19" t="str">
        <f>HYPERLINK("http://codeforces.com/contest/794/problem/C","CF794-D12-C")</f>
        <v>CF794-D12-C</v>
      </c>
      <c r="B2819" s="15" t="s">
        <v>2252</v>
      </c>
      <c r="C2819" s="17">
        <v>5.75</v>
      </c>
      <c r="D2819" s="18"/>
      <c r="E2819" s="17" t="s">
        <v>2153</v>
      </c>
      <c r="F2819" s="17" t="s">
        <v>201</v>
      </c>
      <c r="G2819" s="18"/>
      <c r="H2819" s="18"/>
    </row>
    <row r="2820" spans="1:8" ht="13.2">
      <c r="A2820" s="19" t="str">
        <f>HYPERLINK("https://www.hackerrank.com/challenges/digits-square-board-1","HACKR digits-square-board-1")</f>
        <v>HACKR digits-square-board-1</v>
      </c>
      <c r="B2820" s="28" t="s">
        <v>2491</v>
      </c>
      <c r="C2820" s="17">
        <v>5.75</v>
      </c>
      <c r="D2820" s="26" t="str">
        <f>HYPERLINK("https://github.com/arvindr9/CompetitiveProgramming/blob/master/Hackerrank/HACKR%20digits-square-board-1.cpp","SolToMe. If TLE, it is about the set. Use vector/array")</f>
        <v>SolToMe. If TLE, it is about the set. Use vector/array</v>
      </c>
      <c r="E2820" s="17" t="s">
        <v>2467</v>
      </c>
      <c r="F2820" s="17" t="s">
        <v>201</v>
      </c>
      <c r="G2820" s="18"/>
      <c r="H2820" s="18"/>
    </row>
    <row r="2821" spans="1:8" ht="13.2">
      <c r="A2821" s="15" t="s">
        <v>2668</v>
      </c>
      <c r="B2821" s="43" t="s">
        <v>2669</v>
      </c>
      <c r="C2821" s="24">
        <v>5.75</v>
      </c>
      <c r="D2821" s="26" t="str">
        <f>HYPERLINK("https://ideone.com/Y9T8GY","Sol")</f>
        <v>Sol</v>
      </c>
      <c r="E2821" s="17" t="s">
        <v>2510</v>
      </c>
      <c r="F2821" s="17" t="s">
        <v>201</v>
      </c>
      <c r="G2821" s="18"/>
      <c r="H2821" s="18"/>
    </row>
    <row r="2822" spans="1:8" ht="13.2">
      <c r="A2822" s="19" t="str">
        <f>HYPERLINK("https://codeforces.com/contest/1311/problem/E","CF1311-D3-E")</f>
        <v>CF1311-D3-E</v>
      </c>
      <c r="B2822" s="20" t="s">
        <v>3372</v>
      </c>
      <c r="C2822" s="21">
        <v>5.75</v>
      </c>
      <c r="D2822" s="18"/>
      <c r="E2822" s="17" t="s">
        <v>3257</v>
      </c>
      <c r="F2822" s="17" t="s">
        <v>201</v>
      </c>
      <c r="G2822" s="18"/>
      <c r="H2822" s="18"/>
    </row>
    <row r="2823" spans="1:8" ht="13.2">
      <c r="A2823" s="15" t="s">
        <v>3634</v>
      </c>
      <c r="B2823" s="28" t="s">
        <v>3635</v>
      </c>
      <c r="C2823" s="24">
        <v>5.75</v>
      </c>
      <c r="D2823" s="18"/>
      <c r="E2823" s="17" t="s">
        <v>3633</v>
      </c>
      <c r="F2823" s="17" t="s">
        <v>201</v>
      </c>
      <c r="G2823" s="18"/>
      <c r="H2823" s="18"/>
    </row>
    <row r="2824" spans="1:8" ht="13.2">
      <c r="A2824" s="19" t="str">
        <f>HYPERLINK("http://codeforces.com/contest/1012/problem/B","CF1012-D1-B")</f>
        <v>CF1012-D1-B</v>
      </c>
      <c r="B2824" s="29" t="s">
        <v>3886</v>
      </c>
      <c r="C2824" s="21">
        <v>5.75</v>
      </c>
      <c r="D2824" s="18"/>
      <c r="E2824" s="17" t="s">
        <v>3883</v>
      </c>
      <c r="F2824" s="17" t="s">
        <v>201</v>
      </c>
      <c r="G2824" s="18"/>
      <c r="H2824" s="18"/>
    </row>
    <row r="2825" spans="1:8" ht="13.2">
      <c r="A2825" s="19" t="str">
        <f>HYPERLINK("https://uva.onlinejudge.org/index.php?option=com_onlinejudge&amp;Itemid=8&amp;page=show_problem&amp;problem=40","UVA 104")</f>
        <v>UVA 104</v>
      </c>
      <c r="B2825" s="29" t="s">
        <v>4006</v>
      </c>
      <c r="C2825" s="17">
        <v>5.75</v>
      </c>
      <c r="D2825" s="26" t="str">
        <f>HYPERLINK("https://github.com/abdullaAshraf/Problem-Solving/blob/master/UVA/104.cpp","Sol")</f>
        <v>Sol</v>
      </c>
      <c r="E2825" s="17" t="s">
        <v>3998</v>
      </c>
      <c r="F2825" s="17" t="s">
        <v>201</v>
      </c>
      <c r="G2825" s="18"/>
      <c r="H2825" s="18"/>
    </row>
    <row r="2826" spans="1:8" ht="13.2">
      <c r="A2826" s="19" t="str">
        <f>HYPERLINK("http://codeforces.com/contest/950/problem/E","CF950-D2-E")</f>
        <v>CF950-D2-E</v>
      </c>
      <c r="B2826" s="20" t="s">
        <v>4346</v>
      </c>
      <c r="C2826" s="17">
        <v>5.75</v>
      </c>
      <c r="D2826" s="18"/>
      <c r="E2826" s="17" t="s">
        <v>4344</v>
      </c>
      <c r="F2826" s="17" t="s">
        <v>201</v>
      </c>
      <c r="G2826" s="18"/>
      <c r="H2826" s="18"/>
    </row>
    <row r="2827" spans="1:8" ht="13.2">
      <c r="A2827" s="19" t="str">
        <f>HYPERLINK("https://codeforces.com/contest/1189/problem/E","CF1189-D2-E")</f>
        <v>CF1189-D2-E</v>
      </c>
      <c r="B2827" s="15" t="s">
        <v>4530</v>
      </c>
      <c r="C2827" s="17">
        <v>5.75</v>
      </c>
      <c r="D2827" s="18"/>
      <c r="E2827" s="17" t="s">
        <v>4531</v>
      </c>
      <c r="F2827" s="17" t="s">
        <v>201</v>
      </c>
      <c r="G2827" s="18"/>
      <c r="H2827" s="18"/>
    </row>
    <row r="2828" spans="1:8" ht="13.2">
      <c r="A2828" s="19" t="str">
        <f>HYPERLINK("http://codeforces.com/contest/599/problem/D","CF599-D2-D")</f>
        <v>CF599-D2-D</v>
      </c>
      <c r="B2828" s="29" t="s">
        <v>4908</v>
      </c>
      <c r="C2828" s="17">
        <v>5.75</v>
      </c>
      <c r="D2828" s="18"/>
      <c r="E2828" s="17" t="s">
        <v>4893</v>
      </c>
      <c r="F2828" s="17" t="s">
        <v>201</v>
      </c>
      <c r="G2828" s="18"/>
      <c r="H2828" s="18"/>
    </row>
    <row r="2829" spans="1:8" ht="13.2">
      <c r="A2829" s="19" t="str">
        <f>HYPERLINK("http://codeforces.com/contest/750/problem/C","CF750-D12-C")</f>
        <v>CF750-D12-C</v>
      </c>
      <c r="B2829" s="18" t="s">
        <v>814</v>
      </c>
      <c r="C2829" s="24">
        <v>5.75</v>
      </c>
      <c r="D2829" s="18"/>
      <c r="E2829" s="17" t="s">
        <v>805</v>
      </c>
      <c r="F2829" s="17" t="s">
        <v>201</v>
      </c>
      <c r="G2829" s="18"/>
      <c r="H2829" s="18"/>
    </row>
    <row r="2830" spans="1:8" ht="13.2">
      <c r="A2830" s="15" t="s">
        <v>851</v>
      </c>
      <c r="B2830" s="28" t="s">
        <v>852</v>
      </c>
      <c r="C2830" s="24">
        <v>5.75</v>
      </c>
      <c r="D2830" s="18"/>
      <c r="E2830" s="17" t="s">
        <v>805</v>
      </c>
      <c r="F2830" s="17" t="s">
        <v>201</v>
      </c>
      <c r="G2830" s="18"/>
      <c r="H2830" s="18"/>
    </row>
    <row r="2831" spans="1:8" ht="13.2">
      <c r="A2831" s="19" t="str">
        <f>HYPERLINK("http://codeforces.com/contest/653/problem/D","CF653-D12-D")</f>
        <v>CF653-D12-D</v>
      </c>
      <c r="B2831" s="18" t="s">
        <v>4101</v>
      </c>
      <c r="C2831" s="17">
        <v>5.75</v>
      </c>
      <c r="D2831" s="18"/>
      <c r="E2831" s="17" t="s">
        <v>4060</v>
      </c>
      <c r="F2831" s="17" t="s">
        <v>242</v>
      </c>
      <c r="G2831" s="18"/>
      <c r="H2831" s="18"/>
    </row>
    <row r="2832" spans="1:8" ht="13.2">
      <c r="A2832" s="15" t="s">
        <v>5719</v>
      </c>
      <c r="B2832" s="20" t="s">
        <v>5720</v>
      </c>
      <c r="C2832" s="24">
        <v>5.75</v>
      </c>
      <c r="D2832" s="18"/>
      <c r="E2832" s="17" t="s">
        <v>5702</v>
      </c>
      <c r="F2832" s="17"/>
      <c r="G2832" s="18"/>
      <c r="H2832" s="18"/>
    </row>
    <row r="2833" spans="1:8" ht="13.2">
      <c r="A2833" s="19" t="str">
        <f>HYPERLINK("http://codeforces.com/contest/536/problem/B","CF536-D1-B")</f>
        <v>CF536-D1-B</v>
      </c>
      <c r="B2833" s="18" t="s">
        <v>5721</v>
      </c>
      <c r="C2833" s="17">
        <v>5.75</v>
      </c>
      <c r="D2833" s="18"/>
      <c r="E2833" s="17" t="s">
        <v>5702</v>
      </c>
      <c r="F2833" s="17"/>
      <c r="G2833" s="18"/>
      <c r="H2833" s="18"/>
    </row>
    <row r="2834" spans="1:8" ht="13.2">
      <c r="A2834" s="15" t="s">
        <v>6490</v>
      </c>
      <c r="B2834" s="15" t="s">
        <v>6491</v>
      </c>
      <c r="C2834" s="17">
        <v>5.75</v>
      </c>
      <c r="D2834" s="18"/>
      <c r="E2834" s="17" t="s">
        <v>6459</v>
      </c>
      <c r="F2834" s="17"/>
      <c r="G2834" s="18"/>
      <c r="H2834" s="18"/>
    </row>
    <row r="2835" spans="1:8" ht="13.2">
      <c r="A2835" s="19" t="str">
        <f>HYPERLINK("http://codeforces.com/contest/488/problem/D","CF488-D2-D")</f>
        <v>CF488-D2-D</v>
      </c>
      <c r="B2835" s="29" t="s">
        <v>1508</v>
      </c>
      <c r="C2835" s="17">
        <v>5.75</v>
      </c>
      <c r="D2835" s="18"/>
      <c r="E2835" s="17" t="s">
        <v>1337</v>
      </c>
      <c r="F2835" s="17"/>
      <c r="G2835" s="18"/>
      <c r="H2835" s="18"/>
    </row>
    <row r="2836" spans="1:8" ht="13.2">
      <c r="A2836" s="15" t="s">
        <v>1709</v>
      </c>
      <c r="B2836" s="30" t="s">
        <v>1710</v>
      </c>
      <c r="C2836" s="24">
        <v>5.75</v>
      </c>
      <c r="D2836" s="18"/>
      <c r="E2836" s="17" t="s">
        <v>1691</v>
      </c>
      <c r="F2836" s="17"/>
      <c r="G2836" s="18"/>
      <c r="H2836" s="18"/>
    </row>
    <row r="2837" spans="1:8" ht="13.2">
      <c r="A2837" s="19" t="str">
        <f>HYPERLINK("http://codeforces.com/contest/136/problem/E","CF136-D2-E")</f>
        <v>CF136-D2-E</v>
      </c>
      <c r="B2837" s="18" t="s">
        <v>2415</v>
      </c>
      <c r="C2837" s="17">
        <v>5.75</v>
      </c>
      <c r="D2837" s="18"/>
      <c r="E2837" s="17" t="s">
        <v>2394</v>
      </c>
      <c r="F2837" s="17"/>
      <c r="G2837" s="18"/>
      <c r="H2837" s="18"/>
    </row>
    <row r="2838" spans="1:8" ht="13.2">
      <c r="A2838" s="15" t="s">
        <v>3134</v>
      </c>
      <c r="B2838" s="28" t="s">
        <v>3129</v>
      </c>
      <c r="C2838" s="24">
        <v>5.75</v>
      </c>
      <c r="D2838" s="26" t="str">
        <f>HYPERLINK("https://searchcode.com/file/96026932/USACO/Chapter%203/3.4.3%20-%20fence9.cpp","Sol at")</f>
        <v>Sol at</v>
      </c>
      <c r="E2838" s="17" t="s">
        <v>3130</v>
      </c>
      <c r="F2838" s="17"/>
      <c r="G2838" s="18"/>
      <c r="H2838" s="18"/>
    </row>
    <row r="2839" spans="1:8" ht="13.2">
      <c r="A2839" s="19" t="str">
        <f>HYPERLINK("http://codeforces.com/contest/197/problem/D","CF197-D2-D")</f>
        <v>CF197-D2-D</v>
      </c>
      <c r="B2839" s="29" t="s">
        <v>3649</v>
      </c>
      <c r="C2839" s="17">
        <v>5.75</v>
      </c>
      <c r="D2839" s="18"/>
      <c r="E2839" s="17" t="s">
        <v>3650</v>
      </c>
      <c r="F2839" s="17"/>
      <c r="G2839" s="18"/>
      <c r="H2839" s="18"/>
    </row>
    <row r="2840" spans="1:8" ht="13.2">
      <c r="A2840" s="15" t="s">
        <v>3923</v>
      </c>
      <c r="B2840" s="28" t="s">
        <v>3886</v>
      </c>
      <c r="C2840" s="24">
        <v>5.75</v>
      </c>
      <c r="D2840" s="18"/>
      <c r="E2840" s="17" t="s">
        <v>3883</v>
      </c>
      <c r="F2840" s="17"/>
      <c r="G2840" s="18"/>
      <c r="H2840" s="18"/>
    </row>
    <row r="2841" spans="1:8" ht="13.2">
      <c r="A2841" s="15" t="s">
        <v>4256</v>
      </c>
      <c r="B2841" s="41" t="s">
        <v>4257</v>
      </c>
      <c r="C2841" s="17">
        <v>5.75</v>
      </c>
      <c r="D2841" s="26" t="str">
        <f>HYPERLINK("https://apps.topcoder.com/forums/;jsessionid=EDD17CB539B3717B0D70ED5488A0CAD4?module=Thread&amp;threadID=514536&amp;start=0&amp;mc=24#572589","TC")</f>
        <v>TC</v>
      </c>
      <c r="E2841" s="17" t="s">
        <v>4238</v>
      </c>
      <c r="F2841" s="17"/>
      <c r="G2841" s="18"/>
      <c r="H2841" s="18"/>
    </row>
    <row r="2842" spans="1:8" ht="13.2">
      <c r="A2842" s="19" t="str">
        <f>HYPERLINK("http://codeforces.com/contest/609/problem/E","CF609-D12-E")</f>
        <v>CF609-D12-E</v>
      </c>
      <c r="B2842" s="43" t="s">
        <v>4483</v>
      </c>
      <c r="C2842" s="17">
        <v>5.75</v>
      </c>
      <c r="D2842" s="18"/>
      <c r="E2842" s="17" t="s">
        <v>4454</v>
      </c>
      <c r="F2842" s="17"/>
      <c r="G2842" s="18"/>
      <c r="H2842" s="18"/>
    </row>
    <row r="2843" spans="1:8" ht="13.2">
      <c r="A2843" s="15" t="s">
        <v>5098</v>
      </c>
      <c r="B2843" s="30" t="s">
        <v>5099</v>
      </c>
      <c r="C2843" s="24">
        <v>5.75</v>
      </c>
      <c r="D2843" s="18"/>
      <c r="E2843" s="17" t="s">
        <v>5075</v>
      </c>
      <c r="F2843" s="17"/>
      <c r="G2843" s="18"/>
      <c r="H2843" s="18"/>
    </row>
    <row r="2844" spans="1:8" ht="13.2">
      <c r="A2844" s="19" t="str">
        <f>HYPERLINK("http://codeforces.com/contest/594/problem/C","CF594-D1-C")</f>
        <v>CF594-D1-C</v>
      </c>
      <c r="B2844" s="29" t="s">
        <v>393</v>
      </c>
      <c r="C2844" s="17">
        <v>5.6</v>
      </c>
      <c r="D2844" s="18"/>
      <c r="E2844" s="17" t="s">
        <v>332</v>
      </c>
      <c r="F2844" s="17"/>
      <c r="G2844" s="18"/>
      <c r="H2844" s="18"/>
    </row>
    <row r="2845" spans="1:8" ht="13.2">
      <c r="A2845" s="15" t="s">
        <v>3829</v>
      </c>
      <c r="B2845" s="18" t="s">
        <v>3791</v>
      </c>
      <c r="C2845" s="17">
        <v>5.6</v>
      </c>
      <c r="D2845" s="26" t="str">
        <f>HYPERLINK("https://github.com/ilyesG/Competitive-Programming/blob/master/TopCoder/SRM626-D2-1000.cpp","Sol")</f>
        <v>Sol</v>
      </c>
      <c r="E2845" s="17" t="s">
        <v>3784</v>
      </c>
      <c r="F2845" s="17"/>
      <c r="G2845" s="18"/>
      <c r="H2845" s="18"/>
    </row>
    <row r="2846" spans="1:8" ht="13.2">
      <c r="A2846" s="19" t="str">
        <f>HYPERLINK("http://codeforces.com/contest/822/problem/D","CF822-D2-D")</f>
        <v>CF822-D2-D</v>
      </c>
      <c r="B2846" s="29" t="s">
        <v>1509</v>
      </c>
      <c r="C2846" s="17">
        <v>5.5</v>
      </c>
      <c r="D2846" s="18"/>
      <c r="E2846" s="17" t="s">
        <v>1337</v>
      </c>
      <c r="F2846" s="17" t="s">
        <v>255</v>
      </c>
      <c r="G2846" s="18"/>
      <c r="H2846" s="18"/>
    </row>
    <row r="2847" spans="1:8" ht="13.2">
      <c r="A2847" s="15" t="s">
        <v>2670</v>
      </c>
      <c r="B2847" s="18" t="s">
        <v>2671</v>
      </c>
      <c r="C2847" s="17">
        <v>5.5</v>
      </c>
      <c r="D2847" s="26" t="str">
        <f>HYPERLINK("https://github.com/OmarHashim/Competitive-Programming/blob/master/UVA/10288.cpp","Sol")</f>
        <v>Sol</v>
      </c>
      <c r="E2847" s="17" t="s">
        <v>2510</v>
      </c>
      <c r="F2847" s="17" t="s">
        <v>255</v>
      </c>
      <c r="G2847" s="18"/>
      <c r="H2847" s="18"/>
    </row>
    <row r="2848" spans="1:8" ht="13.2">
      <c r="A2848" s="15" t="s">
        <v>2837</v>
      </c>
      <c r="B2848" s="18" t="s">
        <v>2838</v>
      </c>
      <c r="C2848" s="17">
        <v>5.5</v>
      </c>
      <c r="D2848" s="18"/>
      <c r="E2848" s="17" t="s">
        <v>2798</v>
      </c>
      <c r="F2848" s="17" t="s">
        <v>255</v>
      </c>
      <c r="G2848" s="18"/>
      <c r="H2848" s="18"/>
    </row>
    <row r="2849" spans="1:8" ht="13.2">
      <c r="A2849" s="19" t="str">
        <f>HYPERLINK("http://codeforces.com/contest/320/problem/D","CF320-D2-D")</f>
        <v>CF320-D2-D</v>
      </c>
      <c r="B2849" s="29" t="s">
        <v>5967</v>
      </c>
      <c r="C2849" s="17">
        <v>5.5</v>
      </c>
      <c r="D2849" s="18"/>
      <c r="E2849" s="17" t="s">
        <v>5958</v>
      </c>
      <c r="F2849" s="17" t="s">
        <v>229</v>
      </c>
      <c r="G2849" s="18"/>
      <c r="H2849" s="18"/>
    </row>
    <row r="2850" spans="1:8" ht="13.2">
      <c r="A2850" s="19" t="str">
        <f>HYPERLINK("http://codeforces.com/contest/762/problem/D","CF762-D12-D")</f>
        <v>CF762-D12-D</v>
      </c>
      <c r="B2850" s="18" t="s">
        <v>1510</v>
      </c>
      <c r="C2850" s="17">
        <v>5.5</v>
      </c>
      <c r="D2850" s="18"/>
      <c r="E2850" s="17" t="s">
        <v>1337</v>
      </c>
      <c r="F2850" s="17" t="s">
        <v>229</v>
      </c>
      <c r="G2850" s="18"/>
      <c r="H2850" s="18"/>
    </row>
    <row r="2851" spans="1:8" ht="13.2">
      <c r="A2851" s="19" t="str">
        <f>HYPERLINK("http://codeforces.com/contest/768/problem/D","CF768-D2-D")</f>
        <v>CF768-D2-D</v>
      </c>
      <c r="B2851" s="29" t="s">
        <v>2025</v>
      </c>
      <c r="C2851" s="17">
        <v>5.5</v>
      </c>
      <c r="D2851" s="18"/>
      <c r="E2851" s="17" t="s">
        <v>2026</v>
      </c>
      <c r="F2851" s="17" t="s">
        <v>229</v>
      </c>
      <c r="G2851" s="18"/>
      <c r="H2851" s="18"/>
    </row>
    <row r="2852" spans="1:8" ht="13.2">
      <c r="A2852" s="15" t="s">
        <v>3459</v>
      </c>
      <c r="B2852" s="30" t="s">
        <v>3448</v>
      </c>
      <c r="C2852" s="24">
        <v>5.5</v>
      </c>
      <c r="D2852" s="26" t="str">
        <f>HYPERLINK("https://github.com/ryuzmukhametov/CompetitiveProgramming/blob/master/livearchive/LIVEARCHIVE%204509.cpp", "Sol")</f>
        <v>Sol</v>
      </c>
      <c r="E2852" s="17" t="s">
        <v>3439</v>
      </c>
      <c r="F2852" s="17" t="s">
        <v>229</v>
      </c>
      <c r="G2852" s="18"/>
      <c r="H2852" s="18"/>
    </row>
    <row r="2853" spans="1:8" ht="13.2">
      <c r="A2853" s="15" t="s">
        <v>3530</v>
      </c>
      <c r="B2853" s="18" t="s">
        <v>3531</v>
      </c>
      <c r="C2853" s="17">
        <v>5.5</v>
      </c>
      <c r="D2853" s="18"/>
      <c r="E2853" s="17" t="s">
        <v>3467</v>
      </c>
      <c r="F2853" s="17" t="s">
        <v>229</v>
      </c>
      <c r="G2853" s="18"/>
      <c r="H2853" s="18"/>
    </row>
    <row r="2854" spans="1:8" ht="13.2">
      <c r="A2854" s="15" t="s">
        <v>5383</v>
      </c>
      <c r="B2854" s="29" t="s">
        <v>5384</v>
      </c>
      <c r="C2854" s="17">
        <v>5.5</v>
      </c>
      <c r="D2854" s="26" t="str">
        <f>HYPERLINK("https://github.com/achrafmam2/CompetitiveProgramming/blob/master/Topcoder/SRM285-D1-500.cc","SolToMe")</f>
        <v>SolToMe</v>
      </c>
      <c r="E2854" s="17" t="s">
        <v>5346</v>
      </c>
      <c r="F2854" s="17" t="s">
        <v>229</v>
      </c>
      <c r="G2854" s="18"/>
      <c r="H2854" s="18"/>
    </row>
    <row r="2855" spans="1:8" ht="13.2">
      <c r="A2855" s="19" t="str">
        <f>HYPERLINK("https://www.hackerrank.com/challenges/solve-equations","HACKR solve-equations")</f>
        <v>HACKR solve-equations</v>
      </c>
      <c r="B2855" s="28" t="s">
        <v>5502</v>
      </c>
      <c r="C2855" s="31">
        <v>5.5</v>
      </c>
      <c r="D2855" s="26" t="str">
        <f>HYPERLINK("https://github.com/ryuzmukhametov/CompetitiveProgramming/blob/master/hackr/solve-equations.cpp","Test cases are wrong. Case 1 4 1 82: judge output :19 6 - correct output: 1 78. Sol Link")</f>
        <v>Test cases are wrong. Case 1 4 1 82: judge output :19 6 - correct output: 1 78. Sol Link</v>
      </c>
      <c r="E2855" s="17" t="s">
        <v>5501</v>
      </c>
      <c r="F2855" s="17" t="s">
        <v>229</v>
      </c>
      <c r="G2855" s="18"/>
      <c r="H2855" s="18"/>
    </row>
    <row r="2856" spans="1:8" ht="13.2">
      <c r="A2856" s="19" t="str">
        <f>HYPERLINK("http://www.spoj.com/problems/GSS3/","SPOJ GSS3")</f>
        <v>SPOJ GSS3</v>
      </c>
      <c r="B2856" s="29" t="s">
        <v>1159</v>
      </c>
      <c r="C2856" s="17">
        <v>5.5</v>
      </c>
      <c r="D2856" s="18"/>
      <c r="E2856" s="17" t="s">
        <v>1018</v>
      </c>
      <c r="F2856" s="17" t="s">
        <v>173</v>
      </c>
      <c r="G2856" s="18"/>
      <c r="H2856" s="18"/>
    </row>
    <row r="2857" spans="1:8" ht="13.2">
      <c r="A2857" s="19" t="str">
        <f>HYPERLINK("https://uva.onlinejudge.org/index.php?option=onlinejudge&amp;page=show_problem&amp;problem=61","UVA 125")</f>
        <v>UVA 125</v>
      </c>
      <c r="B2857" s="29" t="s">
        <v>4007</v>
      </c>
      <c r="C2857" s="17">
        <v>5.5</v>
      </c>
      <c r="D2857" s="26" t="str">
        <f>HYPERLINK("https://github.com/mostafa-saad/MyCompetitiveProgramming/blob/master/UVA/UVA_125.txt","Sol")</f>
        <v>Sol</v>
      </c>
      <c r="E2857" s="17" t="s">
        <v>3998</v>
      </c>
      <c r="F2857" s="17" t="s">
        <v>173</v>
      </c>
      <c r="G2857" s="18"/>
      <c r="H2857" s="18"/>
    </row>
    <row r="2858" spans="1:8" ht="13.2">
      <c r="A2858" s="19" t="str">
        <f>HYPERLINK("https://www.spoj.com/problems/XMAX/","SPOJ XMAX")</f>
        <v>SPOJ XMAX</v>
      </c>
      <c r="B2858" s="20" t="s">
        <v>5337</v>
      </c>
      <c r="C2858" s="17">
        <v>5.5</v>
      </c>
      <c r="D2858" s="26" t="str">
        <f>HYPERLINK("https://github.com/Mohammad-Yasser/CompetitiveProgramming/blob/master/SPOJ/XMAX.cpp","Sol")</f>
        <v>Sol</v>
      </c>
      <c r="E2858" s="17" t="s">
        <v>5310</v>
      </c>
      <c r="F2858" s="17" t="s">
        <v>173</v>
      </c>
      <c r="G2858" s="18"/>
      <c r="H2858" s="18"/>
    </row>
    <row r="2859" spans="1:8" ht="13.2">
      <c r="A2859" s="19" t="str">
        <f>HYPERLINK("http://codeforces.com/contest/592/problem/D","CF592-D2-D")</f>
        <v>CF592-D2-D</v>
      </c>
      <c r="B2859" s="29" t="s">
        <v>3636</v>
      </c>
      <c r="C2859" s="17">
        <v>5.5</v>
      </c>
      <c r="D2859" s="26" t="str">
        <f>HYPERLINK("https://github.com/racsosabe/CompetitiveProgramming/blob/master/CodeForces/CF592-D2-D.cpp","Sol")</f>
        <v>Sol</v>
      </c>
      <c r="E2859" s="17" t="s">
        <v>3633</v>
      </c>
      <c r="F2859" s="17" t="s">
        <v>2843</v>
      </c>
      <c r="G2859" s="18"/>
      <c r="H2859" s="18"/>
    </row>
    <row r="2860" spans="1:8" ht="13.2">
      <c r="A2860" s="15" t="s">
        <v>6264</v>
      </c>
      <c r="B2860" s="18" t="s">
        <v>6265</v>
      </c>
      <c r="C2860" s="17">
        <v>5.5</v>
      </c>
      <c r="D2860" s="26" t="str">
        <f>HYPERLINK("https://github.com/mostafa-saad/MyCompetitiveProgramming/blob/master/ZOJ/ZOJ_2587.txt","Sol")</f>
        <v>Sol</v>
      </c>
      <c r="E2860" s="17" t="s">
        <v>6246</v>
      </c>
      <c r="F2860" s="17" t="s">
        <v>1053</v>
      </c>
      <c r="G2860" s="18"/>
      <c r="H2860" s="18"/>
    </row>
    <row r="2861" spans="1:8" ht="13.2">
      <c r="A2861" s="19" t="str">
        <f>HYPERLINK("http://codeforces.com/contest/418/problem/B","CF418-D1-B")</f>
        <v>CF418-D1-B</v>
      </c>
      <c r="B2861" s="29" t="s">
        <v>1806</v>
      </c>
      <c r="C2861" s="17">
        <v>5.5</v>
      </c>
      <c r="D2861" s="18"/>
      <c r="E2861" s="17" t="s">
        <v>1793</v>
      </c>
      <c r="F2861" s="17" t="s">
        <v>1053</v>
      </c>
      <c r="G2861" s="18"/>
      <c r="H2861" s="18"/>
    </row>
    <row r="2862" spans="1:8" ht="13.2">
      <c r="A2862" s="19" t="str">
        <f>HYPERLINK("http://codeforces.com/contest/486/problem/D","CF486-D2-D")</f>
        <v>CF486-D2-D</v>
      </c>
      <c r="B2862" s="29" t="s">
        <v>3373</v>
      </c>
      <c r="C2862" s="17">
        <v>5.5</v>
      </c>
      <c r="D2862" s="18"/>
      <c r="E2862" s="17" t="s">
        <v>3257</v>
      </c>
      <c r="F2862" s="17" t="s">
        <v>1053</v>
      </c>
      <c r="G2862" s="18"/>
      <c r="H2862" s="18"/>
    </row>
    <row r="2863" spans="1:8" ht="13.2">
      <c r="A2863" s="19" t="str">
        <f>HYPERLINK("http://codeforces.com/contest/734/problem/E","CF734-D2-E")</f>
        <v>CF734-D2-E</v>
      </c>
      <c r="B2863" s="29" t="s">
        <v>3637</v>
      </c>
      <c r="C2863" s="17">
        <v>5.5</v>
      </c>
      <c r="D2863" s="18"/>
      <c r="E2863" s="17" t="s">
        <v>3633</v>
      </c>
      <c r="F2863" s="17" t="s">
        <v>1053</v>
      </c>
      <c r="G2863" s="18"/>
      <c r="H2863" s="18"/>
    </row>
    <row r="2864" spans="1:8" ht="13.2">
      <c r="A2864" s="15" t="s">
        <v>4197</v>
      </c>
      <c r="B2864" s="28" t="s">
        <v>4198</v>
      </c>
      <c r="C2864" s="24">
        <v>5.5</v>
      </c>
      <c r="D2864" s="26" t="str">
        <f>HYPERLINK("https://github.com/mostafa-saad/MyCompetitiveProgramming/blob/master/UVA/UVA_1194.txt","Sol")</f>
        <v>Sol</v>
      </c>
      <c r="E2864" s="17" t="s">
        <v>4144</v>
      </c>
      <c r="F2864" s="17" t="s">
        <v>1420</v>
      </c>
      <c r="G2864" s="18"/>
      <c r="H2864" s="18"/>
    </row>
    <row r="2865" spans="1:8" ht="13.2">
      <c r="A2865" s="19" t="str">
        <f>HYPERLINK("http://codeforces.com/contest/309/problem/B","CF309-D12-B")</f>
        <v>CF309-D12-B</v>
      </c>
      <c r="B2865" s="29" t="s">
        <v>6044</v>
      </c>
      <c r="C2865" s="24">
        <v>5.5</v>
      </c>
      <c r="D2865" s="18"/>
      <c r="E2865" s="17" t="s">
        <v>6040</v>
      </c>
      <c r="F2865" s="17" t="s">
        <v>154</v>
      </c>
      <c r="G2865" s="18"/>
      <c r="H2865" s="18"/>
    </row>
    <row r="2866" spans="1:8" ht="13.2">
      <c r="A2866" s="15" t="s">
        <v>1160</v>
      </c>
      <c r="B2866" s="43" t="s">
        <v>1161</v>
      </c>
      <c r="C2866" s="24">
        <v>5.5</v>
      </c>
      <c r="D2866" s="26" t="str">
        <f>HYPERLINK("https://github.com/mostafa-saad/MyCompetitiveProgramming/blob/master/SPOJ/SPOJ_IOPC1207.txt","Sol")</f>
        <v>Sol</v>
      </c>
      <c r="E2866" s="17" t="s">
        <v>1018</v>
      </c>
      <c r="F2866" s="17" t="s">
        <v>154</v>
      </c>
      <c r="G2866" s="18"/>
      <c r="H2866" s="18"/>
    </row>
    <row r="2867" spans="1:8" ht="13.2">
      <c r="A2867" s="19" t="str">
        <f>HYPERLINK("http://www.spoj.com/problems/SEGSQRSS","SPOJ SEGSQRSS")</f>
        <v>SPOJ SEGSQRSS</v>
      </c>
      <c r="B2867" s="29" t="s">
        <v>1162</v>
      </c>
      <c r="C2867" s="17">
        <v>5.5</v>
      </c>
      <c r="D2867" s="26" t="str">
        <f>HYPERLINK("https://github.com/MichaelMounir12/CompetitiveProgramming/blob/9c6e99fc3a2583209a313ddd617a07ac294024e9/SPOJ/SPOJ_SEGSQRSS.cpp","Sol")</f>
        <v>Sol</v>
      </c>
      <c r="E2867" s="17" t="s">
        <v>1018</v>
      </c>
      <c r="F2867" s="17" t="s">
        <v>154</v>
      </c>
      <c r="G2867" s="18"/>
      <c r="H2867" s="18"/>
    </row>
    <row r="2868" spans="1:8" ht="13.2">
      <c r="A2868" s="19" t="str">
        <f>HYPERLINK("http://codeforces.com/contest/337/problem/D","CF337-D2-D")</f>
        <v>CF337-D2-D</v>
      </c>
      <c r="B2868" s="29" t="s">
        <v>6492</v>
      </c>
      <c r="C2868" s="17">
        <v>5.5</v>
      </c>
      <c r="D2868" s="26" t="str">
        <f>HYPERLINK("http://codeforces.com/contest/337/submission/38413425","Sol")</f>
        <v>Sol</v>
      </c>
      <c r="E2868" s="17" t="s">
        <v>6459</v>
      </c>
      <c r="F2868" s="17" t="s">
        <v>154</v>
      </c>
      <c r="G2868" s="18"/>
      <c r="H2868" s="18"/>
    </row>
    <row r="2869" spans="1:8" ht="13.2">
      <c r="A2869" s="19" t="str">
        <f>HYPERLINK("http://codeforces.com/contest/1013/problem/E","CF1013-D2-E")</f>
        <v>CF1013-D2-E</v>
      </c>
      <c r="B2869" s="15" t="s">
        <v>1348</v>
      </c>
      <c r="C2869" s="17">
        <v>5.5</v>
      </c>
      <c r="D2869" s="18"/>
      <c r="E2869" s="17" t="s">
        <v>1337</v>
      </c>
      <c r="F2869" s="17" t="s">
        <v>154</v>
      </c>
      <c r="G2869" s="18"/>
      <c r="H2869" s="18"/>
    </row>
    <row r="2870" spans="1:8" ht="13.2">
      <c r="A2870" s="15" t="s">
        <v>394</v>
      </c>
      <c r="B2870" s="29" t="s">
        <v>395</v>
      </c>
      <c r="C2870" s="17">
        <v>5.5</v>
      </c>
      <c r="D2870" s="26" t="str">
        <f>HYPERLINK("https://github.com/MohamedAhmed04/Competitive-programming/blob/master/Topcoder/Topcoder%20SRM525-D1-525%20Rumor.cpp", "Sol")</f>
        <v>Sol</v>
      </c>
      <c r="E2870" s="17" t="s">
        <v>332</v>
      </c>
      <c r="F2870" s="17" t="s">
        <v>154</v>
      </c>
      <c r="G2870" s="18"/>
      <c r="H2870" s="18"/>
    </row>
    <row r="2871" spans="1:8" ht="13.2">
      <c r="A2871" s="15" t="s">
        <v>1807</v>
      </c>
      <c r="B2871" s="15" t="s">
        <v>1808</v>
      </c>
      <c r="C2871" s="24">
        <v>5.5</v>
      </c>
      <c r="D2871" s="26" t="str">
        <f>HYPERLINK("https://github.com/mostafa-saad/MyCompetitiveProgramming/blob/master/ZOJ/ZOJ_3305.txt","Sol")</f>
        <v>Sol</v>
      </c>
      <c r="E2871" s="17" t="s">
        <v>1793</v>
      </c>
      <c r="F2871" s="17" t="s">
        <v>154</v>
      </c>
      <c r="G2871" s="18"/>
      <c r="H2871" s="18"/>
    </row>
    <row r="2872" spans="1:8" ht="13.2">
      <c r="A2872" s="19" t="str">
        <f>HYPERLINK("https://codeforces.com/gym/102219/problem/F","CF102219-GYM-F")</f>
        <v>CF102219-GYM-F</v>
      </c>
      <c r="B2872" s="15" t="s">
        <v>1818</v>
      </c>
      <c r="C2872" s="17">
        <v>5.5</v>
      </c>
      <c r="D2872" s="26" t="str">
        <f>HYPERLINK("https://github.com/WaleedAbdelhakim/Competitive-Programming/blob/master/CodeForces/CF102219-GYM-F.cpp","Sol")</f>
        <v>Sol</v>
      </c>
      <c r="E2872" s="17" t="s">
        <v>1819</v>
      </c>
      <c r="F2872" s="17" t="s">
        <v>154</v>
      </c>
      <c r="G2872" s="18"/>
      <c r="H2872" s="18"/>
    </row>
    <row r="2873" spans="1:8" ht="13.2">
      <c r="A2873" s="19" t="str">
        <f>HYPERLINK("http://codeforces.com/contest/1041/problem/E","CF1041-D2-E")</f>
        <v>CF1041-D2-E</v>
      </c>
      <c r="B2873" s="20" t="s">
        <v>3374</v>
      </c>
      <c r="C2873" s="21">
        <v>5.5</v>
      </c>
      <c r="D2873" s="18"/>
      <c r="E2873" s="17" t="s">
        <v>3257</v>
      </c>
      <c r="F2873" s="17" t="s">
        <v>154</v>
      </c>
      <c r="G2873" s="18"/>
      <c r="H2873" s="18"/>
    </row>
    <row r="2874" spans="1:8" ht="13.2">
      <c r="A2874" s="19" t="str">
        <f>HYPERLINK("http://codeforces.com/contest/1005/problem/F","CF1005-D3-F")</f>
        <v>CF1005-D3-F</v>
      </c>
      <c r="B2874" s="20" t="s">
        <v>3466</v>
      </c>
      <c r="C2874" s="21">
        <v>5.5</v>
      </c>
      <c r="D2874" s="18"/>
      <c r="E2874" s="17" t="s">
        <v>3467</v>
      </c>
      <c r="F2874" s="17" t="s">
        <v>154</v>
      </c>
      <c r="G2874" s="18"/>
      <c r="H2874" s="18"/>
    </row>
    <row r="2875" spans="1:8" ht="13.2">
      <c r="A2875" s="15" t="s">
        <v>3727</v>
      </c>
      <c r="B2875" s="15" t="s">
        <v>3649</v>
      </c>
      <c r="C2875" s="17">
        <v>5.5</v>
      </c>
      <c r="D2875" s="26" t="str">
        <f>HYPERLINK("https://github.com/A7medgamal/CompetitiveProgramming/blob/master/LiveArchive/LiveArchive%206590.cpp","Sol")</f>
        <v>Sol</v>
      </c>
      <c r="E2875" s="17" t="s">
        <v>3650</v>
      </c>
      <c r="F2875" s="17" t="s">
        <v>154</v>
      </c>
      <c r="G2875" s="18"/>
      <c r="H2875" s="18"/>
    </row>
    <row r="2876" spans="1:8" ht="13.2">
      <c r="A2876" s="19" t="str">
        <f>HYPERLINK("http://codeforces.com/contest/915/problem/D","CF915-D12-D")</f>
        <v>CF915-D12-D</v>
      </c>
      <c r="B2876" s="15" t="s">
        <v>3660</v>
      </c>
      <c r="C2876" s="17">
        <v>5.5</v>
      </c>
      <c r="D2876" s="18"/>
      <c r="E2876" s="17" t="s">
        <v>3650</v>
      </c>
      <c r="F2876" s="17" t="s">
        <v>154</v>
      </c>
      <c r="G2876" s="18"/>
      <c r="H2876" s="18"/>
    </row>
    <row r="2877" spans="1:8" ht="13.2">
      <c r="A2877" s="19" t="str">
        <f>HYPERLINK("http://codeforces.com/gym/101666","CF101666-gym-D")</f>
        <v>CF101666-gym-D</v>
      </c>
      <c r="B2877" s="15" t="s">
        <v>3830</v>
      </c>
      <c r="C2877" s="17">
        <v>5.5</v>
      </c>
      <c r="D2877" s="26" t="str">
        <f>HYPERLINK("https://github.com/stefdasca/CompetitiveProgramming/blob/master/Codeforces/Gym/CF101666-gym-D.cpp","Sol")</f>
        <v>Sol</v>
      </c>
      <c r="E2877" s="17" t="s">
        <v>3784</v>
      </c>
      <c r="F2877" s="17" t="s">
        <v>154</v>
      </c>
      <c r="G2877" s="18"/>
      <c r="H2877" s="18"/>
    </row>
    <row r="2878" spans="1:8" ht="13.2">
      <c r="A2878" s="15" t="s">
        <v>3831</v>
      </c>
      <c r="B2878" s="29" t="s">
        <v>3832</v>
      </c>
      <c r="C2878" s="31">
        <v>5.5</v>
      </c>
      <c r="D2878" s="26" t="str">
        <f>HYPERLINK("https://github.com/mostafa-saad/MyCompetitiveProgramming/blob/master/UVA/UVA_10740.txt","Sol")</f>
        <v>Sol</v>
      </c>
      <c r="E2878" s="17" t="s">
        <v>3784</v>
      </c>
      <c r="F2878" s="17" t="s">
        <v>154</v>
      </c>
      <c r="G2878" s="18"/>
      <c r="H2878" s="18"/>
    </row>
    <row r="2879" spans="1:8" ht="13.2">
      <c r="A2879" s="19" t="str">
        <f>HYPERLINK("http://codeforces.com/contest/1062/problem/D", "CF1062-D2-D")</f>
        <v>CF1062-D2-D</v>
      </c>
      <c r="B2879" s="20" t="s">
        <v>3978</v>
      </c>
      <c r="C2879" s="21">
        <v>5.5</v>
      </c>
      <c r="D2879" s="26" t="str">
        <f>HYPERLINK("https://github.com/nya-nya-meow/CompetitiveProgramming/blob/master/CodeForces/CF1062-D2-D.cpp","Sol - must read")</f>
        <v>Sol - must read</v>
      </c>
      <c r="E2879" s="17" t="s">
        <v>3955</v>
      </c>
      <c r="F2879" s="17" t="s">
        <v>154</v>
      </c>
      <c r="G2879" s="18"/>
      <c r="H2879" s="18"/>
    </row>
    <row r="2880" spans="1:8" ht="13.2">
      <c r="A2880" s="19" t="str">
        <f>HYPERLINK("http://www.spoj.com/problems/IM","SPOJ IM")</f>
        <v>SPOJ IM</v>
      </c>
      <c r="B2880" s="29" t="s">
        <v>4115</v>
      </c>
      <c r="C2880" s="17">
        <v>5.5</v>
      </c>
      <c r="D2880" s="26" t="str">
        <f>HYPERLINK("https://github.com/mostafa-saad/MyCompetitiveProgramming/blob/master/SPOJ/SPOJ_IM.txt","Sol")</f>
        <v>Sol</v>
      </c>
      <c r="E2880" s="17" t="s">
        <v>4060</v>
      </c>
      <c r="F2880" s="17" t="s">
        <v>154</v>
      </c>
      <c r="G2880" s="18"/>
      <c r="H2880" s="18"/>
    </row>
    <row r="2881" spans="1:8" ht="13.2">
      <c r="A2881" s="19" t="str">
        <f>HYPERLINK("https://uva.onlinejudge.org/index.php?option=com_onlinejudge&amp;Itemid=8&amp;page=show_problem&amp;problem=504","UVA 563")</f>
        <v>UVA 563</v>
      </c>
      <c r="B2881" s="29" t="s">
        <v>4116</v>
      </c>
      <c r="C2881" s="17">
        <v>5.5</v>
      </c>
      <c r="D2881" s="26" t="str">
        <f>HYPERLINK("https://github.com/BRAINOOOO/CompetitiveProgramming/blob/d60a5d1364a8f6aba3cd785c1e5d7825bf3818bc/UVA/UVA%20563.Cpp","Sol")</f>
        <v>Sol</v>
      </c>
      <c r="E2881" s="17" t="s">
        <v>4060</v>
      </c>
      <c r="F2881" s="17" t="s">
        <v>154</v>
      </c>
      <c r="G2881" s="18"/>
      <c r="H2881" s="18"/>
    </row>
    <row r="2882" spans="1:8" ht="13.2">
      <c r="A2882" s="15" t="s">
        <v>4831</v>
      </c>
      <c r="B2882" s="15" t="s">
        <v>4832</v>
      </c>
      <c r="C2882" s="17">
        <v>5.5</v>
      </c>
      <c r="D2882" s="26" t="str">
        <f>HYPERLINK("https://github.com/mostafa-saad/MyCompetitiveProgramming/blob/master/LiveArchive/LiveArchive_6582.txt","Sol - must read")</f>
        <v>Sol - must read</v>
      </c>
      <c r="E2882" s="17" t="s">
        <v>4809</v>
      </c>
      <c r="F2882" s="17" t="s">
        <v>154</v>
      </c>
      <c r="G2882" s="18"/>
      <c r="H2882" s="18"/>
    </row>
    <row r="2883" spans="1:8" ht="13.2">
      <c r="A2883" s="19" t="str">
        <f>HYPERLINK("https://beta.atcoder.jp/contests/agc026/tasks/agc026_b","AtCoder026-AGC-B")</f>
        <v>AtCoder026-AGC-B</v>
      </c>
      <c r="B2883" s="29" t="s">
        <v>4833</v>
      </c>
      <c r="C2883" s="17">
        <v>5.5</v>
      </c>
      <c r="D2883" s="26" t="str">
        <f>HYPERLINK("https://github.com/dasannagariraja/CompetitiveProgramming/blob/master/AtCoder/AtCoder026-AGC-B.cpp","Sol")</f>
        <v>Sol</v>
      </c>
      <c r="E2883" s="17" t="s">
        <v>4809</v>
      </c>
      <c r="F2883" s="17" t="s">
        <v>154</v>
      </c>
      <c r="G2883" s="18"/>
      <c r="H2883" s="18"/>
    </row>
    <row r="2884" spans="1:8" ht="13.2">
      <c r="A2884" s="19" t="str">
        <f>HYPERLINK("http://codeforces.com/contest/1010/problem/C","CF1010-D1-C")</f>
        <v>CF1010-D1-C</v>
      </c>
      <c r="B2884" s="29" t="s">
        <v>4834</v>
      </c>
      <c r="C2884" s="21">
        <v>5.5</v>
      </c>
      <c r="D2884" s="18"/>
      <c r="E2884" s="17" t="s">
        <v>4809</v>
      </c>
      <c r="F2884" s="17" t="s">
        <v>154</v>
      </c>
      <c r="G2884" s="18"/>
      <c r="H2884" s="18"/>
    </row>
    <row r="2885" spans="1:8" ht="13.2">
      <c r="A2885" s="19" t="str">
        <f>HYPERLINK("http://codeforces.com/contest/151/problem/D","CF151-D2-D")</f>
        <v>CF151-D2-D</v>
      </c>
      <c r="B2885" s="29" t="s">
        <v>4878</v>
      </c>
      <c r="C2885" s="17">
        <v>5.5</v>
      </c>
      <c r="D2885" s="18"/>
      <c r="E2885" s="17" t="s">
        <v>4875</v>
      </c>
      <c r="F2885" s="17" t="s">
        <v>154</v>
      </c>
      <c r="G2885" s="18"/>
      <c r="H2885" s="18"/>
    </row>
    <row r="2886" spans="1:8" ht="13.2">
      <c r="A2886" s="15" t="s">
        <v>5452</v>
      </c>
      <c r="B2886" s="15" t="s">
        <v>5453</v>
      </c>
      <c r="C2886" s="17">
        <v>5.5</v>
      </c>
      <c r="D2886" s="18"/>
      <c r="E2886" s="17" t="s">
        <v>5414</v>
      </c>
      <c r="F2886" s="17" t="s">
        <v>154</v>
      </c>
      <c r="G2886" s="18"/>
      <c r="H2886" s="18"/>
    </row>
    <row r="2887" spans="1:8" ht="13.2">
      <c r="A2887" s="19" t="str">
        <f>HYPERLINK("http://codeforces.com/contest/380/problem/C","CF380-D1-C")</f>
        <v>CF380-D1-C</v>
      </c>
      <c r="B2887" s="29" t="s">
        <v>1163</v>
      </c>
      <c r="C2887" s="17">
        <v>5.5</v>
      </c>
      <c r="D2887" s="18"/>
      <c r="E2887" s="17" t="s">
        <v>1018</v>
      </c>
      <c r="F2887" s="17" t="s">
        <v>1164</v>
      </c>
      <c r="G2887" s="18"/>
      <c r="H2887" s="18"/>
    </row>
    <row r="2888" spans="1:8" ht="13.2">
      <c r="A2888" s="15" t="s">
        <v>2839</v>
      </c>
      <c r="B2888" s="29" t="s">
        <v>2840</v>
      </c>
      <c r="C2888" s="24">
        <v>5.5</v>
      </c>
      <c r="D2888" s="26" t="str">
        <f>HYPERLINK("https://github.com/OmarHashim/Competitive-Programming/blob/master/UVA/10180.cpp","Sol")</f>
        <v>Sol</v>
      </c>
      <c r="E2888" s="17" t="s">
        <v>2798</v>
      </c>
      <c r="F2888" s="17" t="s">
        <v>1164</v>
      </c>
      <c r="G2888" s="18"/>
      <c r="H2888" s="18"/>
    </row>
    <row r="2889" spans="1:8" ht="13.2">
      <c r="A2889" s="19" t="str">
        <f>HYPERLINK("https://uva.onlinejudge.org/index.php?option=onlinejudge&amp;page=show_problem&amp;problem=73","UVA 137")</f>
        <v>UVA 137</v>
      </c>
      <c r="B2889" s="29" t="s">
        <v>3015</v>
      </c>
      <c r="C2889" s="17">
        <v>5.5</v>
      </c>
      <c r="D2889" s="26" t="str">
        <f>HYPERLINK("https://github.com/mostafa-saad/MyCompetitiveProgramming/blob/master/UVA/UVA_137.txt","Sol")</f>
        <v>Sol</v>
      </c>
      <c r="E2889" s="17" t="s">
        <v>2948</v>
      </c>
      <c r="F2889" s="17" t="s">
        <v>1164</v>
      </c>
      <c r="G2889" s="18"/>
      <c r="H2889" s="18"/>
    </row>
    <row r="2890" spans="1:8" ht="13.2">
      <c r="A2890" s="19" t="str">
        <f>HYPERLINK("http://arc079.contest.atcoder.jp/tasks/arc079_b","AtCoder079-ARC-B")</f>
        <v>AtCoder079-ARC-B</v>
      </c>
      <c r="B2890" s="29" t="s">
        <v>207</v>
      </c>
      <c r="C2890" s="17">
        <v>5.5</v>
      </c>
      <c r="D2890" s="18"/>
      <c r="E2890" s="17" t="s">
        <v>125</v>
      </c>
      <c r="F2890" s="17" t="s">
        <v>196</v>
      </c>
      <c r="G2890" s="18"/>
      <c r="H2890" s="18"/>
    </row>
    <row r="2891" spans="1:8" ht="13.2">
      <c r="A2891" s="19" t="str">
        <f>HYPERLINK("http://codeforces.com/contest/253/problem/D","CF253-D2-D")</f>
        <v>CF253-D2-D</v>
      </c>
      <c r="B2891" s="29" t="s">
        <v>6045</v>
      </c>
      <c r="C2891" s="17">
        <v>5.5</v>
      </c>
      <c r="D2891" s="18"/>
      <c r="E2891" s="17" t="s">
        <v>6040</v>
      </c>
      <c r="F2891" s="17" t="s">
        <v>196</v>
      </c>
      <c r="G2891" s="18"/>
      <c r="H2891" s="18"/>
    </row>
    <row r="2892" spans="1:8" ht="13.2">
      <c r="A2892" s="19" t="str">
        <f>HYPERLINK("http://codeforces.com/contest/431/problem/D","CF431-D2-D")</f>
        <v>CF431-D2-D</v>
      </c>
      <c r="B2892" s="29" t="s">
        <v>6126</v>
      </c>
      <c r="C2892" s="17">
        <v>5.5</v>
      </c>
      <c r="D2892" s="18"/>
      <c r="E2892" s="17" t="s">
        <v>6118</v>
      </c>
      <c r="F2892" s="17" t="s">
        <v>196</v>
      </c>
      <c r="G2892" s="18"/>
      <c r="H2892" s="18"/>
    </row>
    <row r="2893" spans="1:8" ht="13.2">
      <c r="A2893" s="19" t="str">
        <f>HYPERLINK("http://codeforces.com/problemset/problem/912/D","CF912-D2-D")</f>
        <v>CF912-D2-D</v>
      </c>
      <c r="B2893" s="18" t="s">
        <v>6292</v>
      </c>
      <c r="C2893" s="17">
        <v>5.5</v>
      </c>
      <c r="D2893" s="18"/>
      <c r="E2893" s="17" t="s">
        <v>6275</v>
      </c>
      <c r="F2893" s="17" t="s">
        <v>196</v>
      </c>
      <c r="G2893" s="18"/>
      <c r="H2893" s="18"/>
    </row>
    <row r="2894" spans="1:8" ht="13.2">
      <c r="A2894" s="15" t="s">
        <v>6493</v>
      </c>
      <c r="B2894" s="30" t="s">
        <v>6494</v>
      </c>
      <c r="C2894" s="24">
        <v>5.5</v>
      </c>
      <c r="D2894" s="26" t="str">
        <f>HYPERLINK("https://github.com/mostafa-saad/MyCompetitiveProgramming/blob/master/UVA/UVA_1218.txt","Sol")</f>
        <v>Sol</v>
      </c>
      <c r="E2894" s="17" t="s">
        <v>6459</v>
      </c>
      <c r="F2894" s="17" t="s">
        <v>196</v>
      </c>
      <c r="G2894" s="18"/>
      <c r="H2894" s="18"/>
    </row>
    <row r="2895" spans="1:8" ht="13.2">
      <c r="A2895" s="19" t="str">
        <f>HYPERLINK("http://codeforces.com/contest/149/problem/D","CF149-D2-D")</f>
        <v>CF149-D2-D</v>
      </c>
      <c r="B2895" s="29" t="s">
        <v>1511</v>
      </c>
      <c r="C2895" s="17">
        <v>5.5</v>
      </c>
      <c r="D2895" s="26" t="str">
        <f>HYPERLINK("https://github.com/osamahatem/CompetitiveProgramming/blob/master/Codeforces/149D.%20Coloring%20Brackets.cpp","Sol")</f>
        <v>Sol</v>
      </c>
      <c r="E2895" s="17" t="s">
        <v>1337</v>
      </c>
      <c r="F2895" s="17" t="s">
        <v>196</v>
      </c>
      <c r="G2895" s="18"/>
      <c r="H2895" s="18"/>
    </row>
    <row r="2896" spans="1:8" ht="13.2">
      <c r="A2896" s="15" t="s">
        <v>2124</v>
      </c>
      <c r="B2896" s="30" t="s">
        <v>6560</v>
      </c>
      <c r="C2896" s="17">
        <v>5.5</v>
      </c>
      <c r="D2896" s="18"/>
      <c r="E2896" s="17" t="s">
        <v>2113</v>
      </c>
      <c r="F2896" s="17" t="s">
        <v>196</v>
      </c>
      <c r="G2896" s="18"/>
      <c r="H2896" s="18"/>
    </row>
    <row r="2897" spans="1:8" ht="13.2">
      <c r="A2897" s="15" t="s">
        <v>2672</v>
      </c>
      <c r="B2897" s="29" t="s">
        <v>2673</v>
      </c>
      <c r="C2897" s="17">
        <v>5.5</v>
      </c>
      <c r="D2897" s="26" t="str">
        <f>HYPERLINK("https://github.com/mostafa-saad/MyCompetitiveProgramming/blob/master/UVA/UVA_11579.txt","Sol - Prove")</f>
        <v>Sol - Prove</v>
      </c>
      <c r="E2897" s="17" t="s">
        <v>2510</v>
      </c>
      <c r="F2897" s="17" t="s">
        <v>196</v>
      </c>
      <c r="G2897" s="18"/>
      <c r="H2897" s="18"/>
    </row>
    <row r="2898" spans="1:8" ht="13.2">
      <c r="A2898" s="19" t="str">
        <f>HYPERLINK("http://codeforces.com/contest/219/problem/E","CF219-D2-E")</f>
        <v>CF219-D2-E</v>
      </c>
      <c r="B2898" s="29" t="s">
        <v>611</v>
      </c>
      <c r="C2898" s="17">
        <v>5.5</v>
      </c>
      <c r="D2898" s="26" t="str">
        <f>HYPERLINK("https://github.com/mostafa-saad/MyCompetitiveProgramming/blob/master/Codeforces/CF219-D2-E.txt","Sol")</f>
        <v>Sol</v>
      </c>
      <c r="E2898" s="17" t="s">
        <v>575</v>
      </c>
      <c r="F2898" s="17" t="s">
        <v>196</v>
      </c>
      <c r="G2898" s="18"/>
      <c r="H2898" s="18"/>
    </row>
    <row r="2899" spans="1:8" ht="13.2">
      <c r="A2899" s="19" t="str">
        <f>HYPERLINK("http://codeforces.com/gym/101806/problem/T","CF101806-gym-T")</f>
        <v>CF101806-gym-T</v>
      </c>
      <c r="B2899" s="15" t="s">
        <v>208</v>
      </c>
      <c r="C2899" s="17">
        <v>5.5</v>
      </c>
      <c r="D2899" s="26" t="str">
        <f>HYPERLINK("https://github.com/adarshkr532/CompetitiveProgramming/blob/master/Codeforces/CF101806-GYM-T.cpp","Sol")</f>
        <v>Sol</v>
      </c>
      <c r="E2899" s="17" t="s">
        <v>125</v>
      </c>
      <c r="F2899" s="17" t="s">
        <v>139</v>
      </c>
      <c r="G2899" s="18"/>
      <c r="H2899" s="18"/>
    </row>
    <row r="2900" spans="1:8" ht="13.2">
      <c r="A2900" s="19" t="str">
        <f>HYPERLINK("https://codeforces.com/contest/1282/problem/D","CF1282-D2-D")</f>
        <v>CF1282-D2-D</v>
      </c>
      <c r="B2900" s="15" t="s">
        <v>169</v>
      </c>
      <c r="C2900" s="17">
        <v>5.5</v>
      </c>
      <c r="D2900" s="18"/>
      <c r="E2900" s="17" t="s">
        <v>125</v>
      </c>
      <c r="F2900" s="17" t="s">
        <v>139</v>
      </c>
      <c r="G2900" s="18"/>
      <c r="H2900" s="18"/>
    </row>
    <row r="2901" spans="1:8" ht="13.2">
      <c r="A2901" s="19" t="str">
        <f>HYPERLINK("http://codeforces.com/contest/907/problem/D","CF907-D12-D")</f>
        <v>CF907-D12-D</v>
      </c>
      <c r="B2901" s="15" t="s">
        <v>209</v>
      </c>
      <c r="C2901" s="17">
        <v>5.5</v>
      </c>
      <c r="D2901" s="18"/>
      <c r="E2901" s="17" t="s">
        <v>125</v>
      </c>
      <c r="F2901" s="17" t="s">
        <v>139</v>
      </c>
      <c r="G2901" s="18"/>
      <c r="H2901" s="18"/>
    </row>
    <row r="2902" spans="1:8" ht="13.2">
      <c r="A2902" s="19" t="str">
        <f>HYPERLINK("http://codeforces.com/gym/101149/problem/M?locale=en","CF101149-gym-M")</f>
        <v>CF101149-gym-M</v>
      </c>
      <c r="B2902" s="15" t="s">
        <v>210</v>
      </c>
      <c r="C2902" s="17">
        <v>5.5</v>
      </c>
      <c r="D2902" s="26" t="str">
        <f>HYPERLINK("https://github.com/Szawinis/CompetitiveProgramming/blob/master/CodeForces/CF101149-GYM-M.cpp","Sol")</f>
        <v>Sol</v>
      </c>
      <c r="E2902" s="17" t="s">
        <v>125</v>
      </c>
      <c r="F2902" s="17" t="s">
        <v>139</v>
      </c>
      <c r="G2902" s="18"/>
      <c r="H2902" s="18"/>
    </row>
    <row r="2903" spans="1:8" ht="13.2">
      <c r="A2903" s="19" t="str">
        <f>HYPERLINK("https://codingcompetitions.withgoogle.com/kickstart/round/0000000000050edd/00000000001a2835","Kickstart 19-RH-B")</f>
        <v>Kickstart 19-RH-B</v>
      </c>
      <c r="B2903" s="20" t="s">
        <v>211</v>
      </c>
      <c r="C2903" s="21">
        <v>5.5</v>
      </c>
      <c r="D2903" s="26" t="str">
        <f>HYPERLINK("https://github.com/farmerboy95/CompetitiveProgramming/blob/master/Google%20Kickstart/Kickstart%2019-RH-B.cpp","Sol")</f>
        <v>Sol</v>
      </c>
      <c r="E2903" s="17" t="s">
        <v>125</v>
      </c>
      <c r="F2903" s="17" t="s">
        <v>139</v>
      </c>
      <c r="G2903" s="18"/>
      <c r="H2903" s="18"/>
    </row>
    <row r="2904" spans="1:8" ht="13.2">
      <c r="A2904" s="19" t="str">
        <f>HYPERLINK("http://codeforces.com/contest/333/problem/D","CF333-D1-D")</f>
        <v>CF333-D1-D</v>
      </c>
      <c r="B2904" s="28" t="s">
        <v>212</v>
      </c>
      <c r="C2904" s="33">
        <v>5.5</v>
      </c>
      <c r="D2904" s="26" t="str">
        <f>HYPERLINK("https://github.com/AhmedRamadanAbdElghany/CompetitiveProgramming/blob/master/CodeForces/CF333-D1-D.cpp","Sol")</f>
        <v>Sol</v>
      </c>
      <c r="E2904" s="17" t="s">
        <v>125</v>
      </c>
      <c r="F2904" s="17" t="s">
        <v>139</v>
      </c>
      <c r="G2904" s="18"/>
      <c r="H2904" s="18"/>
    </row>
    <row r="2905" spans="1:8" ht="13.2">
      <c r="A2905" s="19" t="str">
        <f>HYPERLINK("https://codeforces.com/contest/665/problem/E","CF665-D12-E")</f>
        <v>CF665-D12-E</v>
      </c>
      <c r="B2905" s="15" t="s">
        <v>5642</v>
      </c>
      <c r="C2905" s="17">
        <v>5.5</v>
      </c>
      <c r="D2905" s="18"/>
      <c r="E2905" s="17" t="s">
        <v>5643</v>
      </c>
      <c r="F2905" s="17" t="s">
        <v>139</v>
      </c>
      <c r="G2905" s="18"/>
      <c r="H2905" s="18"/>
    </row>
    <row r="2906" spans="1:8" ht="13.2">
      <c r="A2906" s="19" t="str">
        <f>HYPERLINK("http://codeforces.com/gym/101741/problem/K","CF101741-gym-K")</f>
        <v>CF101741-gym-K</v>
      </c>
      <c r="B2906" s="15" t="s">
        <v>5863</v>
      </c>
      <c r="C2906" s="17">
        <v>5.5</v>
      </c>
      <c r="D2906" s="18"/>
      <c r="E2906" s="17" t="s">
        <v>5857</v>
      </c>
      <c r="F2906" s="17" t="s">
        <v>139</v>
      </c>
      <c r="G2906" s="18"/>
      <c r="H2906" s="18"/>
    </row>
    <row r="2907" spans="1:8" ht="13.2">
      <c r="A2907" s="19" t="str">
        <f>HYPERLINK("http://codeforces.com/gym/101808/problem/B","CF101808-gym-B")</f>
        <v>CF101808-gym-B</v>
      </c>
      <c r="B2907" s="15" t="s">
        <v>5863</v>
      </c>
      <c r="C2907" s="17">
        <v>5.5</v>
      </c>
      <c r="D2907" s="18"/>
      <c r="E2907" s="17" t="s">
        <v>5857</v>
      </c>
      <c r="F2907" s="17" t="s">
        <v>139</v>
      </c>
      <c r="G2907" s="18"/>
      <c r="H2907" s="18"/>
    </row>
    <row r="2908" spans="1:8" ht="13.2">
      <c r="A2908" s="19" t="str">
        <f>HYPERLINK("http://codeforces.com/contest/533/problem/E","CF533-D1-E")</f>
        <v>CF533-D1-E</v>
      </c>
      <c r="B2908" s="30" t="s">
        <v>5863</v>
      </c>
      <c r="C2908" s="17">
        <v>5.5</v>
      </c>
      <c r="D2908" s="18"/>
      <c r="E2908" s="17" t="s">
        <v>5857</v>
      </c>
      <c r="F2908" s="17" t="s">
        <v>139</v>
      </c>
      <c r="G2908" s="18"/>
      <c r="H2908" s="18"/>
    </row>
    <row r="2909" spans="1:8" ht="13.2">
      <c r="A2909" s="19" t="str">
        <f>HYPERLINK("http://codeforces.com/contest/727/problem/E","CF727-D2-E")</f>
        <v>CF727-D2-E</v>
      </c>
      <c r="B2909" s="15" t="s">
        <v>5863</v>
      </c>
      <c r="C2909" s="24">
        <v>5.5</v>
      </c>
      <c r="D2909" s="18"/>
      <c r="E2909" s="17" t="s">
        <v>5857</v>
      </c>
      <c r="F2909" s="17" t="s">
        <v>139</v>
      </c>
      <c r="G2909" s="18"/>
      <c r="H2909" s="18"/>
    </row>
    <row r="2910" spans="1:8" ht="13.2">
      <c r="A2910" s="15" t="s">
        <v>5865</v>
      </c>
      <c r="B2910" s="28" t="s">
        <v>5866</v>
      </c>
      <c r="C2910" s="24">
        <v>5.5</v>
      </c>
      <c r="D2910" s="18"/>
      <c r="E2910" s="17" t="s">
        <v>5857</v>
      </c>
      <c r="F2910" s="17" t="s">
        <v>139</v>
      </c>
      <c r="G2910" s="18"/>
      <c r="H2910" s="18"/>
    </row>
    <row r="2911" spans="1:8" ht="13.2">
      <c r="A2911" s="19" t="str">
        <f>HYPERLINK("http://codeforces.com/contest/19/problem/C","CF19-D12-C")</f>
        <v>CF19-D12-C</v>
      </c>
      <c r="B2911" s="15" t="s">
        <v>5867</v>
      </c>
      <c r="C2911" s="17">
        <v>5.5</v>
      </c>
      <c r="D2911" s="18"/>
      <c r="E2911" s="17" t="s">
        <v>5857</v>
      </c>
      <c r="F2911" s="17" t="s">
        <v>139</v>
      </c>
      <c r="G2911" s="18"/>
      <c r="H2911" s="18"/>
    </row>
    <row r="2912" spans="1:8" ht="13.2">
      <c r="A2912" s="19" t="str">
        <f>HYPERLINK("https://codeforces.com/contest/1090/problem/C","CF1090-D12-C")</f>
        <v>CF1090-D12-C</v>
      </c>
      <c r="B2912" s="37" t="s">
        <v>5984</v>
      </c>
      <c r="C2912" s="17">
        <v>5.5</v>
      </c>
      <c r="D2912" s="18"/>
      <c r="E2912" s="17" t="s">
        <v>5958</v>
      </c>
      <c r="F2912" s="17" t="s">
        <v>139</v>
      </c>
      <c r="G2912" s="18"/>
      <c r="H2912" s="18"/>
    </row>
    <row r="2913" spans="1:8" ht="13.2">
      <c r="A2913" s="19" t="str">
        <f>HYPERLINK("https://codingcompetitions.withgoogle.com/kickstart/round/0000000000050ff2/0000000000150aac","KICKSTART 19-RC-A")</f>
        <v>KICKSTART 19-RC-A</v>
      </c>
      <c r="B2913" s="20" t="s">
        <v>5985</v>
      </c>
      <c r="C2913" s="21">
        <v>5.5</v>
      </c>
      <c r="D2913" s="18"/>
      <c r="E2913" s="17" t="s">
        <v>5958</v>
      </c>
      <c r="F2913" s="17" t="s">
        <v>139</v>
      </c>
      <c r="G2913" s="18"/>
      <c r="H2913" s="18"/>
    </row>
    <row r="2914" spans="1:8" ht="13.2">
      <c r="A2914" s="19" t="str">
        <f>HYPERLINK("https://codeforces.com/contest/1195/problem/E", "CF1195-D2-E")</f>
        <v>CF1195-D2-E</v>
      </c>
      <c r="B2914" s="43" t="s">
        <v>6046</v>
      </c>
      <c r="C2914" s="17">
        <v>5.5</v>
      </c>
      <c r="D2914" s="18"/>
      <c r="E2914" s="17" t="s">
        <v>6040</v>
      </c>
      <c r="F2914" s="17" t="s">
        <v>139</v>
      </c>
      <c r="G2914" s="18"/>
      <c r="H2914" s="18"/>
    </row>
    <row r="2915" spans="1:8" ht="13.2">
      <c r="A2915" s="19" t="str">
        <f>HYPERLINK("https://codeforces.com/gym/102001/problem/F", "CF102001-GYM-F")</f>
        <v>CF102001-GYM-F</v>
      </c>
      <c r="B2915" s="15" t="s">
        <v>6047</v>
      </c>
      <c r="C2915" s="17">
        <v>5.5</v>
      </c>
      <c r="D2915" s="26" t="str">
        <f>HYPERLINK("https://github.com/YazanZebak/CompetitiveProgramming/blob/master/Codeforces/CF102001-GYM-F.cpp", "Sol")</f>
        <v>Sol</v>
      </c>
      <c r="E2915" s="17" t="s">
        <v>6040</v>
      </c>
      <c r="F2915" s="17" t="s">
        <v>139</v>
      </c>
      <c r="G2915" s="18"/>
      <c r="H2915" s="18"/>
    </row>
    <row r="2916" spans="1:8" ht="13.2">
      <c r="A2916" s="19" t="str">
        <f>HYPERLINK("http://codeforces.com/contest/224/problem/D","CF224-D2-D")</f>
        <v>CF224-D2-D</v>
      </c>
      <c r="B2916" s="29" t="s">
        <v>6048</v>
      </c>
      <c r="C2916" s="17">
        <v>5.5</v>
      </c>
      <c r="D2916" s="26" t="str">
        <f>HYPERLINK("https://github.com/abdullaAshraf/Problem-Solving/blob/master/CodeForces/CF224-D2-D.cpp","Sol")</f>
        <v>Sol</v>
      </c>
      <c r="E2916" s="17" t="s">
        <v>6040</v>
      </c>
      <c r="F2916" s="17" t="s">
        <v>139</v>
      </c>
      <c r="G2916" s="18"/>
      <c r="H2916" s="18"/>
    </row>
    <row r="2917" spans="1:8" ht="13.2">
      <c r="A2917" s="19" t="str">
        <f>HYPERLINK("http://codeforces.com/gym/101589/problem/H","CF101589-GYM-H")</f>
        <v>CF101589-GYM-H</v>
      </c>
      <c r="B2917" s="29" t="s">
        <v>6087</v>
      </c>
      <c r="C2917" s="21">
        <v>5.5</v>
      </c>
      <c r="D2917" s="26" t="str">
        <f>HYPERLINK("https://github.com/MonaAhmed810/CompetitiveProgramming/tree/master/Codeforces/CF101589-GYM-H","Sol")</f>
        <v>Sol</v>
      </c>
      <c r="E2917" s="17" t="s">
        <v>6075</v>
      </c>
      <c r="F2917" s="17" t="s">
        <v>139</v>
      </c>
      <c r="G2917" s="18"/>
      <c r="H2917" s="18"/>
    </row>
    <row r="2918" spans="1:8" ht="13.2">
      <c r="A2918" s="19" t="str">
        <f>HYPERLINK("http://community.topcoder.com/stat?c=problem_statement&amp;pm=15142&amp;rd=17316","SRM741-D1-250")</f>
        <v>SRM741-D1-250</v>
      </c>
      <c r="B2918" s="15" t="s">
        <v>6127</v>
      </c>
      <c r="C2918" s="17">
        <v>5.5</v>
      </c>
      <c r="D2918" s="26" t="str">
        <f>HYPERLINK("https://github.com/Huvok/CompetitiveProgramming/blob/master/Topcoder/SRM741-D1-250.cpp","Sol")</f>
        <v>Sol</v>
      </c>
      <c r="E2918" s="17" t="s">
        <v>6118</v>
      </c>
      <c r="F2918" s="17" t="s">
        <v>139</v>
      </c>
      <c r="G2918" s="18"/>
      <c r="H2918" s="18"/>
    </row>
    <row r="2919" spans="1:8" ht="13.2">
      <c r="A2919" s="15" t="s">
        <v>6128</v>
      </c>
      <c r="B2919" s="29" t="s">
        <v>6129</v>
      </c>
      <c r="C2919" s="17">
        <v>5.5</v>
      </c>
      <c r="D2919" s="26" t="str">
        <f>HYPERLINK("https://github.com/mostafa-saad/MyCompetitiveProgramming/blob/master/UVA/UVA_11361.txt","Sol")</f>
        <v>Sol</v>
      </c>
      <c r="E2919" s="17" t="s">
        <v>6118</v>
      </c>
      <c r="F2919" s="17" t="s">
        <v>139</v>
      </c>
      <c r="G2919" s="18"/>
      <c r="H2919" s="18"/>
    </row>
    <row r="2920" spans="1:8" ht="13.2">
      <c r="A2920" s="19" t="str">
        <f>HYPERLINK("http://codeforces.com/contest/681/problem/D","CF681-D2-D")</f>
        <v>CF681-D2-D</v>
      </c>
      <c r="B2920" s="29" t="s">
        <v>6217</v>
      </c>
      <c r="C2920" s="17">
        <v>5.5</v>
      </c>
      <c r="D2920" s="26" t="str">
        <f>HYPERLINK("https://github.com/mahmoudbadawy5/CompetitiveProgramming/blob/master/codeforces/CF681-D2-D.cpp","Sol")</f>
        <v>Sol</v>
      </c>
      <c r="E2920" s="17" t="s">
        <v>6205</v>
      </c>
      <c r="F2920" s="17" t="s">
        <v>139</v>
      </c>
      <c r="G2920" s="18"/>
      <c r="H2920" s="18"/>
    </row>
    <row r="2921" spans="1:8" ht="13.2">
      <c r="A2921" s="19" t="str">
        <f>HYPERLINK("http://codeforces.com/contest/359/problem/D","CF359-D2-D")</f>
        <v>CF359-D2-D</v>
      </c>
      <c r="B2921" s="29" t="s">
        <v>1005</v>
      </c>
      <c r="C2921" s="17">
        <v>5.5</v>
      </c>
      <c r="D2921" s="26" t="str">
        <f>HYPERLINK("https://github.com/osamahatem/CompetitiveProgramming/blob/master/Codeforces/359D.%20Pair%20of%20Numbers.cpp","Sol")</f>
        <v>Sol</v>
      </c>
      <c r="E2921" s="17" t="s">
        <v>997</v>
      </c>
      <c r="F2921" s="17" t="s">
        <v>139</v>
      </c>
      <c r="G2921" s="18"/>
      <c r="H2921" s="18"/>
    </row>
    <row r="2922" spans="1:8" ht="13.2">
      <c r="A2922" s="15" t="s">
        <v>6266</v>
      </c>
      <c r="B2922" s="29" t="s">
        <v>6267</v>
      </c>
      <c r="C2922" s="17">
        <v>5.5</v>
      </c>
      <c r="D2922" s="26" t="str">
        <f>HYPERLINK("https://github.com/MohamedNabil97/CompetitiveProgramming/blob/master/TopCoder/SRM447-D1-500.cpp","Don't use DP. Check it later in editorial. Sol")</f>
        <v>Don't use DP. Check it later in editorial. Sol</v>
      </c>
      <c r="E2922" s="17" t="s">
        <v>6246</v>
      </c>
      <c r="F2922" s="17" t="s">
        <v>139</v>
      </c>
      <c r="G2922" s="18"/>
      <c r="H2922" s="18"/>
    </row>
    <row r="2923" spans="1:8" ht="13.2">
      <c r="A2923" s="15" t="s">
        <v>6293</v>
      </c>
      <c r="B2923" s="29" t="s">
        <v>6276</v>
      </c>
      <c r="C2923" s="17">
        <v>5.5</v>
      </c>
      <c r="D2923" s="18"/>
      <c r="E2923" s="17" t="s">
        <v>6275</v>
      </c>
      <c r="F2923" s="17" t="s">
        <v>139</v>
      </c>
      <c r="G2923" s="18"/>
      <c r="H2923" s="18"/>
    </row>
    <row r="2924" spans="1:8" ht="13.2">
      <c r="A2924" s="19" t="str">
        <f>HYPERLINK("http://codeforces.com/contest/500/problem/D","CF500-D12-D")</f>
        <v>CF500-D12-D</v>
      </c>
      <c r="B2924" s="29" t="s">
        <v>6294</v>
      </c>
      <c r="C2924" s="17">
        <v>5.5</v>
      </c>
      <c r="D2924" s="18"/>
      <c r="E2924" s="17" t="s">
        <v>6275</v>
      </c>
      <c r="F2924" s="17" t="s">
        <v>139</v>
      </c>
      <c r="G2924" s="18"/>
      <c r="H2924" s="18"/>
    </row>
    <row r="2925" spans="1:8" ht="13.2">
      <c r="A2925" s="19" t="str">
        <f>HYPERLINK("https://www.codechef.com/JUNE19A/problems/INTRPATH","Codechef INTRPATH")</f>
        <v>Codechef INTRPATH</v>
      </c>
      <c r="B2925" s="20" t="s">
        <v>6330</v>
      </c>
      <c r="C2925" s="21">
        <v>5.5</v>
      </c>
      <c r="D2925" s="18"/>
      <c r="E2925" s="17" t="s">
        <v>6311</v>
      </c>
      <c r="F2925" s="17" t="s">
        <v>139</v>
      </c>
      <c r="G2925" s="18"/>
      <c r="H2925" s="18"/>
    </row>
    <row r="2926" spans="1:8" ht="13.2">
      <c r="A2926" s="15" t="s">
        <v>6331</v>
      </c>
      <c r="B2926" s="28" t="s">
        <v>6332</v>
      </c>
      <c r="C2926" s="24">
        <v>5.5</v>
      </c>
      <c r="D2926" s="18"/>
      <c r="E2926" s="17" t="s">
        <v>6311</v>
      </c>
      <c r="F2926" s="17" t="s">
        <v>139</v>
      </c>
      <c r="G2926" s="18"/>
      <c r="H2926" s="18"/>
    </row>
    <row r="2927" spans="1:8" ht="13.2">
      <c r="A2927" s="19" t="str">
        <f>HYPERLINK("http://codeforces.com/contest/343/problem/D","CF343-D1-D")</f>
        <v>CF343-D1-D</v>
      </c>
      <c r="B2927" s="29" t="s">
        <v>6333</v>
      </c>
      <c r="C2927" s="17">
        <v>5.5</v>
      </c>
      <c r="D2927" s="18"/>
      <c r="E2927" s="17" t="s">
        <v>6311</v>
      </c>
      <c r="F2927" s="17" t="s">
        <v>139</v>
      </c>
      <c r="G2927" s="18"/>
      <c r="H2927" s="18"/>
    </row>
    <row r="2928" spans="1:8" ht="13.2">
      <c r="A2928" s="19" t="str">
        <f>HYPERLINK("http://codeforces.com/contest/766/problem/E","CF766-D2-E")</f>
        <v>CF766-D2-E</v>
      </c>
      <c r="B2928" s="38" t="s">
        <v>6355</v>
      </c>
      <c r="C2928" s="17">
        <v>5.5</v>
      </c>
      <c r="D2928" s="18"/>
      <c r="E2928" s="17" t="s">
        <v>6345</v>
      </c>
      <c r="F2928" s="17" t="s">
        <v>139</v>
      </c>
      <c r="G2928" s="18"/>
      <c r="H2928" s="18"/>
    </row>
    <row r="2929" spans="1:8" ht="13.2">
      <c r="A2929" s="19" t="str">
        <f>HYPERLINK("https://codeforces.com/gym/101174/attachments","CF101174-GYM-F")</f>
        <v>CF101174-GYM-F</v>
      </c>
      <c r="B2929" s="15" t="s">
        <v>6356</v>
      </c>
      <c r="C2929" s="17">
        <v>5.5</v>
      </c>
      <c r="D2929" s="26" t="str">
        <f>HYPERLINK("https://github.com/mostafa-saad/MyCompetitiveProgramming/blob/master/Codeforces/CF101174-GYM-F.txt","Sol")</f>
        <v>Sol</v>
      </c>
      <c r="E2929" s="17" t="s">
        <v>6345</v>
      </c>
      <c r="F2929" s="17" t="s">
        <v>139</v>
      </c>
      <c r="G2929" s="18"/>
      <c r="H2929" s="18"/>
    </row>
    <row r="2930" spans="1:8" ht="13.2">
      <c r="A2930" s="19" t="str">
        <f>HYPERLINK("https://www.codechef.com/problems/TESTERS","CODECHEF TESTERS")</f>
        <v>CODECHEF TESTERS</v>
      </c>
      <c r="B2930" s="15" t="s">
        <v>6357</v>
      </c>
      <c r="C2930" s="21">
        <v>5.5</v>
      </c>
      <c r="D2930" s="18"/>
      <c r="E2930" s="17" t="s">
        <v>6345</v>
      </c>
      <c r="F2930" s="17" t="s">
        <v>139</v>
      </c>
      <c r="G2930" s="18"/>
      <c r="H2930" s="18"/>
    </row>
    <row r="2931" spans="1:8" ht="13.2">
      <c r="A2931" s="19" t="str">
        <f>HYPERLINK("https://codeforces.com/gym/101807/problem/J","CF101807-GYM-J")</f>
        <v>CF101807-GYM-J</v>
      </c>
      <c r="B2931" s="20" t="s">
        <v>1165</v>
      </c>
      <c r="C2931" s="17">
        <v>5.5</v>
      </c>
      <c r="D2931" s="18" t="s">
        <v>1166</v>
      </c>
      <c r="E2931" s="17" t="s">
        <v>1018</v>
      </c>
      <c r="F2931" s="17" t="s">
        <v>139</v>
      </c>
      <c r="G2931" s="18"/>
      <c r="H2931" s="18"/>
    </row>
    <row r="2932" spans="1:8" ht="13.2">
      <c r="A2932" s="19" t="str">
        <f>HYPERLINK("https://atcoder.jp/contests/abc127/tasks/abc127_f","AtCoder127-ABC-F")</f>
        <v>AtCoder127-ABC-F</v>
      </c>
      <c r="B2932" s="15" t="s">
        <v>1017</v>
      </c>
      <c r="C2932" s="17">
        <v>5.5</v>
      </c>
      <c r="D2932" s="18"/>
      <c r="E2932" s="17" t="s">
        <v>1018</v>
      </c>
      <c r="F2932" s="17" t="s">
        <v>139</v>
      </c>
      <c r="G2932" s="18"/>
      <c r="H2932" s="18"/>
    </row>
    <row r="2933" spans="1:8" ht="13.2">
      <c r="A2933" s="15" t="s">
        <v>1167</v>
      </c>
      <c r="B2933" s="15" t="s">
        <v>1017</v>
      </c>
      <c r="C2933" s="17">
        <v>5.5</v>
      </c>
      <c r="D2933" s="18"/>
      <c r="E2933" s="17" t="s">
        <v>1018</v>
      </c>
      <c r="F2933" s="17" t="s">
        <v>139</v>
      </c>
      <c r="G2933" s="18"/>
      <c r="H2933" s="18"/>
    </row>
    <row r="2934" spans="1:8" ht="13.2">
      <c r="A2934" s="19" t="str">
        <f>HYPERLINK("http://www.spoj.com/problems/GSS4","SPOJ GSS4")</f>
        <v>SPOJ GSS4</v>
      </c>
      <c r="B2934" s="29" t="s">
        <v>1168</v>
      </c>
      <c r="C2934" s="17">
        <v>5.5</v>
      </c>
      <c r="D2934" s="26" t="str">
        <f>HYPERLINK("https://github.com/abdullaAshraf/Problem-Solving/blob/master/SPOJ/GSS4.cpp","Sol")</f>
        <v>Sol</v>
      </c>
      <c r="E2934" s="17" t="s">
        <v>1018</v>
      </c>
      <c r="F2934" s="17" t="s">
        <v>139</v>
      </c>
      <c r="G2934" s="18"/>
      <c r="H2934" s="18"/>
    </row>
    <row r="2935" spans="1:8" ht="13.2">
      <c r="A2935" s="19" t="str">
        <f>HYPERLINK("https://codeforces.com/contest/1191/problem/E","CF1191-D2-E")</f>
        <v>CF1191-D2-E</v>
      </c>
      <c r="B2935" s="20" t="s">
        <v>1169</v>
      </c>
      <c r="C2935" s="17">
        <v>5.5</v>
      </c>
      <c r="D2935" s="18"/>
      <c r="E2935" s="17" t="s">
        <v>1018</v>
      </c>
      <c r="F2935" s="17" t="s">
        <v>139</v>
      </c>
      <c r="G2935" s="18"/>
      <c r="H2935" s="18"/>
    </row>
    <row r="2936" spans="1:8" ht="13.2">
      <c r="A2936" s="19" t="str">
        <f>HYPERLINK("https://codeforces.com/gym/101807/problem/J","CF101807-GYM-J")</f>
        <v>CF101807-GYM-J</v>
      </c>
      <c r="B2936" s="15" t="s">
        <v>1170</v>
      </c>
      <c r="C2936" s="17">
        <v>5.5</v>
      </c>
      <c r="D2936" s="26" t="str">
        <f>HYPERLINK("https://github.com/YazanZebak/CompetitiveProgramming/blob/master/Codeforces/CF101807-GYM-J.cpp", "Sol")</f>
        <v>Sol</v>
      </c>
      <c r="E2936" s="17" t="s">
        <v>1018</v>
      </c>
      <c r="F2936" s="17" t="s">
        <v>139</v>
      </c>
      <c r="G2936" s="18"/>
      <c r="H2936" s="18"/>
    </row>
    <row r="2937" spans="1:8" ht="13.2">
      <c r="A2937" s="19" t="str">
        <f>HYPERLINK("https://codeforces.com/gym/102154/problem/B","CF102154-GYM-B")</f>
        <v>CF102154-GYM-B</v>
      </c>
      <c r="B2937" s="15" t="s">
        <v>1040</v>
      </c>
      <c r="C2937" s="17">
        <v>5.5</v>
      </c>
      <c r="D2937" s="26" t="str">
        <f>HYPERLINK("https://github.com/guskal01/CompetitiveProgramming/blob/master/CodeForces/CF102154-GYM-B.cpp","Sol")</f>
        <v>Sol</v>
      </c>
      <c r="E2937" s="17" t="s">
        <v>1018</v>
      </c>
      <c r="F2937" s="17" t="s">
        <v>139</v>
      </c>
      <c r="G2937" s="18"/>
      <c r="H2937" s="18"/>
    </row>
    <row r="2938" spans="1:8" ht="13.2">
      <c r="A2938" s="19" t="str">
        <f>HYPERLINK("http://www.spoj.com/problems/ORDERS/","SPOJ ORDERS")</f>
        <v>SPOJ ORDERS</v>
      </c>
      <c r="B2938" s="29" t="s">
        <v>1171</v>
      </c>
      <c r="C2938" s="17">
        <v>5.5</v>
      </c>
      <c r="D2938" s="26" t="str">
        <f>HYPERLINK("https://github.com/mostafa-saad/MyCompetitiveProgramming/blob/master/SPOJ/SPOJ_ORDERS.txt","Sol")</f>
        <v>Sol</v>
      </c>
      <c r="E2938" s="17" t="s">
        <v>1018</v>
      </c>
      <c r="F2938" s="17" t="s">
        <v>139</v>
      </c>
      <c r="G2938" s="18"/>
      <c r="H2938" s="18"/>
    </row>
    <row r="2939" spans="1:8" ht="13.2">
      <c r="A2939" s="19" t="str">
        <f>HYPERLINK("http://codeforces.com/contest/620/problem/E","CF620-D12-E")</f>
        <v>CF620-D12-E</v>
      </c>
      <c r="B2939" s="38" t="s">
        <v>1172</v>
      </c>
      <c r="C2939" s="17">
        <v>5.5</v>
      </c>
      <c r="D2939" s="18"/>
      <c r="E2939" s="17" t="s">
        <v>1018</v>
      </c>
      <c r="F2939" s="17" t="s">
        <v>139</v>
      </c>
      <c r="G2939" s="18"/>
      <c r="H2939" s="18"/>
    </row>
    <row r="2940" spans="1:8" ht="13.2">
      <c r="A2940" s="15" t="s">
        <v>1173</v>
      </c>
      <c r="B2940" s="28" t="s">
        <v>1174</v>
      </c>
      <c r="C2940" s="24">
        <v>5.5</v>
      </c>
      <c r="D2940" s="26" t="str">
        <f>HYPERLINK("https://github.com/mostafa-saad/MyCompetitiveProgramming/blob/master/SPOJ/SPOJ_BRCKTS2.txt","Sol")</f>
        <v>Sol</v>
      </c>
      <c r="E2940" s="17" t="s">
        <v>1018</v>
      </c>
      <c r="F2940" s="17" t="s">
        <v>139</v>
      </c>
      <c r="G2940" s="18"/>
      <c r="H2940" s="18"/>
    </row>
    <row r="2941" spans="1:8" ht="13.2">
      <c r="A2941" s="19" t="str">
        <f>HYPERLINK("https://codingcompetitions.withgoogle.com/kickstart/round/0000000000050e02/000000000018fd5e","Kickstart 19-RG-C")</f>
        <v>Kickstart 19-RG-C</v>
      </c>
      <c r="B2941" s="20" t="s">
        <v>6444</v>
      </c>
      <c r="C2941" s="21">
        <v>5.5</v>
      </c>
      <c r="D2941" s="18"/>
      <c r="E2941" s="17" t="s">
        <v>6441</v>
      </c>
      <c r="F2941" s="17" t="s">
        <v>139</v>
      </c>
      <c r="G2941" s="18"/>
      <c r="H2941" s="18"/>
    </row>
    <row r="2942" spans="1:8" ht="13.2">
      <c r="A2942" s="15" t="s">
        <v>6495</v>
      </c>
      <c r="B2942" s="15" t="s">
        <v>6458</v>
      </c>
      <c r="C2942" s="17">
        <v>5.5</v>
      </c>
      <c r="D2942" s="26" t="str">
        <f>HYPERLINK("https://github.com/adarshkr532/CompetitiveProgramming/blob/master/LiveArchive/6631.cpp", "Sol")</f>
        <v>Sol</v>
      </c>
      <c r="E2942" s="17" t="s">
        <v>6459</v>
      </c>
      <c r="F2942" s="17" t="s">
        <v>139</v>
      </c>
      <c r="G2942" s="18"/>
      <c r="H2942" s="18"/>
    </row>
    <row r="2943" spans="1:8" ht="13.2">
      <c r="A2943" s="19" t="str">
        <f>HYPERLINK("https://www.spoj.com/problems/VOCV/","SOPJ VOCV")</f>
        <v>SOPJ VOCV</v>
      </c>
      <c r="B2943" s="15" t="s">
        <v>6458</v>
      </c>
      <c r="C2943" s="17">
        <v>5.5</v>
      </c>
      <c r="D2943" s="18"/>
      <c r="E2943" s="17" t="s">
        <v>6459</v>
      </c>
      <c r="F2943" s="17" t="s">
        <v>139</v>
      </c>
      <c r="G2943" s="18"/>
      <c r="H2943" s="18"/>
    </row>
    <row r="2944" spans="1:8" ht="13.2">
      <c r="A2944" s="15" t="s">
        <v>6496</v>
      </c>
      <c r="B2944" s="20" t="s">
        <v>6497</v>
      </c>
      <c r="C2944" s="21">
        <v>5.5</v>
      </c>
      <c r="D2944" s="26" t="str">
        <f>HYPERLINK("https://github.com/aviroop123/CompetitiveProgramming/blob/master/CodeChef/CODECHEF%20TREE02.cpp","Sol")</f>
        <v>Sol</v>
      </c>
      <c r="E2944" s="17" t="s">
        <v>6459</v>
      </c>
      <c r="F2944" s="17" t="s">
        <v>139</v>
      </c>
      <c r="G2944" s="18"/>
      <c r="H2944" s="18"/>
    </row>
    <row r="2945" spans="1:8" ht="13.2">
      <c r="A2945" s="19" t="str">
        <f>HYPERLINK("https://codeforces.com/contest/1113/problem/D","CF1113-D2-D")</f>
        <v>CF1113-D2-D</v>
      </c>
      <c r="B2945" s="20" t="s">
        <v>6507</v>
      </c>
      <c r="C2945" s="21">
        <v>5.5</v>
      </c>
      <c r="D2945" s="18"/>
      <c r="E2945" s="17" t="s">
        <v>6505</v>
      </c>
      <c r="F2945" s="17" t="s">
        <v>139</v>
      </c>
      <c r="G2945" s="18"/>
      <c r="H2945" s="18"/>
    </row>
    <row r="2946" spans="1:8" ht="13.2">
      <c r="A2946" s="15" t="s">
        <v>1276</v>
      </c>
      <c r="B2946" s="18" t="s">
        <v>1277</v>
      </c>
      <c r="C2946" s="17">
        <v>5.5</v>
      </c>
      <c r="D2946" s="26" t="str">
        <f>HYPERLINK("https://github.com/shashank0107/CompetitiveProgramming/blob/master/Topcoder/SRM315-D2-1000.cpp","Use BIT (Attached code). Read editorial for several other approaches")</f>
        <v>Use BIT (Attached code). Read editorial for several other approaches</v>
      </c>
      <c r="E2946" s="17" t="s">
        <v>1223</v>
      </c>
      <c r="F2946" s="17" t="s">
        <v>139</v>
      </c>
      <c r="G2946" s="18"/>
      <c r="H2946" s="18"/>
    </row>
    <row r="2947" spans="1:8" ht="13.2">
      <c r="A2947" s="19" t="str">
        <f>HYPERLINK("https://codeforces.com/problemset/problem/12/D","CF12-D2-D")</f>
        <v>CF12-D2-D</v>
      </c>
      <c r="B2947" s="23" t="s">
        <v>1278</v>
      </c>
      <c r="C2947" s="17">
        <v>5.5</v>
      </c>
      <c r="D2947" s="18"/>
      <c r="E2947" s="17" t="s">
        <v>1223</v>
      </c>
      <c r="F2947" s="17" t="s">
        <v>139</v>
      </c>
      <c r="G2947" s="18"/>
      <c r="H2947" s="18"/>
    </row>
    <row r="2948" spans="1:8" ht="13.2">
      <c r="A2948" s="19" t="str">
        <f>HYPERLINK("http://codeforces.com/contest/10/problem/D","CF10-D12-D")</f>
        <v>CF10-D12-D</v>
      </c>
      <c r="B2948" s="15" t="s">
        <v>1348</v>
      </c>
      <c r="C2948" s="24">
        <v>5.5</v>
      </c>
      <c r="D2948" s="18"/>
      <c r="E2948" s="17" t="s">
        <v>1337</v>
      </c>
      <c r="F2948" s="17" t="s">
        <v>139</v>
      </c>
      <c r="G2948" s="18"/>
      <c r="H2948" s="18"/>
    </row>
    <row r="2949" spans="1:8" ht="13.2">
      <c r="A2949" s="19" t="str">
        <f>HYPERLINK("https://codeforces.com/contest/18/problem/E","CF18-D12-E")</f>
        <v>CF18-D12-E</v>
      </c>
      <c r="B2949" s="15" t="s">
        <v>1348</v>
      </c>
      <c r="C2949" s="17">
        <v>5.5</v>
      </c>
      <c r="D2949" s="18"/>
      <c r="E2949" s="17" t="s">
        <v>1337</v>
      </c>
      <c r="F2949" s="17" t="s">
        <v>139</v>
      </c>
      <c r="G2949" s="18"/>
      <c r="H2949" s="18"/>
    </row>
    <row r="2950" spans="1:8" ht="13.2">
      <c r="A2950" s="19" t="str">
        <f>HYPERLINK("https://codingcompetitions.withgoogle.com/kickstart/round/0000000000050ff2/0000000000150a0d","KICKSTART 19-RC-C")</f>
        <v>KICKSTART 19-RC-C</v>
      </c>
      <c r="B2950" s="20" t="s">
        <v>1348</v>
      </c>
      <c r="C2950" s="21">
        <v>5.5</v>
      </c>
      <c r="D2950" s="18"/>
      <c r="E2950" s="17" t="s">
        <v>1337</v>
      </c>
      <c r="F2950" s="17" t="s">
        <v>139</v>
      </c>
      <c r="G2950" s="18"/>
      <c r="H2950" s="18"/>
    </row>
    <row r="2951" spans="1:8" ht="13.2">
      <c r="A2951" s="15" t="s">
        <v>1512</v>
      </c>
      <c r="B2951" s="15" t="s">
        <v>1348</v>
      </c>
      <c r="C2951" s="17">
        <v>5.5</v>
      </c>
      <c r="D2951" s="18"/>
      <c r="E2951" s="17" t="s">
        <v>1337</v>
      </c>
      <c r="F2951" s="17" t="s">
        <v>139</v>
      </c>
      <c r="G2951" s="18"/>
      <c r="H2951" s="18"/>
    </row>
    <row r="2952" spans="1:8" ht="13.2">
      <c r="A2952" s="15" t="s">
        <v>1513</v>
      </c>
      <c r="B2952" s="15" t="s">
        <v>1348</v>
      </c>
      <c r="C2952" s="17">
        <v>5.5</v>
      </c>
      <c r="D2952" s="18"/>
      <c r="E2952" s="17" t="s">
        <v>1337</v>
      </c>
      <c r="F2952" s="17" t="s">
        <v>139</v>
      </c>
      <c r="G2952" s="18"/>
      <c r="H2952" s="18"/>
    </row>
    <row r="2953" spans="1:8" ht="13.2">
      <c r="A2953" s="19" t="str">
        <f>HYPERLINK("http://codeforces.com/contest/264/problem/C","CF264-D1-C")</f>
        <v>CF264-D1-C</v>
      </c>
      <c r="B2953" s="18" t="s">
        <v>1514</v>
      </c>
      <c r="C2953" s="17">
        <v>5.5</v>
      </c>
      <c r="D2953" s="18"/>
      <c r="E2953" s="17" t="s">
        <v>1337</v>
      </c>
      <c r="F2953" s="17" t="s">
        <v>139</v>
      </c>
      <c r="G2953" s="18"/>
      <c r="H2953" s="18"/>
    </row>
    <row r="2954" spans="1:8" ht="13.2">
      <c r="A2954" s="19" t="str">
        <f>HYPERLINK("http://codeforces.com/contest/808/problem/E","CF808-D12-E")</f>
        <v>CF808-D12-E</v>
      </c>
      <c r="B2954" s="15" t="s">
        <v>1515</v>
      </c>
      <c r="C2954" s="17">
        <v>5.5</v>
      </c>
      <c r="D2954" s="18"/>
      <c r="E2954" s="17" t="s">
        <v>1337</v>
      </c>
      <c r="F2954" s="17" t="s">
        <v>139</v>
      </c>
      <c r="G2954" s="18"/>
      <c r="H2954" s="18"/>
    </row>
    <row r="2955" spans="1:8" ht="13.2">
      <c r="A2955" s="19" t="str">
        <f>HYPERLINK("http://codeforces.com/contest/284/problem/D","CF284-D2-D")</f>
        <v>CF284-D2-D</v>
      </c>
      <c r="B2955" s="29" t="s">
        <v>1516</v>
      </c>
      <c r="C2955" s="17">
        <v>5.5</v>
      </c>
      <c r="D2955" s="18"/>
      <c r="E2955" s="17" t="s">
        <v>1337</v>
      </c>
      <c r="F2955" s="17" t="s">
        <v>139</v>
      </c>
      <c r="G2955" s="18"/>
      <c r="H2955" s="18"/>
    </row>
    <row r="2956" spans="1:8" ht="13.2">
      <c r="A2956" s="15" t="s">
        <v>1517</v>
      </c>
      <c r="B2956" s="30" t="s">
        <v>1518</v>
      </c>
      <c r="C2956" s="40">
        <v>5.5</v>
      </c>
      <c r="D2956" s="18"/>
      <c r="E2956" s="17" t="s">
        <v>1337</v>
      </c>
      <c r="F2956" s="17" t="s">
        <v>139</v>
      </c>
      <c r="G2956" s="18"/>
      <c r="H2956" s="18"/>
    </row>
    <row r="2957" spans="1:8" ht="13.2">
      <c r="A2957" s="19" t="str">
        <f>HYPERLINK("https://codeforces.com/contest/1066/problem/F","CF1066-D3-F")</f>
        <v>CF1066-D3-F</v>
      </c>
      <c r="B2957" s="20" t="s">
        <v>1427</v>
      </c>
      <c r="C2957" s="21">
        <v>5.5</v>
      </c>
      <c r="D2957" s="18"/>
      <c r="E2957" s="17" t="s">
        <v>1337</v>
      </c>
      <c r="F2957" s="17" t="s">
        <v>139</v>
      </c>
      <c r="G2957" s="18"/>
      <c r="H2957" s="18"/>
    </row>
    <row r="2958" spans="1:8" ht="13.2">
      <c r="A2958" s="19" t="str">
        <f>HYPERLINK("https://codeforces.com/contest/1271/problem/D","CF1271-D2-D")</f>
        <v>CF1271-D2-D</v>
      </c>
      <c r="B2958" s="20" t="s">
        <v>1519</v>
      </c>
      <c r="C2958" s="21">
        <v>5.5</v>
      </c>
      <c r="D2958" s="18"/>
      <c r="E2958" s="17" t="s">
        <v>1337</v>
      </c>
      <c r="F2958" s="17" t="s">
        <v>139</v>
      </c>
      <c r="G2958" s="18"/>
      <c r="H2958" s="18"/>
    </row>
    <row r="2959" spans="1:8" ht="13.2">
      <c r="A2959" s="19" t="str">
        <f>HYPERLINK("https://codeforces.com/gym/102021/attachments", "CF102021-GYM-K")</f>
        <v>CF102021-GYM-K</v>
      </c>
      <c r="B2959" s="20" t="s">
        <v>1346</v>
      </c>
      <c r="C2959" s="17">
        <v>5.5</v>
      </c>
      <c r="D2959" s="18" t="s">
        <v>1166</v>
      </c>
      <c r="E2959" s="17" t="s">
        <v>1337</v>
      </c>
      <c r="F2959" s="17" t="s">
        <v>139</v>
      </c>
      <c r="G2959" s="18"/>
      <c r="H2959" s="18"/>
    </row>
    <row r="2960" spans="1:8" ht="13.2">
      <c r="A2960" s="19" t="str">
        <f>HYPERLINK("https://codeforces.com/contest/1151/problem/E","CF1151-D2-E")</f>
        <v>CF1151-D2-E</v>
      </c>
      <c r="B2960" s="20" t="s">
        <v>1520</v>
      </c>
      <c r="C2960" s="17">
        <v>5.5</v>
      </c>
      <c r="D2960" s="18"/>
      <c r="E2960" s="17" t="s">
        <v>1337</v>
      </c>
      <c r="F2960" s="17" t="s">
        <v>139</v>
      </c>
      <c r="G2960" s="18"/>
      <c r="H2960" s="18"/>
    </row>
    <row r="2961" spans="1:8" ht="13.2">
      <c r="A2961" s="19" t="str">
        <f>HYPERLINK("https://codeforces.com/gym/102021/attachments", "CF102021-GYM-K")</f>
        <v>CF102021-GYM-K</v>
      </c>
      <c r="B2961" s="20" t="s">
        <v>1521</v>
      </c>
      <c r="C2961" s="17">
        <v>5.5</v>
      </c>
      <c r="D2961" s="26" t="str">
        <f>HYPERLINK("https://github.com/YazanZebak/CompetitiveProgramming/blob/master/Codeforces/CF102021-GYM-K.cpp", "Sol")</f>
        <v>Sol</v>
      </c>
      <c r="E2961" s="17" t="s">
        <v>1337</v>
      </c>
      <c r="F2961" s="17" t="s">
        <v>139</v>
      </c>
      <c r="G2961" s="18"/>
      <c r="H2961" s="18"/>
    </row>
    <row r="2962" spans="1:8" ht="13.2">
      <c r="A2962" s="19" t="str">
        <f>HYPERLINK("https://uva.onlinejudge.org/index.php?option=com_onlinejudge&amp;Itemid=8&amp;page=show_problem&amp;problem=284","UVA 348")</f>
        <v>UVA 348</v>
      </c>
      <c r="B2962" s="29" t="s">
        <v>1522</v>
      </c>
      <c r="C2962" s="17">
        <v>5.5</v>
      </c>
      <c r="D2962" s="26" t="str">
        <f>HYPERLINK("https://github.com/mostafa-saad/MyCompetitiveProgramming/blob/master/UVA/UVA_348.txt","Sol")</f>
        <v>Sol</v>
      </c>
      <c r="E2962" s="17" t="s">
        <v>1337</v>
      </c>
      <c r="F2962" s="17" t="s">
        <v>139</v>
      </c>
      <c r="G2962" s="18"/>
      <c r="H2962" s="18"/>
    </row>
    <row r="2963" spans="1:8" ht="13.2">
      <c r="A2963" s="19" t="str">
        <f>HYPERLINK("https://codingcompetitions.withgoogle.com/kickstart/round/0000000000050edd/00000000001a286d","Kickstart 19-RH-C")</f>
        <v>Kickstart 19-RH-C</v>
      </c>
      <c r="B2963" s="20" t="s">
        <v>1523</v>
      </c>
      <c r="C2963" s="21">
        <v>5.5</v>
      </c>
      <c r="D2963" s="26" t="str">
        <f>HYPERLINK("https://github.com/farmerboy95/CompetitiveProgramming/blob/master/Google%20Kickstart/Kickstart%2019-RH-C.cpp","Sol")</f>
        <v>Sol</v>
      </c>
      <c r="E2963" s="17" t="s">
        <v>1337</v>
      </c>
      <c r="F2963" s="17" t="s">
        <v>139</v>
      </c>
      <c r="G2963" s="18"/>
      <c r="H2963" s="18"/>
    </row>
    <row r="2964" spans="1:8" ht="13.2">
      <c r="A2964" s="19" t="str">
        <f>HYPERLINK("http://codeforces.com/problemset/problem/895/C","CF895-D2-C")</f>
        <v>CF895-D2-C</v>
      </c>
      <c r="B2964" s="15" t="s">
        <v>1524</v>
      </c>
      <c r="C2964" s="17">
        <v>5.5</v>
      </c>
      <c r="D2964" s="18"/>
      <c r="E2964" s="17" t="s">
        <v>1337</v>
      </c>
      <c r="F2964" s="17" t="s">
        <v>139</v>
      </c>
      <c r="G2964" s="18"/>
      <c r="H2964" s="18"/>
    </row>
    <row r="2965" spans="1:8" ht="13.2">
      <c r="A2965" s="15" t="s">
        <v>1525</v>
      </c>
      <c r="B2965" s="29" t="s">
        <v>1526</v>
      </c>
      <c r="C2965" s="31">
        <v>5.5</v>
      </c>
      <c r="D2965" s="18"/>
      <c r="E2965" s="17" t="s">
        <v>1337</v>
      </c>
      <c r="F2965" s="17" t="s">
        <v>139</v>
      </c>
      <c r="G2965" s="18"/>
      <c r="H2965" s="18"/>
    </row>
    <row r="2966" spans="1:8" ht="13.2">
      <c r="A2966" s="19" t="str">
        <f>HYPERLINK("https://codeforces.com/contest/1148/problem/D","CF1148-D12-D")</f>
        <v>CF1148-D12-D</v>
      </c>
      <c r="B2966" s="20" t="s">
        <v>1433</v>
      </c>
      <c r="C2966" s="21">
        <v>5.5</v>
      </c>
      <c r="D2966" s="18"/>
      <c r="E2966" s="17" t="s">
        <v>1337</v>
      </c>
      <c r="F2966" s="17" t="s">
        <v>139</v>
      </c>
      <c r="G2966" s="18"/>
      <c r="H2966" s="18"/>
    </row>
    <row r="2967" spans="1:8" ht="13.2">
      <c r="A2967" s="19" t="str">
        <f>HYPERLINK("http://lightoj.com/volume_showproblem.php?problem=1126","LightOJ 1126")</f>
        <v>LightOJ 1126</v>
      </c>
      <c r="B2967" s="37" t="s">
        <v>1724</v>
      </c>
      <c r="C2967" s="17">
        <v>5.5</v>
      </c>
      <c r="D2967" s="26" t="str">
        <f>HYPERLINK("https://github.com/nya-nya-meow/CompetitiveProgramming/blob/master/LightOJ/1126.cpp","Sol")</f>
        <v>Sol</v>
      </c>
      <c r="E2967" s="17" t="s">
        <v>1716</v>
      </c>
      <c r="F2967" s="17" t="s">
        <v>139</v>
      </c>
      <c r="G2967" s="18"/>
      <c r="H2967" s="18"/>
    </row>
    <row r="2968" spans="1:8" ht="13.2">
      <c r="A2968" s="19" t="str">
        <f>HYPERLINK("http://codeforces.com/contest/1166/problem/E","CF1166-D2-E")</f>
        <v>CF1166-D2-E</v>
      </c>
      <c r="B2968" s="20" t="s">
        <v>359</v>
      </c>
      <c r="C2968" s="17">
        <v>5.5</v>
      </c>
      <c r="D2968" s="18"/>
      <c r="E2968" s="17" t="s">
        <v>332</v>
      </c>
      <c r="F2968" s="17" t="s">
        <v>139</v>
      </c>
      <c r="G2968" s="18"/>
      <c r="H2968" s="18"/>
    </row>
    <row r="2969" spans="1:8" ht="13.2">
      <c r="A2969" s="19" t="str">
        <f>HYPERLINK("http://codeforces.com/contest/68/problem/C","CF68-D12-C")</f>
        <v>CF68-D12-C</v>
      </c>
      <c r="B2969" s="29" t="s">
        <v>359</v>
      </c>
      <c r="C2969" s="17">
        <v>5.5</v>
      </c>
      <c r="D2969" s="18"/>
      <c r="E2969" s="17" t="s">
        <v>332</v>
      </c>
      <c r="F2969" s="17" t="s">
        <v>139</v>
      </c>
      <c r="G2969" s="18"/>
      <c r="H2969" s="18"/>
    </row>
    <row r="2970" spans="1:8" ht="13.2">
      <c r="A2970" s="15" t="s">
        <v>1738</v>
      </c>
      <c r="B2970" s="30" t="s">
        <v>1739</v>
      </c>
      <c r="C2970" s="17">
        <v>5.5</v>
      </c>
      <c r="D2970" s="26" t="str">
        <f>HYPERLINK("https://github.com/mostafa-saad/MyCompetitiveProgramming/blob/master/SPOJ/SPOJ_FISHES.txt","Sol")</f>
        <v>Sol</v>
      </c>
      <c r="E2970" s="17" t="s">
        <v>1734</v>
      </c>
      <c r="F2970" s="17" t="s">
        <v>139</v>
      </c>
      <c r="G2970" s="18"/>
      <c r="H2970" s="18"/>
    </row>
    <row r="2971" spans="1:8" ht="13.2">
      <c r="A2971" s="19" t="str">
        <f>HYPERLINK("https://uva.onlinejudge.org/index.php?option=com_onlinejudge&amp;Itemid=8&amp;page=show_problem&amp;problem=1052","UVA 10111")</f>
        <v>UVA 10111</v>
      </c>
      <c r="B2971" s="29" t="s">
        <v>2002</v>
      </c>
      <c r="C2971" s="17">
        <v>5.5</v>
      </c>
      <c r="D2971" s="26" t="str">
        <f>HYPERLINK("https://github.com/mostafa-saad/MyCompetitiveProgramming/blob/master/UVA/UVA_10111.txt","Sol")</f>
        <v>Sol</v>
      </c>
      <c r="E2971" s="17" t="s">
        <v>1989</v>
      </c>
      <c r="F2971" s="17" t="s">
        <v>139</v>
      </c>
      <c r="G2971" s="18"/>
      <c r="H2971" s="18"/>
    </row>
    <row r="2972" spans="1:8" ht="13.2">
      <c r="A2972" s="19" t="str">
        <f>HYPERLINK("https://uva.onlinejudge.org/index.php?option=com_onlinejudge&amp;Itemid=8&amp;page=show_problem&amp;problem=1962","UVA 11021")</f>
        <v>UVA 11021</v>
      </c>
      <c r="B2972" s="29" t="s">
        <v>2051</v>
      </c>
      <c r="C2972" s="17">
        <v>5.5</v>
      </c>
      <c r="D2972" s="26" t="str">
        <f>HYPERLINK("https://github.com/VAMPIER000001/CompetitiveProgramming/blob/master/UVA/V-110/UVA%2011021.cpp","Sol")</f>
        <v>Sol</v>
      </c>
      <c r="E2972" s="17" t="s">
        <v>2026</v>
      </c>
      <c r="F2972" s="17" t="s">
        <v>139</v>
      </c>
      <c r="G2972" s="18"/>
      <c r="H2972" s="18"/>
    </row>
    <row r="2973" spans="1:8" ht="13.2">
      <c r="A2973" s="19" t="str">
        <f>HYPERLINK("https://atcoder.jp/contests/abc144/tasks/abc144_f","AtCoder144-ABC-F")</f>
        <v>AtCoder144-ABC-F</v>
      </c>
      <c r="B2973" s="15" t="s">
        <v>2073</v>
      </c>
      <c r="C2973" s="17">
        <v>5.5</v>
      </c>
      <c r="D2973" s="18"/>
      <c r="E2973" s="17" t="s">
        <v>2074</v>
      </c>
      <c r="F2973" s="17" t="s">
        <v>139</v>
      </c>
      <c r="G2973" s="18"/>
      <c r="H2973" s="18"/>
    </row>
    <row r="2974" spans="1:8" ht="13.2">
      <c r="A2974" s="19" t="str">
        <f>HYPERLINK("https://atcoder.jp/contests/abc149/tasks/abc149_f","AtCoder149-ABC-F")</f>
        <v>AtCoder149-ABC-F</v>
      </c>
      <c r="B2974" s="15" t="s">
        <v>2073</v>
      </c>
      <c r="C2974" s="21">
        <v>5.5</v>
      </c>
      <c r="D2974" s="18"/>
      <c r="E2974" s="17" t="s">
        <v>2074</v>
      </c>
      <c r="F2974" s="17" t="s">
        <v>139</v>
      </c>
      <c r="G2974" s="18"/>
      <c r="H2974" s="18"/>
    </row>
    <row r="2975" spans="1:8" ht="13.2">
      <c r="A2975" s="19" t="str">
        <f>HYPERLINK("http://poj.org/problem?id=2096","PKU 2096")</f>
        <v>PKU 2096</v>
      </c>
      <c r="B2975" s="29" t="s">
        <v>2092</v>
      </c>
      <c r="C2975" s="17">
        <v>5.5</v>
      </c>
      <c r="D2975" s="26" t="str">
        <f>HYPERLINK("https://github.com/mostafa-saad/MyCompetitiveProgramming/blob/master/PKU/PKU_2096.txt","Sol")</f>
        <v>Sol</v>
      </c>
      <c r="E2975" s="17" t="s">
        <v>2074</v>
      </c>
      <c r="F2975" s="17" t="s">
        <v>139</v>
      </c>
      <c r="G2975" s="18"/>
      <c r="H2975" s="18"/>
    </row>
    <row r="2976" spans="1:8" ht="13.2">
      <c r="A2976" s="19" t="str">
        <f>HYPERLINK("https://uva.onlinejudge.org/index.php?option=com_onlinejudge&amp;Itemid=8&amp;page=show_problem&amp;problem=4501","UVA 1626")</f>
        <v>UVA 1626</v>
      </c>
      <c r="B2976" s="29" t="s">
        <v>2126</v>
      </c>
      <c r="C2976" s="17">
        <v>5.5</v>
      </c>
      <c r="D2976" s="26" t="str">
        <f>HYPERLINK("https://github.com/mostafa-saad/MyCompetitiveProgramming/blob/master/UVA/UVA_1626.txt","Sol")</f>
        <v>Sol</v>
      </c>
      <c r="E2976" s="17" t="s">
        <v>2113</v>
      </c>
      <c r="F2976" s="17" t="s">
        <v>139</v>
      </c>
      <c r="G2976" s="18"/>
      <c r="H2976" s="18"/>
    </row>
    <row r="2977" spans="1:8" ht="13.2">
      <c r="A2977" s="15" t="s">
        <v>2253</v>
      </c>
      <c r="B2977" s="29" t="s">
        <v>2254</v>
      </c>
      <c r="C2977" s="17">
        <v>5.5</v>
      </c>
      <c r="D2977" s="26" t="str">
        <f>HYPERLINK("https://github.com/WaleedAbdelhakim/Competitive-Programming/blob/master/TopCoder/SRM392-D1-1000.cpp","Sol - not in editorial")</f>
        <v>Sol - not in editorial</v>
      </c>
      <c r="E2977" s="17" t="s">
        <v>2153</v>
      </c>
      <c r="F2977" s="17" t="s">
        <v>139</v>
      </c>
      <c r="G2977" s="18"/>
      <c r="H2977" s="18"/>
    </row>
    <row r="2978" spans="1:8" ht="13.2">
      <c r="A2978" s="19" t="str">
        <f>HYPERLINK("https://codeforces.com/contest/1099/problem/D","CF1099-D2-D")</f>
        <v>CF1099-D2-D</v>
      </c>
      <c r="B2978" s="15" t="s">
        <v>2203</v>
      </c>
      <c r="C2978" s="17">
        <v>5.5</v>
      </c>
      <c r="D2978" s="18"/>
      <c r="E2978" s="17" t="s">
        <v>2153</v>
      </c>
      <c r="F2978" s="17" t="s">
        <v>139</v>
      </c>
      <c r="G2978" s="18"/>
      <c r="H2978" s="18"/>
    </row>
    <row r="2979" spans="1:8" ht="13.2">
      <c r="A2979" s="19" t="str">
        <f>HYPERLINK("https://www.codechef.com/LTIME64B/problems/BJUDGE","CODECHEF BJUDGE")</f>
        <v>CODECHEF BJUDGE</v>
      </c>
      <c r="B2979" s="20" t="s">
        <v>2255</v>
      </c>
      <c r="C2979" s="17">
        <v>5.5</v>
      </c>
      <c r="D2979" s="18"/>
      <c r="E2979" s="17" t="s">
        <v>2153</v>
      </c>
      <c r="F2979" s="17" t="s">
        <v>139</v>
      </c>
      <c r="G2979" s="18"/>
      <c r="H2979" s="18"/>
    </row>
    <row r="2980" spans="1:8" ht="13.2">
      <c r="A2980" s="19" t="str">
        <f>HYPERLINK("https://agc008.contest.atcoder.jp/tasks/agc008_d","AtCoder008-AGC-D")</f>
        <v>AtCoder008-AGC-D</v>
      </c>
      <c r="B2980" s="15" t="s">
        <v>2169</v>
      </c>
      <c r="C2980" s="17">
        <v>5.5</v>
      </c>
      <c r="D2980" s="18"/>
      <c r="E2980" s="17" t="s">
        <v>2153</v>
      </c>
      <c r="F2980" s="17" t="s">
        <v>139</v>
      </c>
      <c r="G2980" s="18"/>
      <c r="H2980" s="18"/>
    </row>
    <row r="2981" spans="1:8" ht="13.2">
      <c r="A2981" s="19" t="str">
        <f>HYPERLINK("https://codeforces.com/contest/1061/problem/A","CF1061-D2-D")</f>
        <v>CF1061-D2-D</v>
      </c>
      <c r="B2981" s="20" t="s">
        <v>2256</v>
      </c>
      <c r="C2981" s="17">
        <v>5.5</v>
      </c>
      <c r="D2981" s="18"/>
      <c r="E2981" s="17" t="s">
        <v>2153</v>
      </c>
      <c r="F2981" s="17" t="s">
        <v>139</v>
      </c>
      <c r="G2981" s="18"/>
      <c r="H2981" s="18"/>
    </row>
    <row r="2982" spans="1:8" ht="13.2">
      <c r="A2982" s="19" t="str">
        <f>HYPERLINK("http://codeforces.com/contest/549/problem/B","CF549-D12-B")</f>
        <v>CF549-D12-B</v>
      </c>
      <c r="B2982" s="15" t="s">
        <v>2257</v>
      </c>
      <c r="C2982" s="24">
        <v>5.5</v>
      </c>
      <c r="D2982" s="18"/>
      <c r="E2982" s="17" t="s">
        <v>2153</v>
      </c>
      <c r="F2982" s="17" t="s">
        <v>139</v>
      </c>
      <c r="G2982" s="18"/>
      <c r="H2982" s="18"/>
    </row>
    <row r="2983" spans="1:8" ht="13.2">
      <c r="A2983" s="19" t="str">
        <f>HYPERLINK("http://codeforces.com/contest/1023/problem/E","CF1023-D12-E")</f>
        <v>CF1023-D12-E</v>
      </c>
      <c r="B2983" s="15" t="s">
        <v>2258</v>
      </c>
      <c r="C2983" s="17">
        <v>5.5</v>
      </c>
      <c r="D2983" s="18"/>
      <c r="E2983" s="17" t="s">
        <v>2153</v>
      </c>
      <c r="F2983" s="17" t="s">
        <v>139</v>
      </c>
      <c r="G2983" s="18"/>
      <c r="H2983" s="18"/>
    </row>
    <row r="2984" spans="1:8" ht="13.2">
      <c r="A2984" s="19" t="str">
        <f>HYPERLINK("http://codeforces.com/contest/104/problem/D","CF104-D2-D")</f>
        <v>CF104-D2-D</v>
      </c>
      <c r="B2984" s="29" t="s">
        <v>2259</v>
      </c>
      <c r="C2984" s="17">
        <v>5.5</v>
      </c>
      <c r="D2984" s="18"/>
      <c r="E2984" s="17" t="s">
        <v>2153</v>
      </c>
      <c r="F2984" s="17" t="s">
        <v>139</v>
      </c>
      <c r="G2984" s="18"/>
      <c r="H2984" s="18"/>
    </row>
    <row r="2985" spans="1:8" ht="13.2">
      <c r="A2985" s="19" t="str">
        <f>HYPERLINK("http://codeforces.com/contest/1043/problem/E","CF1043-D12-E")</f>
        <v>CF1043-D12-E</v>
      </c>
      <c r="B2985" s="15" t="s">
        <v>2260</v>
      </c>
      <c r="C2985" s="17">
        <v>5.5</v>
      </c>
      <c r="D2985" s="18"/>
      <c r="E2985" s="17" t="s">
        <v>2153</v>
      </c>
      <c r="F2985" s="17" t="s">
        <v>139</v>
      </c>
      <c r="G2985" s="18"/>
      <c r="H2985" s="18"/>
    </row>
    <row r="2986" spans="1:8" ht="13.2">
      <c r="A2986" s="19" t="str">
        <f>HYPERLINK("http://codeforces.com/contest/88/problem/E","CF88-D2-E")</f>
        <v>CF88-D2-E</v>
      </c>
      <c r="B2986" s="18" t="s">
        <v>2485</v>
      </c>
      <c r="C2986" s="17">
        <v>5.5</v>
      </c>
      <c r="D2986" s="18"/>
      <c r="E2986" s="17" t="s">
        <v>2467</v>
      </c>
      <c r="F2986" s="17" t="s">
        <v>139</v>
      </c>
      <c r="G2986" s="18"/>
      <c r="H2986" s="18"/>
    </row>
    <row r="2987" spans="1:8" ht="13.2">
      <c r="A2987" s="19" t="str">
        <f>HYPERLINK("http://codeforces.com/contest/15/problem/C","CF15-D12-C")</f>
        <v>CF15-D12-C</v>
      </c>
      <c r="B2987" s="29" t="s">
        <v>2492</v>
      </c>
      <c r="C2987" s="17">
        <v>5.5</v>
      </c>
      <c r="D2987" s="18"/>
      <c r="E2987" s="17" t="s">
        <v>2467</v>
      </c>
      <c r="F2987" s="17" t="s">
        <v>139</v>
      </c>
      <c r="G2987" s="18"/>
      <c r="H2987" s="18"/>
    </row>
    <row r="2988" spans="1:8" ht="13.2">
      <c r="A2988" s="15" t="s">
        <v>2674</v>
      </c>
      <c r="B2988" s="15" t="s">
        <v>2509</v>
      </c>
      <c r="C2988" s="17">
        <v>5.5</v>
      </c>
      <c r="D2988" s="26" t="str">
        <f>HYPERLINK("https://github.com/goswami-rahul/competitive-coding/blob/master/CompetitiveProgramming/spoj/WRONG.cpp","Sol")</f>
        <v>Sol</v>
      </c>
      <c r="E2988" s="17" t="s">
        <v>2510</v>
      </c>
      <c r="F2988" s="17" t="s">
        <v>139</v>
      </c>
      <c r="G2988" s="18"/>
      <c r="H2988" s="18"/>
    </row>
    <row r="2989" spans="1:8" ht="13.2">
      <c r="A2989" s="19" t="str">
        <f>HYPERLINK("https://codeforces.com/gym/100112/attachments","CF100112-GYM-E")</f>
        <v>CF100112-GYM-E</v>
      </c>
      <c r="B2989" s="15" t="s">
        <v>2675</v>
      </c>
      <c r="C2989" s="17">
        <v>5.5</v>
      </c>
      <c r="D2989" s="26" t="str">
        <f>HYPERLINK("https://github.com/AhmedElsisy/CompetitiveProgramming/blob/master/Codeforces/CF100112-GYM-E.cpp","Sol")</f>
        <v>Sol</v>
      </c>
      <c r="E2989" s="17" t="s">
        <v>2510</v>
      </c>
      <c r="F2989" s="17" t="s">
        <v>139</v>
      </c>
      <c r="G2989" s="18"/>
      <c r="H2989" s="18"/>
    </row>
    <row r="2990" spans="1:8" ht="13.2">
      <c r="A2990" s="19" t="str">
        <f>HYPERLINK("https://codeforces.com/contest/1064/problem/E","CF1064-D2-E")</f>
        <v>CF1064-D2-E</v>
      </c>
      <c r="B2990" s="15" t="s">
        <v>2676</v>
      </c>
      <c r="C2990" s="17">
        <v>5.5</v>
      </c>
      <c r="D2990" s="18"/>
      <c r="E2990" s="17" t="s">
        <v>2510</v>
      </c>
      <c r="F2990" s="17" t="s">
        <v>139</v>
      </c>
      <c r="G2990" s="18"/>
      <c r="H2990" s="18"/>
    </row>
    <row r="2991" spans="1:8" ht="13.2">
      <c r="A2991" s="19" t="str">
        <f>HYPERLINK("https://agc001.contest.atcoder.jp/tasks/agc001_b","AtCoder001-AGC-B")</f>
        <v>AtCoder001-AGC-B</v>
      </c>
      <c r="B2991" s="15" t="s">
        <v>2573</v>
      </c>
      <c r="C2991" s="17">
        <v>5.5</v>
      </c>
      <c r="D2991" s="18"/>
      <c r="E2991" s="17" t="s">
        <v>2510</v>
      </c>
      <c r="F2991" s="17" t="s">
        <v>139</v>
      </c>
      <c r="G2991" s="18"/>
      <c r="H2991" s="18"/>
    </row>
    <row r="2992" spans="1:8" ht="13.2">
      <c r="A2992" s="19" t="str">
        <f>HYPERLINK("https://codeforces.com/contest/1059/problem/D","CF1059-D2-D")</f>
        <v>CF1059-D2-D</v>
      </c>
      <c r="B2992" s="20" t="s">
        <v>2841</v>
      </c>
      <c r="C2992" s="24">
        <v>5.5</v>
      </c>
      <c r="D2992" s="18"/>
      <c r="E2992" s="17" t="s">
        <v>2798</v>
      </c>
      <c r="F2992" s="17" t="s">
        <v>139</v>
      </c>
      <c r="G2992" s="18"/>
      <c r="H2992" s="18"/>
    </row>
    <row r="2993" spans="1:8" ht="13.2">
      <c r="A2993" s="19" t="str">
        <f>HYPERLINK("https://codeforces.com/contest/1208/problem/E","CF1208-D12-E")</f>
        <v>CF1208-D12-E</v>
      </c>
      <c r="B2993" s="15" t="s">
        <v>587</v>
      </c>
      <c r="C2993" s="17">
        <v>5.5</v>
      </c>
      <c r="D2993" s="18"/>
      <c r="E2993" s="17" t="s">
        <v>575</v>
      </c>
      <c r="F2993" s="17" t="s">
        <v>139</v>
      </c>
      <c r="G2993" s="18"/>
      <c r="H2993" s="18"/>
    </row>
    <row r="2994" spans="1:8" ht="13.2">
      <c r="A2994" s="19" t="str">
        <f>HYPERLINK("http://codeforces.com/contest/862/problem/E","CF862-D2-E")</f>
        <v>CF862-D2-E</v>
      </c>
      <c r="B2994" s="15" t="s">
        <v>612</v>
      </c>
      <c r="C2994" s="17">
        <v>5.5</v>
      </c>
      <c r="D2994" s="18"/>
      <c r="E2994" s="17" t="s">
        <v>575</v>
      </c>
      <c r="F2994" s="17" t="s">
        <v>139</v>
      </c>
      <c r="G2994" s="18"/>
      <c r="H2994" s="18"/>
    </row>
    <row r="2995" spans="1:8" ht="13.2">
      <c r="A2995" s="19" t="str">
        <f>HYPERLINK("http://codeforces.com/gym/101147/problem/I","CF101147-GYM-I")</f>
        <v>CF101147-GYM-I</v>
      </c>
      <c r="B2995" s="28" t="s">
        <v>3188</v>
      </c>
      <c r="C2995" s="17">
        <v>5.5</v>
      </c>
      <c r="D2995" s="26" t="str">
        <f>HYPERLINK("https://github.com/mostafa-saad/MyCompetitiveProgramming/blob/master/Codeforces/CF101147-GYM-I.txt","Sol")</f>
        <v>Sol</v>
      </c>
      <c r="E2995" s="17" t="s">
        <v>3140</v>
      </c>
      <c r="F2995" s="17" t="s">
        <v>139</v>
      </c>
      <c r="G2995" s="18"/>
      <c r="H2995" s="18"/>
    </row>
    <row r="2996" spans="1:8" ht="13.2">
      <c r="A2996" s="19" t="str">
        <f>HYPERLINK("https://codeforces.com/contest/1278/problem/D","CF1278-D12-D")</f>
        <v>CF1278-D12-D</v>
      </c>
      <c r="B2996" s="20" t="s">
        <v>3189</v>
      </c>
      <c r="C2996" s="21">
        <v>5.5</v>
      </c>
      <c r="D2996" s="18"/>
      <c r="E2996" s="17" t="s">
        <v>3140</v>
      </c>
      <c r="F2996" s="17" t="s">
        <v>139</v>
      </c>
      <c r="G2996" s="18"/>
      <c r="H2996" s="18"/>
    </row>
    <row r="2997" spans="1:8" ht="13.2">
      <c r="A2997" s="19" t="str">
        <f>HYPERLINK("https://codeforces.com/contest/1046/problem/A","CF1046-D12-A")</f>
        <v>CF1046-D12-A</v>
      </c>
      <c r="B2997" s="15" t="s">
        <v>3190</v>
      </c>
      <c r="C2997" s="17">
        <v>5.5</v>
      </c>
      <c r="D2997" s="18"/>
      <c r="E2997" s="17" t="s">
        <v>3140</v>
      </c>
      <c r="F2997" s="17" t="s">
        <v>139</v>
      </c>
      <c r="G2997" s="18"/>
      <c r="H2997" s="18"/>
    </row>
    <row r="2998" spans="1:8" ht="13.2">
      <c r="A2998" s="19" t="str">
        <f>HYPERLINK("https://codeforces.com/contest/1269/problem/D","CF1269-D2-D")</f>
        <v>CF1269-D2-D</v>
      </c>
      <c r="B2998" s="20" t="s">
        <v>3375</v>
      </c>
      <c r="C2998" s="21">
        <v>5.5</v>
      </c>
      <c r="D2998" s="18"/>
      <c r="E2998" s="17" t="s">
        <v>3257</v>
      </c>
      <c r="F2998" s="17" t="s">
        <v>139</v>
      </c>
      <c r="G2998" s="18"/>
      <c r="H2998" s="18"/>
    </row>
    <row r="2999" spans="1:8" ht="13.2">
      <c r="A2999" s="15" t="s">
        <v>3376</v>
      </c>
      <c r="B2999" s="15" t="s">
        <v>3377</v>
      </c>
      <c r="C2999" s="17">
        <v>5.5</v>
      </c>
      <c r="D2999" s="26" t="str">
        <f>HYPERLINK("https://github.com/mostafa-saad/MyCompetitiveProgramming/blob/master/LiveArchive/LiveArchive_7616.txt","Sol")</f>
        <v>Sol</v>
      </c>
      <c r="E2999" s="17" t="s">
        <v>3257</v>
      </c>
      <c r="F2999" s="17" t="s">
        <v>139</v>
      </c>
      <c r="G2999" s="18"/>
      <c r="H2999" s="18"/>
    </row>
    <row r="3000" spans="1:8" ht="13.2">
      <c r="A3000" s="19" t="str">
        <f>HYPERLINK("http://codeforces.com/contest/233/problem/C","CF233-D2-C")</f>
        <v>CF233-D2-C</v>
      </c>
      <c r="B3000" s="29" t="s">
        <v>3378</v>
      </c>
      <c r="C3000" s="17">
        <v>5.5</v>
      </c>
      <c r="D3000" s="18"/>
      <c r="E3000" s="17" t="s">
        <v>3257</v>
      </c>
      <c r="F3000" s="17" t="s">
        <v>139</v>
      </c>
      <c r="G3000" s="18"/>
      <c r="H3000" s="18"/>
    </row>
    <row r="3001" spans="1:8" ht="13.2">
      <c r="A3001" s="19" t="str">
        <f>HYPERLINK("https://codeforces.com/contest/154/problem/C","CF154-D1-C")</f>
        <v>CF154-D1-C</v>
      </c>
      <c r="B3001" s="20" t="s">
        <v>3339</v>
      </c>
      <c r="C3001" s="17">
        <v>5.5</v>
      </c>
      <c r="D3001" s="18"/>
      <c r="E3001" s="17" t="s">
        <v>3257</v>
      </c>
      <c r="F3001" s="17" t="s">
        <v>139</v>
      </c>
      <c r="G3001" s="18"/>
      <c r="H3001" s="18"/>
    </row>
    <row r="3002" spans="1:8" ht="13.2">
      <c r="A3002" s="19" t="str">
        <f>HYPERLINK("http://codeforces.com/contest/797/problem/D","CF797-D12-D")</f>
        <v>CF797-D12-D</v>
      </c>
      <c r="B3002" s="18" t="s">
        <v>3379</v>
      </c>
      <c r="C3002" s="17">
        <v>5.5</v>
      </c>
      <c r="D3002" s="18"/>
      <c r="E3002" s="17" t="s">
        <v>3257</v>
      </c>
      <c r="F3002" s="17" t="s">
        <v>139</v>
      </c>
      <c r="G3002" s="18"/>
      <c r="H3002" s="18"/>
    </row>
    <row r="3003" spans="1:8" ht="13.2">
      <c r="A3003" s="19" t="str">
        <f>HYPERLINK("http://codeforces.com/contest/877/problem/D","CF877-D2-D")</f>
        <v>CF877-D2-D</v>
      </c>
      <c r="B3003" s="15" t="s">
        <v>3466</v>
      </c>
      <c r="C3003" s="17">
        <v>5.5</v>
      </c>
      <c r="D3003" s="18"/>
      <c r="E3003" s="17" t="s">
        <v>3467</v>
      </c>
      <c r="F3003" s="17" t="s">
        <v>139</v>
      </c>
      <c r="G3003" s="18"/>
      <c r="H3003" s="18"/>
    </row>
    <row r="3004" spans="1:8" ht="13.2">
      <c r="A3004" s="15" t="s">
        <v>3532</v>
      </c>
      <c r="B3004" s="15" t="s">
        <v>3533</v>
      </c>
      <c r="C3004" s="17">
        <v>5.5</v>
      </c>
      <c r="D3004" s="26" t="str">
        <f>HYPERLINK("https://github.com/ahmedsamir221/CompetitiveProgramming/blob/master/SPOJ/SPOJ%20MULTII.cpp","Sol")</f>
        <v>Sol</v>
      </c>
      <c r="E3004" s="17" t="s">
        <v>3467</v>
      </c>
      <c r="F3004" s="17" t="s">
        <v>139</v>
      </c>
      <c r="G3004" s="18"/>
      <c r="H3004" s="18"/>
    </row>
    <row r="3005" spans="1:8" ht="13.2">
      <c r="A3005" s="19" t="str">
        <f>HYPERLINK("https://codeforces.com/contest/1206/problem/D","CF1206-D2-D")</f>
        <v>CF1206-D2-D</v>
      </c>
      <c r="B3005" s="37" t="s">
        <v>3534</v>
      </c>
      <c r="C3005" s="17">
        <v>5.5</v>
      </c>
      <c r="D3005" s="18"/>
      <c r="E3005" s="17" t="s">
        <v>3467</v>
      </c>
      <c r="F3005" s="17" t="s">
        <v>139</v>
      </c>
      <c r="G3005" s="18"/>
      <c r="H3005" s="18"/>
    </row>
    <row r="3006" spans="1:8" ht="13.2">
      <c r="A3006" s="15" t="s">
        <v>3535</v>
      </c>
      <c r="B3006" s="28" t="s">
        <v>3494</v>
      </c>
      <c r="C3006" s="24">
        <v>5.5</v>
      </c>
      <c r="D3006" s="18"/>
      <c r="E3006" s="17" t="s">
        <v>3467</v>
      </c>
      <c r="F3006" s="17" t="s">
        <v>139</v>
      </c>
      <c r="G3006" s="18"/>
      <c r="H3006" s="18"/>
    </row>
    <row r="3007" spans="1:8" ht="13.2">
      <c r="A3007" s="19" t="str">
        <f>HYPERLINK("https://codeforces.com/contest/1182/problem/D","CF1182-D2-D")</f>
        <v>CF1182-D2-D</v>
      </c>
      <c r="B3007" s="15" t="s">
        <v>3635</v>
      </c>
      <c r="C3007" s="17">
        <v>5.5</v>
      </c>
      <c r="D3007" s="18"/>
      <c r="E3007" s="17" t="s">
        <v>3633</v>
      </c>
      <c r="F3007" s="17" t="s">
        <v>139</v>
      </c>
      <c r="G3007" s="18"/>
      <c r="H3007" s="18"/>
    </row>
    <row r="3008" spans="1:8" ht="13.2">
      <c r="A3008" s="19" t="str">
        <f>HYPERLINK("https://codeforces.com/contest/1187/problem/E","CF1187-D12-E")</f>
        <v>CF1187-D12-E</v>
      </c>
      <c r="B3008" s="15" t="s">
        <v>3728</v>
      </c>
      <c r="C3008" s="17">
        <v>5.5</v>
      </c>
      <c r="D3008" s="18"/>
      <c r="E3008" s="17" t="s">
        <v>3650</v>
      </c>
      <c r="F3008" s="17" t="s">
        <v>139</v>
      </c>
      <c r="G3008" s="18"/>
      <c r="H3008" s="18"/>
    </row>
    <row r="3009" spans="1:8" ht="13.2">
      <c r="A3009" s="15" t="s">
        <v>3833</v>
      </c>
      <c r="B3009" s="16" t="s">
        <v>3797</v>
      </c>
      <c r="C3009" s="17">
        <v>5.5</v>
      </c>
      <c r="D3009" s="18"/>
      <c r="E3009" s="17" t="s">
        <v>3784</v>
      </c>
      <c r="F3009" s="17" t="s">
        <v>139</v>
      </c>
      <c r="G3009" s="18"/>
      <c r="H3009" s="18"/>
    </row>
    <row r="3010" spans="1:8" ht="13.2">
      <c r="A3010" s="15" t="s">
        <v>3834</v>
      </c>
      <c r="B3010" s="29" t="s">
        <v>3835</v>
      </c>
      <c r="C3010" s="17">
        <v>5.5</v>
      </c>
      <c r="D3010" s="26" t="str">
        <f>HYPERLINK("https://ideone.com/x8zpRc","Sol - read the statement clarification")</f>
        <v>Sol - read the statement clarification</v>
      </c>
      <c r="E3010" s="17" t="s">
        <v>3784</v>
      </c>
      <c r="F3010" s="17" t="s">
        <v>139</v>
      </c>
      <c r="G3010" s="18"/>
      <c r="H3010" s="18"/>
    </row>
    <row r="3011" spans="1:8" ht="13.2">
      <c r="A3011" s="19" t="str">
        <f>HYPERLINK("http://codeforces.com/problemset/gymProblem/100812/G","CF100182-GYM-G")</f>
        <v>CF100182-GYM-G</v>
      </c>
      <c r="B3011" s="15" t="s">
        <v>3836</v>
      </c>
      <c r="C3011" s="17">
        <v>5.5</v>
      </c>
      <c r="D3011" s="26" t="str">
        <f>HYPERLINK("https://github.com/mostafa-saad/MyCompetitiveProgramming/blob/master/Codeforces/CF100182-GYM-G.txt","Sol")</f>
        <v>Sol</v>
      </c>
      <c r="E3011" s="17" t="s">
        <v>3784</v>
      </c>
      <c r="F3011" s="17" t="s">
        <v>139</v>
      </c>
      <c r="G3011" s="18"/>
      <c r="H3011" s="18"/>
    </row>
    <row r="3012" spans="1:8" ht="13.2">
      <c r="A3012" s="19" t="str">
        <f>HYPERLINK("http://codeforces.com/contest/292/problem/D","CF292-D12-D")</f>
        <v>CF292-D12-D</v>
      </c>
      <c r="B3012" s="29" t="s">
        <v>3924</v>
      </c>
      <c r="C3012" s="17">
        <v>5.5</v>
      </c>
      <c r="D3012" s="26" t="str">
        <f>HYPERLINK("https://codeforces.com/contest/292/submission/51947683","Don't use DFS/BFS approach. Read Editorials.")</f>
        <v>Don't use DFS/BFS approach. Read Editorials.</v>
      </c>
      <c r="E3012" s="17" t="s">
        <v>3883</v>
      </c>
      <c r="F3012" s="17" t="s">
        <v>139</v>
      </c>
      <c r="G3012" s="18"/>
      <c r="H3012" s="18"/>
    </row>
    <row r="3013" spans="1:8" ht="13.2">
      <c r="A3013" s="15" t="s">
        <v>3925</v>
      </c>
      <c r="B3013" s="29" t="s">
        <v>3926</v>
      </c>
      <c r="C3013" s="17">
        <v>5.5</v>
      </c>
      <c r="D3013" s="26" t="str">
        <f>HYPERLINK("https://github.com/mostafa-saad/MyCompetitiveProgramming/blob/master/UVA/UVA_12128.txt","Sol")</f>
        <v>Sol</v>
      </c>
      <c r="E3013" s="17" t="s">
        <v>3883</v>
      </c>
      <c r="F3013" s="17" t="s">
        <v>139</v>
      </c>
      <c r="G3013" s="18"/>
      <c r="H3013" s="18"/>
    </row>
    <row r="3014" spans="1:8" ht="13.2">
      <c r="A3014" s="19" t="str">
        <f>HYPERLINK("http://codeforces.com/contest/21/problem/D","CF21-D12-D")</f>
        <v>CF21-D12-D</v>
      </c>
      <c r="B3014" s="15" t="s">
        <v>3979</v>
      </c>
      <c r="C3014" s="17">
        <v>5.5</v>
      </c>
      <c r="D3014" s="26" t="str">
        <f>HYPERLINK("https://github.com/WaleedAbdelhakim/Competitive-Programming/blob/master/CodeForces/CF21-D12-D.cpp","Sol")</f>
        <v>Sol</v>
      </c>
      <c r="E3014" s="17" t="s">
        <v>3955</v>
      </c>
      <c r="F3014" s="17" t="s">
        <v>139</v>
      </c>
      <c r="G3014" s="18"/>
      <c r="H3014" s="18"/>
    </row>
    <row r="3015" spans="1:8" ht="13.2">
      <c r="A3015" s="19" t="str">
        <f>HYPERLINK("https://uva.onlinejudge.org/index.php?option=onlinejudge&amp;page=show_problem&amp;problem=1928","UVA 10987")</f>
        <v>UVA 10987</v>
      </c>
      <c r="B3015" s="29" t="s">
        <v>4008</v>
      </c>
      <c r="C3015" s="17">
        <v>5.5</v>
      </c>
      <c r="D3015" s="26" t="str">
        <f>HYPERLINK("https://github.com/abdullaAshraf/Problem-Solving/blob/master/UVA/10987.cpp","Sol")</f>
        <v>Sol</v>
      </c>
      <c r="E3015" s="17" t="s">
        <v>3998</v>
      </c>
      <c r="F3015" s="17" t="s">
        <v>139</v>
      </c>
      <c r="G3015" s="18"/>
      <c r="H3015" s="18"/>
    </row>
    <row r="3016" spans="1:8" ht="13.2">
      <c r="A3016" s="19" t="str">
        <f>HYPERLINK("https://uva.onlinejudge.org/index.php?option=com_onlinejudge&amp;Itemid=8&amp;page=show_problem&amp;problem=1389","UVA 10448")</f>
        <v>UVA 10448</v>
      </c>
      <c r="B3016" s="29" t="s">
        <v>4009</v>
      </c>
      <c r="C3016" s="17">
        <v>5.5</v>
      </c>
      <c r="D3016" s="26" t="str">
        <f>HYPERLINK("https://www.youtube.com/watch?v=OWlJ8chpit0","Sol")</f>
        <v>Sol</v>
      </c>
      <c r="E3016" s="17" t="s">
        <v>3998</v>
      </c>
      <c r="F3016" s="17" t="s">
        <v>139</v>
      </c>
      <c r="G3016" s="18"/>
      <c r="H3016" s="18"/>
    </row>
    <row r="3017" spans="1:8" ht="13.2">
      <c r="A3017" s="19" t="str">
        <f>HYPERLINK("https://www.spoj.com/problems/ADACITY/","SPOJ ADACITY")</f>
        <v>SPOJ ADACITY</v>
      </c>
      <c r="B3017" s="15" t="s">
        <v>4117</v>
      </c>
      <c r="C3017" s="17">
        <v>5.5</v>
      </c>
      <c r="D3017" s="18"/>
      <c r="E3017" s="17" t="s">
        <v>4060</v>
      </c>
      <c r="F3017" s="17" t="s">
        <v>139</v>
      </c>
      <c r="G3017" s="18"/>
      <c r="H3017" s="18"/>
    </row>
    <row r="3018" spans="1:8" ht="13.2">
      <c r="A3018" s="19" t="str">
        <f>HYPERLINK("https://uva.onlinejudge.org/index.php?option=onlinejudge&amp;page=show_problem&amp;problem=1290","UVA 10349")</f>
        <v>UVA 10349</v>
      </c>
      <c r="B3018" s="29" t="s">
        <v>4199</v>
      </c>
      <c r="C3018" s="17">
        <v>5.5</v>
      </c>
      <c r="D3018" s="26" t="str">
        <f>HYPERLINK("https://github.com/mostafa-saad/MyCompetitiveProgramming/blob/master/UVA/UVA_10349.txt","Sol - 2 ways")</f>
        <v>Sol - 2 ways</v>
      </c>
      <c r="E3018" s="17" t="s">
        <v>4144</v>
      </c>
      <c r="F3018" s="17" t="s">
        <v>139</v>
      </c>
      <c r="G3018" s="18"/>
      <c r="H3018" s="18"/>
    </row>
    <row r="3019" spans="1:8" ht="13.2">
      <c r="A3019" s="15" t="s">
        <v>4258</v>
      </c>
      <c r="B3019" s="16" t="s">
        <v>4259</v>
      </c>
      <c r="C3019" s="17">
        <v>5.5</v>
      </c>
      <c r="D3019" s="18"/>
      <c r="E3019" s="17" t="s">
        <v>4238</v>
      </c>
      <c r="F3019" s="17" t="s">
        <v>139</v>
      </c>
      <c r="G3019" s="18"/>
      <c r="H3019" s="18"/>
    </row>
    <row r="3020" spans="1:8" ht="13.2">
      <c r="A3020" s="19" t="str">
        <f>HYPERLINK("https://codeforces.com/problemset/problem/1107/F","CF1108-D3-F")</f>
        <v>CF1108-D3-F</v>
      </c>
      <c r="B3020" s="15" t="s">
        <v>4279</v>
      </c>
      <c r="C3020" s="17">
        <v>5.5</v>
      </c>
      <c r="D3020" s="26" t="str">
        <f>HYPERLINK("https://github.com/nya-nya-meow/CompetitiveProgramming/blob/master/CodeForces/CF1108-D3-F%20-%20MST%20Unification..cpp","Sol")</f>
        <v>Sol</v>
      </c>
      <c r="E3020" s="17" t="s">
        <v>4275</v>
      </c>
      <c r="F3020" s="17" t="s">
        <v>139</v>
      </c>
      <c r="G3020" s="18"/>
      <c r="H3020" s="18"/>
    </row>
    <row r="3021" spans="1:8" ht="13.2">
      <c r="A3021" s="19" t="str">
        <f>HYPERLINK("https://codeforces.com/gym/102021/attachments", "CF102021-GYM-M")</f>
        <v>CF102021-GYM-M</v>
      </c>
      <c r="B3021" s="15" t="s">
        <v>4309</v>
      </c>
      <c r="C3021" s="17">
        <v>5.5</v>
      </c>
      <c r="D3021" s="26" t="str">
        <f>HYPERLINK("https://github.com/YazanZebak/CompetitiveProgramming/blob/master/Codeforces/CF102021-GYM-M.cpp", "Sol")</f>
        <v>Sol</v>
      </c>
      <c r="E3021" s="17" t="s">
        <v>4275</v>
      </c>
      <c r="F3021" s="17" t="s">
        <v>139</v>
      </c>
      <c r="G3021" s="18"/>
      <c r="H3021" s="18"/>
    </row>
    <row r="3022" spans="1:8" ht="13.2">
      <c r="A3022" s="19" t="str">
        <f>HYPERLINK("https://atcoder.jp/contests/abc142/tasks/abc142_f","AtCoder142-ABC-F")</f>
        <v>AtCoder142-ABC-F</v>
      </c>
      <c r="B3022" s="23" t="s">
        <v>4356</v>
      </c>
      <c r="C3022" s="17">
        <v>5.5</v>
      </c>
      <c r="D3022" s="18"/>
      <c r="E3022" s="17" t="s">
        <v>4344</v>
      </c>
      <c r="F3022" s="17" t="s">
        <v>139</v>
      </c>
      <c r="G3022" s="18"/>
      <c r="H3022" s="18"/>
    </row>
    <row r="3023" spans="1:8" ht="13.2">
      <c r="A3023" s="19" t="str">
        <f>HYPERLINK("https://codeforces.com/contest/1220/problem/E","CF1220-D12-E")</f>
        <v>CF1220-D12-E</v>
      </c>
      <c r="B3023" s="15" t="s">
        <v>4427</v>
      </c>
      <c r="C3023" s="17">
        <v>5.5</v>
      </c>
      <c r="D3023" s="18"/>
      <c r="E3023" s="17" t="s">
        <v>4423</v>
      </c>
      <c r="F3023" s="17" t="s">
        <v>139</v>
      </c>
      <c r="G3023" s="18"/>
      <c r="H3023" s="18"/>
    </row>
    <row r="3024" spans="1:8" ht="13.2">
      <c r="A3024" s="15" t="s">
        <v>4445</v>
      </c>
      <c r="B3024" s="43" t="s">
        <v>4446</v>
      </c>
      <c r="C3024" s="31">
        <v>5.5</v>
      </c>
      <c r="D3024" s="26" t="str">
        <f>HYPERLINK("https://github.com/miguelAlessandro/CompetitiveProgramming/blob/master/UVA/610.cpp","Sol")</f>
        <v>Sol</v>
      </c>
      <c r="E3024" s="17" t="s">
        <v>4423</v>
      </c>
      <c r="F3024" s="17" t="s">
        <v>139</v>
      </c>
      <c r="G3024" s="18"/>
      <c r="H3024" s="18"/>
    </row>
    <row r="3025" spans="1:8" ht="13.2">
      <c r="A3025" s="19" t="str">
        <f>HYPERLINK("https://codeforces.com/gym/102215/problem/D","CF102215-GYM-D")</f>
        <v>CF102215-GYM-D</v>
      </c>
      <c r="B3025" s="20" t="s">
        <v>4484</v>
      </c>
      <c r="C3025" s="17">
        <v>5.5</v>
      </c>
      <c r="D3025" s="18"/>
      <c r="E3025" s="17" t="s">
        <v>4454</v>
      </c>
      <c r="F3025" s="17" t="s">
        <v>139</v>
      </c>
      <c r="G3025" s="18"/>
      <c r="H3025" s="18"/>
    </row>
    <row r="3026" spans="1:8" ht="13.2">
      <c r="A3026" s="19" t="str">
        <f>HYPERLINK("https://codeforces.com/contest/191/problem/C","CF191-D1-D")</f>
        <v>CF191-D1-D</v>
      </c>
      <c r="B3026" s="15" t="s">
        <v>4484</v>
      </c>
      <c r="C3026" s="17">
        <v>5.5</v>
      </c>
      <c r="D3026" s="18"/>
      <c r="E3026" s="17" t="s">
        <v>4454</v>
      </c>
      <c r="F3026" s="17" t="s">
        <v>139</v>
      </c>
      <c r="G3026" s="18"/>
      <c r="H3026" s="18"/>
    </row>
    <row r="3027" spans="1:8" ht="13.2">
      <c r="A3027" s="19" t="str">
        <f>HYPERLINK("http://codeforces.com/gym/101808/problem/K","CF101808-gym-K")</f>
        <v>CF101808-gym-K</v>
      </c>
      <c r="B3027" s="15" t="s">
        <v>4485</v>
      </c>
      <c r="C3027" s="17">
        <v>5.5</v>
      </c>
      <c r="D3027" s="26" t="str">
        <f>HYPERLINK("https://ideone.com/P9tqg9","Sol")</f>
        <v>Sol</v>
      </c>
      <c r="E3027" s="17" t="s">
        <v>4454</v>
      </c>
      <c r="F3027" s="17" t="s">
        <v>139</v>
      </c>
      <c r="G3027" s="18"/>
      <c r="H3027" s="18"/>
    </row>
    <row r="3028" spans="1:8" ht="13.2">
      <c r="A3028" s="19" t="str">
        <f>HYPERLINK("http://codeforces.com/contest/519/problem/E","CF519-D2-E")</f>
        <v>CF519-D2-E</v>
      </c>
      <c r="B3028" s="42" t="s">
        <v>4486</v>
      </c>
      <c r="C3028" s="17">
        <v>5.5</v>
      </c>
      <c r="D3028" s="18"/>
      <c r="E3028" s="17" t="s">
        <v>4454</v>
      </c>
      <c r="F3028" s="17" t="s">
        <v>139</v>
      </c>
      <c r="G3028" s="18"/>
      <c r="H3028" s="18"/>
    </row>
    <row r="3029" spans="1:8" ht="13.2">
      <c r="A3029" s="19" t="str">
        <f>HYPERLINK("https://www.spoj.com/problems/HACKERS/","SPOJ HACKERS")</f>
        <v>SPOJ HACKERS</v>
      </c>
      <c r="B3029" s="30" t="s">
        <v>4487</v>
      </c>
      <c r="C3029" s="24">
        <v>5.5</v>
      </c>
      <c r="D3029" s="26" t="str">
        <f>HYPERLINK("https://github.com/ajfabian/Competitive-Programming/blob/master/SPOJ/HACKERS/a.cpp","Sol")</f>
        <v>Sol</v>
      </c>
      <c r="E3029" s="17" t="s">
        <v>4454</v>
      </c>
      <c r="F3029" s="17" t="s">
        <v>139</v>
      </c>
      <c r="G3029" s="18"/>
      <c r="H3029" s="18"/>
    </row>
    <row r="3030" spans="1:8" ht="13.2">
      <c r="A3030" s="19" t="str">
        <f>HYPERLINK("http://codeforces.com/contest/352/problem/D","CF352-D2-D")</f>
        <v>CF352-D2-D</v>
      </c>
      <c r="B3030" s="29" t="s">
        <v>4649</v>
      </c>
      <c r="C3030" s="17">
        <v>5.5</v>
      </c>
      <c r="D3030" s="26" t="str">
        <f>HYPERLINK("https://github.com/BRAINOOOO/CompetitiveProgramming/blob/0577cb43f4a000eca9870ccc375c95381224aed1/CF/CF352-D2-D","Sol")</f>
        <v>Sol</v>
      </c>
      <c r="E3030" s="17" t="s">
        <v>4531</v>
      </c>
      <c r="F3030" s="17" t="s">
        <v>139</v>
      </c>
      <c r="G3030" s="18"/>
      <c r="H3030" s="18"/>
    </row>
    <row r="3031" spans="1:8" ht="13.2">
      <c r="A3031" s="19" t="str">
        <f>HYPERLINK("https://www.codechef.com/problems/REMMAX","CODECHEF REMMAX")</f>
        <v>CODECHEF REMMAX</v>
      </c>
      <c r="B3031" s="20" t="s">
        <v>4650</v>
      </c>
      <c r="C3031" s="17">
        <v>5.5</v>
      </c>
      <c r="D3031" s="18"/>
      <c r="E3031" s="17" t="s">
        <v>4531</v>
      </c>
      <c r="F3031" s="17" t="s">
        <v>139</v>
      </c>
      <c r="G3031" s="18"/>
      <c r="H3031" s="18"/>
    </row>
    <row r="3032" spans="1:8" ht="13.2">
      <c r="A3032" s="19" t="str">
        <f>HYPERLINK("http://codeforces.com/contest/1080/problem/D","CF1080-D2-D")</f>
        <v>CF1080-D2-D</v>
      </c>
      <c r="B3032" s="23" t="s">
        <v>4651</v>
      </c>
      <c r="C3032" s="17">
        <v>5.5</v>
      </c>
      <c r="D3032" s="18"/>
      <c r="E3032" s="17" t="s">
        <v>4531</v>
      </c>
      <c r="F3032" s="17" t="s">
        <v>139</v>
      </c>
      <c r="G3032" s="18"/>
      <c r="H3032" s="18"/>
    </row>
    <row r="3033" spans="1:8" ht="13.2">
      <c r="A3033" s="19" t="str">
        <f>HYPERLINK("http://codeforces.com/contest/371/problem/E","CF371-D2-E")</f>
        <v>CF371-D2-E</v>
      </c>
      <c r="B3033" s="29" t="s">
        <v>4652</v>
      </c>
      <c r="C3033" s="17">
        <v>5.5</v>
      </c>
      <c r="D3033" s="18"/>
      <c r="E3033" s="17" t="s">
        <v>4531</v>
      </c>
      <c r="F3033" s="17" t="s">
        <v>139</v>
      </c>
      <c r="G3033" s="18"/>
      <c r="H3033" s="18"/>
    </row>
    <row r="3034" spans="1:8" ht="13.2">
      <c r="A3034" s="15" t="s">
        <v>4835</v>
      </c>
      <c r="B3034" s="28" t="s">
        <v>4836</v>
      </c>
      <c r="C3034" s="24">
        <v>5.5</v>
      </c>
      <c r="D3034" s="26" t="str">
        <f>HYPERLINK("https://morris821028.github.io/2014/09/15/oj/uva/uva-12792/","Sol")</f>
        <v>Sol</v>
      </c>
      <c r="E3034" s="17" t="s">
        <v>4809</v>
      </c>
      <c r="F3034" s="17" t="s">
        <v>139</v>
      </c>
      <c r="G3034" s="18"/>
      <c r="H3034" s="18"/>
    </row>
    <row r="3035" spans="1:8" ht="13.2">
      <c r="A3035" s="19" t="str">
        <f>HYPERLINK("http://codeforces.com/contest/294/problem/C","CF294-D2-C")</f>
        <v>CF294-D2-C</v>
      </c>
      <c r="B3035" s="29" t="s">
        <v>5004</v>
      </c>
      <c r="C3035" s="17">
        <v>5.5</v>
      </c>
      <c r="D3035" s="18"/>
      <c r="E3035" s="17" t="s">
        <v>4958</v>
      </c>
      <c r="F3035" s="17" t="s">
        <v>139</v>
      </c>
      <c r="G3035" s="18"/>
      <c r="H3035" s="18"/>
    </row>
    <row r="3036" spans="1:8" ht="13.2">
      <c r="A3036" s="19" t="str">
        <f>HYPERLINK("https://codeforces.com/contest/1117/problem/E","CF1117-D2-D")</f>
        <v>CF1117-D2-D</v>
      </c>
      <c r="B3036" s="15" t="s">
        <v>5248</v>
      </c>
      <c r="C3036" s="17">
        <v>5.5</v>
      </c>
      <c r="D3036" s="18"/>
      <c r="E3036" s="17" t="s">
        <v>5246</v>
      </c>
      <c r="F3036" s="17" t="s">
        <v>139</v>
      </c>
      <c r="G3036" s="18"/>
      <c r="H3036" s="18"/>
    </row>
    <row r="3037" spans="1:8" ht="13.2">
      <c r="A3037" s="15" t="s">
        <v>853</v>
      </c>
      <c r="B3037" s="29" t="s">
        <v>854</v>
      </c>
      <c r="C3037" s="17">
        <v>5.5</v>
      </c>
      <c r="D3037" s="26" t="str">
        <f>HYPERLINK("https://github.com/mostafa-saad/MyCompetitiveProgramming/blob/master/SPOJ/SPOJ_ABA12E.txt","Sol")</f>
        <v>Sol</v>
      </c>
      <c r="E3037" s="17" t="s">
        <v>805</v>
      </c>
      <c r="F3037" s="17" t="s">
        <v>139</v>
      </c>
      <c r="G3037" s="18"/>
      <c r="H3037" s="18"/>
    </row>
    <row r="3038" spans="1:8" ht="13.2">
      <c r="A3038" s="19" t="str">
        <f>HYPERLINK("https://codeforces.com/contest/1277/problem/F","CF1277-D2-F")</f>
        <v>CF1277-D2-F</v>
      </c>
      <c r="B3038" s="20" t="s">
        <v>834</v>
      </c>
      <c r="C3038" s="21">
        <v>5.5</v>
      </c>
      <c r="D3038" s="18"/>
      <c r="E3038" s="17" t="s">
        <v>805</v>
      </c>
      <c r="F3038" s="17" t="s">
        <v>139</v>
      </c>
      <c r="G3038" s="18"/>
      <c r="H3038" s="18"/>
    </row>
    <row r="3039" spans="1:8" ht="13.2">
      <c r="A3039" s="19" t="str">
        <f>HYPERLINK("http://codeforces.com/contest/739/problem/B","CF739-D1-B")</f>
        <v>CF739-D1-B</v>
      </c>
      <c r="B3039" s="29" t="s">
        <v>855</v>
      </c>
      <c r="C3039" s="17">
        <v>5.5</v>
      </c>
      <c r="D3039" s="18"/>
      <c r="E3039" s="17" t="s">
        <v>805</v>
      </c>
      <c r="F3039" s="17" t="s">
        <v>139</v>
      </c>
      <c r="G3039" s="18"/>
      <c r="H3039" s="18"/>
    </row>
    <row r="3040" spans="1:8" ht="13.2">
      <c r="A3040" s="19" t="str">
        <f>HYPERLINK("http://codeforces.com/contest/513/problem/C","CF513-D12-C")</f>
        <v>CF513-D12-C</v>
      </c>
      <c r="B3040" s="29" t="s">
        <v>5385</v>
      </c>
      <c r="C3040" s="17">
        <v>5.5</v>
      </c>
      <c r="D3040" s="26" t="str">
        <f>HYPERLINK("https://github.com/aabdelzaher/Competitive-Programming/blob/master/Codeforces/CF513-D12-C.java","Sol")</f>
        <v>Sol</v>
      </c>
      <c r="E3040" s="17" t="s">
        <v>5346</v>
      </c>
      <c r="F3040" s="17" t="s">
        <v>139</v>
      </c>
      <c r="G3040" s="18"/>
      <c r="H3040" s="18"/>
    </row>
    <row r="3041" spans="1:8" ht="13.2">
      <c r="A3041" s="15" t="s">
        <v>5454</v>
      </c>
      <c r="B3041" s="29" t="s">
        <v>5455</v>
      </c>
      <c r="C3041" s="24">
        <v>5.5</v>
      </c>
      <c r="D3041" s="26" t="str">
        <f>HYPERLINK("https://github.com/mostafa-saad/MyCompetitiveProgramming/blob/master/LiveArchive/LIVEARCHIVE_4008.txt","Sol")</f>
        <v>Sol</v>
      </c>
      <c r="E3041" s="24" t="s">
        <v>5414</v>
      </c>
      <c r="F3041" s="17" t="s">
        <v>139</v>
      </c>
      <c r="G3041" s="18"/>
      <c r="H3041" s="18"/>
    </row>
    <row r="3042" spans="1:8" ht="13.2">
      <c r="A3042" s="19" t="str">
        <f>HYPERLINK("http://codeforces.com/contest/447/problem/D","CF447-D2-D")</f>
        <v>CF447-D2-D</v>
      </c>
      <c r="B3042" s="29" t="s">
        <v>2261</v>
      </c>
      <c r="C3042" s="17">
        <v>5.5</v>
      </c>
      <c r="D3042" s="18" t="s">
        <v>2160</v>
      </c>
      <c r="E3042" s="17" t="s">
        <v>2153</v>
      </c>
      <c r="F3042" s="17" t="s">
        <v>227</v>
      </c>
      <c r="G3042" s="18"/>
      <c r="H3042" s="18"/>
    </row>
    <row r="3043" spans="1:8" ht="13.2">
      <c r="A3043" s="19" t="str">
        <f>HYPERLINK("http://codeforces.com/contest/279/problem/E","CF279-D2-E")</f>
        <v>CF279-D2-E</v>
      </c>
      <c r="B3043" s="29" t="s">
        <v>2416</v>
      </c>
      <c r="C3043" s="17">
        <v>5.5</v>
      </c>
      <c r="D3043" s="18" t="s">
        <v>2417</v>
      </c>
      <c r="E3043" s="17" t="s">
        <v>2394</v>
      </c>
      <c r="F3043" s="17" t="s">
        <v>227</v>
      </c>
      <c r="G3043" s="18"/>
      <c r="H3043" s="18"/>
    </row>
    <row r="3044" spans="1:8" ht="13.2">
      <c r="A3044" s="19" t="str">
        <f>HYPERLINK("http://codeforces.com/contest/205/problem/E","CF205-D2-E")</f>
        <v>CF205-D2-E</v>
      </c>
      <c r="B3044" s="29" t="s">
        <v>6295</v>
      </c>
      <c r="C3044" s="17">
        <v>5.5</v>
      </c>
      <c r="D3044" s="18"/>
      <c r="E3044" s="17" t="s">
        <v>6275</v>
      </c>
      <c r="F3044" s="17" t="s">
        <v>613</v>
      </c>
      <c r="G3044" s="18"/>
      <c r="H3044" s="18"/>
    </row>
    <row r="3045" spans="1:8" ht="13.2">
      <c r="A3045" s="19" t="str">
        <f>HYPERLINK("http://codeforces.com/contest/402/problem/D","CF402-D2-D")</f>
        <v>CF402-D2-D</v>
      </c>
      <c r="B3045" s="29" t="s">
        <v>2262</v>
      </c>
      <c r="C3045" s="17">
        <v>5.5</v>
      </c>
      <c r="D3045" s="18"/>
      <c r="E3045" s="17" t="s">
        <v>2153</v>
      </c>
      <c r="F3045" s="17" t="s">
        <v>613</v>
      </c>
      <c r="G3045" s="18"/>
      <c r="H3045" s="18"/>
    </row>
    <row r="3046" spans="1:8" ht="13.2">
      <c r="A3046" s="19" t="str">
        <f>HYPERLINK("http://codeforces.com/contest/224/problem/C","CF224-D2-C")</f>
        <v>CF224-D2-C</v>
      </c>
      <c r="B3046" s="29" t="s">
        <v>587</v>
      </c>
      <c r="C3046" s="17">
        <v>5.5</v>
      </c>
      <c r="D3046" s="18"/>
      <c r="E3046" s="17" t="s">
        <v>575</v>
      </c>
      <c r="F3046" s="17" t="s">
        <v>613</v>
      </c>
      <c r="G3046" s="18"/>
      <c r="H3046" s="18"/>
    </row>
    <row r="3047" spans="1:8" ht="13.2">
      <c r="A3047" s="19" t="str">
        <f>HYPERLINK("http://codeforces.com/contest/548/problem/D","CF548-D2-D")</f>
        <v>CF548-D2-D</v>
      </c>
      <c r="B3047" s="29" t="s">
        <v>614</v>
      </c>
      <c r="C3047" s="17">
        <v>5.5</v>
      </c>
      <c r="D3047" s="18"/>
      <c r="E3047" s="17" t="s">
        <v>575</v>
      </c>
      <c r="F3047" s="17" t="s">
        <v>613</v>
      </c>
      <c r="G3047" s="18"/>
      <c r="H3047" s="18"/>
    </row>
    <row r="3048" spans="1:8" ht="13.2">
      <c r="A3048" s="19" t="str">
        <f>HYPERLINK("http://arc079.contest.atcoder.jp/tasks/arc079_c","AtCoder079-ARC-C")</f>
        <v>AtCoder079-ARC-C</v>
      </c>
      <c r="B3048" s="29" t="s">
        <v>124</v>
      </c>
      <c r="C3048" s="17">
        <v>5.5</v>
      </c>
      <c r="D3048" s="18"/>
      <c r="E3048" s="17" t="s">
        <v>125</v>
      </c>
      <c r="F3048" s="17" t="s">
        <v>201</v>
      </c>
      <c r="G3048" s="18"/>
      <c r="H3048" s="18"/>
    </row>
    <row r="3049" spans="1:8" ht="13.2">
      <c r="A3049" s="19" t="str">
        <f>HYPERLINK("https://codeforces.com/contest/1214/problem/E","CF1214-D12-E")</f>
        <v>CF1214-D12-E</v>
      </c>
      <c r="B3049" s="15" t="s">
        <v>138</v>
      </c>
      <c r="C3049" s="17">
        <v>5.5</v>
      </c>
      <c r="D3049" s="18"/>
      <c r="E3049" s="17" t="s">
        <v>125</v>
      </c>
      <c r="F3049" s="17" t="s">
        <v>201</v>
      </c>
      <c r="G3049" s="18"/>
      <c r="H3049" s="18"/>
    </row>
    <row r="3050" spans="1:8" ht="13.2">
      <c r="A3050" s="19" t="str">
        <f>HYPERLINK("http://codeforces.com/contest/591/problem/C","CF591-D2-C")</f>
        <v>CF591-D2-C</v>
      </c>
      <c r="B3050" s="29" t="s">
        <v>213</v>
      </c>
      <c r="C3050" s="17">
        <v>5.5</v>
      </c>
      <c r="D3050" s="26" t="str">
        <f>HYPERLINK("https://codeforces.com/blog/entry/21203","Editorial")</f>
        <v>Editorial</v>
      </c>
      <c r="E3050" s="17" t="s">
        <v>125</v>
      </c>
      <c r="F3050" s="17" t="s">
        <v>201</v>
      </c>
      <c r="G3050" s="18"/>
      <c r="H3050" s="18"/>
    </row>
    <row r="3051" spans="1:8" ht="13.2">
      <c r="A3051" s="15" t="s">
        <v>214</v>
      </c>
      <c r="B3051" s="34" t="s">
        <v>215</v>
      </c>
      <c r="C3051" s="31">
        <v>5.5</v>
      </c>
      <c r="D3051" s="18"/>
      <c r="E3051" s="17" t="s">
        <v>125</v>
      </c>
      <c r="F3051" s="17" t="s">
        <v>201</v>
      </c>
      <c r="G3051" s="18"/>
      <c r="H3051" s="18"/>
    </row>
    <row r="3052" spans="1:8" ht="13.2">
      <c r="A3052" s="19" t="str">
        <f>HYPERLINK("https://codingcompetitions.withgoogle.com/kickstart/round/0000000000050ff2/0000000000150aae","KICKSTART 19-RC-B")</f>
        <v>KICKSTART 19-RC-B</v>
      </c>
      <c r="B3052" s="20" t="s">
        <v>216</v>
      </c>
      <c r="C3052" s="21">
        <v>5.5</v>
      </c>
      <c r="D3052" s="18"/>
      <c r="E3052" s="17" t="s">
        <v>125</v>
      </c>
      <c r="F3052" s="17" t="s">
        <v>201</v>
      </c>
      <c r="G3052" s="18"/>
      <c r="H3052" s="18"/>
    </row>
    <row r="3053" spans="1:8" ht="13.2">
      <c r="A3053" s="19" t="str">
        <f>HYPERLINK("https://codeforces.com/contest/1296/problem/F","CF1296-D3-E2")</f>
        <v>CF1296-D3-E2</v>
      </c>
      <c r="B3053" s="20" t="s">
        <v>217</v>
      </c>
      <c r="C3053" s="17">
        <v>5.5</v>
      </c>
      <c r="D3053" s="18"/>
      <c r="E3053" s="17" t="s">
        <v>125</v>
      </c>
      <c r="F3053" s="17" t="s">
        <v>201</v>
      </c>
      <c r="G3053" s="18"/>
      <c r="H3053" s="18"/>
    </row>
    <row r="3054" spans="1:8" ht="13.2">
      <c r="A3054" s="19" t="str">
        <f>HYPERLINK("http://codeforces.com/contest/106/problem/E","CF106-D2-E")</f>
        <v>CF106-D2-E</v>
      </c>
      <c r="B3054" s="29" t="s">
        <v>928</v>
      </c>
      <c r="C3054" s="17">
        <v>5.5</v>
      </c>
      <c r="D3054" s="18"/>
      <c r="E3054" s="17" t="s">
        <v>910</v>
      </c>
      <c r="F3054" s="17" t="s">
        <v>201</v>
      </c>
      <c r="G3054" s="18"/>
      <c r="H3054" s="18"/>
    </row>
    <row r="3055" spans="1:8" ht="13.2">
      <c r="A3055" s="19" t="str">
        <f>HYPERLINK("http://codeforces.com/contest/817/problem/E","CF817-D12-E")</f>
        <v>CF817-D12-E</v>
      </c>
      <c r="B3055" s="15" t="s">
        <v>5672</v>
      </c>
      <c r="C3055" s="17">
        <v>5.5</v>
      </c>
      <c r="D3055" s="18"/>
      <c r="E3055" s="17" t="s">
        <v>5643</v>
      </c>
      <c r="F3055" s="17" t="s">
        <v>201</v>
      </c>
      <c r="G3055" s="18"/>
      <c r="H3055" s="18"/>
    </row>
    <row r="3056" spans="1:8" ht="13.2">
      <c r="A3056" s="19" t="str">
        <f>HYPERLINK("https://atcoder.jp/contests/abc150/tasks/abc150_f","AtCoder150-ABC-F")</f>
        <v>AtCoder150-ABC-F</v>
      </c>
      <c r="B3056" s="20" t="s">
        <v>5722</v>
      </c>
      <c r="C3056" s="21">
        <v>5.5</v>
      </c>
      <c r="D3056" s="18"/>
      <c r="E3056" s="17" t="s">
        <v>5702</v>
      </c>
      <c r="F3056" s="17" t="s">
        <v>201</v>
      </c>
      <c r="G3056" s="18"/>
      <c r="H3056" s="18"/>
    </row>
    <row r="3057" spans="1:8" ht="13.2">
      <c r="A3057" s="19" t="str">
        <f>HYPERLINK("codeforces.com/contest/86/problem/D","CF86-D12-D")</f>
        <v>CF86-D12-D</v>
      </c>
      <c r="B3057" s="38" t="s">
        <v>5936</v>
      </c>
      <c r="C3057" s="17">
        <v>5.5</v>
      </c>
      <c r="D3057" s="26" t="str">
        <f>HYPERLINK("https://www.hackerearth.com/practice/notes/mos-algorithm/","One sol in example problem")</f>
        <v>One sol in example problem</v>
      </c>
      <c r="E3057" s="17" t="s">
        <v>5915</v>
      </c>
      <c r="F3057" s="17" t="s">
        <v>201</v>
      </c>
      <c r="G3057" s="18"/>
      <c r="H3057" s="18"/>
    </row>
    <row r="3058" spans="1:8" ht="13.2">
      <c r="A3058" s="19" t="str">
        <f>HYPERLINK("https://codeforces.com/contest/1099/problem/E","CF1099-D2-E")</f>
        <v>CF1099-D2-E</v>
      </c>
      <c r="B3058" s="15" t="s">
        <v>5961</v>
      </c>
      <c r="C3058" s="17">
        <v>5.5</v>
      </c>
      <c r="D3058" s="18"/>
      <c r="E3058" s="17" t="s">
        <v>5958</v>
      </c>
      <c r="F3058" s="17" t="s">
        <v>201</v>
      </c>
      <c r="G3058" s="18"/>
      <c r="H3058" s="18"/>
    </row>
    <row r="3059" spans="1:8" ht="13.2">
      <c r="A3059" s="19" t="str">
        <f>HYPERLINK("http://codeforces.com/contest/435/problem/D","CF435-D2-D")</f>
        <v>CF435-D2-D</v>
      </c>
      <c r="B3059" s="29" t="s">
        <v>5986</v>
      </c>
      <c r="C3059" s="17">
        <v>5.5</v>
      </c>
      <c r="D3059" s="18"/>
      <c r="E3059" s="17" t="s">
        <v>5958</v>
      </c>
      <c r="F3059" s="17" t="s">
        <v>201</v>
      </c>
      <c r="G3059" s="18"/>
      <c r="H3059" s="18"/>
    </row>
    <row r="3060" spans="1:8" ht="13.2">
      <c r="A3060" s="19" t="str">
        <f>HYPERLINK("http://codeforces.com/contest/281/problem/D","CF281-D2-D")</f>
        <v>CF281-D2-D</v>
      </c>
      <c r="B3060" s="29" t="s">
        <v>6049</v>
      </c>
      <c r="C3060" s="17">
        <v>5.5</v>
      </c>
      <c r="D3060" s="18"/>
      <c r="E3060" s="17" t="s">
        <v>6040</v>
      </c>
      <c r="F3060" s="17" t="s">
        <v>201</v>
      </c>
      <c r="G3060" s="18"/>
      <c r="H3060" s="18"/>
    </row>
    <row r="3061" spans="1:8" ht="13.2">
      <c r="A3061" s="19" t="str">
        <f>HYPERLINK("https://www.hackerrank.com/contests/world-codesprint-9/challenges/kingdom-division","HACKER kingdom-division")</f>
        <v>HACKER kingdom-division</v>
      </c>
      <c r="B3061" s="15" t="s">
        <v>6155</v>
      </c>
      <c r="C3061" s="17">
        <v>5.5</v>
      </c>
      <c r="D3061" s="18"/>
      <c r="E3061" s="17" t="s">
        <v>6151</v>
      </c>
      <c r="F3061" s="17" t="s">
        <v>201</v>
      </c>
      <c r="G3061" s="18"/>
      <c r="H3061" s="18"/>
    </row>
    <row r="3062" spans="1:8" ht="13.2">
      <c r="A3062" s="19" t="str">
        <f>HYPERLINK("https://codeforces.com/contest/1237/problem/D","CF1237-D12-D")</f>
        <v>CF1237-D12-D</v>
      </c>
      <c r="B3062" s="15" t="s">
        <v>1006</v>
      </c>
      <c r="C3062" s="17">
        <v>5.5</v>
      </c>
      <c r="D3062" s="18"/>
      <c r="E3062" s="17" t="s">
        <v>997</v>
      </c>
      <c r="F3062" s="17" t="s">
        <v>201</v>
      </c>
      <c r="G3062" s="18"/>
      <c r="H3062" s="18"/>
    </row>
    <row r="3063" spans="1:8" ht="13.2">
      <c r="A3063" s="19" t="str">
        <f>HYPERLINK("http://codeforces.com/contest/715/problem/C","CF715-D1-C")</f>
        <v>CF715-D1-C</v>
      </c>
      <c r="B3063" s="15" t="s">
        <v>6358</v>
      </c>
      <c r="C3063" s="24">
        <v>5.5</v>
      </c>
      <c r="D3063" s="18"/>
      <c r="E3063" s="17" t="s">
        <v>6345</v>
      </c>
      <c r="F3063" s="17" t="s">
        <v>201</v>
      </c>
      <c r="G3063" s="18"/>
      <c r="H3063" s="18"/>
    </row>
    <row r="3064" spans="1:8" ht="13.2">
      <c r="A3064" s="19" t="str">
        <f>HYPERLINK("http://codeforces.com/problemsets/acmsguru/problem/99999/507","SGU 507")</f>
        <v>SGU 507</v>
      </c>
      <c r="B3064" s="20" t="s">
        <v>6392</v>
      </c>
      <c r="C3064" s="21">
        <v>5.5</v>
      </c>
      <c r="D3064" s="26" t="str">
        <f>HYPERLINK("https://github.com/aviroop123/CompetitiveProgramming/blob/master/SGU/SGU%20507.cpp","Sol")</f>
        <v>Sol</v>
      </c>
      <c r="E3064" s="17" t="s">
        <v>6390</v>
      </c>
      <c r="F3064" s="17" t="s">
        <v>201</v>
      </c>
      <c r="G3064" s="18"/>
      <c r="H3064" s="18"/>
    </row>
    <row r="3065" spans="1:8" ht="13.2">
      <c r="A3065" s="19" t="str">
        <f>HYPERLINK("http://codeforces.com/contest/797/problem/E","CF797-D12-E")</f>
        <v>CF797-D12-E</v>
      </c>
      <c r="B3065" s="30" t="s">
        <v>6402</v>
      </c>
      <c r="C3065" s="40">
        <v>5.5</v>
      </c>
      <c r="D3065" s="18"/>
      <c r="E3065" s="17" t="s">
        <v>6397</v>
      </c>
      <c r="F3065" s="17" t="s">
        <v>201</v>
      </c>
      <c r="G3065" s="18"/>
      <c r="H3065" s="18"/>
    </row>
    <row r="3066" spans="1:8" ht="13.2">
      <c r="A3066" s="19" t="str">
        <f>HYPERLINK("http://codeforces.com/contest/920/problem/F","CF920-D2-F")</f>
        <v>CF920-D2-F</v>
      </c>
      <c r="B3066" s="15" t="s">
        <v>1175</v>
      </c>
      <c r="C3066" s="17">
        <v>5.5</v>
      </c>
      <c r="D3066" s="18"/>
      <c r="E3066" s="17" t="s">
        <v>1018</v>
      </c>
      <c r="F3066" s="17" t="s">
        <v>201</v>
      </c>
      <c r="G3066" s="18"/>
      <c r="H3066" s="18"/>
    </row>
    <row r="3067" spans="1:8" ht="13.2">
      <c r="A3067" s="19" t="str">
        <f>HYPERLINK("https://uva.onlinejudge.org/index.php?option=com_onlinejudge&amp;Itemid=8&amp;page=show_problem&amp;problem=3673","UVA 1232")</f>
        <v>UVA 1232</v>
      </c>
      <c r="B3067" s="29" t="s">
        <v>1176</v>
      </c>
      <c r="C3067" s="17">
        <v>5.5</v>
      </c>
      <c r="D3067" s="26" t="str">
        <f>HYPERLINK("https://github.com/mostafa-saad/MyCompetitiveProgramming/blob/master/UVA/UVA_1232.txt","Sol")</f>
        <v>Sol</v>
      </c>
      <c r="E3067" s="17" t="s">
        <v>1018</v>
      </c>
      <c r="F3067" s="17" t="s">
        <v>201</v>
      </c>
      <c r="G3067" s="18"/>
      <c r="H3067" s="18"/>
    </row>
    <row r="3068" spans="1:8" ht="13.2">
      <c r="A3068" s="15" t="s">
        <v>1177</v>
      </c>
      <c r="B3068" s="28" t="s">
        <v>1178</v>
      </c>
      <c r="C3068" s="24">
        <v>5.5</v>
      </c>
      <c r="D3068" s="18"/>
      <c r="E3068" s="17" t="s">
        <v>1018</v>
      </c>
      <c r="F3068" s="17" t="s">
        <v>201</v>
      </c>
      <c r="G3068" s="18"/>
      <c r="H3068" s="18"/>
    </row>
    <row r="3069" spans="1:8" ht="13.2">
      <c r="A3069" s="19" t="str">
        <f>HYPERLINK("https://codeforces.com/contest/1084/problem/D","CF1084-D2-D")</f>
        <v>CF1084-D2-D</v>
      </c>
      <c r="B3069" s="20" t="s">
        <v>6498</v>
      </c>
      <c r="C3069" s="17">
        <v>5.5</v>
      </c>
      <c r="D3069" s="18"/>
      <c r="E3069" s="17" t="s">
        <v>6459</v>
      </c>
      <c r="F3069" s="17" t="s">
        <v>201</v>
      </c>
      <c r="G3069" s="18"/>
      <c r="H3069" s="18"/>
    </row>
    <row r="3070" spans="1:8" ht="13.2">
      <c r="A3070" s="19" t="str">
        <f>HYPERLINK("https://codeforces.com/contest/1268/problem/C","CF1268-D1-C")</f>
        <v>CF1268-D1-C</v>
      </c>
      <c r="B3070" s="20" t="s">
        <v>1279</v>
      </c>
      <c r="C3070" s="21">
        <v>5.5</v>
      </c>
      <c r="D3070" s="18"/>
      <c r="E3070" s="17" t="s">
        <v>1223</v>
      </c>
      <c r="F3070" s="17" t="s">
        <v>201</v>
      </c>
      <c r="G3070" s="18"/>
      <c r="H3070" s="18"/>
    </row>
    <row r="3071" spans="1:8" ht="13.2">
      <c r="A3071" s="19" t="str">
        <f>HYPERLINK("https://codeforces.com/contest/1285/problem/E","CF1285-D2-E")</f>
        <v>CF1285-D2-E</v>
      </c>
      <c r="B3071" s="20" t="s">
        <v>1280</v>
      </c>
      <c r="C3071" s="21">
        <v>5.5</v>
      </c>
      <c r="D3071" s="18"/>
      <c r="E3071" s="17" t="s">
        <v>1223</v>
      </c>
      <c r="F3071" s="17" t="s">
        <v>201</v>
      </c>
      <c r="G3071" s="18"/>
      <c r="H3071" s="18"/>
    </row>
    <row r="3072" spans="1:8" ht="13.2">
      <c r="A3072" s="19" t="str">
        <f>HYPERLINK("https://codeforces.com/contest/1114/problem/D", "CF1114-D2-D")</f>
        <v>CF1114-D2-D</v>
      </c>
      <c r="B3072" s="15" t="s">
        <v>1348</v>
      </c>
      <c r="C3072" s="17">
        <v>5.5</v>
      </c>
      <c r="D3072" s="18"/>
      <c r="E3072" s="17" t="s">
        <v>1337</v>
      </c>
      <c r="F3072" s="17" t="s">
        <v>201</v>
      </c>
      <c r="G3072" s="18"/>
      <c r="H3072" s="18"/>
    </row>
    <row r="3073" spans="1:8" ht="13.2">
      <c r="A3073" s="19" t="str">
        <f>HYPERLINK("https://codeforces.com/contest/1256/problem/E","CF1256-D3-E")</f>
        <v>CF1256-D3-E</v>
      </c>
      <c r="B3073" s="20" t="s">
        <v>1348</v>
      </c>
      <c r="C3073" s="21">
        <v>5.5</v>
      </c>
      <c r="D3073" s="18"/>
      <c r="E3073" s="17" t="s">
        <v>1337</v>
      </c>
      <c r="F3073" s="17" t="s">
        <v>201</v>
      </c>
      <c r="G3073" s="18"/>
      <c r="H3073" s="18"/>
    </row>
    <row r="3074" spans="1:8" ht="13.2">
      <c r="A3074" s="19" t="str">
        <f>HYPERLINK("https://codeforces.com/contest/1077/problem/F2","CF1077-D3-F2")</f>
        <v>CF1077-D3-F2</v>
      </c>
      <c r="B3074" s="15" t="s">
        <v>1527</v>
      </c>
      <c r="C3074" s="17">
        <v>5.5</v>
      </c>
      <c r="D3074" s="18"/>
      <c r="E3074" s="17" t="s">
        <v>1337</v>
      </c>
      <c r="F3074" s="17" t="s">
        <v>201</v>
      </c>
      <c r="G3074" s="18"/>
      <c r="H3074" s="18"/>
    </row>
    <row r="3075" spans="1:8" ht="13.2">
      <c r="A3075" s="19" t="str">
        <f>HYPERLINK("http://codeforces.com/contest/1012/problem/C","CF1012-D1-C")</f>
        <v>CF1012-D1-C</v>
      </c>
      <c r="B3075" s="29" t="s">
        <v>1514</v>
      </c>
      <c r="C3075" s="21">
        <v>5.5</v>
      </c>
      <c r="D3075" s="18"/>
      <c r="E3075" s="17" t="s">
        <v>1337</v>
      </c>
      <c r="F3075" s="17" t="s">
        <v>201</v>
      </c>
      <c r="G3075" s="18"/>
      <c r="H3075" s="18"/>
    </row>
    <row r="3076" spans="1:8" ht="13.2">
      <c r="A3076" s="19" t="str">
        <f>HYPERLINK("https://www.codechef.com/COOK105B/problems/DINCPATH", "CODECHEF DINCPATH")</f>
        <v>CODECHEF DINCPATH</v>
      </c>
      <c r="B3076" s="15" t="s">
        <v>1528</v>
      </c>
      <c r="C3076" s="17">
        <v>5.5</v>
      </c>
      <c r="D3076" s="18"/>
      <c r="E3076" s="17" t="s">
        <v>1337</v>
      </c>
      <c r="F3076" s="17" t="s">
        <v>201</v>
      </c>
      <c r="G3076" s="18"/>
      <c r="H3076" s="18"/>
    </row>
    <row r="3077" spans="1:8" ht="13.2">
      <c r="A3077" s="15" t="s">
        <v>1529</v>
      </c>
      <c r="B3077" s="29" t="s">
        <v>1507</v>
      </c>
      <c r="C3077" s="31">
        <v>5.5</v>
      </c>
      <c r="D3077" s="18"/>
      <c r="E3077" s="24" t="s">
        <v>1337</v>
      </c>
      <c r="F3077" s="17" t="s">
        <v>201</v>
      </c>
      <c r="G3077" s="18"/>
      <c r="H3077" s="18"/>
    </row>
    <row r="3078" spans="1:8" ht="13.2">
      <c r="A3078" s="15" t="s">
        <v>396</v>
      </c>
      <c r="B3078" s="29" t="s">
        <v>397</v>
      </c>
      <c r="C3078" s="17">
        <v>5.5</v>
      </c>
      <c r="D3078" s="18"/>
      <c r="E3078" s="24" t="s">
        <v>332</v>
      </c>
      <c r="F3078" s="17" t="s">
        <v>201</v>
      </c>
      <c r="G3078" s="18"/>
      <c r="H3078" s="18"/>
    </row>
    <row r="3079" spans="1:8" ht="13.2">
      <c r="A3079" s="19" t="str">
        <f>HYPERLINK("http://codeforces.com/contest/361/problem/C","CF361-D2-C")</f>
        <v>CF361-D2-C</v>
      </c>
      <c r="B3079" s="29" t="s">
        <v>398</v>
      </c>
      <c r="C3079" s="17">
        <v>5.5</v>
      </c>
      <c r="D3079" s="18"/>
      <c r="E3079" s="17" t="s">
        <v>332</v>
      </c>
      <c r="F3079" s="17" t="s">
        <v>201</v>
      </c>
      <c r="G3079" s="18"/>
      <c r="H3079" s="18"/>
    </row>
    <row r="3080" spans="1:8" ht="13.2">
      <c r="A3080" s="19" t="str">
        <f>HYPERLINK("http://codeforces.com/contest/1051/problem/D","CF1051-D12-D")</f>
        <v>CF1051-D12-D</v>
      </c>
      <c r="B3080" s="15" t="s">
        <v>1779</v>
      </c>
      <c r="C3080" s="17">
        <v>5.5</v>
      </c>
      <c r="D3080" s="18"/>
      <c r="E3080" s="17" t="s">
        <v>1768</v>
      </c>
      <c r="F3080" s="17" t="s">
        <v>201</v>
      </c>
      <c r="G3080" s="18"/>
      <c r="H3080" s="18"/>
    </row>
    <row r="3081" spans="1:8" ht="13.2">
      <c r="A3081" s="15" t="s">
        <v>1962</v>
      </c>
      <c r="B3081" s="18" t="s">
        <v>1963</v>
      </c>
      <c r="C3081" s="31">
        <v>5.5</v>
      </c>
      <c r="D3081" s="26" t="str">
        <f>HYPERLINK("https://github.com/mostafa-saad/MyCompetitiveProgramming/blob/master/TopCoder/SRM428-D2-1000.txt","Sol")</f>
        <v>Sol</v>
      </c>
      <c r="E3081" s="17" t="s">
        <v>1909</v>
      </c>
      <c r="F3081" s="17" t="s">
        <v>201</v>
      </c>
      <c r="G3081" s="18"/>
      <c r="H3081" s="18"/>
    </row>
    <row r="3082" spans="1:8" ht="13.2">
      <c r="A3082" s="19" t="str">
        <f>HYPERLINK("https://codeforces.com/contest/1245/problem/E","CF1245-D2-E")</f>
        <v>CF1245-D2-E</v>
      </c>
      <c r="B3082" s="20" t="s">
        <v>2093</v>
      </c>
      <c r="C3082" s="21">
        <v>5.5</v>
      </c>
      <c r="D3082" s="18"/>
      <c r="E3082" s="17" t="s">
        <v>2074</v>
      </c>
      <c r="F3082" s="17" t="s">
        <v>201</v>
      </c>
      <c r="G3082" s="18"/>
      <c r="H3082" s="18"/>
    </row>
    <row r="3083" spans="1:8" ht="13.2">
      <c r="A3083" s="15" t="s">
        <v>2127</v>
      </c>
      <c r="B3083" s="28" t="s">
        <v>2128</v>
      </c>
      <c r="C3083" s="24">
        <v>5.5</v>
      </c>
      <c r="D3083" s="18"/>
      <c r="E3083" s="17" t="s">
        <v>2113</v>
      </c>
      <c r="F3083" s="17" t="s">
        <v>201</v>
      </c>
      <c r="G3083" s="18"/>
      <c r="H3083" s="18"/>
    </row>
    <row r="3084" spans="1:8" ht="13.2">
      <c r="A3084" s="19" t="str">
        <f>HYPERLINK("https://uva.onlinejudge.org/index.php?option=com_onlinejudge&amp;Itemid=8&amp;page=show_problem&amp;problem=4108","UVA 1362")</f>
        <v>UVA 1362</v>
      </c>
      <c r="B3084" s="29" t="s">
        <v>2129</v>
      </c>
      <c r="C3084" s="17">
        <v>5.5</v>
      </c>
      <c r="D3084" s="26" t="str">
        <f>HYPERLINK("https://github.com/abdullaAshraf/Problem-Solving/blob/master/UVA/1362.cpp","Sol")</f>
        <v>Sol</v>
      </c>
      <c r="E3084" s="17" t="s">
        <v>2113</v>
      </c>
      <c r="F3084" s="17" t="s">
        <v>201</v>
      </c>
      <c r="G3084" s="18"/>
      <c r="H3084" s="18"/>
    </row>
    <row r="3085" spans="1:8" ht="13.2">
      <c r="A3085" s="19" t="str">
        <f>HYPERLINK("http://codeforces.com/contest/496/problem/D","CF496-D2-D")</f>
        <v>CF496-D2-D</v>
      </c>
      <c r="B3085" s="29" t="s">
        <v>2263</v>
      </c>
      <c r="C3085" s="53">
        <v>5.5</v>
      </c>
      <c r="D3085" s="18"/>
      <c r="E3085" s="17" t="s">
        <v>2153</v>
      </c>
      <c r="F3085" s="17" t="s">
        <v>201</v>
      </c>
      <c r="G3085" s="18"/>
      <c r="H3085" s="18"/>
    </row>
    <row r="3086" spans="1:8" ht="13.2">
      <c r="A3086" s="19" t="str">
        <f>HYPERLINK("http://codeforces.com/contest/672/problem/D","CF672-D2-D")</f>
        <v>CF672-D2-D</v>
      </c>
      <c r="B3086" s="29" t="s">
        <v>2264</v>
      </c>
      <c r="C3086" s="17">
        <v>5.5</v>
      </c>
      <c r="D3086" s="18"/>
      <c r="E3086" s="17" t="s">
        <v>2153</v>
      </c>
      <c r="F3086" s="17" t="s">
        <v>201</v>
      </c>
      <c r="G3086" s="18"/>
      <c r="H3086" s="18"/>
    </row>
    <row r="3087" spans="1:8" ht="13.2">
      <c r="A3087" s="19" t="str">
        <f>HYPERLINK("https://codeforces.com/problemset/problem/128/D", "CF128-D12-D")</f>
        <v>CF128-D12-D</v>
      </c>
      <c r="B3087" s="23" t="s">
        <v>2265</v>
      </c>
      <c r="C3087" s="21">
        <v>5.5</v>
      </c>
      <c r="D3087" s="18"/>
      <c r="E3087" s="17" t="s">
        <v>2153</v>
      </c>
      <c r="F3087" s="17" t="s">
        <v>201</v>
      </c>
      <c r="G3087" s="18"/>
      <c r="H3087" s="18"/>
    </row>
    <row r="3088" spans="1:8" ht="13.2">
      <c r="A3088" s="19" t="str">
        <f>HYPERLINK("https://codingcompetitions.withgoogle.com/codejam/round/0000000000007707/000000000004b7fe","CODEJAM 18-R3-A")</f>
        <v>CODEJAM 18-R3-A</v>
      </c>
      <c r="B3088" s="20" t="s">
        <v>2266</v>
      </c>
      <c r="C3088" s="17">
        <v>5.5</v>
      </c>
      <c r="D3088" s="26" t="str">
        <f>HYPERLINK("https://github.com/tmwilliamlin168/CompetitiveProgramming/blob/master/GoogleCodeJam/18-R3-A.java", "Prove your sol")</f>
        <v>Prove your sol</v>
      </c>
      <c r="E3088" s="17" t="s">
        <v>2153</v>
      </c>
      <c r="F3088" s="17" t="s">
        <v>201</v>
      </c>
      <c r="G3088" s="18"/>
      <c r="H3088" s="18"/>
    </row>
    <row r="3089" spans="1:8" ht="13.2">
      <c r="A3089" s="19" t="str">
        <f>HYPERLINK("https://codeforces.com/contest/1082/problem/E","CF1082-D12-E")</f>
        <v>CF1082-D12-E</v>
      </c>
      <c r="B3089" s="20" t="s">
        <v>2267</v>
      </c>
      <c r="C3089" s="21">
        <v>5.5</v>
      </c>
      <c r="D3089" s="18"/>
      <c r="E3089" s="17" t="s">
        <v>2153</v>
      </c>
      <c r="F3089" s="17" t="s">
        <v>201</v>
      </c>
      <c r="G3089" s="18"/>
      <c r="H3089" s="18"/>
    </row>
    <row r="3090" spans="1:8" ht="13.2">
      <c r="A3090" s="19" t="str">
        <f>HYPERLINK("http://codeforces.com/contest/76/problem/B","CF76-D12-B")</f>
        <v>CF76-D12-B</v>
      </c>
      <c r="B3090" s="15" t="s">
        <v>2268</v>
      </c>
      <c r="C3090" s="17">
        <v>5.5</v>
      </c>
      <c r="D3090" s="18"/>
      <c r="E3090" s="17" t="s">
        <v>2153</v>
      </c>
      <c r="F3090" s="17" t="s">
        <v>201</v>
      </c>
      <c r="G3090" s="18"/>
      <c r="H3090" s="18"/>
    </row>
    <row r="3091" spans="1:8" ht="13.2">
      <c r="A3091" s="19" t="str">
        <f>HYPERLINK("https://www.codechef.com/FEB19A/problems/MANRECT","CODECHEF MANRECT")</f>
        <v>CODECHEF MANRECT</v>
      </c>
      <c r="B3091" s="23" t="s">
        <v>2677</v>
      </c>
      <c r="C3091" s="17">
        <v>5.5</v>
      </c>
      <c r="D3091" s="18"/>
      <c r="E3091" s="17" t="s">
        <v>2510</v>
      </c>
      <c r="F3091" s="17" t="s">
        <v>201</v>
      </c>
      <c r="G3091" s="18"/>
      <c r="H3091" s="18"/>
    </row>
    <row r="3092" spans="1:8" ht="13.2">
      <c r="A3092" s="19" t="str">
        <f>HYPERLINK("https://codeforces.com/contest/1236/problem/D","CF1236-D2-D")</f>
        <v>CF1236-D2-D</v>
      </c>
      <c r="B3092" s="15" t="s">
        <v>615</v>
      </c>
      <c r="C3092" s="17">
        <v>5.5</v>
      </c>
      <c r="D3092" s="18"/>
      <c r="E3092" s="17" t="s">
        <v>575</v>
      </c>
      <c r="F3092" s="17" t="s">
        <v>201</v>
      </c>
      <c r="G3092" s="18"/>
      <c r="H3092" s="18"/>
    </row>
    <row r="3093" spans="1:8" ht="13.2">
      <c r="A3093" s="19" t="str">
        <f>HYPERLINK("http://codeforces.com/contest/319/problem/B","CF319-D1-B")</f>
        <v>CF319-D1-B</v>
      </c>
      <c r="B3093" s="23" t="s">
        <v>616</v>
      </c>
      <c r="C3093" s="17">
        <v>5.5</v>
      </c>
      <c r="D3093" s="18"/>
      <c r="E3093" s="17" t="s">
        <v>575</v>
      </c>
      <c r="F3093" s="17" t="s">
        <v>201</v>
      </c>
      <c r="G3093" s="18"/>
      <c r="H3093" s="18"/>
    </row>
    <row r="3094" spans="1:8" ht="13.2">
      <c r="A3094" s="19" t="str">
        <f>HYPERLINK("https://uva.onlinejudge.org/index.php?option=com_onlinejudge&amp;Itemid=8&amp;page=show_problem&amp;problem=4395","UVA 12657")</f>
        <v>UVA 12657</v>
      </c>
      <c r="B3094" s="29" t="s">
        <v>617</v>
      </c>
      <c r="C3094" s="17">
        <v>5.5</v>
      </c>
      <c r="D3094" s="26" t="str">
        <f>HYPERLINK("http://qkxue.net/info/113260/UVA-Boxes-Line-12657","Sol")</f>
        <v>Sol</v>
      </c>
      <c r="E3094" s="17" t="s">
        <v>575</v>
      </c>
      <c r="F3094" s="17" t="s">
        <v>201</v>
      </c>
      <c r="G3094" s="18"/>
      <c r="H3094" s="18"/>
    </row>
    <row r="3095" spans="1:8" ht="13.2">
      <c r="A3095" s="19" t="str">
        <f>HYPERLINK("https://codeforces.com/contest/899/problem/E","CF899-D2-E")</f>
        <v>CF899-D2-E</v>
      </c>
      <c r="B3095" s="29" t="s">
        <v>618</v>
      </c>
      <c r="C3095" s="31">
        <v>5.5</v>
      </c>
      <c r="D3095" s="18"/>
      <c r="E3095" s="17" t="s">
        <v>575</v>
      </c>
      <c r="F3095" s="17" t="s">
        <v>201</v>
      </c>
      <c r="G3095" s="18"/>
      <c r="H3095" s="18"/>
    </row>
    <row r="3096" spans="1:8" ht="13.2">
      <c r="A3096" s="19" t="str">
        <f>HYPERLINK("http://codeforces.com/contest/496/problem/E","CF496-D2-E")</f>
        <v>CF496-D2-E</v>
      </c>
      <c r="B3096" s="15" t="s">
        <v>3191</v>
      </c>
      <c r="C3096" s="24">
        <v>5.5</v>
      </c>
      <c r="D3096" s="18"/>
      <c r="E3096" s="17" t="s">
        <v>3140</v>
      </c>
      <c r="F3096" s="17" t="s">
        <v>201</v>
      </c>
      <c r="G3096" s="18"/>
      <c r="H3096" s="18"/>
    </row>
    <row r="3097" spans="1:8" ht="13.2">
      <c r="A3097" s="15" t="s">
        <v>3536</v>
      </c>
      <c r="B3097" s="30" t="s">
        <v>3537</v>
      </c>
      <c r="C3097" s="24">
        <v>5.5</v>
      </c>
      <c r="D3097" s="26" t="str">
        <f>HYPERLINK("https://github.com/goswami-rahul/competitive-coding/blob/master/CompetitiveProgramming/UVA/12544.cpp","Sol")</f>
        <v>Sol</v>
      </c>
      <c r="E3097" s="17" t="s">
        <v>3467</v>
      </c>
      <c r="F3097" s="17" t="s">
        <v>201</v>
      </c>
      <c r="G3097" s="18"/>
      <c r="H3097" s="18"/>
    </row>
    <row r="3098" spans="1:8" ht="13.2">
      <c r="A3098" s="19" t="str">
        <f>HYPERLINK("http://codeforces.com/contest/787/problem/C","CF787-D2-C")</f>
        <v>CF787-D2-C</v>
      </c>
      <c r="B3098" s="29" t="s">
        <v>3538</v>
      </c>
      <c r="C3098" s="17">
        <v>5.5</v>
      </c>
      <c r="D3098" s="18"/>
      <c r="E3098" s="17" t="s">
        <v>3467</v>
      </c>
      <c r="F3098" s="17" t="s">
        <v>201</v>
      </c>
      <c r="G3098" s="18"/>
      <c r="H3098" s="18"/>
    </row>
    <row r="3099" spans="1:8" ht="13.2">
      <c r="A3099" s="19" t="str">
        <f>HYPERLINK("http://codeforces.com/contest/14/problem/D","CF14-D2-D")</f>
        <v>CF14-D2-D</v>
      </c>
      <c r="B3099" s="29" t="s">
        <v>3636</v>
      </c>
      <c r="C3099" s="17">
        <v>5.5</v>
      </c>
      <c r="D3099" s="18"/>
      <c r="E3099" s="17" t="s">
        <v>3633</v>
      </c>
      <c r="F3099" s="17" t="s">
        <v>201</v>
      </c>
      <c r="G3099" s="18"/>
      <c r="H3099" s="18"/>
    </row>
    <row r="3100" spans="1:8" ht="13.2">
      <c r="A3100" s="15" t="s">
        <v>4200</v>
      </c>
      <c r="B3100" s="28" t="s">
        <v>4169</v>
      </c>
      <c r="C3100" s="24">
        <v>5.5</v>
      </c>
      <c r="D3100" s="26" t="str">
        <f>HYPERLINK("https://github.com/mostafa-saad/MyCompetitiveProgramming/blob/master/SPOJ/SPOJ_QUEST4.txt","Sol")</f>
        <v>Sol</v>
      </c>
      <c r="E3100" s="17" t="s">
        <v>4144</v>
      </c>
      <c r="F3100" s="17" t="s">
        <v>201</v>
      </c>
      <c r="G3100" s="18"/>
      <c r="H3100" s="18"/>
    </row>
    <row r="3101" spans="1:8" ht="13.2">
      <c r="A3101" s="19" t="str">
        <f>HYPERLINK("http://codeforces.com/contest/1000/problem/E", "CF1000-D12-E")</f>
        <v>CF1000-D12-E</v>
      </c>
      <c r="B3101" s="20" t="s">
        <v>4447</v>
      </c>
      <c r="C3101" s="31">
        <v>5.5</v>
      </c>
      <c r="D3101" s="18"/>
      <c r="E3101" s="17" t="s">
        <v>4423</v>
      </c>
      <c r="F3101" s="17" t="s">
        <v>201</v>
      </c>
      <c r="G3101" s="18"/>
      <c r="H3101" s="18"/>
    </row>
    <row r="3102" spans="1:8" ht="13.2">
      <c r="A3102" s="19" t="str">
        <f>HYPERLINK("https://codeforces.com/contest/1271/problem/E","CF1271-D2-E")</f>
        <v>CF1271-D2-E</v>
      </c>
      <c r="B3102" s="20" t="s">
        <v>4653</v>
      </c>
      <c r="C3102" s="21">
        <v>5.5</v>
      </c>
      <c r="D3102" s="18"/>
      <c r="E3102" s="17" t="s">
        <v>4531</v>
      </c>
      <c r="F3102" s="17" t="s">
        <v>201</v>
      </c>
      <c r="G3102" s="18"/>
      <c r="H3102" s="18"/>
    </row>
    <row r="3103" spans="1:8" ht="13.2">
      <c r="A3103" s="19" t="str">
        <f>HYPERLINK("https://atcoder.jp/contests/abc156/tasks/abc156_f","AtCoder156-ABC-F")</f>
        <v>AtCoder156-ABC-F</v>
      </c>
      <c r="B3103" s="20" t="s">
        <v>4654</v>
      </c>
      <c r="C3103" s="21">
        <v>5.5</v>
      </c>
      <c r="D3103" s="18"/>
      <c r="E3103" s="17" t="s">
        <v>4531</v>
      </c>
      <c r="F3103" s="17" t="s">
        <v>201</v>
      </c>
      <c r="G3103" s="18"/>
      <c r="H3103" s="18"/>
    </row>
    <row r="3104" spans="1:8" ht="13.2">
      <c r="A3104" s="19" t="str">
        <f>HYPERLINK("https://codeforces.com/contest/1119/problem/D","CF1119-D12-D")</f>
        <v>CF1119-D12-D</v>
      </c>
      <c r="B3104" s="20" t="s">
        <v>4655</v>
      </c>
      <c r="C3104" s="17">
        <v>5.5</v>
      </c>
      <c r="D3104" s="18"/>
      <c r="E3104" s="17" t="s">
        <v>4531</v>
      </c>
      <c r="F3104" s="17" t="s">
        <v>201</v>
      </c>
      <c r="G3104" s="18"/>
      <c r="H3104" s="18"/>
    </row>
    <row r="3105" spans="1:8" ht="13.2">
      <c r="A3105" s="15" t="s">
        <v>4837</v>
      </c>
      <c r="B3105" s="15" t="s">
        <v>4838</v>
      </c>
      <c r="C3105" s="24">
        <v>5.5</v>
      </c>
      <c r="D3105" s="26" t="str">
        <f>HYPERLINK("https://github.com/Huvok/CompetitiveProgramming/blob/master/TIMUS/1286.cpp","Sol")</f>
        <v>Sol</v>
      </c>
      <c r="E3105" s="17" t="s">
        <v>4809</v>
      </c>
      <c r="F3105" s="17" t="s">
        <v>201</v>
      </c>
      <c r="G3105" s="18"/>
      <c r="H3105" s="18"/>
    </row>
    <row r="3106" spans="1:8" ht="13.2">
      <c r="A3106" s="19" t="str">
        <f>HYPERLINK("https://www.facebook.com/hackercup/problem/232395994158286/","FbHkrCup 18-R1-B")</f>
        <v>FbHkrCup 18-R1-B</v>
      </c>
      <c r="B3106" s="20" t="s">
        <v>5064</v>
      </c>
      <c r="C3106" s="21">
        <v>5.5</v>
      </c>
      <c r="D3106" s="18"/>
      <c r="E3106" s="17" t="s">
        <v>5043</v>
      </c>
      <c r="F3106" s="17" t="s">
        <v>201</v>
      </c>
      <c r="G3106" s="18"/>
      <c r="H3106" s="18"/>
    </row>
    <row r="3107" spans="1:8" ht="13.2">
      <c r="A3107" s="19" t="str">
        <f>HYPERLINK("https://codeforces.com/contest/1155/problem/E","CF1155-D12-E")</f>
        <v>CF1155-D12-E</v>
      </c>
      <c r="B3107" s="15" t="s">
        <v>5309</v>
      </c>
      <c r="C3107" s="17">
        <v>5.5</v>
      </c>
      <c r="D3107" s="18"/>
      <c r="E3107" s="17" t="s">
        <v>5310</v>
      </c>
      <c r="F3107" s="17" t="s">
        <v>201</v>
      </c>
      <c r="G3107" s="18"/>
      <c r="H3107" s="18"/>
    </row>
    <row r="3108" spans="1:8" ht="13.2">
      <c r="A3108" s="19" t="str">
        <f>HYPERLINK("http://codeforces.com/contest/80/problem/D","CF80-D2-D")</f>
        <v>CF80-D2-D</v>
      </c>
      <c r="B3108" s="29" t="s">
        <v>5386</v>
      </c>
      <c r="C3108" s="17">
        <v>5.5</v>
      </c>
      <c r="D3108" s="18"/>
      <c r="E3108" s="17" t="s">
        <v>5346</v>
      </c>
      <c r="F3108" s="17" t="s">
        <v>201</v>
      </c>
      <c r="G3108" s="18"/>
      <c r="H3108" s="18"/>
    </row>
    <row r="3109" spans="1:8" ht="13.2">
      <c r="A3109" s="15" t="s">
        <v>5520</v>
      </c>
      <c r="B3109" s="37" t="s">
        <v>5521</v>
      </c>
      <c r="C3109" s="17">
        <v>5.5</v>
      </c>
      <c r="D3109" s="26" t="str">
        <f>HYPERLINK("https://github.com/mostafa-saad/MyCompetitiveProgramming/blob/master/LightOJ/LightOJ_1306.txt","Sol")</f>
        <v>Sol</v>
      </c>
      <c r="E3109" s="17" t="s">
        <v>5512</v>
      </c>
      <c r="F3109" s="17" t="s">
        <v>201</v>
      </c>
      <c r="G3109" s="18"/>
      <c r="H3109" s="18"/>
    </row>
    <row r="3110" spans="1:8" ht="13.2">
      <c r="A3110" s="15" t="s">
        <v>1530</v>
      </c>
      <c r="B3110" s="29" t="s">
        <v>1531</v>
      </c>
      <c r="C3110" s="31">
        <v>5.5</v>
      </c>
      <c r="D3110" s="26" t="str">
        <f>HYPERLINK("https://github.com/ahmedsamir221/CompetitiveProgramming/blob/master/Timus/TIMUS%201156.cpp","Sol")</f>
        <v>Sol</v>
      </c>
      <c r="E3110" s="17" t="s">
        <v>1337</v>
      </c>
      <c r="F3110" s="17" t="s">
        <v>436</v>
      </c>
      <c r="G3110" s="18"/>
      <c r="H3110" s="18"/>
    </row>
    <row r="3111" spans="1:8" ht="13.2">
      <c r="A3111" s="19" t="str">
        <f>HYPERLINK("http://codeforces.com/contest/939/problem/E","CF939-D2-E")</f>
        <v>CF939-D2-E</v>
      </c>
      <c r="B3111" s="20" t="s">
        <v>929</v>
      </c>
      <c r="C3111" s="17">
        <v>5.5</v>
      </c>
      <c r="D3111" s="18"/>
      <c r="E3111" s="17" t="s">
        <v>910</v>
      </c>
      <c r="F3111" s="17" t="s">
        <v>242</v>
      </c>
      <c r="G3111" s="18"/>
      <c r="H3111" s="18"/>
    </row>
    <row r="3112" spans="1:8" ht="13.2">
      <c r="A3112" s="19" t="str">
        <f>HYPERLINK("https://www.facebook.com/hackercup/problem/1153996538071503/", "FbHkrCup 18-RQ-C")</f>
        <v>FbHkrCup 18-RQ-C</v>
      </c>
      <c r="B3112" s="20" t="s">
        <v>5721</v>
      </c>
      <c r="C3112" s="21">
        <v>5.5</v>
      </c>
      <c r="D3112" s="26" t="str">
        <f>HYPERLINK("https://github.com/SpeedOfMagic/CompetitiveProgramming/blob/master/FbHkrCup/FbHkrCup%2018-Ethan-Searches-for-a-String.cpp","ACC")</f>
        <v>ACC</v>
      </c>
      <c r="E3112" s="17" t="s">
        <v>5702</v>
      </c>
      <c r="F3112" s="17" t="s">
        <v>242</v>
      </c>
      <c r="G3112" s="18"/>
      <c r="H3112" s="18"/>
    </row>
    <row r="3113" spans="1:8" ht="13.2">
      <c r="A3113" s="19" t="str">
        <f>HYPERLINK("http://codeforces.com/contest/746/problem/F","CF746-D2-F")</f>
        <v>CF746-D2-F</v>
      </c>
      <c r="B3113" s="18" t="s">
        <v>6046</v>
      </c>
      <c r="C3113" s="17">
        <v>5.5</v>
      </c>
      <c r="D3113" s="18"/>
      <c r="E3113" s="17" t="s">
        <v>6040</v>
      </c>
      <c r="F3113" s="17" t="s">
        <v>242</v>
      </c>
      <c r="G3113" s="18"/>
      <c r="H3113" s="18"/>
    </row>
    <row r="3114" spans="1:8" ht="13.2">
      <c r="A3114" s="15" t="s">
        <v>6218</v>
      </c>
      <c r="B3114" s="29" t="s">
        <v>6219</v>
      </c>
      <c r="C3114" s="24">
        <v>5.5</v>
      </c>
      <c r="D3114" s="18"/>
      <c r="E3114" s="17" t="s">
        <v>6205</v>
      </c>
      <c r="F3114" s="17" t="s">
        <v>242</v>
      </c>
      <c r="G3114" s="18"/>
      <c r="H3114" s="18"/>
    </row>
    <row r="3115" spans="1:8" ht="13.2">
      <c r="A3115" s="15" t="s">
        <v>6296</v>
      </c>
      <c r="B3115" s="28" t="s">
        <v>6297</v>
      </c>
      <c r="C3115" s="24">
        <v>5.5</v>
      </c>
      <c r="D3115" s="18"/>
      <c r="E3115" s="17" t="s">
        <v>6275</v>
      </c>
      <c r="F3115" s="17" t="s">
        <v>242</v>
      </c>
      <c r="G3115" s="18"/>
      <c r="H3115" s="18"/>
    </row>
    <row r="3116" spans="1:8" ht="13.2">
      <c r="A3116" s="15" t="s">
        <v>1532</v>
      </c>
      <c r="B3116" s="35" t="s">
        <v>1346</v>
      </c>
      <c r="C3116" s="40">
        <v>5.5</v>
      </c>
      <c r="D3116" s="18"/>
      <c r="E3116" s="17" t="s">
        <v>1337</v>
      </c>
      <c r="F3116" s="17" t="s">
        <v>242</v>
      </c>
      <c r="G3116" s="18"/>
      <c r="H3116" s="18"/>
    </row>
    <row r="3117" spans="1:8" ht="13.2">
      <c r="A3117" s="15" t="s">
        <v>1862</v>
      </c>
      <c r="B3117" s="18" t="s">
        <v>1818</v>
      </c>
      <c r="C3117" s="17">
        <v>5.5</v>
      </c>
      <c r="D3117" s="26" t="str">
        <f>HYPERLINK("https://github.com/ilyesG/Competitive-Programming/blob/master/LiveArchive/LIVEARCHIVE%203995.cpp","Sol")</f>
        <v>Sol</v>
      </c>
      <c r="E3117" s="17" t="s">
        <v>1819</v>
      </c>
      <c r="F3117" s="17" t="s">
        <v>242</v>
      </c>
      <c r="G3117" s="18"/>
      <c r="H3117" s="18"/>
    </row>
    <row r="3118" spans="1:8" ht="13.2">
      <c r="A3118" s="15" t="s">
        <v>528</v>
      </c>
      <c r="B3118" s="15" t="s">
        <v>529</v>
      </c>
      <c r="C3118" s="17">
        <v>5.5</v>
      </c>
      <c r="D3118" s="18"/>
      <c r="E3118" s="17" t="s">
        <v>503</v>
      </c>
      <c r="F3118" s="17" t="s">
        <v>242</v>
      </c>
      <c r="G3118" s="18"/>
      <c r="H3118" s="18"/>
    </row>
    <row r="3119" spans="1:8" ht="13.2">
      <c r="A3119" s="19" t="str">
        <f>HYPERLINK("http://codeforces.com/contest/897/problem/D","CF897-D2-D")</f>
        <v>CF897-D2-D</v>
      </c>
      <c r="B3119" s="18" t="s">
        <v>2161</v>
      </c>
      <c r="C3119" s="17">
        <v>5.5</v>
      </c>
      <c r="D3119" s="18"/>
      <c r="E3119" s="17" t="s">
        <v>2153</v>
      </c>
      <c r="F3119" s="17" t="s">
        <v>242</v>
      </c>
      <c r="G3119" s="18"/>
      <c r="H3119" s="18"/>
    </row>
    <row r="3120" spans="1:8" ht="13.2">
      <c r="A3120" s="19" t="str">
        <f>HYPERLINK("https://codeforces.com/gym/101917/problem/E", "CF101917-D12-E")</f>
        <v>CF101917-D12-E</v>
      </c>
      <c r="B3120" s="15" t="s">
        <v>2678</v>
      </c>
      <c r="C3120" s="17">
        <v>5.5</v>
      </c>
      <c r="D3120" s="26" t="str">
        <f>HYPERLINK("https://github.com/Huvok/CompetitiveProgramming/blob/master/Codeforces/CF101917-D12-E.cpp", "ol")</f>
        <v>ol</v>
      </c>
      <c r="E3120" s="17" t="s">
        <v>2510</v>
      </c>
      <c r="F3120" s="17" t="s">
        <v>242</v>
      </c>
      <c r="G3120" s="18"/>
      <c r="H3120" s="18"/>
    </row>
    <row r="3121" spans="1:8" ht="13.2">
      <c r="A3121" s="19" t="str">
        <f>HYPERLINK("http://codeforces.com/gym/100531/problem/H","CF100531-gym-H")</f>
        <v>CF100531-gym-H</v>
      </c>
      <c r="B3121" s="29" t="s">
        <v>2679</v>
      </c>
      <c r="C3121" s="17">
        <v>5.5</v>
      </c>
      <c r="D3121" s="26" t="str">
        <f>HYPERLINK("https://github.com/OmarHashim/Competitive-Programming/blob/master/CodeForces/CF100531-GYM-H.cpp","Sol")</f>
        <v>Sol</v>
      </c>
      <c r="E3121" s="17" t="s">
        <v>2510</v>
      </c>
      <c r="F3121" s="17" t="s">
        <v>242</v>
      </c>
      <c r="G3121" s="18"/>
      <c r="H3121" s="18"/>
    </row>
    <row r="3122" spans="1:8" ht="13.2">
      <c r="A3122" s="19" t="str">
        <f>HYPERLINK("https://www.facebook.com/hackercup/problem/638251746380051/", "FbHkrCup 18-R2-B")</f>
        <v>FbHkrCup 18-R2-B</v>
      </c>
      <c r="B3122" s="20" t="s">
        <v>3380</v>
      </c>
      <c r="C3122" s="21">
        <v>5.5</v>
      </c>
      <c r="D3122" s="18"/>
      <c r="E3122" s="17" t="s">
        <v>3257</v>
      </c>
      <c r="F3122" s="17" t="s">
        <v>242</v>
      </c>
      <c r="G3122" s="18"/>
      <c r="H3122" s="18"/>
    </row>
    <row r="3123" spans="1:8" ht="13.2">
      <c r="A3123" s="19" t="str">
        <f>HYPERLINK("http://codeforces.com/contest/237/problem/D","CF237-D2-D")</f>
        <v>CF237-D2-D</v>
      </c>
      <c r="B3123" s="29" t="s">
        <v>3661</v>
      </c>
      <c r="C3123" s="17">
        <v>5.5</v>
      </c>
      <c r="D3123" s="18"/>
      <c r="E3123" s="17" t="s">
        <v>3650</v>
      </c>
      <c r="F3123" s="17" t="s">
        <v>242</v>
      </c>
      <c r="G3123" s="18"/>
      <c r="H3123" s="18"/>
    </row>
    <row r="3124" spans="1:8" ht="13.2">
      <c r="A3124" s="15" t="s">
        <v>4010</v>
      </c>
      <c r="B3124" s="30" t="s">
        <v>4006</v>
      </c>
      <c r="C3124" s="24">
        <v>5.5</v>
      </c>
      <c r="D3124" s="18"/>
      <c r="E3124" s="17" t="s">
        <v>3998</v>
      </c>
      <c r="F3124" s="17" t="s">
        <v>242</v>
      </c>
      <c r="G3124" s="18"/>
      <c r="H3124" s="18"/>
    </row>
    <row r="3125" spans="1:8" ht="13.2">
      <c r="A3125" s="19" t="str">
        <f>HYPERLINK("https://uva.onlinejudge.org/index.php?option=com_onlinejudge&amp;Itemid=8&amp;page=show_problem&amp;problem=2100","UVA 11159")</f>
        <v>UVA 11159</v>
      </c>
      <c r="B3125" s="29" t="s">
        <v>4201</v>
      </c>
      <c r="C3125" s="17">
        <v>5.5</v>
      </c>
      <c r="D3125" s="26" t="str">
        <f>HYPERLINK("https://github.com/mostafa-saad/MyCompetitiveProgramming/blob/master/UVA/UVA_11159.txt","Sol")</f>
        <v>Sol</v>
      </c>
      <c r="E3125" s="17" t="s">
        <v>4144</v>
      </c>
      <c r="F3125" s="17" t="s">
        <v>242</v>
      </c>
      <c r="G3125" s="18"/>
      <c r="H3125" s="18"/>
    </row>
    <row r="3126" spans="1:8" ht="13.2">
      <c r="A3126" s="19" t="str">
        <f>HYPERLINK("https://codeforces.com/gym/101286/problem/E","CF101286-GYM-E")</f>
        <v>CF101286-GYM-E</v>
      </c>
      <c r="B3126" s="15" t="s">
        <v>4279</v>
      </c>
      <c r="C3126" s="17">
        <v>5.5</v>
      </c>
      <c r="D3126" s="26" t="str">
        <f>HYPERLINK("https://github.com/SpeedOfMagic/CompetitiveProgramming/blob/master/CodeforcesGym/CF101286-GYM-E.cpp","Sol")</f>
        <v>Sol</v>
      </c>
      <c r="E3126" s="17" t="s">
        <v>4275</v>
      </c>
      <c r="F3126" s="17" t="s">
        <v>242</v>
      </c>
      <c r="G3126" s="18"/>
      <c r="H3126" s="18"/>
    </row>
    <row r="3127" spans="1:8" ht="13.2">
      <c r="A3127" s="19" t="str">
        <f>HYPERLINK("http://www.codechef.com/problems/RRTREE","CODECHEF RRTREE")</f>
        <v>CODECHEF RRTREE</v>
      </c>
      <c r="B3127" s="42" t="s">
        <v>4488</v>
      </c>
      <c r="C3127" s="31">
        <v>5.5</v>
      </c>
      <c r="D3127" s="18"/>
      <c r="E3127" s="17" t="s">
        <v>4454</v>
      </c>
      <c r="F3127" s="17" t="s">
        <v>242</v>
      </c>
      <c r="G3127" s="18"/>
      <c r="H3127" s="18"/>
    </row>
    <row r="3128" spans="1:8" ht="13.2">
      <c r="A3128" s="19" t="str">
        <f>HYPERLINK("http://codeforces.com/problemset/problem/120/E","CF975-D2-D")</f>
        <v>CF975-D2-D</v>
      </c>
      <c r="B3128" s="20" t="s">
        <v>4530</v>
      </c>
      <c r="C3128" s="17">
        <v>5.5</v>
      </c>
      <c r="D3128" s="26" t="str">
        <f>HYPERLINK("https://github.com/Huvok/CompetitiveProgramming/blob/master/Codeforces/CF975-D2-D.cpp","Sol")</f>
        <v>Sol</v>
      </c>
      <c r="E3128" s="17" t="s">
        <v>4531</v>
      </c>
      <c r="F3128" s="17" t="s">
        <v>242</v>
      </c>
      <c r="G3128" s="18"/>
      <c r="H3128" s="18"/>
    </row>
    <row r="3129" spans="1:8" ht="13.2">
      <c r="A3129" s="19" t="str">
        <f>HYPERLINK("https://onlinejudge.org/index.php?option=onlinejudge&amp;Itemid=8&amp;page=show_problem&amp;problem=2233","UVA 11266")</f>
        <v>UVA 11266</v>
      </c>
      <c r="B3129" s="30" t="s">
        <v>1809</v>
      </c>
      <c r="C3129" s="24">
        <v>5.5</v>
      </c>
      <c r="D3129" s="26" t="str">
        <f>HYPERLINK("https://morris821028.github.io/2014/07/06/oj/uva/uva-11266/","Sol")</f>
        <v>Sol</v>
      </c>
      <c r="E3129" s="17" t="s">
        <v>1793</v>
      </c>
      <c r="F3129" s="17" t="s">
        <v>1810</v>
      </c>
      <c r="G3129" s="18"/>
      <c r="H3129" s="18"/>
    </row>
    <row r="3130" spans="1:8" ht="13.2">
      <c r="A3130" s="15" t="s">
        <v>218</v>
      </c>
      <c r="B3130" s="16" t="s">
        <v>219</v>
      </c>
      <c r="C3130" s="17">
        <v>5.5</v>
      </c>
      <c r="D3130" s="18"/>
      <c r="E3130" s="17" t="s">
        <v>125</v>
      </c>
      <c r="F3130" s="17"/>
      <c r="G3130" s="18"/>
      <c r="H3130" s="18"/>
    </row>
    <row r="3131" spans="1:8" ht="13.2">
      <c r="A3131" s="15" t="s">
        <v>220</v>
      </c>
      <c r="B3131" s="28" t="s">
        <v>221</v>
      </c>
      <c r="C3131" s="24">
        <v>5.5</v>
      </c>
      <c r="D3131" s="26" t="str">
        <f>HYPERLINK("https://github.com/OmarHashim/Competitive-Programming/blob/master/LiveArchive/3695.cpp","Sol")</f>
        <v>Sol</v>
      </c>
      <c r="E3131" s="24" t="s">
        <v>125</v>
      </c>
      <c r="F3131" s="17"/>
      <c r="G3131" s="18"/>
      <c r="H3131" s="18"/>
    </row>
    <row r="3132" spans="1:8" ht="13.2">
      <c r="A3132" s="15" t="s">
        <v>222</v>
      </c>
      <c r="B3132" s="16" t="s">
        <v>223</v>
      </c>
      <c r="C3132" s="17">
        <v>5.5</v>
      </c>
      <c r="D3132" s="18"/>
      <c r="E3132" s="17" t="s">
        <v>125</v>
      </c>
      <c r="F3132" s="17"/>
      <c r="G3132" s="18"/>
      <c r="H3132" s="18"/>
    </row>
    <row r="3133" spans="1:8" ht="13.2">
      <c r="A3133" s="19" t="str">
        <f>HYPERLINK("https://code.google.com/codejam/contest/189252/dashboard#s=p1&amp;a=1","CODEJAM 09-R1C-B")</f>
        <v>CODEJAM 09-R1C-B</v>
      </c>
      <c r="B3133" s="29" t="s">
        <v>924</v>
      </c>
      <c r="C3133" s="24">
        <v>5.5</v>
      </c>
      <c r="D3133" s="18"/>
      <c r="E3133" s="17" t="s">
        <v>910</v>
      </c>
      <c r="F3133" s="17"/>
      <c r="G3133" s="18"/>
      <c r="H3133" s="18"/>
    </row>
    <row r="3134" spans="1:8" ht="13.2">
      <c r="A3134" s="15" t="s">
        <v>5673</v>
      </c>
      <c r="B3134" s="18" t="s">
        <v>5642</v>
      </c>
      <c r="C3134" s="17">
        <v>5.5</v>
      </c>
      <c r="D3134" s="26" t="str">
        <f>HYPERLINK("https://github.com/HosamEissa/Competitive-programming-/blob/master/ACM-ICPC%20Live%20Archive/4682.cpp","Sol")</f>
        <v>Sol</v>
      </c>
      <c r="E3134" s="17" t="s">
        <v>5643</v>
      </c>
      <c r="F3134" s="17"/>
      <c r="G3134" s="18"/>
      <c r="H3134" s="18"/>
    </row>
    <row r="3135" spans="1:8" ht="13.2">
      <c r="A3135" s="19" t="str">
        <f>HYPERLINK("http://codeforces.com/contest/455/problem/B","CF455-D1-B")</f>
        <v>CF455-D1-B</v>
      </c>
      <c r="B3135" s="15" t="s">
        <v>5674</v>
      </c>
      <c r="C3135" s="17">
        <v>5.5</v>
      </c>
      <c r="D3135" s="18"/>
      <c r="E3135" s="17" t="s">
        <v>5643</v>
      </c>
      <c r="F3135" s="17"/>
      <c r="G3135" s="18"/>
      <c r="H3135" s="18"/>
    </row>
    <row r="3136" spans="1:8" ht="13.2">
      <c r="A3136" s="15" t="s">
        <v>5723</v>
      </c>
      <c r="B3136" s="28" t="s">
        <v>5714</v>
      </c>
      <c r="C3136" s="17">
        <v>5.5</v>
      </c>
      <c r="D3136" s="18"/>
      <c r="E3136" s="17" t="s">
        <v>5702</v>
      </c>
      <c r="F3136" s="17"/>
      <c r="G3136" s="18"/>
      <c r="H3136" s="18"/>
    </row>
    <row r="3137" spans="1:8" ht="13.2">
      <c r="A3137" s="15" t="s">
        <v>5724</v>
      </c>
      <c r="B3137" s="28" t="s">
        <v>5725</v>
      </c>
      <c r="C3137" s="24">
        <v>5.5</v>
      </c>
      <c r="D3137" s="26" t="str">
        <f>HYPERLINK("https://github.com/Huvok/CompetitiveProgramming/blob/master/UVA/11475.cpp", "Sol")</f>
        <v>Sol</v>
      </c>
      <c r="E3137" s="17" t="s">
        <v>5702</v>
      </c>
      <c r="F3137" s="17"/>
      <c r="G3137" s="18"/>
      <c r="H3137" s="18"/>
    </row>
    <row r="3138" spans="1:8" ht="13.2">
      <c r="A3138" s="19" t="str">
        <f>HYPERLINK("http://codeforces.com/problemset/problem/113/B","CF113-D1-B")</f>
        <v>CF113-D1-B</v>
      </c>
      <c r="B3138" s="37" t="s">
        <v>5796</v>
      </c>
      <c r="C3138" s="17">
        <v>5.5</v>
      </c>
      <c r="D3138" s="18"/>
      <c r="E3138" s="17" t="s">
        <v>5794</v>
      </c>
      <c r="F3138" s="17"/>
      <c r="G3138" s="18"/>
      <c r="H3138" s="18"/>
    </row>
    <row r="3139" spans="1:8" ht="13.2">
      <c r="A3139" s="19" t="str">
        <f>HYPERLINK("http://codeforces.com/contest/123/problem/D","CF123-D1-D")</f>
        <v>CF123-D1-D</v>
      </c>
      <c r="B3139" s="28" t="s">
        <v>5795</v>
      </c>
      <c r="C3139" s="17">
        <v>5.5</v>
      </c>
      <c r="D3139" s="18"/>
      <c r="E3139" s="17" t="s">
        <v>5794</v>
      </c>
      <c r="F3139" s="17"/>
      <c r="G3139" s="18"/>
      <c r="H3139" s="18"/>
    </row>
    <row r="3140" spans="1:8" ht="13.2">
      <c r="A3140" s="19" t="str">
        <f>HYPERLINK("https://codeforces.com/contest/1200/problem/E","CF1200-D2-E")</f>
        <v>CF1200-D2-E</v>
      </c>
      <c r="B3140" s="15" t="s">
        <v>5863</v>
      </c>
      <c r="C3140" s="17">
        <v>5.5</v>
      </c>
      <c r="D3140" s="18"/>
      <c r="E3140" s="17" t="s">
        <v>5857</v>
      </c>
      <c r="F3140" s="17"/>
      <c r="G3140" s="18"/>
      <c r="H3140" s="18"/>
    </row>
    <row r="3141" spans="1:8" ht="13.2">
      <c r="A3141" s="19" t="str">
        <f>HYPERLINK("http://codeforces.com/contest/617/problem/E","CF617-D2-E")</f>
        <v>CF617-D2-E</v>
      </c>
      <c r="B3141" s="29" t="s">
        <v>5914</v>
      </c>
      <c r="C3141" s="17">
        <v>5.5</v>
      </c>
      <c r="D3141" s="18"/>
      <c r="E3141" s="17" t="s">
        <v>5915</v>
      </c>
      <c r="F3141" s="17"/>
      <c r="G3141" s="18"/>
      <c r="H3141" s="18"/>
    </row>
    <row r="3142" spans="1:8" ht="13.2">
      <c r="A3142" s="15" t="s">
        <v>5951</v>
      </c>
      <c r="B3142" s="18" t="s">
        <v>5952</v>
      </c>
      <c r="C3142" s="17">
        <v>5.5</v>
      </c>
      <c r="D3142" s="26" t="str">
        <f>HYPERLINK("http://mypaper.pchome.com.tw/zerojudge/post/1324765427","Sol")</f>
        <v>Sol</v>
      </c>
      <c r="E3142" s="17" t="s">
        <v>5947</v>
      </c>
      <c r="F3142" s="17"/>
      <c r="G3142" s="18"/>
      <c r="H3142" s="18"/>
    </row>
    <row r="3143" spans="1:8" ht="13.2">
      <c r="A3143" s="19" t="str">
        <f>HYPERLINK("http://codeforces.com/contest/719/problem/C","CF719-D2-C")</f>
        <v>CF719-D2-C</v>
      </c>
      <c r="B3143" s="29" t="s">
        <v>5961</v>
      </c>
      <c r="C3143" s="17">
        <v>5.5</v>
      </c>
      <c r="D3143" s="18"/>
      <c r="E3143" s="17" t="s">
        <v>5958</v>
      </c>
      <c r="F3143" s="17"/>
      <c r="G3143" s="18"/>
      <c r="H3143" s="18"/>
    </row>
    <row r="3144" spans="1:8" ht="13.2">
      <c r="A3144" s="19" t="str">
        <f>HYPERLINK("https://csacademy.com/contest/round-79/task/groups/","CSA79-D")</f>
        <v>CSA79-D</v>
      </c>
      <c r="B3144" s="20" t="s">
        <v>5961</v>
      </c>
      <c r="C3144" s="17">
        <v>5.5</v>
      </c>
      <c r="D3144" s="26" t="str">
        <f>HYPERLINK("https://github.com/timpostuvan/CompetitiveProgramming/blob/master/CSAcademy/CSA79-D.cpp","Sol")</f>
        <v>Sol</v>
      </c>
      <c r="E3144" s="17" t="s">
        <v>5958</v>
      </c>
      <c r="F3144" s="17"/>
      <c r="G3144" s="18"/>
      <c r="H3144" s="18"/>
    </row>
    <row r="3145" spans="1:8" ht="13.2">
      <c r="A3145" s="15" t="s">
        <v>6050</v>
      </c>
      <c r="B3145" s="30" t="s">
        <v>6051</v>
      </c>
      <c r="C3145" s="24">
        <v>5.5</v>
      </c>
      <c r="D3145" s="26" t="str">
        <f>HYPERLINK("https://github.com/MohamedNabil97/CompetitiveProgramming/tree/master/UVA/1344.cpp","Sol")</f>
        <v>Sol</v>
      </c>
      <c r="E3145" s="17" t="s">
        <v>6040</v>
      </c>
      <c r="F3145" s="17"/>
      <c r="G3145" s="18"/>
      <c r="H3145" s="18"/>
    </row>
    <row r="3146" spans="1:8" ht="13.2">
      <c r="A3146" s="15" t="s">
        <v>6130</v>
      </c>
      <c r="B3146" s="30" t="s">
        <v>6131</v>
      </c>
      <c r="C3146" s="40">
        <v>5.5</v>
      </c>
      <c r="D3146" s="26" t="str">
        <f>HYPERLINK("https://github.com/MedoN11/CompetitiveProgramming/blob/master/TopCoder/SRM546-D1-500.cpp","Sol")</f>
        <v>Sol</v>
      </c>
      <c r="E3146" s="17" t="s">
        <v>6118</v>
      </c>
      <c r="F3146" s="17"/>
      <c r="G3146" s="18"/>
      <c r="H3146" s="18"/>
    </row>
    <row r="3147" spans="1:8" ht="13.2">
      <c r="A3147" s="15" t="s">
        <v>6220</v>
      </c>
      <c r="B3147" s="29" t="s">
        <v>6221</v>
      </c>
      <c r="C3147" s="24">
        <v>5.5</v>
      </c>
      <c r="D3147" s="18"/>
      <c r="E3147" s="17" t="s">
        <v>6205</v>
      </c>
      <c r="F3147" s="17"/>
      <c r="G3147" s="18"/>
      <c r="H3147" s="18"/>
    </row>
    <row r="3148" spans="1:8" ht="13.2">
      <c r="A3148" s="15" t="s">
        <v>6268</v>
      </c>
      <c r="B3148" s="48" t="s">
        <v>6269</v>
      </c>
      <c r="C3148" s="17">
        <v>5.5</v>
      </c>
      <c r="D3148" s="18"/>
      <c r="E3148" s="17" t="s">
        <v>6246</v>
      </c>
      <c r="F3148" s="17"/>
      <c r="G3148" s="18"/>
      <c r="H3148" s="18"/>
    </row>
    <row r="3149" spans="1:8" ht="13.2">
      <c r="A3149" s="15" t="s">
        <v>6334</v>
      </c>
      <c r="B3149" s="28" t="s">
        <v>6335</v>
      </c>
      <c r="C3149" s="24">
        <v>5.5</v>
      </c>
      <c r="D3149" s="26" t="str">
        <f>HYPERLINK("https://github.com/mostafa-saad/MyCompetitiveProgramming/blob/master/PKU/PKU_2763.txt","Sol")</f>
        <v>Sol</v>
      </c>
      <c r="E3149" s="17" t="s">
        <v>6311</v>
      </c>
      <c r="F3149" s="17"/>
      <c r="G3149" s="18"/>
      <c r="H3149" s="18"/>
    </row>
    <row r="3150" spans="1:8" ht="13.2">
      <c r="A3150" s="19" t="str">
        <f>HYPERLINK("https://codeforces.com/contest/1207/problem/F", "CF1207-D12-F")</f>
        <v>CF1207-D12-F</v>
      </c>
      <c r="B3150" s="20" t="s">
        <v>6413</v>
      </c>
      <c r="C3150" s="17">
        <v>5.5</v>
      </c>
      <c r="D3150" s="18"/>
      <c r="E3150" s="17" t="s">
        <v>6397</v>
      </c>
      <c r="F3150" s="17"/>
      <c r="G3150" s="18"/>
      <c r="H3150" s="18"/>
    </row>
    <row r="3151" spans="1:8" ht="13.2">
      <c r="A3151" s="19" t="str">
        <f>HYPERLINK("http://codeforces.com/contest/482/problem/B","CF482-D1-B")</f>
        <v>CF482-D1-B</v>
      </c>
      <c r="B3151" s="29" t="s">
        <v>1017</v>
      </c>
      <c r="C3151" s="17">
        <v>5.5</v>
      </c>
      <c r="D3151" s="18"/>
      <c r="E3151" s="17" t="s">
        <v>1018</v>
      </c>
      <c r="F3151" s="17"/>
      <c r="G3151" s="18"/>
      <c r="H3151" s="18"/>
    </row>
    <row r="3152" spans="1:8" ht="13.2">
      <c r="A3152" s="19" t="str">
        <f>HYPERLINK("http://codeforces.com/contest/483/problem/D","CF483-D2-D")</f>
        <v>CF483-D2-D</v>
      </c>
      <c r="B3152" s="18" t="s">
        <v>1017</v>
      </c>
      <c r="C3152" s="17">
        <v>5.5</v>
      </c>
      <c r="D3152" s="18"/>
      <c r="E3152" s="17" t="s">
        <v>1018</v>
      </c>
      <c r="F3152" s="17"/>
      <c r="G3152" s="18"/>
      <c r="H3152" s="18"/>
    </row>
    <row r="3153" spans="1:8" ht="13.2">
      <c r="A3153" s="19" t="str">
        <f>HYPERLINK("http://codeforces.com/contest/400/problem/E","CF400-D2-E")</f>
        <v>CF400-D2-E</v>
      </c>
      <c r="B3153" s="20" t="s">
        <v>1179</v>
      </c>
      <c r="C3153" s="17">
        <v>5.5</v>
      </c>
      <c r="D3153" s="18"/>
      <c r="E3153" s="17" t="s">
        <v>1018</v>
      </c>
      <c r="F3153" s="17"/>
      <c r="G3153" s="18"/>
      <c r="H3153" s="18"/>
    </row>
    <row r="3154" spans="1:8" ht="13.2">
      <c r="A3154" s="19" t="str">
        <f>HYPERLINK("http://codeforces.com/contest/474/problem/E","CF474-D2-E")</f>
        <v>CF474-D2-E</v>
      </c>
      <c r="B3154" s="29" t="s">
        <v>1180</v>
      </c>
      <c r="C3154" s="17">
        <v>5.5</v>
      </c>
      <c r="D3154" s="18"/>
      <c r="E3154" s="17" t="s">
        <v>1018</v>
      </c>
      <c r="F3154" s="17"/>
      <c r="G3154" s="18"/>
      <c r="H3154" s="18"/>
    </row>
    <row r="3155" spans="1:8" ht="13.2">
      <c r="A3155" s="19" t="str">
        <f>HYPERLINK("https://codeforces.com/contest/1263/problem/E","CF1263-D2-E")</f>
        <v>CF1263-D2-E</v>
      </c>
      <c r="B3155" s="20" t="s">
        <v>1122</v>
      </c>
      <c r="C3155" s="21">
        <v>5.5</v>
      </c>
      <c r="D3155" s="18"/>
      <c r="E3155" s="17" t="s">
        <v>1018</v>
      </c>
      <c r="F3155" s="17"/>
      <c r="G3155" s="18"/>
      <c r="H3155" s="18"/>
    </row>
    <row r="3156" spans="1:8" ht="13.2">
      <c r="A3156" s="19" t="str">
        <f>HYPERLINK("http://codeforces.com/contest/67/problem/D","CF67-D12-D")</f>
        <v>CF67-D12-D</v>
      </c>
      <c r="B3156" s="15" t="s">
        <v>1181</v>
      </c>
      <c r="C3156" s="17">
        <v>5.5</v>
      </c>
      <c r="D3156" s="18"/>
      <c r="E3156" s="17" t="s">
        <v>1018</v>
      </c>
      <c r="F3156" s="17"/>
      <c r="G3156" s="18"/>
      <c r="H3156" s="18"/>
    </row>
    <row r="3157" spans="1:8" ht="13.2">
      <c r="A3157" s="15" t="s">
        <v>1281</v>
      </c>
      <c r="B3157" s="30" t="s">
        <v>1222</v>
      </c>
      <c r="C3157" s="24">
        <v>5.5</v>
      </c>
      <c r="D3157" s="18"/>
      <c r="E3157" s="17" t="s">
        <v>1223</v>
      </c>
      <c r="F3157" s="17"/>
      <c r="G3157" s="18"/>
      <c r="H3157" s="18"/>
    </row>
    <row r="3158" spans="1:8" ht="13.2">
      <c r="A3158" s="19" t="str">
        <f>HYPERLINK("http://codeforces.com/contest/985/problem/E","CF985-D12-E")</f>
        <v>CF985-D12-E</v>
      </c>
      <c r="B3158" s="15" t="s">
        <v>1282</v>
      </c>
      <c r="C3158" s="17">
        <v>5.5</v>
      </c>
      <c r="D3158" s="18"/>
      <c r="E3158" s="17" t="s">
        <v>1223</v>
      </c>
      <c r="F3158" s="17"/>
      <c r="G3158" s="18"/>
      <c r="H3158" s="18"/>
    </row>
    <row r="3159" spans="1:8" ht="13.2">
      <c r="A3159" s="15" t="s">
        <v>1533</v>
      </c>
      <c r="B3159" s="34" t="s">
        <v>1348</v>
      </c>
      <c r="C3159" s="31">
        <v>5.5</v>
      </c>
      <c r="D3159" s="18"/>
      <c r="E3159" s="17" t="s">
        <v>1337</v>
      </c>
      <c r="F3159" s="17"/>
      <c r="G3159" s="18"/>
      <c r="H3159" s="18"/>
    </row>
    <row r="3160" spans="1:8" ht="13.2">
      <c r="A3160" s="15" t="s">
        <v>1534</v>
      </c>
      <c r="B3160" s="35" t="s">
        <v>1348</v>
      </c>
      <c r="C3160" s="40">
        <v>5.5</v>
      </c>
      <c r="D3160" s="18"/>
      <c r="E3160" s="17" t="s">
        <v>1337</v>
      </c>
      <c r="F3160" s="17"/>
      <c r="G3160" s="18"/>
      <c r="H3160" s="18"/>
    </row>
    <row r="3161" spans="1:8" ht="13.2">
      <c r="A3161" s="15" t="s">
        <v>1535</v>
      </c>
      <c r="B3161" s="30" t="s">
        <v>1348</v>
      </c>
      <c r="C3161" s="40">
        <v>5.5</v>
      </c>
      <c r="D3161" s="18"/>
      <c r="E3161" s="17" t="s">
        <v>1337</v>
      </c>
      <c r="F3161" s="17"/>
      <c r="G3161" s="18"/>
      <c r="H3161" s="18"/>
    </row>
    <row r="3162" spans="1:8" ht="13.2">
      <c r="A3162" s="15" t="s">
        <v>1536</v>
      </c>
      <c r="B3162" s="39" t="s">
        <v>1348</v>
      </c>
      <c r="C3162" s="24">
        <v>5.5</v>
      </c>
      <c r="D3162" s="26" t="str">
        <f>HYPERLINK("https://github.com/3agwa/CompetitiveProgramming/blob/master/TopCoder/SRM366-D1-1000.cpp","Sol")</f>
        <v>Sol</v>
      </c>
      <c r="E3162" s="17" t="s">
        <v>1337</v>
      </c>
      <c r="F3162" s="17"/>
      <c r="G3162" s="18"/>
      <c r="H3162" s="18"/>
    </row>
    <row r="3163" spans="1:8" ht="13.2">
      <c r="A3163" s="15" t="s">
        <v>1537</v>
      </c>
      <c r="B3163" s="30" t="s">
        <v>1348</v>
      </c>
      <c r="C3163" s="40">
        <v>5.5</v>
      </c>
      <c r="D3163" s="18"/>
      <c r="E3163" s="17" t="s">
        <v>1337</v>
      </c>
      <c r="F3163" s="17"/>
      <c r="G3163" s="18"/>
      <c r="H3163" s="18"/>
    </row>
    <row r="3164" spans="1:8" ht="13.2">
      <c r="A3164" s="15" t="s">
        <v>1538</v>
      </c>
      <c r="B3164" s="29" t="s">
        <v>1348</v>
      </c>
      <c r="C3164" s="40">
        <v>5.5</v>
      </c>
      <c r="D3164" s="18"/>
      <c r="E3164" s="17" t="s">
        <v>1337</v>
      </c>
      <c r="F3164" s="17"/>
      <c r="G3164" s="18"/>
      <c r="H3164" s="18"/>
    </row>
    <row r="3165" spans="1:8" ht="13.2">
      <c r="A3165" s="15" t="s">
        <v>1539</v>
      </c>
      <c r="B3165" s="30" t="s">
        <v>1348</v>
      </c>
      <c r="C3165" s="24">
        <v>5.5</v>
      </c>
      <c r="D3165" s="18"/>
      <c r="E3165" s="17" t="s">
        <v>1337</v>
      </c>
      <c r="F3165" s="17"/>
      <c r="G3165" s="18"/>
      <c r="H3165" s="18"/>
    </row>
    <row r="3166" spans="1:8" ht="13.2">
      <c r="A3166" s="15" t="s">
        <v>1540</v>
      </c>
      <c r="B3166" s="35" t="s">
        <v>1541</v>
      </c>
      <c r="C3166" s="40">
        <v>5.5</v>
      </c>
      <c r="D3166" s="18"/>
      <c r="E3166" s="17" t="s">
        <v>1337</v>
      </c>
      <c r="F3166" s="17"/>
      <c r="G3166" s="18"/>
      <c r="H3166" s="18"/>
    </row>
    <row r="3167" spans="1:8" ht="13.2">
      <c r="A3167" s="15" t="s">
        <v>1542</v>
      </c>
      <c r="B3167" s="30" t="s">
        <v>1541</v>
      </c>
      <c r="C3167" s="40">
        <v>5.5</v>
      </c>
      <c r="D3167" s="18"/>
      <c r="E3167" s="17" t="s">
        <v>1337</v>
      </c>
      <c r="F3167" s="17"/>
      <c r="G3167" s="18"/>
      <c r="H3167" s="18"/>
    </row>
    <row r="3168" spans="1:8" ht="13.2">
      <c r="A3168" s="19" t="str">
        <f>HYPERLINK("http://codeforces.com/contest/285/problem/D","CF285-D2-D")</f>
        <v>CF285-D2-D</v>
      </c>
      <c r="B3168" s="29" t="s">
        <v>1543</v>
      </c>
      <c r="C3168" s="17">
        <v>5.5</v>
      </c>
      <c r="D3168" s="18"/>
      <c r="E3168" s="17" t="s">
        <v>1337</v>
      </c>
      <c r="F3168" s="17"/>
      <c r="G3168" s="18"/>
      <c r="H3168" s="18"/>
    </row>
    <row r="3169" spans="1:8" ht="13.2">
      <c r="A3169" s="19" t="str">
        <f>HYPERLINK("https://www.codechef.com/problems/KGP13G","CODECHEF KGP13G")</f>
        <v>CODECHEF KGP13G</v>
      </c>
      <c r="B3169" s="29" t="s">
        <v>1544</v>
      </c>
      <c r="C3169" s="24">
        <v>5.5</v>
      </c>
      <c r="D3169" s="18"/>
      <c r="E3169" s="17" t="s">
        <v>1337</v>
      </c>
      <c r="F3169" s="17"/>
      <c r="G3169" s="18"/>
      <c r="H3169" s="18"/>
    </row>
    <row r="3170" spans="1:8" ht="13.2">
      <c r="A3170" s="15" t="s">
        <v>1545</v>
      </c>
      <c r="B3170" s="18" t="s">
        <v>1546</v>
      </c>
      <c r="C3170" s="31">
        <v>5.5</v>
      </c>
      <c r="D3170" s="18"/>
      <c r="E3170" s="17" t="s">
        <v>1337</v>
      </c>
      <c r="F3170" s="17"/>
      <c r="G3170" s="18"/>
      <c r="H3170" s="18"/>
    </row>
    <row r="3171" spans="1:8" ht="13.2">
      <c r="A3171" s="19" t="str">
        <f>HYPERLINK("http://codeforces.com/contest/361/problem/D","CF361-D2-D")</f>
        <v>CF361-D2-D</v>
      </c>
      <c r="B3171" s="29" t="s">
        <v>1350</v>
      </c>
      <c r="C3171" s="17">
        <v>5.5</v>
      </c>
      <c r="D3171" s="18"/>
      <c r="E3171" s="17" t="s">
        <v>1337</v>
      </c>
      <c r="F3171" s="17"/>
      <c r="G3171" s="18"/>
      <c r="H3171" s="18"/>
    </row>
    <row r="3172" spans="1:8" ht="13.2">
      <c r="A3172" s="19" t="str">
        <f>HYPERLINK("http://codeforces.com/contest/627/problem/A","CF627-D12-A")</f>
        <v>CF627-D12-A</v>
      </c>
      <c r="B3172" s="29" t="s">
        <v>1547</v>
      </c>
      <c r="C3172" s="17">
        <v>5.5</v>
      </c>
      <c r="D3172" s="18"/>
      <c r="E3172" s="17" t="s">
        <v>1337</v>
      </c>
      <c r="F3172" s="17"/>
      <c r="G3172" s="18"/>
      <c r="H3172" s="18"/>
    </row>
    <row r="3173" spans="1:8" ht="13.2">
      <c r="A3173" s="15" t="s">
        <v>1548</v>
      </c>
      <c r="B3173" s="30" t="s">
        <v>1549</v>
      </c>
      <c r="C3173" s="24">
        <v>5.5</v>
      </c>
      <c r="D3173" s="18"/>
      <c r="E3173" s="17" t="s">
        <v>1337</v>
      </c>
      <c r="F3173" s="17"/>
      <c r="G3173" s="18"/>
      <c r="H3173" s="18"/>
    </row>
    <row r="3174" spans="1:8" ht="13.2">
      <c r="A3174" s="15" t="s">
        <v>1550</v>
      </c>
      <c r="B3174" s="28" t="s">
        <v>1357</v>
      </c>
      <c r="C3174" s="24">
        <v>5.5</v>
      </c>
      <c r="D3174" s="18"/>
      <c r="E3174" s="17" t="s">
        <v>1337</v>
      </c>
      <c r="F3174" s="17"/>
      <c r="G3174" s="18"/>
      <c r="H3174" s="18"/>
    </row>
    <row r="3175" spans="1:8" ht="13.2">
      <c r="A3175" s="15" t="s">
        <v>1551</v>
      </c>
      <c r="B3175" s="18" t="s">
        <v>1358</v>
      </c>
      <c r="C3175" s="31">
        <v>5.5</v>
      </c>
      <c r="D3175" s="18"/>
      <c r="E3175" s="17" t="s">
        <v>1337</v>
      </c>
      <c r="F3175" s="17"/>
      <c r="G3175" s="18"/>
      <c r="H3175" s="18"/>
    </row>
    <row r="3176" spans="1:8" ht="13.2">
      <c r="A3176" s="15" t="s">
        <v>1552</v>
      </c>
      <c r="B3176" s="35" t="s">
        <v>1553</v>
      </c>
      <c r="C3176" s="40">
        <v>5.5</v>
      </c>
      <c r="D3176" s="18"/>
      <c r="E3176" s="17" t="s">
        <v>1337</v>
      </c>
      <c r="F3176" s="17"/>
      <c r="G3176" s="18"/>
      <c r="H3176" s="18"/>
    </row>
    <row r="3177" spans="1:8" ht="13.2">
      <c r="A3177" s="19" t="str">
        <f>HYPERLINK("http://codeforces.com/contest/404/problem/D","CF404-D2-D")</f>
        <v>CF404-D2-D</v>
      </c>
      <c r="B3177" s="18" t="s">
        <v>1354</v>
      </c>
      <c r="C3177" s="17">
        <v>5.5</v>
      </c>
      <c r="D3177" s="18"/>
      <c r="E3177" s="17" t="s">
        <v>1337</v>
      </c>
      <c r="F3177" s="17"/>
      <c r="G3177" s="18"/>
      <c r="H3177" s="18"/>
    </row>
    <row r="3178" spans="1:8" ht="13.2">
      <c r="A3178" s="19" t="str">
        <f>HYPERLINK("https://atcoder.jp/contests/abc120/tasks/abc118_d","AtCoder118-ABC-D")</f>
        <v>AtCoder118-ABC-D</v>
      </c>
      <c r="B3178" s="20" t="s">
        <v>1481</v>
      </c>
      <c r="C3178" s="21">
        <v>5.5</v>
      </c>
      <c r="D3178" s="18"/>
      <c r="E3178" s="17" t="s">
        <v>1337</v>
      </c>
      <c r="F3178" s="17"/>
      <c r="G3178" s="18"/>
      <c r="H3178" s="18"/>
    </row>
    <row r="3179" spans="1:8" ht="13.2">
      <c r="A3179" s="19" t="str">
        <f>HYPERLINK("http://codeforces.com/contest/202/problem/D","CF202-D2-D")</f>
        <v>CF202-D2-D</v>
      </c>
      <c r="B3179" s="29" t="s">
        <v>1346</v>
      </c>
      <c r="C3179" s="17">
        <v>5.5</v>
      </c>
      <c r="D3179" s="18"/>
      <c r="E3179" s="17" t="s">
        <v>1337</v>
      </c>
      <c r="F3179" s="17"/>
      <c r="G3179" s="18"/>
      <c r="H3179" s="18"/>
    </row>
    <row r="3180" spans="1:8" ht="13.2">
      <c r="A3180" s="15" t="s">
        <v>1554</v>
      </c>
      <c r="B3180" s="30" t="s">
        <v>1346</v>
      </c>
      <c r="C3180" s="40">
        <v>5.5</v>
      </c>
      <c r="D3180" s="18"/>
      <c r="E3180" s="17" t="s">
        <v>1337</v>
      </c>
      <c r="F3180" s="17"/>
      <c r="G3180" s="18"/>
      <c r="H3180" s="18"/>
    </row>
    <row r="3181" spans="1:8" ht="13.2">
      <c r="A3181" s="15" t="s">
        <v>1555</v>
      </c>
      <c r="B3181" s="16" t="s">
        <v>1346</v>
      </c>
      <c r="C3181" s="31">
        <v>5.5</v>
      </c>
      <c r="D3181" s="18"/>
      <c r="E3181" s="17" t="s">
        <v>1337</v>
      </c>
      <c r="F3181" s="17"/>
      <c r="G3181" s="18"/>
      <c r="H3181" s="18"/>
    </row>
    <row r="3182" spans="1:8" ht="13.2">
      <c r="A3182" s="15" t="s">
        <v>1556</v>
      </c>
      <c r="B3182" s="38" t="s">
        <v>1441</v>
      </c>
      <c r="C3182" s="17">
        <v>5.5</v>
      </c>
      <c r="D3182" s="18"/>
      <c r="E3182" s="17" t="s">
        <v>1337</v>
      </c>
      <c r="F3182" s="17"/>
      <c r="G3182" s="18"/>
      <c r="H3182" s="18"/>
    </row>
    <row r="3183" spans="1:8" ht="13.2">
      <c r="A3183" s="19" t="str">
        <f>HYPERLINK("http://codeforces.com/contest/42/problem/C","CF42-D12-C")</f>
        <v>CF42-D12-C</v>
      </c>
      <c r="B3183" s="29" t="s">
        <v>398</v>
      </c>
      <c r="C3183" s="17">
        <v>5.5</v>
      </c>
      <c r="D3183" s="18"/>
      <c r="E3183" s="17" t="s">
        <v>332</v>
      </c>
      <c r="F3183" s="17"/>
      <c r="G3183" s="18"/>
      <c r="H3183" s="18"/>
    </row>
    <row r="3184" spans="1:8" ht="13.2">
      <c r="A3184" s="15" t="s">
        <v>399</v>
      </c>
      <c r="B3184" s="16" t="s">
        <v>400</v>
      </c>
      <c r="C3184" s="17">
        <v>5.5</v>
      </c>
      <c r="D3184" s="18"/>
      <c r="E3184" s="17" t="s">
        <v>332</v>
      </c>
      <c r="F3184" s="17"/>
      <c r="G3184" s="18"/>
      <c r="H3184" s="18"/>
    </row>
    <row r="3185" spans="1:8" ht="13.2">
      <c r="A3185" s="19" t="str">
        <f>HYPERLINK("http://codeforces.com/contest/370/problem/D","CF370-D2-D")</f>
        <v>CF370-D2-D</v>
      </c>
      <c r="B3185" s="29" t="s">
        <v>341</v>
      </c>
      <c r="C3185" s="17">
        <v>5.5</v>
      </c>
      <c r="D3185" s="18"/>
      <c r="E3185" s="17" t="s">
        <v>332</v>
      </c>
      <c r="F3185" s="17"/>
      <c r="G3185" s="18"/>
      <c r="H3185" s="18"/>
    </row>
    <row r="3186" spans="1:8" ht="13.2">
      <c r="A3186" s="19" t="str">
        <f>HYPERLINK("http://codeforces.com/contest/105/problem/C","CF105-D12-C")</f>
        <v>CF105-D12-C</v>
      </c>
      <c r="B3186" s="29" t="s">
        <v>401</v>
      </c>
      <c r="C3186" s="24">
        <v>5.5</v>
      </c>
      <c r="D3186" s="18"/>
      <c r="E3186" s="24" t="s">
        <v>332</v>
      </c>
      <c r="F3186" s="17"/>
      <c r="G3186" s="18"/>
      <c r="H3186" s="18"/>
    </row>
    <row r="3187" spans="1:8" ht="13.2">
      <c r="A3187" s="19" t="str">
        <f>HYPERLINK("https://www.codechef.com/SNCK1A19/problems/AVGMAT","CODECHEF AVGMAT")</f>
        <v>CODECHEF AVGMAT</v>
      </c>
      <c r="B3187" s="15" t="s">
        <v>402</v>
      </c>
      <c r="C3187" s="17">
        <v>5.5</v>
      </c>
      <c r="D3187" s="18"/>
      <c r="E3187" s="17" t="s">
        <v>332</v>
      </c>
      <c r="F3187" s="17"/>
      <c r="G3187" s="18"/>
      <c r="H3187" s="18"/>
    </row>
    <row r="3188" spans="1:8" ht="13.2">
      <c r="A3188" s="15" t="s">
        <v>1740</v>
      </c>
      <c r="B3188" s="28" t="s">
        <v>1737</v>
      </c>
      <c r="C3188" s="24">
        <v>5.5</v>
      </c>
      <c r="D3188" s="18"/>
      <c r="E3188" s="17" t="s">
        <v>1734</v>
      </c>
      <c r="F3188" s="17"/>
      <c r="G3188" s="18"/>
      <c r="H3188" s="18"/>
    </row>
    <row r="3189" spans="1:8" ht="13.2">
      <c r="A3189" s="15" t="s">
        <v>1780</v>
      </c>
      <c r="B3189" s="28" t="s">
        <v>1781</v>
      </c>
      <c r="C3189" s="17">
        <v>5.5</v>
      </c>
      <c r="D3189" s="18"/>
      <c r="E3189" s="17" t="s">
        <v>1768</v>
      </c>
      <c r="F3189" s="17"/>
      <c r="G3189" s="18"/>
      <c r="H3189" s="18"/>
    </row>
    <row r="3190" spans="1:8" ht="13.2">
      <c r="A3190" s="15" t="s">
        <v>1811</v>
      </c>
      <c r="B3190" s="34" t="s">
        <v>1812</v>
      </c>
      <c r="C3190" s="31">
        <v>5.5</v>
      </c>
      <c r="D3190" s="26" t="str">
        <f>HYPERLINK("https://github.com/andriy-zhuk/CompetitiveProgramming/blob/master/TopCoder/SRM534-D1-500.cpp","sol")</f>
        <v>sol</v>
      </c>
      <c r="E3190" s="17" t="s">
        <v>1793</v>
      </c>
      <c r="F3190" s="17"/>
      <c r="G3190" s="18"/>
      <c r="H3190" s="18"/>
    </row>
    <row r="3191" spans="1:8" ht="13.2">
      <c r="A3191" s="19" t="str">
        <f>HYPERLINK("http://codeforces.com/problemset/gymProblem/100155/F","CF100155-GYM-F")</f>
        <v>CF100155-GYM-F</v>
      </c>
      <c r="B3191" s="29" t="s">
        <v>1818</v>
      </c>
      <c r="C3191" s="17">
        <v>5.5</v>
      </c>
      <c r="D3191" s="26" t="str">
        <f>HYPERLINK("https://github.com/OmarHashim/Competitive-Programming/blob/master/CodeForces/CF100155-GYM-F.cpp","Sol")</f>
        <v>Sol</v>
      </c>
      <c r="E3191" s="17" t="s">
        <v>1819</v>
      </c>
      <c r="F3191" s="17"/>
      <c r="G3191" s="18"/>
      <c r="H3191" s="18"/>
    </row>
    <row r="3192" spans="1:8" ht="13.2">
      <c r="A3192" s="15" t="s">
        <v>1863</v>
      </c>
      <c r="B3192" s="30" t="s">
        <v>1864</v>
      </c>
      <c r="C3192" s="24">
        <v>5.5</v>
      </c>
      <c r="D3192" s="18"/>
      <c r="E3192" s="17" t="s">
        <v>1819</v>
      </c>
      <c r="F3192" s="17"/>
      <c r="G3192" s="18"/>
      <c r="H3192" s="18"/>
    </row>
    <row r="3193" spans="1:8" ht="13.2">
      <c r="A3193" s="15" t="s">
        <v>1964</v>
      </c>
      <c r="B3193" s="30" t="s">
        <v>1965</v>
      </c>
      <c r="C3193" s="24">
        <v>5.5</v>
      </c>
      <c r="D3193" s="18"/>
      <c r="E3193" s="17" t="s">
        <v>1909</v>
      </c>
      <c r="F3193" s="17"/>
      <c r="G3193" s="18"/>
      <c r="H3193" s="18"/>
    </row>
    <row r="3194" spans="1:8" ht="13.2">
      <c r="A3194" s="15" t="s">
        <v>530</v>
      </c>
      <c r="B3194" s="16" t="s">
        <v>531</v>
      </c>
      <c r="C3194" s="17">
        <v>5.5</v>
      </c>
      <c r="D3194" s="18"/>
      <c r="E3194" s="17" t="s">
        <v>503</v>
      </c>
      <c r="F3194" s="17"/>
      <c r="G3194" s="18"/>
      <c r="H3194" s="18"/>
    </row>
    <row r="3195" spans="1:8" ht="13.2">
      <c r="A3195" s="19" t="str">
        <f>HYPERLINK("http://codeforces.com/gym/101201/problem/J","CF101201-gym-J")</f>
        <v>CF101201-gym-J</v>
      </c>
      <c r="B3195" s="15" t="s">
        <v>532</v>
      </c>
      <c r="C3195" s="17">
        <v>5.5</v>
      </c>
      <c r="D3195" s="26" t="str">
        <f>HYPERLINK("https://github.com/AbdelrahmanRamadan/competitive-programming/blob/master/Codeforces/CF101201-GYM-J.cpp","Sol")</f>
        <v>Sol</v>
      </c>
      <c r="E3195" s="17" t="s">
        <v>503</v>
      </c>
      <c r="F3195" s="17"/>
      <c r="G3195" s="18"/>
      <c r="H3195" s="18"/>
    </row>
    <row r="3196" spans="1:8" ht="13.2">
      <c r="A3196" s="15" t="s">
        <v>533</v>
      </c>
      <c r="B3196" s="41" t="s">
        <v>534</v>
      </c>
      <c r="C3196" s="31">
        <v>5.5</v>
      </c>
      <c r="D3196" s="18"/>
      <c r="E3196" s="17" t="s">
        <v>503</v>
      </c>
      <c r="F3196" s="17"/>
      <c r="G3196" s="18"/>
      <c r="H3196" s="18"/>
    </row>
    <row r="3197" spans="1:8" ht="13.2">
      <c r="A3197" s="19" t="str">
        <f>HYPERLINK("http://codeforces.com/contest/135/problem/C","CF135-D1-C")</f>
        <v>CF135-D1-C</v>
      </c>
      <c r="B3197" s="20" t="s">
        <v>2163</v>
      </c>
      <c r="C3197" s="17">
        <v>5.5</v>
      </c>
      <c r="D3197" s="18"/>
      <c r="E3197" s="17" t="s">
        <v>2153</v>
      </c>
      <c r="F3197" s="17"/>
      <c r="G3197" s="18"/>
      <c r="H3197" s="18"/>
    </row>
    <row r="3198" spans="1:8" ht="13.2">
      <c r="A3198" s="19" t="str">
        <f>HYPERLINK("https://codeforces.com/contest/159/problem/E","CF159-D2-E")</f>
        <v>CF159-D2-E</v>
      </c>
      <c r="B3198" s="23" t="s">
        <v>2163</v>
      </c>
      <c r="C3198" s="17">
        <v>5.5</v>
      </c>
      <c r="D3198" s="18"/>
      <c r="E3198" s="17" t="s">
        <v>2153</v>
      </c>
      <c r="F3198" s="17"/>
      <c r="G3198" s="18"/>
      <c r="H3198" s="18"/>
    </row>
    <row r="3199" spans="1:8" ht="13.2">
      <c r="A3199" s="19" t="str">
        <f>HYPERLINK("http://codeforces.com/contest/794/problem/C","CF414-D2-C")</f>
        <v>CF414-D2-C</v>
      </c>
      <c r="B3199" s="18" t="s">
        <v>2163</v>
      </c>
      <c r="C3199" s="17">
        <v>5.5</v>
      </c>
      <c r="D3199" s="18" t="s">
        <v>2160</v>
      </c>
      <c r="E3199" s="17" t="s">
        <v>2153</v>
      </c>
      <c r="F3199" s="17"/>
      <c r="G3199" s="18"/>
      <c r="H3199" s="18"/>
    </row>
    <row r="3200" spans="1:8" ht="13.2">
      <c r="A3200" s="19" t="str">
        <f>HYPERLINK("http://codeforces.com/contest/515/problem/D","CF515-D2-D")</f>
        <v>CF515-D2-D</v>
      </c>
      <c r="B3200" s="29" t="s">
        <v>2163</v>
      </c>
      <c r="C3200" s="17">
        <v>5.5</v>
      </c>
      <c r="D3200" s="18"/>
      <c r="E3200" s="17" t="s">
        <v>2153</v>
      </c>
      <c r="F3200" s="17"/>
      <c r="G3200" s="18"/>
      <c r="H3200" s="18"/>
    </row>
    <row r="3201" spans="1:8" ht="13.2">
      <c r="A3201" s="19" t="str">
        <f>HYPERLINK("http://codeforces.com/problemset/problem/893/D","CF893-D2-D")</f>
        <v>CF893-D2-D</v>
      </c>
      <c r="B3201" s="18" t="s">
        <v>2163</v>
      </c>
      <c r="C3201" s="17">
        <v>5.5</v>
      </c>
      <c r="D3201" s="18"/>
      <c r="E3201" s="17" t="s">
        <v>2153</v>
      </c>
      <c r="F3201" s="17"/>
      <c r="G3201" s="18"/>
      <c r="H3201" s="18"/>
    </row>
    <row r="3202" spans="1:8" ht="13.2">
      <c r="A3202" s="15" t="s">
        <v>2269</v>
      </c>
      <c r="B3202" s="34" t="s">
        <v>2200</v>
      </c>
      <c r="C3202" s="31">
        <v>5.5</v>
      </c>
      <c r="D3202" s="18"/>
      <c r="E3202" s="17" t="s">
        <v>2153</v>
      </c>
      <c r="F3202" s="17"/>
      <c r="G3202" s="18"/>
      <c r="H3202" s="18"/>
    </row>
    <row r="3203" spans="1:8" ht="13.2">
      <c r="A3203" s="19" t="str">
        <f>HYPERLINK("https://agc003.contest.atcoder.jp/tasks/agc003_b","AtCoder003-AGC-B")</f>
        <v>AtCoder003-AGC-B</v>
      </c>
      <c r="B3203" s="15" t="s">
        <v>2270</v>
      </c>
      <c r="C3203" s="17">
        <v>5.5</v>
      </c>
      <c r="D3203" s="18"/>
      <c r="E3203" s="17" t="s">
        <v>2153</v>
      </c>
      <c r="F3203" s="17"/>
      <c r="G3203" s="18"/>
      <c r="H3203" s="18"/>
    </row>
    <row r="3204" spans="1:8" ht="13.2">
      <c r="A3204" s="19" t="str">
        <f>HYPERLINK("https://onlinejudge.org/index.php?option=com_onlinejudge&amp;Itemid=8&amp;category=229&amp;page=show_problem&amp;problem=3078","UVA 11927")</f>
        <v>UVA 11927</v>
      </c>
      <c r="B3204" s="29" t="s">
        <v>2477</v>
      </c>
      <c r="C3204" s="17">
        <v>5.5</v>
      </c>
      <c r="D3204" s="26" t="str">
        <f>HYPERLINK("https://blog.csdn.net/accelerator_/article/details/37881301","Sol")</f>
        <v>Sol</v>
      </c>
      <c r="E3204" s="17" t="s">
        <v>2467</v>
      </c>
      <c r="F3204" s="17"/>
      <c r="G3204" s="18"/>
      <c r="H3204" s="18"/>
    </row>
    <row r="3205" spans="1:8" ht="13.2">
      <c r="A3205" s="19" t="str">
        <f>HYPERLINK("http://acm.hdu.edu.cn/showproblem.php?pid=2177","HDU 2177")</f>
        <v>HDU 2177</v>
      </c>
      <c r="B3205" s="28" t="s">
        <v>2508</v>
      </c>
      <c r="C3205" s="24">
        <v>5.5</v>
      </c>
      <c r="D3205" s="18"/>
      <c r="E3205" s="17" t="s">
        <v>2506</v>
      </c>
      <c r="F3205" s="17"/>
      <c r="G3205" s="18"/>
      <c r="H3205" s="18"/>
    </row>
    <row r="3206" spans="1:8" ht="13.2">
      <c r="A3206" s="19" t="str">
        <f>HYPERLINK("http://codeforces.com/gym/101177/problem/D","CF101177-GYM-D")</f>
        <v>CF101177-GYM-D</v>
      </c>
      <c r="B3206" s="23" t="s">
        <v>2509</v>
      </c>
      <c r="C3206" s="17">
        <v>5.5</v>
      </c>
      <c r="D3206" s="26" t="str">
        <f>HYPERLINK("https://github.com/mostafa-saad/MyCompetitiveProgramming/blob/master/Codeforces/CF101177-GYM-D.txt","Sol")</f>
        <v>Sol</v>
      </c>
      <c r="E3206" s="17" t="s">
        <v>2510</v>
      </c>
      <c r="F3206" s="17"/>
      <c r="G3206" s="18"/>
      <c r="H3206" s="18"/>
    </row>
    <row r="3207" spans="1:8" ht="13.2">
      <c r="A3207" s="15" t="s">
        <v>2680</v>
      </c>
      <c r="B3207" s="15" t="s">
        <v>2509</v>
      </c>
      <c r="C3207" s="24">
        <v>5.5</v>
      </c>
      <c r="D3207" s="18"/>
      <c r="E3207" s="17" t="s">
        <v>2510</v>
      </c>
      <c r="F3207" s="17"/>
      <c r="G3207" s="18"/>
      <c r="H3207" s="18"/>
    </row>
    <row r="3208" spans="1:8" ht="13.2">
      <c r="A3208" s="15" t="s">
        <v>2681</v>
      </c>
      <c r="B3208" s="29" t="s">
        <v>2565</v>
      </c>
      <c r="C3208" s="17">
        <v>5.5</v>
      </c>
      <c r="D3208" s="26" t="str">
        <f>HYPERLINK("https://github.com/mostafa-saad/MyCompetitiveProgramming/blob/master/LiveArchive/LiveArchive_2688.txt","Sol")</f>
        <v>Sol</v>
      </c>
      <c r="E3208" s="17" t="s">
        <v>2510</v>
      </c>
      <c r="F3208" s="17"/>
      <c r="G3208" s="18"/>
      <c r="H3208" s="18"/>
    </row>
    <row r="3209" spans="1:8" ht="13.2">
      <c r="A3209" s="19" t="str">
        <f>HYPERLINK("http://codeforces.com/contest/1030/problem/D","CF1030-D12-D")</f>
        <v>CF1030-D12-D</v>
      </c>
      <c r="B3209" s="18" t="s">
        <v>2549</v>
      </c>
      <c r="C3209" s="21">
        <v>5.5</v>
      </c>
      <c r="D3209" s="18"/>
      <c r="E3209" s="17" t="s">
        <v>2510</v>
      </c>
      <c r="F3209" s="17"/>
      <c r="G3209" s="18"/>
      <c r="H3209" s="18"/>
    </row>
    <row r="3210" spans="1:8" ht="13.2">
      <c r="A3210" s="19" t="str">
        <f>HYPERLINK("http://codeforces.com/contest/982/problem/D", "CF982-D2-D")</f>
        <v>CF982-D2-D</v>
      </c>
      <c r="B3210" s="20" t="s">
        <v>587</v>
      </c>
      <c r="C3210" s="17">
        <v>5.5</v>
      </c>
      <c r="D3210" s="26" t="str">
        <f>HYPERLINK("https://github.com/Huvok/CompetitiveProgramming/blob/master/Codeforces/CF982-D2-D.txt", "SolToMe")</f>
        <v>SolToMe</v>
      </c>
      <c r="E3210" s="17" t="s">
        <v>575</v>
      </c>
      <c r="F3210" s="17"/>
      <c r="G3210" s="18"/>
      <c r="H3210" s="18"/>
    </row>
    <row r="3211" spans="1:8" ht="13.2">
      <c r="A3211" s="15" t="s">
        <v>619</v>
      </c>
      <c r="B3211" s="30" t="s">
        <v>620</v>
      </c>
      <c r="C3211" s="24">
        <v>5.5</v>
      </c>
      <c r="D3211" s="18"/>
      <c r="E3211" s="17" t="s">
        <v>575</v>
      </c>
      <c r="F3211" s="17"/>
      <c r="G3211" s="18"/>
      <c r="H3211" s="18"/>
    </row>
    <row r="3212" spans="1:8" ht="13.2">
      <c r="A3212" s="15" t="s">
        <v>3016</v>
      </c>
      <c r="B3212" s="15" t="s">
        <v>3017</v>
      </c>
      <c r="C3212" s="17">
        <v>5.5</v>
      </c>
      <c r="D3212" s="18"/>
      <c r="E3212" s="17" t="s">
        <v>2948</v>
      </c>
      <c r="F3212" s="17"/>
      <c r="G3212" s="18"/>
      <c r="H3212" s="18"/>
    </row>
    <row r="3213" spans="1:8" ht="13.2">
      <c r="A3213" s="19" t="str">
        <f>HYPERLINK("http://codeforces.com/contest/1017/problem/E","CF1017-D12-E")</f>
        <v>CF1017-D12-E</v>
      </c>
      <c r="B3213" s="15" t="s">
        <v>3018</v>
      </c>
      <c r="C3213" s="17">
        <v>5.5</v>
      </c>
      <c r="D3213" s="18"/>
      <c r="E3213" s="24" t="s">
        <v>2948</v>
      </c>
      <c r="F3213" s="17"/>
      <c r="G3213" s="18"/>
      <c r="H3213" s="18"/>
    </row>
    <row r="3214" spans="1:8" ht="13.2">
      <c r="A3214" s="15" t="s">
        <v>3192</v>
      </c>
      <c r="B3214" s="30" t="s">
        <v>3139</v>
      </c>
      <c r="C3214" s="24">
        <v>5.5</v>
      </c>
      <c r="D3214" s="18"/>
      <c r="E3214" s="17" t="s">
        <v>3140</v>
      </c>
      <c r="F3214" s="17"/>
      <c r="G3214" s="18"/>
      <c r="H3214" s="18"/>
    </row>
    <row r="3215" spans="1:8" ht="13.2">
      <c r="A3215" s="15" t="s">
        <v>3193</v>
      </c>
      <c r="B3215" s="34" t="s">
        <v>3194</v>
      </c>
      <c r="C3215" s="31">
        <v>5.5</v>
      </c>
      <c r="D3215" s="26" t="str">
        <f>HYPERLINK("https://github.com/mostafa-saad/MyCompetitiveProgramming/blob/master/TopCoder/SRM206-D1-500.txt","Don't solve using BF/Greedy/ad-hoc ways. Use a technique")</f>
        <v>Don't solve using BF/Greedy/ad-hoc ways. Use a technique</v>
      </c>
      <c r="E3215" s="17" t="s">
        <v>3140</v>
      </c>
      <c r="F3215" s="17"/>
      <c r="G3215" s="18"/>
      <c r="H3215" s="18"/>
    </row>
    <row r="3216" spans="1:8" ht="13.2">
      <c r="A3216" s="15" t="s">
        <v>3195</v>
      </c>
      <c r="B3216" s="28" t="s">
        <v>3196</v>
      </c>
      <c r="C3216" s="24">
        <v>5.5</v>
      </c>
      <c r="D3216" s="18"/>
      <c r="E3216" s="17" t="s">
        <v>3140</v>
      </c>
      <c r="F3216" s="17"/>
      <c r="G3216" s="18"/>
      <c r="H3216" s="18"/>
    </row>
    <row r="3217" spans="1:8" ht="13.2">
      <c r="A3217" s="15" t="s">
        <v>3242</v>
      </c>
      <c r="B3217" s="28" t="s">
        <v>3243</v>
      </c>
      <c r="C3217" s="17">
        <v>5.5</v>
      </c>
      <c r="D3217" s="26" t="str">
        <f>HYPERLINK("https://github.com/AbdelrahmanRamadan/competitive-programming/blob/master/UVA/11232-Cylinder.cpp","Sol")</f>
        <v>Sol</v>
      </c>
      <c r="E3217" s="17" t="s">
        <v>3214</v>
      </c>
      <c r="F3217" s="17"/>
      <c r="G3217" s="18"/>
      <c r="H3217" s="18"/>
    </row>
    <row r="3218" spans="1:8" ht="13.2">
      <c r="A3218" s="19" t="str">
        <f>HYPERLINK("http://codeforces.com/contest/664/problem/D","CF664-D2-D")</f>
        <v>CF664-D2-D</v>
      </c>
      <c r="B3218" s="29" t="s">
        <v>3381</v>
      </c>
      <c r="C3218" s="17">
        <v>5.5</v>
      </c>
      <c r="D3218" s="18"/>
      <c r="E3218" s="17" t="s">
        <v>3257</v>
      </c>
      <c r="F3218" s="17"/>
      <c r="G3218" s="18"/>
      <c r="H3218" s="18"/>
    </row>
    <row r="3219" spans="1:8" ht="13.2">
      <c r="A3219" s="15" t="s">
        <v>3382</v>
      </c>
      <c r="B3219" s="35" t="s">
        <v>3383</v>
      </c>
      <c r="C3219" s="40">
        <v>5.5</v>
      </c>
      <c r="D3219" s="18"/>
      <c r="E3219" s="17" t="s">
        <v>3257</v>
      </c>
      <c r="F3219" s="17"/>
      <c r="G3219" s="18"/>
      <c r="H3219" s="18"/>
    </row>
    <row r="3220" spans="1:8" ht="13.2">
      <c r="A3220" s="19" t="str">
        <f>HYPERLINK("http://codeforces.com/contest/557/problem/D","CF557-D2-D")</f>
        <v>CF557-D2-D</v>
      </c>
      <c r="B3220" s="15" t="s">
        <v>3384</v>
      </c>
      <c r="C3220" s="24">
        <v>5.5</v>
      </c>
      <c r="D3220" s="18"/>
      <c r="E3220" s="17" t="s">
        <v>3257</v>
      </c>
      <c r="F3220" s="17"/>
      <c r="G3220" s="18"/>
      <c r="H3220" s="18"/>
    </row>
    <row r="3221" spans="1:8" ht="13.2">
      <c r="A3221" s="15" t="s">
        <v>3385</v>
      </c>
      <c r="B3221" s="29" t="s">
        <v>3277</v>
      </c>
      <c r="C3221" s="33">
        <v>5.5</v>
      </c>
      <c r="D3221" s="18"/>
      <c r="E3221" s="24" t="s">
        <v>3257</v>
      </c>
      <c r="F3221" s="17"/>
      <c r="G3221" s="18"/>
      <c r="H3221" s="18"/>
    </row>
    <row r="3222" spans="1:8" ht="13.2">
      <c r="A3222" s="15" t="s">
        <v>3386</v>
      </c>
      <c r="B3222" s="29" t="s">
        <v>3387</v>
      </c>
      <c r="C3222" s="24">
        <v>5.5</v>
      </c>
      <c r="D3222" s="18"/>
      <c r="E3222" s="17" t="s">
        <v>3257</v>
      </c>
      <c r="F3222" s="17"/>
      <c r="G3222" s="18"/>
      <c r="H3222" s="18"/>
    </row>
    <row r="3223" spans="1:8" ht="13.2">
      <c r="A3223" s="19" t="str">
        <f>HYPERLINK("https://agc005.contest.atcoder.jp/tasks/agc005_c","AtCoder005-AGC-C")</f>
        <v>AtCoder005-AGC-C</v>
      </c>
      <c r="B3223" s="15" t="s">
        <v>3388</v>
      </c>
      <c r="C3223" s="17">
        <v>5.5</v>
      </c>
      <c r="D3223" s="18"/>
      <c r="E3223" s="17" t="s">
        <v>3257</v>
      </c>
      <c r="F3223" s="17"/>
      <c r="G3223" s="18"/>
      <c r="H3223" s="18"/>
    </row>
    <row r="3224" spans="1:8" ht="13.2">
      <c r="A3224" s="19" t="str">
        <f>HYPERLINK("http://codeforces.com/contest/1003/problem/E","CF1003-D3-E")</f>
        <v>CF1003-D3-E</v>
      </c>
      <c r="B3224" s="20" t="s">
        <v>3389</v>
      </c>
      <c r="C3224" s="17">
        <v>5.5</v>
      </c>
      <c r="D3224" s="18"/>
      <c r="E3224" s="17" t="s">
        <v>3257</v>
      </c>
      <c r="F3224" s="17"/>
      <c r="G3224" s="18"/>
      <c r="H3224" s="18"/>
    </row>
    <row r="3225" spans="1:8" ht="13.2">
      <c r="A3225" s="19" t="str">
        <f>HYPERLINK("https://www.codechef.com/problems/AVGSHORT","CODECHEF AVGSHORT")</f>
        <v>CODECHEF AVGSHORT</v>
      </c>
      <c r="B3225" s="15" t="s">
        <v>3460</v>
      </c>
      <c r="C3225" s="17">
        <v>5.5</v>
      </c>
      <c r="D3225" s="18"/>
      <c r="E3225" s="17" t="s">
        <v>3439</v>
      </c>
      <c r="F3225" s="17"/>
      <c r="G3225" s="18"/>
      <c r="H3225" s="18"/>
    </row>
    <row r="3226" spans="1:8" ht="13.2">
      <c r="A3226" s="15" t="s">
        <v>3539</v>
      </c>
      <c r="B3226" s="18" t="s">
        <v>3466</v>
      </c>
      <c r="C3226" s="17">
        <v>5.5</v>
      </c>
      <c r="D3226" s="18"/>
      <c r="E3226" s="17" t="s">
        <v>3467</v>
      </c>
      <c r="F3226" s="17"/>
      <c r="G3226" s="18"/>
      <c r="H3226" s="18"/>
    </row>
    <row r="3227" spans="1:8" ht="13.2">
      <c r="A3227" s="15" t="s">
        <v>3540</v>
      </c>
      <c r="B3227" s="34" t="s">
        <v>3466</v>
      </c>
      <c r="C3227" s="31">
        <v>5.5</v>
      </c>
      <c r="D3227" s="18"/>
      <c r="E3227" s="17" t="s">
        <v>3467</v>
      </c>
      <c r="F3227" s="17"/>
      <c r="G3227" s="18"/>
      <c r="H3227" s="18"/>
    </row>
    <row r="3228" spans="1:8" ht="13.2">
      <c r="A3228" s="15" t="s">
        <v>3541</v>
      </c>
      <c r="B3228" s="30" t="s">
        <v>3466</v>
      </c>
      <c r="C3228" s="24">
        <v>5.5</v>
      </c>
      <c r="D3228" s="18"/>
      <c r="E3228" s="17" t="s">
        <v>3467</v>
      </c>
      <c r="F3228" s="17"/>
      <c r="G3228" s="18"/>
      <c r="H3228" s="18"/>
    </row>
    <row r="3229" spans="1:8" ht="13.2">
      <c r="A3229" s="15" t="s">
        <v>3542</v>
      </c>
      <c r="B3229" s="28" t="s">
        <v>3466</v>
      </c>
      <c r="C3229" s="17">
        <v>5.5</v>
      </c>
      <c r="D3229" s="18"/>
      <c r="E3229" s="17" t="s">
        <v>3467</v>
      </c>
      <c r="F3229" s="17"/>
      <c r="G3229" s="18"/>
      <c r="H3229" s="18"/>
    </row>
    <row r="3230" spans="1:8" ht="13.2">
      <c r="A3230" s="15" t="s">
        <v>3543</v>
      </c>
      <c r="B3230" s="18" t="s">
        <v>3544</v>
      </c>
      <c r="C3230" s="17">
        <v>5.5</v>
      </c>
      <c r="D3230" s="26" t="str">
        <f>HYPERLINK("https://github.com/AbdelrahmanRamadan/competitive-programming/blob/master/Topcoder/SRM368%20Jumping%20Board.cpp","Sol")</f>
        <v>Sol</v>
      </c>
      <c r="E3230" s="17" t="s">
        <v>3467</v>
      </c>
      <c r="F3230" s="17"/>
      <c r="G3230" s="18"/>
      <c r="H3230" s="18"/>
    </row>
    <row r="3231" spans="1:8" ht="13.2">
      <c r="A3231" s="15" t="s">
        <v>3545</v>
      </c>
      <c r="B3231" s="28" t="s">
        <v>3546</v>
      </c>
      <c r="C3231" s="24">
        <v>5.5</v>
      </c>
      <c r="D3231" s="18"/>
      <c r="E3231" s="17" t="s">
        <v>3467</v>
      </c>
      <c r="F3231" s="17"/>
      <c r="G3231" s="18"/>
      <c r="H3231" s="18"/>
    </row>
    <row r="3232" spans="1:8" ht="13.2">
      <c r="A3232" s="19" t="str">
        <f>HYPERLINK("https://codingcompetitions.withgoogle.com/codejam/round/0000000000051635/0000000000104e03","CODEJAM 19-R1A-A")</f>
        <v>CODEJAM 19-R1A-A</v>
      </c>
      <c r="B3232" s="20" t="s">
        <v>684</v>
      </c>
      <c r="C3232" s="17">
        <v>5.5</v>
      </c>
      <c r="D3232" s="18"/>
      <c r="E3232" s="17" t="s">
        <v>655</v>
      </c>
      <c r="F3232" s="17"/>
      <c r="G3232" s="18"/>
      <c r="H3232" s="18"/>
    </row>
    <row r="3233" spans="1:8" ht="13.2">
      <c r="A3233" s="15" t="s">
        <v>3729</v>
      </c>
      <c r="B3233" s="28" t="s">
        <v>3730</v>
      </c>
      <c r="C3233" s="24">
        <v>5.5</v>
      </c>
      <c r="D3233" s="26" t="str">
        <f>HYPERLINK("https://github.com/aboodJAD/CompetitiveProgramming/blob/master/SPOJ/SPOJ%20LEGO.cpp","Sol")</f>
        <v>Sol</v>
      </c>
      <c r="E3233" s="17" t="s">
        <v>3650</v>
      </c>
      <c r="F3233" s="17"/>
      <c r="G3233" s="18"/>
      <c r="H3233" s="18"/>
    </row>
    <row r="3234" spans="1:8" ht="13.2">
      <c r="A3234" s="19" t="str">
        <f>HYPERLINK("https://agc004.contest.atcoder.jp/tasks/agc004_d","AtCoder004-AGC-D")</f>
        <v>AtCoder004-AGC-D</v>
      </c>
      <c r="B3234" s="15" t="s">
        <v>3731</v>
      </c>
      <c r="C3234" s="17">
        <v>5.5</v>
      </c>
      <c r="D3234" s="18"/>
      <c r="E3234" s="17" t="s">
        <v>3650</v>
      </c>
      <c r="F3234" s="17"/>
      <c r="G3234" s="18"/>
      <c r="H3234" s="18"/>
    </row>
    <row r="3235" spans="1:8" ht="13.2">
      <c r="A3235" s="19" t="str">
        <f>HYPERLINK("http://codeforces.com/contest/1006/problem/E", "CF1006-D3-E")</f>
        <v>CF1006-D3-E</v>
      </c>
      <c r="B3235" s="20" t="s">
        <v>3732</v>
      </c>
      <c r="C3235" s="21">
        <v>5.5</v>
      </c>
      <c r="D3235" s="18"/>
      <c r="E3235" s="17" t="s">
        <v>3650</v>
      </c>
      <c r="F3235" s="17"/>
      <c r="G3235" s="18"/>
      <c r="H3235" s="18"/>
    </row>
    <row r="3236" spans="1:8" ht="13.2">
      <c r="A3236" s="15" t="s">
        <v>3837</v>
      </c>
      <c r="B3236" s="16" t="s">
        <v>3838</v>
      </c>
      <c r="C3236" s="17">
        <v>5.5</v>
      </c>
      <c r="D3236" s="18"/>
      <c r="E3236" s="17" t="s">
        <v>3784</v>
      </c>
      <c r="F3236" s="17"/>
      <c r="G3236" s="18"/>
      <c r="H3236" s="18"/>
    </row>
    <row r="3237" spans="1:8" ht="13.2">
      <c r="A3237" s="15" t="s">
        <v>3839</v>
      </c>
      <c r="B3237" s="30" t="s">
        <v>3840</v>
      </c>
      <c r="C3237" s="24">
        <v>5.5</v>
      </c>
      <c r="D3237" s="18"/>
      <c r="E3237" s="17" t="s">
        <v>3784</v>
      </c>
      <c r="F3237" s="17"/>
      <c r="G3237" s="18"/>
      <c r="H3237" s="18"/>
    </row>
    <row r="3238" spans="1:8" ht="13.2">
      <c r="A3238" s="19" t="str">
        <f>HYPERLINK("https://github.com/AliOsm/CompetitiveProgramming/blob/master/CodeForces%20Gyms/ACM%20International%20Collegiate%20Programming%20Contest%2C%20Tishreen%20Collegiate%20Programming%20Contest%20(2017)/J.%20The%20Volcano%20Eruption.cpp","CF101915-GYM-J")</f>
        <v>CF101915-GYM-J</v>
      </c>
      <c r="B3238" s="20" t="s">
        <v>3927</v>
      </c>
      <c r="C3238" s="17">
        <v>5.5</v>
      </c>
      <c r="D3238" s="26" t="str">
        <f>HYPERLINK("https://github.com/AliOsm/CompetitiveProgramming/blob/master/CodeForces%20Gyms/ACM%20International%20Collegiate%20Programming%20Contest%2C%20Tishreen%20Collegiate%20Programming%20Contest%20(2017)/J.%20The%20Volcano%20Eruption.cpp","Sol")</f>
        <v>Sol</v>
      </c>
      <c r="E3238" s="17" t="s">
        <v>3883</v>
      </c>
      <c r="F3238" s="17"/>
      <c r="G3238" s="18"/>
      <c r="H3238" s="18"/>
    </row>
    <row r="3239" spans="1:8" ht="13.2">
      <c r="A3239" s="19" t="str">
        <f>HYPERLINK("http://codeforces.com/contest/508/problem/D","CF508-D2-D")</f>
        <v>CF508-D2-D</v>
      </c>
      <c r="B3239" s="30" t="s">
        <v>3980</v>
      </c>
      <c r="C3239" s="17">
        <v>5.5</v>
      </c>
      <c r="D3239" s="18"/>
      <c r="E3239" s="17" t="s">
        <v>3955</v>
      </c>
      <c r="F3239" s="17"/>
      <c r="G3239" s="18"/>
      <c r="H3239" s="18"/>
    </row>
    <row r="3240" spans="1:8" ht="13.2">
      <c r="A3240" s="15" t="s">
        <v>4011</v>
      </c>
      <c r="B3240" s="29" t="s">
        <v>4006</v>
      </c>
      <c r="C3240" s="17">
        <v>5.5</v>
      </c>
      <c r="D3240" s="18"/>
      <c r="E3240" s="17" t="s">
        <v>3998</v>
      </c>
      <c r="F3240" s="17"/>
      <c r="G3240" s="18"/>
      <c r="H3240" s="18"/>
    </row>
    <row r="3241" spans="1:8" ht="13.2">
      <c r="A3241" s="15" t="s">
        <v>4012</v>
      </c>
      <c r="B3241" s="15" t="s">
        <v>4013</v>
      </c>
      <c r="C3241" s="24">
        <v>5.5</v>
      </c>
      <c r="D3241" s="18"/>
      <c r="E3241" s="17" t="s">
        <v>3998</v>
      </c>
      <c r="F3241" s="17"/>
      <c r="G3241" s="18"/>
      <c r="H3241" s="18"/>
    </row>
    <row r="3242" spans="1:8" ht="13.2">
      <c r="A3242" s="15" t="s">
        <v>4014</v>
      </c>
      <c r="B3242" s="28" t="s">
        <v>4015</v>
      </c>
      <c r="C3242" s="17">
        <v>5.5</v>
      </c>
      <c r="D3242" s="18"/>
      <c r="E3242" s="17" t="s">
        <v>3998</v>
      </c>
      <c r="F3242" s="17"/>
      <c r="G3242" s="18"/>
      <c r="H3242" s="18"/>
    </row>
    <row r="3243" spans="1:8" ht="13.2">
      <c r="A3243" s="15" t="s">
        <v>4118</v>
      </c>
      <c r="B3243" s="18" t="s">
        <v>4119</v>
      </c>
      <c r="C3243" s="17">
        <v>5.5</v>
      </c>
      <c r="D3243" s="18"/>
      <c r="E3243" s="17" t="s">
        <v>4060</v>
      </c>
      <c r="F3243" s="17"/>
      <c r="G3243" s="18"/>
      <c r="H3243" s="18"/>
    </row>
    <row r="3244" spans="1:8" ht="13.2">
      <c r="A3244" s="15" t="s">
        <v>4120</v>
      </c>
      <c r="B3244" s="28" t="s">
        <v>4121</v>
      </c>
      <c r="C3244" s="24">
        <v>5.5</v>
      </c>
      <c r="D3244" s="26" t="str">
        <f>HYPERLINK("https://github.com/MohamedNabil97/CompetitiveProgramming/blob/master/TJU/2842.cpp","Sol")</f>
        <v>Sol</v>
      </c>
      <c r="E3244" s="24" t="s">
        <v>4060</v>
      </c>
      <c r="F3244" s="17"/>
      <c r="G3244" s="18"/>
      <c r="H3244" s="18"/>
    </row>
    <row r="3245" spans="1:8" ht="13.2">
      <c r="A3245" s="19" t="str">
        <f>HYPERLINK("http://codeforces.com/gym/101047/problem/H","CF101047-GYM-H")</f>
        <v>CF101047-GYM-H</v>
      </c>
      <c r="B3245" s="37" t="s">
        <v>4149</v>
      </c>
      <c r="C3245" s="17">
        <v>5.5</v>
      </c>
      <c r="D3245" s="26" t="str">
        <f>HYPERLINK("https://github.com/OmarKharouba/CompetitiveProgramming/blob/master/CodeForces/CF101047_GYM_H.java","Sol")</f>
        <v>Sol</v>
      </c>
      <c r="E3245" s="17" t="s">
        <v>4144</v>
      </c>
      <c r="F3245" s="17"/>
      <c r="G3245" s="18"/>
      <c r="H3245" s="18"/>
    </row>
    <row r="3246" spans="1:8" ht="13.2">
      <c r="A3246" s="15" t="s">
        <v>4202</v>
      </c>
      <c r="B3246" s="29" t="s">
        <v>4203</v>
      </c>
      <c r="C3246" s="24">
        <v>5.5</v>
      </c>
      <c r="D3246" s="18"/>
      <c r="E3246" s="17" t="s">
        <v>4144</v>
      </c>
      <c r="F3246" s="17"/>
      <c r="G3246" s="18"/>
      <c r="H3246" s="18"/>
    </row>
    <row r="3247" spans="1:8" ht="13.2">
      <c r="A3247" s="19" t="str">
        <f>HYPERLINK("http://codeforces.com/problemset/problem/237/E","CF237-D2-E")</f>
        <v>CF237-D2-E</v>
      </c>
      <c r="B3247" s="30" t="s">
        <v>4245</v>
      </c>
      <c r="C3247" s="17">
        <v>5.5</v>
      </c>
      <c r="D3247" s="18"/>
      <c r="E3247" s="17" t="s">
        <v>4238</v>
      </c>
      <c r="F3247" s="17"/>
      <c r="G3247" s="18"/>
      <c r="H3247" s="18"/>
    </row>
    <row r="3248" spans="1:8" ht="13.2">
      <c r="A3248" s="15" t="s">
        <v>4260</v>
      </c>
      <c r="B3248" s="43" t="s">
        <v>4261</v>
      </c>
      <c r="C3248" s="17">
        <v>5.5</v>
      </c>
      <c r="D3248" s="18" t="s">
        <v>4262</v>
      </c>
      <c r="E3248" s="17" t="s">
        <v>4238</v>
      </c>
      <c r="F3248" s="17"/>
      <c r="G3248" s="18"/>
      <c r="H3248" s="18"/>
    </row>
    <row r="3249" spans="1:8" ht="13.2">
      <c r="A3249" s="15" t="s">
        <v>732</v>
      </c>
      <c r="B3249" s="28" t="s">
        <v>721</v>
      </c>
      <c r="C3249" s="24">
        <v>5.5</v>
      </c>
      <c r="D3249" s="18"/>
      <c r="E3249" s="17" t="s">
        <v>719</v>
      </c>
      <c r="F3249" s="17"/>
      <c r="G3249" s="18"/>
      <c r="H3249" s="18"/>
    </row>
    <row r="3250" spans="1:8" ht="13.2">
      <c r="A3250" s="15" t="s">
        <v>4310</v>
      </c>
      <c r="B3250" s="16" t="s">
        <v>4279</v>
      </c>
      <c r="C3250" s="17">
        <v>5.5</v>
      </c>
      <c r="D3250" s="18"/>
      <c r="E3250" s="17" t="s">
        <v>4275</v>
      </c>
      <c r="F3250" s="17"/>
      <c r="G3250" s="18"/>
      <c r="H3250" s="18"/>
    </row>
    <row r="3251" spans="1:8" ht="13.2">
      <c r="A3251" s="15" t="s">
        <v>4311</v>
      </c>
      <c r="B3251" s="29" t="s">
        <v>4312</v>
      </c>
      <c r="C3251" s="24">
        <v>5.5</v>
      </c>
      <c r="D3251" s="18"/>
      <c r="E3251" s="17" t="s">
        <v>4275</v>
      </c>
      <c r="F3251" s="17"/>
      <c r="G3251" s="18"/>
      <c r="H3251" s="18"/>
    </row>
    <row r="3252" spans="1:8" ht="13.2">
      <c r="A3252" s="19" t="str">
        <f>HYPERLINK("http://codeforces.com/contest/766/problem/D","CF776-D2-D")</f>
        <v>CF776-D2-D</v>
      </c>
      <c r="B3252" s="15" t="s">
        <v>4385</v>
      </c>
      <c r="C3252" s="17">
        <v>5.5</v>
      </c>
      <c r="D3252" s="18"/>
      <c r="E3252" s="17" t="s">
        <v>4379</v>
      </c>
      <c r="F3252" s="17"/>
      <c r="G3252" s="18"/>
      <c r="H3252" s="18"/>
    </row>
    <row r="3253" spans="1:8" ht="13.2">
      <c r="A3253" s="15" t="s">
        <v>4489</v>
      </c>
      <c r="B3253" s="43" t="s">
        <v>4490</v>
      </c>
      <c r="C3253" s="24">
        <v>5.5</v>
      </c>
      <c r="D3253" s="26" t="str">
        <f>HYPERLINK("https://github.com/SpeedOfMagic/CompetitiveProgramming/blob/master/SPOJ/DISQUERY.cpp","Sol")</f>
        <v>Sol</v>
      </c>
      <c r="E3253" s="17" t="s">
        <v>4454</v>
      </c>
      <c r="F3253" s="17"/>
      <c r="G3253" s="18"/>
      <c r="H3253" s="18"/>
    </row>
    <row r="3254" spans="1:8" ht="13.2">
      <c r="A3254" s="19" t="str">
        <f>HYPERLINK("https://open.kattis.com/problems/tourists","KATTIS tourists")</f>
        <v>KATTIS tourists</v>
      </c>
      <c r="B3254" s="20" t="s">
        <v>4491</v>
      </c>
      <c r="C3254" s="17">
        <v>5.5</v>
      </c>
      <c r="D3254" s="26" t="str">
        <f>HYPERLINK("https://github.com/AymanSalah96/CompetitiveProgramming/blob/master/KATTIS/tourists.cpp","Sol")</f>
        <v>Sol</v>
      </c>
      <c r="E3254" s="17" t="s">
        <v>4454</v>
      </c>
      <c r="F3254" s="17"/>
      <c r="G3254" s="18"/>
      <c r="H3254" s="18"/>
    </row>
    <row r="3255" spans="1:8" ht="13.2">
      <c r="A3255" s="15" t="s">
        <v>4506</v>
      </c>
      <c r="B3255" s="28" t="s">
        <v>4503</v>
      </c>
      <c r="C3255" s="54">
        <v>5.5</v>
      </c>
      <c r="D3255" s="18"/>
      <c r="E3255" s="17" t="s">
        <v>4504</v>
      </c>
      <c r="F3255" s="17"/>
      <c r="G3255" s="18"/>
      <c r="H3255" s="18"/>
    </row>
    <row r="3256" spans="1:8" ht="13.2">
      <c r="A3256" s="19" t="str">
        <f>HYPERLINK("http://codeforces.com/contest/359/problem/C","CF359-D2-C")</f>
        <v>CF359-D2-C</v>
      </c>
      <c r="B3256" s="18" t="s">
        <v>4530</v>
      </c>
      <c r="C3256" s="17">
        <v>5.5</v>
      </c>
      <c r="D3256" s="18"/>
      <c r="E3256" s="17" t="s">
        <v>4531</v>
      </c>
      <c r="F3256" s="17"/>
      <c r="G3256" s="18"/>
      <c r="H3256" s="18"/>
    </row>
    <row r="3257" spans="1:8" ht="13.2">
      <c r="A3257" s="19" t="str">
        <f>HYPERLINK("https://www.codechef.com/problems/GCDSUM", "CODECHEF GCDSUM")</f>
        <v>CODECHEF GCDSUM</v>
      </c>
      <c r="B3257" s="20" t="s">
        <v>4530</v>
      </c>
      <c r="C3257" s="21">
        <v>5.5</v>
      </c>
      <c r="D3257" s="18"/>
      <c r="E3257" s="17" t="s">
        <v>4531</v>
      </c>
      <c r="F3257" s="17"/>
      <c r="G3257" s="18"/>
      <c r="H3257" s="18"/>
    </row>
    <row r="3258" spans="1:8" ht="13.2">
      <c r="A3258" s="15" t="s">
        <v>4656</v>
      </c>
      <c r="B3258" s="20" t="s">
        <v>4606</v>
      </c>
      <c r="C3258" s="17">
        <v>5.5</v>
      </c>
      <c r="D3258" s="18"/>
      <c r="E3258" s="17" t="s">
        <v>4531</v>
      </c>
      <c r="F3258" s="17"/>
      <c r="G3258" s="18"/>
      <c r="H3258" s="18"/>
    </row>
    <row r="3259" spans="1:8" ht="13.2">
      <c r="A3259" s="15" t="s">
        <v>4783</v>
      </c>
      <c r="B3259" s="30" t="s">
        <v>4779</v>
      </c>
      <c r="C3259" s="24">
        <v>5.5</v>
      </c>
      <c r="D3259" s="18"/>
      <c r="E3259" s="17" t="s">
        <v>4778</v>
      </c>
      <c r="F3259" s="17"/>
      <c r="G3259" s="18"/>
      <c r="H3259" s="18"/>
    </row>
    <row r="3260" spans="1:8" ht="13.2">
      <c r="A3260" s="15" t="s">
        <v>4784</v>
      </c>
      <c r="B3260" s="30" t="s">
        <v>4779</v>
      </c>
      <c r="C3260" s="24">
        <v>5.5</v>
      </c>
      <c r="D3260" s="18"/>
      <c r="E3260" s="17" t="s">
        <v>4778</v>
      </c>
      <c r="F3260" s="17"/>
      <c r="G3260" s="18"/>
      <c r="H3260" s="18"/>
    </row>
    <row r="3261" spans="1:8" ht="13.2">
      <c r="A3261" s="15" t="s">
        <v>4785</v>
      </c>
      <c r="B3261" s="30" t="s">
        <v>4779</v>
      </c>
      <c r="C3261" s="24">
        <v>5.5</v>
      </c>
      <c r="D3261" s="18"/>
      <c r="E3261" s="17" t="s">
        <v>4778</v>
      </c>
      <c r="F3261" s="17"/>
      <c r="G3261" s="18"/>
      <c r="H3261" s="18"/>
    </row>
    <row r="3262" spans="1:8" ht="13.2">
      <c r="A3262" s="15" t="s">
        <v>4786</v>
      </c>
      <c r="B3262" s="30" t="s">
        <v>4779</v>
      </c>
      <c r="C3262" s="24">
        <v>5.5</v>
      </c>
      <c r="D3262" s="18"/>
      <c r="E3262" s="17" t="s">
        <v>4778</v>
      </c>
      <c r="F3262" s="17"/>
      <c r="G3262" s="18"/>
      <c r="H3262" s="18"/>
    </row>
    <row r="3263" spans="1:8" ht="13.2">
      <c r="A3263" s="15" t="s">
        <v>4787</v>
      </c>
      <c r="B3263" s="30" t="s">
        <v>4779</v>
      </c>
      <c r="C3263" s="24">
        <v>5.5</v>
      </c>
      <c r="D3263" s="18"/>
      <c r="E3263" s="17" t="s">
        <v>4778</v>
      </c>
      <c r="F3263" s="17"/>
      <c r="G3263" s="18"/>
      <c r="H3263" s="18"/>
    </row>
    <row r="3264" spans="1:8" ht="13.2">
      <c r="A3264" s="15" t="s">
        <v>4788</v>
      </c>
      <c r="B3264" s="30" t="s">
        <v>4789</v>
      </c>
      <c r="C3264" s="24">
        <v>5.5</v>
      </c>
      <c r="D3264" s="18"/>
      <c r="E3264" s="17" t="s">
        <v>4778</v>
      </c>
      <c r="F3264" s="17"/>
      <c r="G3264" s="18"/>
      <c r="H3264" s="18"/>
    </row>
    <row r="3265" spans="1:8" ht="13.2">
      <c r="A3265" s="15" t="s">
        <v>4839</v>
      </c>
      <c r="B3265" s="28" t="s">
        <v>4827</v>
      </c>
      <c r="C3265" s="24">
        <v>5.5</v>
      </c>
      <c r="D3265" s="18"/>
      <c r="E3265" s="17" t="s">
        <v>4809</v>
      </c>
      <c r="F3265" s="17"/>
      <c r="G3265" s="18"/>
      <c r="H3265" s="18"/>
    </row>
    <row r="3266" spans="1:8" ht="13.2">
      <c r="A3266" s="15" t="s">
        <v>4840</v>
      </c>
      <c r="B3266" s="18" t="s">
        <v>4841</v>
      </c>
      <c r="C3266" s="17">
        <v>5.5</v>
      </c>
      <c r="D3266" s="18"/>
      <c r="E3266" s="17" t="s">
        <v>4809</v>
      </c>
      <c r="F3266" s="17"/>
      <c r="G3266" s="18"/>
      <c r="H3266" s="18"/>
    </row>
    <row r="3267" spans="1:8" ht="13.2">
      <c r="A3267" s="19" t="str">
        <f>HYPERLINK("http://codeforces.com/contest/731/problem/F","CF731-D2-F")</f>
        <v>CF731-D2-F</v>
      </c>
      <c r="B3267" s="38" t="s">
        <v>4909</v>
      </c>
      <c r="C3267" s="17">
        <v>5.5</v>
      </c>
      <c r="D3267" s="18"/>
      <c r="E3267" s="17" t="s">
        <v>4893</v>
      </c>
      <c r="F3267" s="17"/>
      <c r="G3267" s="18"/>
      <c r="H3267" s="18"/>
    </row>
    <row r="3268" spans="1:8" ht="13.2">
      <c r="A3268" s="19" t="str">
        <f>HYPERLINK("https://community.topcoder.com/stat?c=problem_statement&amp;pm=15211", "SRM743-D2-1000")</f>
        <v>SRM743-D2-1000</v>
      </c>
      <c r="B3268" s="15" t="s">
        <v>5085</v>
      </c>
      <c r="C3268" s="17">
        <v>5.5</v>
      </c>
      <c r="D3268" s="18"/>
      <c r="E3268" s="17" t="s">
        <v>5075</v>
      </c>
      <c r="F3268" s="17"/>
      <c r="G3268" s="18"/>
      <c r="H3268" s="18"/>
    </row>
    <row r="3269" spans="1:8" ht="13.2">
      <c r="A3269" s="19" t="str">
        <f>HYPERLINK("http://codeforces.com/contest/837/problem/E","CF837-D12-E")</f>
        <v>CF837-D12-E</v>
      </c>
      <c r="B3269" s="18" t="s">
        <v>5100</v>
      </c>
      <c r="C3269" s="17">
        <v>5.5</v>
      </c>
      <c r="D3269" s="18"/>
      <c r="E3269" s="17" t="s">
        <v>5075</v>
      </c>
      <c r="F3269" s="17"/>
      <c r="G3269" s="18"/>
      <c r="H3269" s="18"/>
    </row>
    <row r="3270" spans="1:8" ht="13.2">
      <c r="A3270" s="15" t="s">
        <v>5101</v>
      </c>
      <c r="B3270" s="30" t="s">
        <v>5074</v>
      </c>
      <c r="C3270" s="24">
        <v>5.5</v>
      </c>
      <c r="D3270" s="18"/>
      <c r="E3270" s="17" t="s">
        <v>5075</v>
      </c>
      <c r="F3270" s="17"/>
      <c r="G3270" s="18"/>
      <c r="H3270" s="18"/>
    </row>
    <row r="3271" spans="1:8" ht="13.2">
      <c r="A3271" s="15" t="s">
        <v>5285</v>
      </c>
      <c r="B3271" s="28" t="s">
        <v>5248</v>
      </c>
      <c r="C3271" s="31">
        <v>5.5</v>
      </c>
      <c r="D3271" s="18"/>
      <c r="E3271" s="17" t="s">
        <v>5246</v>
      </c>
      <c r="F3271" s="17"/>
      <c r="G3271" s="18"/>
      <c r="H3271" s="18"/>
    </row>
    <row r="3272" spans="1:8" ht="13.2">
      <c r="A3272" s="15" t="s">
        <v>856</v>
      </c>
      <c r="B3272" s="38" t="s">
        <v>857</v>
      </c>
      <c r="C3272" s="17">
        <v>5.5</v>
      </c>
      <c r="D3272" s="18"/>
      <c r="E3272" s="17" t="s">
        <v>805</v>
      </c>
      <c r="F3272" s="17"/>
      <c r="G3272" s="18"/>
      <c r="H3272" s="18"/>
    </row>
    <row r="3273" spans="1:8" ht="13.2">
      <c r="A3273" s="15" t="s">
        <v>858</v>
      </c>
      <c r="B3273" s="30" t="s">
        <v>831</v>
      </c>
      <c r="C3273" s="17">
        <v>5.5</v>
      </c>
      <c r="D3273" s="18"/>
      <c r="E3273" s="17" t="s">
        <v>805</v>
      </c>
      <c r="F3273" s="17"/>
      <c r="G3273" s="18"/>
      <c r="H3273" s="18"/>
    </row>
    <row r="3274" spans="1:8" ht="13.2">
      <c r="A3274" s="19" t="str">
        <f>HYPERLINK("http://codeforces.com/contest/1041/problem/D","CF1041-D2-D")</f>
        <v>CF1041-D2-D</v>
      </c>
      <c r="B3274" s="20" t="s">
        <v>859</v>
      </c>
      <c r="C3274" s="21">
        <v>5.5</v>
      </c>
      <c r="D3274" s="18"/>
      <c r="E3274" s="17" t="s">
        <v>805</v>
      </c>
      <c r="F3274" s="17"/>
      <c r="G3274" s="18"/>
      <c r="H3274" s="18"/>
    </row>
    <row r="3275" spans="1:8" ht="13.2">
      <c r="A3275" s="15" t="s">
        <v>5338</v>
      </c>
      <c r="B3275" s="28" t="s">
        <v>5309</v>
      </c>
      <c r="C3275" s="24">
        <v>5.5</v>
      </c>
      <c r="D3275" s="18"/>
      <c r="E3275" s="17" t="s">
        <v>5310</v>
      </c>
      <c r="F3275" s="17"/>
      <c r="G3275" s="18"/>
      <c r="H3275" s="18"/>
    </row>
    <row r="3276" spans="1:8" ht="13.2">
      <c r="A3276" s="19" t="str">
        <f>HYPERLINK("https://community.topcoder.com/stat?c=problem_statement&amp;pm=1771&amp;rd=4570","SRM153-D1-450")</f>
        <v>SRM153-D1-450</v>
      </c>
      <c r="B3276" s="15" t="s">
        <v>5349</v>
      </c>
      <c r="C3276" s="17">
        <v>5.5</v>
      </c>
      <c r="D3276" s="26" t="str">
        <f>HYPERLINK("https://github.com/AliOsm/CompetitiveProgramming/blob/master/TopCoder/SRM153-D1-450.cpp","Sol")</f>
        <v>Sol</v>
      </c>
      <c r="E3276" s="17" t="s">
        <v>5346</v>
      </c>
      <c r="F3276" s="17"/>
      <c r="G3276" s="18"/>
      <c r="H3276" s="18"/>
    </row>
    <row r="3277" spans="1:8" ht="13.2">
      <c r="A3277" s="15" t="s">
        <v>5387</v>
      </c>
      <c r="B3277" s="29" t="s">
        <v>5388</v>
      </c>
      <c r="C3277" s="17">
        <v>5.5</v>
      </c>
      <c r="D3277" s="18"/>
      <c r="E3277" s="17" t="s">
        <v>5346</v>
      </c>
      <c r="F3277" s="17"/>
      <c r="G3277" s="18"/>
      <c r="H3277" s="18"/>
    </row>
    <row r="3278" spans="1:8" ht="13.2">
      <c r="A3278" s="15" t="s">
        <v>5563</v>
      </c>
      <c r="B3278" s="30" t="s">
        <v>5564</v>
      </c>
      <c r="C3278" s="24">
        <v>5.5</v>
      </c>
      <c r="D3278" s="18"/>
      <c r="E3278" s="17" t="s">
        <v>5524</v>
      </c>
      <c r="F3278" s="17"/>
      <c r="G3278" s="18"/>
      <c r="H3278" s="18"/>
    </row>
    <row r="3279" spans="1:8" ht="13.2">
      <c r="A3279" s="15" t="s">
        <v>5604</v>
      </c>
      <c r="B3279" s="43" t="s">
        <v>5596</v>
      </c>
      <c r="C3279" s="24">
        <v>5.5</v>
      </c>
      <c r="D3279" s="18"/>
      <c r="E3279" s="17" t="s">
        <v>5575</v>
      </c>
      <c r="F3279" s="17"/>
      <c r="G3279" s="18"/>
      <c r="H3279" s="18"/>
    </row>
    <row r="3280" spans="1:8" ht="13.2">
      <c r="A3280" s="19" t="str">
        <f>HYPERLINK("http://codeforces.com/gym/100622/problem/C","CF100622-GYM-C")</f>
        <v>CF100622-GYM-C</v>
      </c>
      <c r="B3280" s="28" t="s">
        <v>3197</v>
      </c>
      <c r="C3280" s="17">
        <v>5.4</v>
      </c>
      <c r="D3280" s="26" t="str">
        <f>HYPERLINK("https://github.com/MohamedNabil97/CompetitiveProgramming/blob/master/CodeForces/CF100622-GYM-C.cpp","Sol")</f>
        <v>Sol</v>
      </c>
      <c r="E3280" s="17" t="s">
        <v>3140</v>
      </c>
      <c r="F3280" s="17" t="s">
        <v>139</v>
      </c>
      <c r="G3280" s="18"/>
      <c r="H3280" s="18"/>
    </row>
    <row r="3281" spans="1:8" ht="13.2">
      <c r="A3281" s="15" t="s">
        <v>6298</v>
      </c>
      <c r="B3281" s="30" t="s">
        <v>6299</v>
      </c>
      <c r="C3281" s="17">
        <v>5.25</v>
      </c>
      <c r="D3281" s="26" t="str">
        <f>HYPERLINK("https://github.com/tmwilliamlin168/CompetitiveProgramming/blob/master/TopCoder/SRM515-D2-1000.java", "Sol")</f>
        <v>Sol</v>
      </c>
      <c r="E3281" s="24" t="s">
        <v>6275</v>
      </c>
      <c r="F3281" s="17" t="s">
        <v>255</v>
      </c>
      <c r="G3281" s="18"/>
      <c r="H3281" s="18"/>
    </row>
    <row r="3282" spans="1:8" ht="13.2">
      <c r="A3282" s="19" t="str">
        <f>HYPERLINK("http://codeforces.com/contest/250/problem/D","CF250-D2-D")</f>
        <v>CF250-D2-D</v>
      </c>
      <c r="B3282" s="29" t="s">
        <v>930</v>
      </c>
      <c r="C3282" s="17">
        <v>5.25</v>
      </c>
      <c r="D3282" s="18"/>
      <c r="E3282" s="17" t="s">
        <v>910</v>
      </c>
      <c r="F3282" s="17" t="s">
        <v>154</v>
      </c>
      <c r="G3282" s="18"/>
      <c r="H3282" s="18"/>
    </row>
    <row r="3283" spans="1:8" ht="13.2">
      <c r="A3283" s="15" t="s">
        <v>5675</v>
      </c>
      <c r="B3283" s="15" t="s">
        <v>5642</v>
      </c>
      <c r="C3283" s="17">
        <v>5.25</v>
      </c>
      <c r="D3283" s="26" t="str">
        <f>HYPERLINK("https://github.com/ahmed-osama-iv/CompetitiveProgramming/blob/master/LiveArchive/8015.cpp","Sol")</f>
        <v>Sol</v>
      </c>
      <c r="E3283" s="17" t="s">
        <v>5643</v>
      </c>
      <c r="F3283" s="17" t="s">
        <v>154</v>
      </c>
      <c r="G3283" s="18"/>
      <c r="H3283" s="18"/>
    </row>
    <row r="3284" spans="1:8" ht="13.2">
      <c r="A3284" s="19" t="str">
        <f>HYPERLINK("https://codeforces.com/contest/475/problem/D","CF475-D12-D")</f>
        <v>CF475-D12-D</v>
      </c>
      <c r="B3284" s="15" t="s">
        <v>621</v>
      </c>
      <c r="C3284" s="21">
        <v>5.25</v>
      </c>
      <c r="D3284" s="18"/>
      <c r="E3284" s="17" t="s">
        <v>575</v>
      </c>
      <c r="F3284" s="17" t="s">
        <v>154</v>
      </c>
      <c r="G3284" s="18"/>
      <c r="H3284" s="18"/>
    </row>
    <row r="3285" spans="1:8" ht="13.2">
      <c r="A3285" s="19" t="str">
        <f>HYPERLINK("https://uva.onlinejudge.org/index.php?option=onlinejudge&amp;page=show_problem&amp;problem=563","UVA 622")</f>
        <v>UVA 622</v>
      </c>
      <c r="B3285" s="29" t="s">
        <v>733</v>
      </c>
      <c r="C3285" s="17">
        <v>5.25</v>
      </c>
      <c r="D3285" s="26" t="str">
        <f>HYPERLINK("https://github.com/mostafa-saad/MyCompetitiveProgramming/blob/master/UVA/622.cpp","Sol")</f>
        <v>Sol</v>
      </c>
      <c r="E3285" s="17" t="s">
        <v>719</v>
      </c>
      <c r="F3285" s="17" t="s">
        <v>154</v>
      </c>
      <c r="G3285" s="18"/>
      <c r="H3285" s="18"/>
    </row>
    <row r="3286" spans="1:8" ht="13.2">
      <c r="A3286" s="19" t="str">
        <f>HYPERLINK("http://codeforces.com/contest/186/problem/D","CF186-D2-D")</f>
        <v>CF186-D2-D</v>
      </c>
      <c r="B3286" s="29" t="s">
        <v>5389</v>
      </c>
      <c r="C3286" s="17">
        <v>5.25</v>
      </c>
      <c r="D3286" s="18"/>
      <c r="E3286" s="17" t="s">
        <v>5346</v>
      </c>
      <c r="F3286" s="17" t="s">
        <v>154</v>
      </c>
      <c r="G3286" s="18"/>
      <c r="H3286" s="18"/>
    </row>
    <row r="3287" spans="1:8" ht="13.2">
      <c r="A3287" s="19" t="str">
        <f>HYPERLINK("http://codeforces.com/contest/28/problem/C","CF28-D12-C")</f>
        <v>CF28-D12-C</v>
      </c>
      <c r="B3287" s="41" t="s">
        <v>2052</v>
      </c>
      <c r="C3287" s="17">
        <v>5.25</v>
      </c>
      <c r="D3287" s="26" t="str">
        <f>HYPERLINK("https://github.com/aabdelzaher/Competitive-Programming/blob/master/Codeforces/CF28-D12-C.java","Sol")</f>
        <v>Sol</v>
      </c>
      <c r="E3287" s="17" t="s">
        <v>2026</v>
      </c>
      <c r="F3287" s="17" t="s">
        <v>1164</v>
      </c>
      <c r="G3287" s="18"/>
      <c r="H3287" s="18"/>
    </row>
    <row r="3288" spans="1:8" ht="13.2">
      <c r="A3288" s="19" t="str">
        <f>HYPERLINK("http://codeforces.com/contest/1071/problem/B","CF1072-D2-D")</f>
        <v>CF1072-D2-D</v>
      </c>
      <c r="B3288" s="20" t="s">
        <v>1557</v>
      </c>
      <c r="C3288" s="21">
        <v>5.25</v>
      </c>
      <c r="D3288" s="18"/>
      <c r="E3288" s="17" t="s">
        <v>1337</v>
      </c>
      <c r="F3288" s="17" t="s">
        <v>196</v>
      </c>
      <c r="G3288" s="18"/>
      <c r="H3288" s="18"/>
    </row>
    <row r="3289" spans="1:8" ht="13.2">
      <c r="A3289" s="19" t="str">
        <f>HYPERLINK("https://codeforces.com/contest/1230/problem/D","CF1230-D2-D")</f>
        <v>CF1230-D2-D</v>
      </c>
      <c r="B3289" s="15" t="s">
        <v>124</v>
      </c>
      <c r="C3289" s="17">
        <v>5.25</v>
      </c>
      <c r="D3289" s="18"/>
      <c r="E3289" s="17" t="s">
        <v>125</v>
      </c>
      <c r="F3289" s="17" t="s">
        <v>139</v>
      </c>
      <c r="G3289" s="18"/>
      <c r="H3289" s="18"/>
    </row>
    <row r="3290" spans="1:8" ht="13.2">
      <c r="A3290" s="19" t="str">
        <f>HYPERLINK("http://codeforces.com/contest/779/problem/E","CF779-D2-E")</f>
        <v>CF779-D2-E</v>
      </c>
      <c r="B3290" s="15" t="s">
        <v>224</v>
      </c>
      <c r="C3290" s="17">
        <v>5.25</v>
      </c>
      <c r="D3290" s="18"/>
      <c r="E3290" s="17" t="s">
        <v>125</v>
      </c>
      <c r="F3290" s="17" t="s">
        <v>139</v>
      </c>
      <c r="G3290" s="18"/>
      <c r="H3290" s="18"/>
    </row>
    <row r="3291" spans="1:8" ht="13.2">
      <c r="A3291" s="15" t="s">
        <v>5726</v>
      </c>
      <c r="B3291" s="18" t="s">
        <v>5727</v>
      </c>
      <c r="C3291" s="31">
        <v>5.25</v>
      </c>
      <c r="D3291" s="18"/>
      <c r="E3291" s="17" t="s">
        <v>5702</v>
      </c>
      <c r="F3291" s="17" t="s">
        <v>139</v>
      </c>
      <c r="G3291" s="18"/>
      <c r="H3291" s="18"/>
    </row>
    <row r="3292" spans="1:8" ht="13.2">
      <c r="A3292" s="19" t="str">
        <f>HYPERLINK("https://leetcode.com/problems/shortest-subarray-with-sum-at-least-k","LeetCode shortest-subarray-with-sum-at-least-k")</f>
        <v>LeetCode shortest-subarray-with-sum-at-least-k</v>
      </c>
      <c r="B3292" s="15" t="s">
        <v>6052</v>
      </c>
      <c r="C3292" s="17">
        <v>5.25</v>
      </c>
      <c r="D3292" s="26" t="str">
        <f>HYPERLINK("https://github.com/mostafa-saad/MyCompetitiveProgramming/blob/master/LeetCode/LeetCode-shortest-subarray-with-sum-at-least-k.txt","Sol")</f>
        <v>Sol</v>
      </c>
      <c r="E3292" s="17" t="s">
        <v>6040</v>
      </c>
      <c r="F3292" s="17" t="s">
        <v>139</v>
      </c>
      <c r="G3292" s="18"/>
      <c r="H3292" s="18"/>
    </row>
    <row r="3293" spans="1:8" ht="13.2">
      <c r="A3293" s="19" t="str">
        <f>HYPERLINK("https://uva.onlinejudge.org/index.php?option=onlinejudge&amp;page=show_problem&amp;problem=2501","UVA 11506")</f>
        <v>UVA 11506</v>
      </c>
      <c r="B3293" s="29" t="s">
        <v>6270</v>
      </c>
      <c r="C3293" s="17">
        <v>5.25</v>
      </c>
      <c r="D3293" s="26" t="str">
        <f>HYPERLINK("https://github.com/abdullaAshraf/Problem-Solving/blob/master/UVA/11506.cpp","Sol")</f>
        <v>Sol</v>
      </c>
      <c r="E3293" s="17" t="s">
        <v>6246</v>
      </c>
      <c r="F3293" s="17" t="s">
        <v>139</v>
      </c>
      <c r="G3293" s="18"/>
      <c r="H3293" s="18"/>
    </row>
    <row r="3294" spans="1:8" ht="13.2">
      <c r="A3294" s="19" t="str">
        <f>HYPERLINK("http://codeforces.com/contest/847/problem/D","CF847-D12-D")</f>
        <v>CF847-D12-D</v>
      </c>
      <c r="B3294" s="15" t="s">
        <v>1182</v>
      </c>
      <c r="C3294" s="17">
        <v>5.25</v>
      </c>
      <c r="D3294" s="26" t="str">
        <f>HYPERLINK("https://github.com/ahmedsamir221/CompetitiveProgramming/blob/master/CodeForces/CF847-D12-D.cpp","Sol")</f>
        <v>Sol</v>
      </c>
      <c r="E3294" s="17" t="s">
        <v>1018</v>
      </c>
      <c r="F3294" s="17" t="s">
        <v>139</v>
      </c>
      <c r="G3294" s="18"/>
      <c r="H3294" s="18"/>
    </row>
    <row r="3295" spans="1:8" ht="13.2">
      <c r="A3295" s="15" t="s">
        <v>1183</v>
      </c>
      <c r="B3295" s="15" t="s">
        <v>1043</v>
      </c>
      <c r="C3295" s="17">
        <v>5.25</v>
      </c>
      <c r="D3295" s="26" t="str">
        <f>HYPERLINK("https://github.com/goswami-rahul/competitive-coding/blob/master/CompetitiveProgramming/spoj/DCEPC11I.cpp","Sol")</f>
        <v>Sol</v>
      </c>
      <c r="E3295" s="17" t="s">
        <v>1018</v>
      </c>
      <c r="F3295" s="17" t="s">
        <v>139</v>
      </c>
      <c r="G3295" s="18"/>
      <c r="H3295" s="18"/>
    </row>
    <row r="3296" spans="1:8" ht="13.2">
      <c r="A3296" s="15" t="s">
        <v>1558</v>
      </c>
      <c r="B3296" s="29" t="s">
        <v>1559</v>
      </c>
      <c r="C3296" s="40">
        <v>5.25</v>
      </c>
      <c r="D3296" s="18"/>
      <c r="E3296" s="17" t="s">
        <v>1337</v>
      </c>
      <c r="F3296" s="17" t="s">
        <v>139</v>
      </c>
      <c r="G3296" s="18"/>
      <c r="H3296" s="18"/>
    </row>
    <row r="3297" spans="1:8" ht="13.2">
      <c r="A3297" s="19" t="str">
        <f>HYPERLINK("https://codeforces.com/contest/6/problem/D","CF6-D12-D")</f>
        <v>CF6-D12-D</v>
      </c>
      <c r="B3297" s="15" t="s">
        <v>1560</v>
      </c>
      <c r="C3297" s="17">
        <v>5.25</v>
      </c>
      <c r="D3297" s="18"/>
      <c r="E3297" s="17" t="s">
        <v>1337</v>
      </c>
      <c r="F3297" s="17" t="s">
        <v>139</v>
      </c>
      <c r="G3297" s="18"/>
      <c r="H3297" s="18"/>
    </row>
    <row r="3298" spans="1:8" ht="13.2">
      <c r="A3298" s="19" t="str">
        <f>HYPERLINK("https://codeforces.com/gym/101979/problem/D","CF101979-GYM-D")</f>
        <v>CF101979-GYM-D</v>
      </c>
      <c r="B3298" s="20" t="s">
        <v>1561</v>
      </c>
      <c r="C3298" s="21">
        <v>5.25</v>
      </c>
      <c r="D3298" s="18"/>
      <c r="E3298" s="17" t="s">
        <v>1337</v>
      </c>
      <c r="F3298" s="17" t="s">
        <v>139</v>
      </c>
      <c r="G3298" s="18"/>
      <c r="H3298" s="18"/>
    </row>
    <row r="3299" spans="1:8" ht="13.2">
      <c r="A3299" s="19" t="str">
        <f>HYPERLINK("https://codeforces.com/gym/102215/problem/I","CF102215-GYM-I")</f>
        <v>CF102215-GYM-I</v>
      </c>
      <c r="B3299" s="20" t="s">
        <v>2200</v>
      </c>
      <c r="C3299" s="17">
        <v>5.25</v>
      </c>
      <c r="D3299" s="18"/>
      <c r="E3299" s="17" t="s">
        <v>2153</v>
      </c>
      <c r="F3299" s="17" t="s">
        <v>139</v>
      </c>
      <c r="G3299" s="18"/>
      <c r="H3299" s="18"/>
    </row>
    <row r="3300" spans="1:8" ht="13.2">
      <c r="A3300" s="19" t="str">
        <f>HYPERLINK("http://codeforces.com/contest/911/problem/E","CF911-D12-E")</f>
        <v>CF911-D12-E</v>
      </c>
      <c r="B3300" s="15" t="s">
        <v>616</v>
      </c>
      <c r="C3300" s="17">
        <v>5.25</v>
      </c>
      <c r="D3300" s="18"/>
      <c r="E3300" s="17" t="s">
        <v>575</v>
      </c>
      <c r="F3300" s="17" t="s">
        <v>139</v>
      </c>
      <c r="G3300" s="18"/>
      <c r="H3300" s="18"/>
    </row>
    <row r="3301" spans="1:8" ht="13.2">
      <c r="A3301" s="15" t="s">
        <v>4204</v>
      </c>
      <c r="B3301" s="43" t="s">
        <v>4205</v>
      </c>
      <c r="C3301" s="24">
        <v>5.25</v>
      </c>
      <c r="D3301" s="26" t="str">
        <f>HYPERLINK("https://github.com/Coder-Boy1/SPOJ/blob/master/SPOJ%20STEAD","Sol")</f>
        <v>Sol</v>
      </c>
      <c r="E3301" s="17" t="s">
        <v>4144</v>
      </c>
      <c r="F3301" s="17" t="s">
        <v>139</v>
      </c>
      <c r="G3301" s="18"/>
      <c r="H3301" s="18"/>
    </row>
    <row r="3302" spans="1:8" ht="13.2">
      <c r="A3302" s="15" t="s">
        <v>4313</v>
      </c>
      <c r="B3302" s="29" t="s">
        <v>4279</v>
      </c>
      <c r="C3302" s="17">
        <v>5.25</v>
      </c>
      <c r="D3302" s="18"/>
      <c r="E3302" s="17" t="s">
        <v>4275</v>
      </c>
      <c r="F3302" s="17" t="s">
        <v>139</v>
      </c>
      <c r="G3302" s="18"/>
      <c r="H3302" s="18"/>
    </row>
    <row r="3303" spans="1:8" ht="13.2">
      <c r="A3303" s="19" t="str">
        <f>HYPERLINK("https://uva.onlinejudge.org/index.php?option=onlinejudge&amp;page=show_problem&amp;problem=2321","UVa 11346")</f>
        <v>UVa 11346</v>
      </c>
      <c r="B3303" s="29" t="s">
        <v>5345</v>
      </c>
      <c r="C3303" s="31">
        <v>5.25</v>
      </c>
      <c r="D3303" s="26" t="str">
        <f>HYPERLINK("https://github.com/mostafa-saad/MyCompetitiveProgramming/blob/master/UVA/UVA_11346.txt","Sol")</f>
        <v>Sol</v>
      </c>
      <c r="E3303" s="17" t="s">
        <v>5346</v>
      </c>
      <c r="F3303" s="17" t="s">
        <v>139</v>
      </c>
      <c r="G3303" s="18"/>
      <c r="H3303" s="18"/>
    </row>
    <row r="3304" spans="1:8" ht="13.2">
      <c r="A3304" s="15" t="s">
        <v>225</v>
      </c>
      <c r="B3304" s="29" t="s">
        <v>226</v>
      </c>
      <c r="C3304" s="17">
        <v>5.25</v>
      </c>
      <c r="D3304" s="26" t="str">
        <f>HYPERLINK("https://github.com/mostafa-saad/MyCompetitiveProgramming/blob/master/SPOJ/SPOJ_PARSUMS.txt","Sol")</f>
        <v>Sol</v>
      </c>
      <c r="E3304" s="17" t="s">
        <v>125</v>
      </c>
      <c r="F3304" s="17" t="s">
        <v>227</v>
      </c>
      <c r="G3304" s="18"/>
      <c r="H3304" s="18"/>
    </row>
    <row r="3305" spans="1:8" ht="13.2">
      <c r="A3305" s="19" t="str">
        <f>HYPERLINK("https://codeforces.com/gym/101807/problem/F","CF101807-GYM-F")</f>
        <v>CF101807-GYM-F</v>
      </c>
      <c r="B3305" s="15" t="s">
        <v>124</v>
      </c>
      <c r="C3305" s="17">
        <v>5.25</v>
      </c>
      <c r="D3305" s="26" t="str">
        <f>HYPERLINK("https://github.com/YazanZebak/CompetitiveProgramming/blob/master/Codeforces/CF101807-GYM-F.cpp", "Sol")</f>
        <v>Sol</v>
      </c>
      <c r="E3305" s="17" t="s">
        <v>125</v>
      </c>
      <c r="F3305" s="17" t="s">
        <v>201</v>
      </c>
      <c r="G3305" s="18"/>
      <c r="H3305" s="18"/>
    </row>
    <row r="3306" spans="1:8" ht="13.2">
      <c r="A3306" s="19" t="str">
        <f>HYPERLINK("http://codeforces.com/contest/282/problem/E","CF282-D2-E")</f>
        <v>CF282-D2-E</v>
      </c>
      <c r="B3306" s="18" t="s">
        <v>5660</v>
      </c>
      <c r="C3306" s="17">
        <v>5.25</v>
      </c>
      <c r="D3306" s="18" t="s">
        <v>5661</v>
      </c>
      <c r="E3306" s="17" t="s">
        <v>5643</v>
      </c>
      <c r="F3306" s="17" t="s">
        <v>201</v>
      </c>
      <c r="G3306" s="18"/>
      <c r="H3306" s="18"/>
    </row>
    <row r="3307" spans="1:8" ht="13.2">
      <c r="A3307" s="19" t="str">
        <f>HYPERLINK("https://codingcompetitions.withgoogle.com/kickstart/round/000000000019ffc7/00000000001d3ff3","KICKSTART 20-RA-D")</f>
        <v>KICKSTART 20-RA-D</v>
      </c>
      <c r="B3307" s="28" t="s">
        <v>5676</v>
      </c>
      <c r="C3307" s="17">
        <v>5.25</v>
      </c>
      <c r="D3307" s="18"/>
      <c r="E3307" s="17" t="s">
        <v>5643</v>
      </c>
      <c r="F3307" s="17" t="s">
        <v>201</v>
      </c>
      <c r="G3307" s="18"/>
      <c r="H3307" s="18"/>
    </row>
    <row r="3308" spans="1:8" ht="13.2">
      <c r="A3308" s="19" t="str">
        <f>HYPERLINK("https://codeforces.com/contest/1147/problem/B", "CF1147-D1-B")</f>
        <v>CF1147-D1-B</v>
      </c>
      <c r="B3308" s="15" t="s">
        <v>5728</v>
      </c>
      <c r="C3308" s="17">
        <v>5.25</v>
      </c>
      <c r="D3308" s="18"/>
      <c r="E3308" s="17" t="s">
        <v>5702</v>
      </c>
      <c r="F3308" s="17" t="s">
        <v>201</v>
      </c>
      <c r="G3308" s="18"/>
      <c r="H3308" s="18"/>
    </row>
    <row r="3309" spans="1:8" ht="13.2">
      <c r="A3309" s="19" t="str">
        <f>HYPERLINK("https://codeforces.com/gym/101187/problem/F","CF101187-GYM-F")</f>
        <v>CF101187-GYM-F</v>
      </c>
      <c r="B3309" s="20" t="s">
        <v>5961</v>
      </c>
      <c r="C3309" s="21">
        <v>5.25</v>
      </c>
      <c r="D3309" s="26" t="str">
        <f>HYPERLINK("https://github.com/SpeedOfMagic/CompetitiveProgramming/blob/master/CodeforcesGym/CF101187-GYM-F.cpp","Sol")</f>
        <v>Sol</v>
      </c>
      <c r="E3309" s="17" t="s">
        <v>5958</v>
      </c>
      <c r="F3309" s="17" t="s">
        <v>201</v>
      </c>
      <c r="G3309" s="18"/>
      <c r="H3309" s="18"/>
    </row>
    <row r="3310" spans="1:8" ht="13.2">
      <c r="A3310" s="19" t="str">
        <f>HYPERLINK("https://codeforces.com/contest/1147/problem/C", "CF1147-D1-C")</f>
        <v>CF1147-D1-C</v>
      </c>
      <c r="B3310" s="15" t="s">
        <v>2400</v>
      </c>
      <c r="C3310" s="17">
        <v>5.25</v>
      </c>
      <c r="D3310" s="18"/>
      <c r="E3310" s="17" t="s">
        <v>2394</v>
      </c>
      <c r="F3310" s="17" t="s">
        <v>201</v>
      </c>
      <c r="G3310" s="18"/>
      <c r="H3310" s="18"/>
    </row>
    <row r="3311" spans="1:8" ht="13.2">
      <c r="A3311" s="19" t="str">
        <f>HYPERLINK("http://codeforces.com/contest/96/problem/D","CF96-D2-D")</f>
        <v>CF96-D2-D</v>
      </c>
      <c r="B3311" s="29" t="s">
        <v>3841</v>
      </c>
      <c r="C3311" s="17">
        <v>5.25</v>
      </c>
      <c r="D3311" s="18"/>
      <c r="E3311" s="17" t="s">
        <v>3784</v>
      </c>
      <c r="F3311" s="17" t="s">
        <v>201</v>
      </c>
      <c r="G3311" s="18"/>
      <c r="H3311" s="18"/>
    </row>
    <row r="3312" spans="1:8" ht="13.2">
      <c r="A3312" s="19" t="str">
        <f>HYPERLINK("https://codeforces.com/contest/1095/problem/F","CF1095-D3-F")</f>
        <v>CF1095-D3-F</v>
      </c>
      <c r="B3312" s="15" t="s">
        <v>4279</v>
      </c>
      <c r="C3312" s="17">
        <v>5.25</v>
      </c>
      <c r="D3312" s="18"/>
      <c r="E3312" s="17" t="s">
        <v>4275</v>
      </c>
      <c r="F3312" s="17" t="s">
        <v>201</v>
      </c>
      <c r="G3312" s="18"/>
      <c r="H3312" s="18"/>
    </row>
    <row r="3313" spans="1:8" ht="13.2">
      <c r="A3313" s="19" t="str">
        <f>HYPERLINK("https://atcoder.jp/contests/abc150/tasks/abc150_e","AtCoder150-ABC-E")</f>
        <v>AtCoder150-ABC-E</v>
      </c>
      <c r="B3313" s="20" t="s">
        <v>4964</v>
      </c>
      <c r="C3313" s="21">
        <v>5.25</v>
      </c>
      <c r="D3313" s="18"/>
      <c r="E3313" s="17" t="s">
        <v>4958</v>
      </c>
      <c r="F3313" s="17" t="s">
        <v>201</v>
      </c>
      <c r="G3313" s="18"/>
      <c r="H3313" s="18"/>
    </row>
    <row r="3314" spans="1:8" ht="13.2">
      <c r="A3314" s="19" t="str">
        <f>HYPERLINK("http://codeforces.com/contest/459/problem/E","CF459-D2-E")</f>
        <v>CF459-D2-E</v>
      </c>
      <c r="B3314" s="29" t="s">
        <v>1562</v>
      </c>
      <c r="C3314" s="17">
        <v>5.25</v>
      </c>
      <c r="D3314" s="18"/>
      <c r="E3314" s="17" t="s">
        <v>1337</v>
      </c>
      <c r="F3314" s="17" t="s">
        <v>242</v>
      </c>
      <c r="G3314" s="18"/>
      <c r="H3314" s="18"/>
    </row>
    <row r="3315" spans="1:8" ht="13.2">
      <c r="A3315" s="15" t="s">
        <v>2130</v>
      </c>
      <c r="B3315" s="29" t="s">
        <v>2131</v>
      </c>
      <c r="C3315" s="17">
        <v>5.25</v>
      </c>
      <c r="D3315" s="18"/>
      <c r="E3315" s="17" t="s">
        <v>2113</v>
      </c>
      <c r="F3315" s="17" t="s">
        <v>242</v>
      </c>
      <c r="G3315" s="18"/>
      <c r="H3315" s="18"/>
    </row>
    <row r="3316" spans="1:8" ht="13.2">
      <c r="A3316" s="19" t="str">
        <f>HYPERLINK("https://www.facebook.com/hackercup/problem/175329729852444/", "FbHkrCup 18-RQ-B")</f>
        <v>FbHkrCup 18-RQ-B</v>
      </c>
      <c r="B3316" s="20" t="s">
        <v>4564</v>
      </c>
      <c r="C3316" s="21">
        <v>5.25</v>
      </c>
      <c r="D3316" s="26" t="str">
        <f>HYPERLINK("https://github.com/SpeedOfMagic/CompetitiveProgramming/blob/master/FbHkrCup/FbHkrCup%2018-Intersection.cpp","ACC")</f>
        <v>ACC</v>
      </c>
      <c r="E3316" s="17" t="s">
        <v>4531</v>
      </c>
      <c r="F3316" s="17" t="s">
        <v>242</v>
      </c>
      <c r="G3316" s="18"/>
      <c r="H3316" s="18"/>
    </row>
    <row r="3317" spans="1:8" ht="13.2">
      <c r="A3317" s="19" t="str">
        <f>HYPERLINK("https://codeforces.com/contest/867/problem/C","CF867-D2-C")</f>
        <v>CF867-D2-C</v>
      </c>
      <c r="B3317" s="15" t="s">
        <v>228</v>
      </c>
      <c r="C3317" s="17">
        <v>5.25</v>
      </c>
      <c r="D3317" s="18"/>
      <c r="E3317" s="17" t="s">
        <v>125</v>
      </c>
      <c r="F3317" s="17"/>
      <c r="G3317" s="18"/>
      <c r="H3317" s="18"/>
    </row>
    <row r="3318" spans="1:8" ht="13.2">
      <c r="A3318" s="19" t="str">
        <f>HYPERLINK("http://codeforces.com/problemset/problem/321/C","CF321-D1-C")</f>
        <v>CF321-D1-C</v>
      </c>
      <c r="B3318" s="28" t="s">
        <v>6359</v>
      </c>
      <c r="C3318" s="17">
        <v>5.25</v>
      </c>
      <c r="D3318" s="18"/>
      <c r="E3318" s="17" t="s">
        <v>6345</v>
      </c>
      <c r="F3318" s="17"/>
      <c r="G3318" s="18"/>
      <c r="H3318" s="18"/>
    </row>
    <row r="3319" spans="1:8" ht="13.2">
      <c r="A3319" s="15" t="s">
        <v>6422</v>
      </c>
      <c r="B3319" s="15" t="s">
        <v>6421</v>
      </c>
      <c r="C3319" s="17">
        <v>5.25</v>
      </c>
      <c r="D3319" s="26" t="str">
        <f>HYPERLINK("https://github.com/taow-com-prog/problemsolving/blob/master/UVA/UVA%2012836.cpp","Use knuth")</f>
        <v>Use knuth</v>
      </c>
      <c r="E3319" s="17" t="s">
        <v>6419</v>
      </c>
      <c r="F3319" s="17"/>
      <c r="G3319" s="18"/>
      <c r="H3319" s="18"/>
    </row>
    <row r="3320" spans="1:8" ht="13.2">
      <c r="A3320" s="19" t="str">
        <f>HYPERLINK("http://codeforces.com/contest/456/problem/E","CF456-D2-E")</f>
        <v>CF456-D2-E</v>
      </c>
      <c r="B3320" s="15" t="s">
        <v>3635</v>
      </c>
      <c r="C3320" s="17">
        <v>5.25</v>
      </c>
      <c r="D3320" s="18"/>
      <c r="E3320" s="17" t="s">
        <v>3633</v>
      </c>
      <c r="F3320" s="17"/>
      <c r="G3320" s="18"/>
      <c r="H3320" s="18"/>
    </row>
    <row r="3321" spans="1:8" ht="13.2">
      <c r="A3321" s="19" t="str">
        <f>HYPERLINK("https://agc001.contest.atcoder.jp/tasks/agc001_c","AtCoder001-AGC-C")</f>
        <v>AtCoder001-AGC-C</v>
      </c>
      <c r="B3321" s="15" t="s">
        <v>3638</v>
      </c>
      <c r="C3321" s="17">
        <v>5.25</v>
      </c>
      <c r="D3321" s="26" t="str">
        <f>HYPERLINK("https://github.com/Triplem5ds/Competitve-Programming/blob/master/atcoder/AtCoder001-AGC-C.cpp","Sol. See editorials")</f>
        <v>Sol. See editorials</v>
      </c>
      <c r="E3321" s="17" t="s">
        <v>3633</v>
      </c>
      <c r="F3321" s="17"/>
      <c r="G3321" s="18"/>
      <c r="H3321" s="18"/>
    </row>
    <row r="3322" spans="1:8" ht="13.2">
      <c r="A3322" s="15" t="s">
        <v>2132</v>
      </c>
      <c r="B3322" s="29" t="s">
        <v>2133</v>
      </c>
      <c r="C3322" s="17">
        <v>5.0999999999999996</v>
      </c>
      <c r="D3322" s="18"/>
      <c r="E3322" s="17" t="s">
        <v>2113</v>
      </c>
      <c r="F3322" s="17" t="s">
        <v>139</v>
      </c>
      <c r="G3322" s="18"/>
      <c r="H3322" s="18"/>
    </row>
    <row r="3323" spans="1:8" ht="13.2">
      <c r="A3323" s="19" t="str">
        <f>HYPERLINK("http://codeforces.com/problemset/problem/442/B","CF442-D1-B")</f>
        <v>CF442-D1-B</v>
      </c>
      <c r="B3323" s="15" t="s">
        <v>5390</v>
      </c>
      <c r="C3323" s="17">
        <v>5.0999999999999996</v>
      </c>
      <c r="D3323" s="18"/>
      <c r="E3323" s="17" t="s">
        <v>5346</v>
      </c>
      <c r="F3323" s="17" t="s">
        <v>139</v>
      </c>
      <c r="G3323" s="18"/>
      <c r="H3323" s="18"/>
    </row>
    <row r="3324" spans="1:8" ht="13.2">
      <c r="A3324" s="19" t="str">
        <f>HYPERLINK("https://www.spoj.com/problems/ALLIN1/","SPOJ ALLIN1")</f>
        <v>SPOJ ALLIN1</v>
      </c>
      <c r="B3324" s="25" t="s">
        <v>5904</v>
      </c>
      <c r="C3324" s="17">
        <v>5.0999999999999996</v>
      </c>
      <c r="D3324" s="18" t="s">
        <v>1166</v>
      </c>
      <c r="E3324" s="17" t="s">
        <v>5874</v>
      </c>
      <c r="F3324" s="17"/>
      <c r="G3324" s="18"/>
      <c r="H3324" s="18"/>
    </row>
    <row r="3325" spans="1:8" ht="13.2">
      <c r="A3325" s="15" t="s">
        <v>4122</v>
      </c>
      <c r="B3325" s="48" t="s">
        <v>4059</v>
      </c>
      <c r="C3325" s="17">
        <v>5.0999999999999996</v>
      </c>
      <c r="D3325" s="18"/>
      <c r="E3325" s="17" t="s">
        <v>4060</v>
      </c>
      <c r="F3325" s="17"/>
      <c r="G3325" s="18"/>
      <c r="H3325" s="18"/>
    </row>
    <row r="3326" spans="1:8" ht="13.2">
      <c r="A3326" s="15" t="s">
        <v>685</v>
      </c>
      <c r="B3326" s="30" t="s">
        <v>686</v>
      </c>
      <c r="C3326" s="24">
        <v>5</v>
      </c>
      <c r="D3326" s="26" t="str">
        <f>HYPERLINK("https://github.com/AhmedElsisy/CompetitiveProgramming/blob/master/UVA/12639.cpp","Sol")</f>
        <v>Sol</v>
      </c>
      <c r="E3326" s="17" t="s">
        <v>655</v>
      </c>
      <c r="F3326" s="17" t="s">
        <v>687</v>
      </c>
      <c r="G3326" s="18"/>
      <c r="H3326" s="18"/>
    </row>
    <row r="3327" spans="1:8" ht="13.2">
      <c r="A3327" s="15" t="s">
        <v>931</v>
      </c>
      <c r="B3327" s="29" t="s">
        <v>932</v>
      </c>
      <c r="C3327" s="24">
        <v>5</v>
      </c>
      <c r="D3327" s="18"/>
      <c r="E3327" s="17" t="s">
        <v>910</v>
      </c>
      <c r="F3327" s="17" t="s">
        <v>255</v>
      </c>
      <c r="G3327" s="18"/>
      <c r="H3327" s="18"/>
    </row>
    <row r="3328" spans="1:8" ht="13.2">
      <c r="A3328" s="15" t="s">
        <v>6132</v>
      </c>
      <c r="B3328" s="29" t="s">
        <v>6133</v>
      </c>
      <c r="C3328" s="24">
        <v>5</v>
      </c>
      <c r="D3328" s="18"/>
      <c r="E3328" s="24" t="s">
        <v>6118</v>
      </c>
      <c r="F3328" s="17" t="s">
        <v>255</v>
      </c>
      <c r="G3328" s="18"/>
      <c r="H3328" s="18"/>
    </row>
    <row r="3329" spans="1:8" ht="13.2">
      <c r="A3329" s="15" t="s">
        <v>2271</v>
      </c>
      <c r="B3329" s="30" t="s">
        <v>2163</v>
      </c>
      <c r="C3329" s="40">
        <v>5</v>
      </c>
      <c r="D3329" s="18"/>
      <c r="E3329" s="17" t="s">
        <v>2153</v>
      </c>
      <c r="F3329" s="17" t="s">
        <v>255</v>
      </c>
      <c r="G3329" s="18"/>
      <c r="H3329" s="18"/>
    </row>
    <row r="3330" spans="1:8" ht="13.2">
      <c r="A3330" s="19" t="str">
        <f>HYPERLINK("http://codeforces.com/contest/670/problem/F","CF670-D2-F")</f>
        <v>CF670-D2-F</v>
      </c>
      <c r="B3330" s="18" t="s">
        <v>2171</v>
      </c>
      <c r="C3330" s="17">
        <v>5</v>
      </c>
      <c r="D3330" s="18"/>
      <c r="E3330" s="17" t="s">
        <v>2153</v>
      </c>
      <c r="F3330" s="17" t="s">
        <v>255</v>
      </c>
      <c r="G3330" s="18"/>
      <c r="H3330" s="18"/>
    </row>
    <row r="3331" spans="1:8" ht="13.2">
      <c r="A3331" s="15" t="s">
        <v>2682</v>
      </c>
      <c r="B3331" s="18" t="s">
        <v>2561</v>
      </c>
      <c r="C3331" s="17">
        <v>5</v>
      </c>
      <c r="D3331" s="26" t="str">
        <f>HYPERLINK("https://github.com/mostafa-saad/MyCompetitiveProgramming/blob/master/UVA/UVA_11909.txt","Sol")</f>
        <v>Sol</v>
      </c>
      <c r="E3331" s="17" t="s">
        <v>2510</v>
      </c>
      <c r="F3331" s="17" t="s">
        <v>255</v>
      </c>
      <c r="G3331" s="18"/>
      <c r="H3331" s="18"/>
    </row>
    <row r="3332" spans="1:8" ht="13.2">
      <c r="A3332" s="15" t="s">
        <v>3198</v>
      </c>
      <c r="B3332" s="28" t="s">
        <v>3188</v>
      </c>
      <c r="C3332" s="24">
        <v>5</v>
      </c>
      <c r="D3332" s="18"/>
      <c r="E3332" s="17" t="s">
        <v>3140</v>
      </c>
      <c r="F3332" s="17" t="s">
        <v>255</v>
      </c>
      <c r="G3332" s="18"/>
      <c r="H3332" s="18"/>
    </row>
    <row r="3333" spans="1:8" ht="13.2">
      <c r="A3333" s="15" t="s">
        <v>3390</v>
      </c>
      <c r="B3333" s="30" t="s">
        <v>3391</v>
      </c>
      <c r="C3333" s="17">
        <v>5</v>
      </c>
      <c r="D3333" s="18"/>
      <c r="E3333" s="17" t="s">
        <v>3257</v>
      </c>
      <c r="F3333" s="17" t="s">
        <v>255</v>
      </c>
      <c r="G3333" s="18"/>
      <c r="H3333" s="18"/>
    </row>
    <row r="3334" spans="1:8" ht="13.2">
      <c r="A3334" s="19" t="str">
        <f>HYPERLINK("http://codeforces.com/contest/244/problem/C","CF244-D2-C")</f>
        <v>CF244-D2-C</v>
      </c>
      <c r="B3334" s="29" t="s">
        <v>779</v>
      </c>
      <c r="C3334" s="33">
        <v>5</v>
      </c>
      <c r="D3334" s="18"/>
      <c r="E3334" s="17" t="s">
        <v>741</v>
      </c>
      <c r="F3334" s="17" t="s">
        <v>255</v>
      </c>
      <c r="G3334" s="18"/>
      <c r="H3334" s="18"/>
    </row>
    <row r="3335" spans="1:8" ht="13.2">
      <c r="A3335" s="19" t="str">
        <f>HYPERLINK("http://codeforces.com/contest/817/problem/C","CF817-D12-C")</f>
        <v>CF817-D12-C</v>
      </c>
      <c r="B3335" s="29" t="s">
        <v>818</v>
      </c>
      <c r="C3335" s="17">
        <v>5</v>
      </c>
      <c r="D3335" s="18"/>
      <c r="E3335" s="17" t="s">
        <v>805</v>
      </c>
      <c r="F3335" s="17" t="s">
        <v>255</v>
      </c>
      <c r="G3335" s="18"/>
      <c r="H3335" s="18"/>
    </row>
    <row r="3336" spans="1:8" ht="13.2">
      <c r="A3336" s="19" t="str">
        <f>HYPERLINK("http://codeforces.com/contest/868/problem/C","CF868-D12-C")</f>
        <v>CF868-D12-C</v>
      </c>
      <c r="B3336" s="18" t="s">
        <v>124</v>
      </c>
      <c r="C3336" s="17">
        <v>5</v>
      </c>
      <c r="D3336" s="18"/>
      <c r="E3336" s="17" t="s">
        <v>125</v>
      </c>
      <c r="F3336" s="17" t="s">
        <v>229</v>
      </c>
      <c r="G3336" s="18"/>
      <c r="H3336" s="18"/>
    </row>
    <row r="3337" spans="1:8" ht="13.2">
      <c r="A3337" s="15" t="s">
        <v>5677</v>
      </c>
      <c r="B3337" s="28" t="s">
        <v>5678</v>
      </c>
      <c r="C3337" s="33">
        <v>5</v>
      </c>
      <c r="D3337" s="18"/>
      <c r="E3337" s="17" t="s">
        <v>5643</v>
      </c>
      <c r="F3337" s="17" t="s">
        <v>229</v>
      </c>
      <c r="G3337" s="18"/>
      <c r="H3337" s="18"/>
    </row>
    <row r="3338" spans="1:8" ht="13.2">
      <c r="A3338" s="19" t="str">
        <f>HYPERLINK("http://codeforces.com/contest/570/problem/C","CF570-D2-C")</f>
        <v>CF570-D2-C</v>
      </c>
      <c r="B3338" s="29" t="s">
        <v>5959</v>
      </c>
      <c r="C3338" s="17">
        <v>5</v>
      </c>
      <c r="D3338" s="18"/>
      <c r="E3338" s="17" t="s">
        <v>5958</v>
      </c>
      <c r="F3338" s="17" t="s">
        <v>229</v>
      </c>
      <c r="G3338" s="18"/>
      <c r="H3338" s="18"/>
    </row>
    <row r="3339" spans="1:8" ht="13.2">
      <c r="A3339" s="19" t="str">
        <f>HYPERLINK("http://codeforces.com/contest/888/problem/D","CF888-D12-D")</f>
        <v>CF888-D12-D</v>
      </c>
      <c r="B3339" s="15" t="s">
        <v>1913</v>
      </c>
      <c r="C3339" s="17">
        <v>5</v>
      </c>
      <c r="D3339" s="18"/>
      <c r="E3339" s="17" t="s">
        <v>1909</v>
      </c>
      <c r="F3339" s="17" t="s">
        <v>229</v>
      </c>
      <c r="G3339" s="18"/>
      <c r="H3339" s="18"/>
    </row>
    <row r="3340" spans="1:8" ht="13.2">
      <c r="A3340" s="19" t="str">
        <f>HYPERLINK("https://github.com/3agwa/CompetitiveProgramming/blob/master/UVA/UVA%2010169","UVA 10169")</f>
        <v>UVA 10169</v>
      </c>
      <c r="B3340" s="38" t="s">
        <v>2053</v>
      </c>
      <c r="C3340" s="17">
        <v>5</v>
      </c>
      <c r="D3340" s="26" t="str">
        <f>HYPERLINK("https://github.com/AliOsm/CompetitiveProgramming/blob/master/UVA/10169%20-%20Urn-ball%20Probabilities!.cpp","Sol")</f>
        <v>Sol</v>
      </c>
      <c r="E3340" s="17" t="s">
        <v>2026</v>
      </c>
      <c r="F3340" s="17" t="s">
        <v>229</v>
      </c>
      <c r="G3340" s="18"/>
      <c r="H3340" s="18"/>
    </row>
    <row r="3341" spans="1:8" ht="13.2">
      <c r="A3341" s="19" t="str">
        <f>HYPERLINK("http://codeforces.com/contest/678/problem/E","CF678-D12-E")</f>
        <v>CF678-D12-E</v>
      </c>
      <c r="B3341" s="29" t="s">
        <v>2033</v>
      </c>
      <c r="C3341" s="33">
        <v>5</v>
      </c>
      <c r="D3341" s="18"/>
      <c r="E3341" s="17" t="s">
        <v>2026</v>
      </c>
      <c r="F3341" s="17" t="s">
        <v>229</v>
      </c>
      <c r="G3341" s="18"/>
      <c r="H3341" s="18"/>
    </row>
    <row r="3342" spans="1:8" ht="13.2">
      <c r="A3342" s="19" t="str">
        <f>HYPERLINK("http://codeforces.com/contest/238/problem/B","CF238-D1-B")</f>
        <v>CF238-D1-B</v>
      </c>
      <c r="B3342" s="29" t="s">
        <v>2163</v>
      </c>
      <c r="C3342" s="17">
        <v>5</v>
      </c>
      <c r="D3342" s="26" t="str">
        <f>HYPERLINK("https://github.com/achrafmam2/CompetitiveProgramming/blob/master/Codeforces/CF238-D1-.cc","SolToMe")</f>
        <v>SolToMe</v>
      </c>
      <c r="E3342" s="17" t="s">
        <v>2153</v>
      </c>
      <c r="F3342" s="17" t="s">
        <v>229</v>
      </c>
      <c r="G3342" s="18"/>
      <c r="H3342" s="18"/>
    </row>
    <row r="3343" spans="1:8" ht="13.2">
      <c r="A3343" s="15" t="s">
        <v>2272</v>
      </c>
      <c r="B3343" s="29" t="s">
        <v>2163</v>
      </c>
      <c r="C3343" s="17">
        <v>5</v>
      </c>
      <c r="D3343" s="18"/>
      <c r="E3343" s="24" t="s">
        <v>2153</v>
      </c>
      <c r="F3343" s="17" t="s">
        <v>229</v>
      </c>
      <c r="G3343" s="18"/>
      <c r="H3343" s="18"/>
    </row>
    <row r="3344" spans="1:8" ht="13.2">
      <c r="A3344" s="19" t="str">
        <f>HYPERLINK("http://codeforces.com/gym/101341/problem/E","CF101341-GYM-E")</f>
        <v>CF101341-GYM-E</v>
      </c>
      <c r="B3344" s="15" t="s">
        <v>2157</v>
      </c>
      <c r="C3344" s="17">
        <v>5</v>
      </c>
      <c r="D3344" s="26" t="str">
        <f>HYPERLINK("https://ideone.com/AwNNMM","Sol")</f>
        <v>Sol</v>
      </c>
      <c r="E3344" s="17" t="s">
        <v>2153</v>
      </c>
      <c r="F3344" s="17" t="s">
        <v>229</v>
      </c>
      <c r="G3344" s="18"/>
      <c r="H3344" s="18"/>
    </row>
    <row r="3345" spans="1:8" ht="13.2">
      <c r="A3345" s="15" t="s">
        <v>2418</v>
      </c>
      <c r="B3345" s="18" t="s">
        <v>2419</v>
      </c>
      <c r="C3345" s="17">
        <v>5</v>
      </c>
      <c r="D3345" s="26" t="str">
        <f>HYPERLINK("https://github.com/AliOsm/CompetitiveProgramming/blob/master/Timus/1051.%20Simple%20Game%20on%20a%20Grid.cpp","Sol")</f>
        <v>Sol</v>
      </c>
      <c r="E3345" s="17" t="s">
        <v>2394</v>
      </c>
      <c r="F3345" s="17" t="s">
        <v>229</v>
      </c>
      <c r="G3345" s="18"/>
      <c r="H3345" s="18"/>
    </row>
    <row r="3346" spans="1:8" ht="13.2">
      <c r="A3346" s="15" t="s">
        <v>2683</v>
      </c>
      <c r="B3346" s="18" t="s">
        <v>2561</v>
      </c>
      <c r="C3346" s="17">
        <v>5</v>
      </c>
      <c r="D3346" s="26" t="str">
        <f>HYPERLINK("https://github.com/arvindr9/CompetitiveProgramming/blob/master/Timus/TIMUS%201084.cpp","Sol")</f>
        <v>Sol</v>
      </c>
      <c r="E3346" s="17" t="s">
        <v>2510</v>
      </c>
      <c r="F3346" s="17" t="s">
        <v>229</v>
      </c>
      <c r="G3346" s="18"/>
      <c r="H3346" s="18"/>
    </row>
    <row r="3347" spans="1:8" ht="13.2">
      <c r="A3347" s="15" t="s">
        <v>2684</v>
      </c>
      <c r="B3347" s="29" t="s">
        <v>2657</v>
      </c>
      <c r="C3347" s="24">
        <v>5</v>
      </c>
      <c r="D3347" s="26" t="str">
        <f>HYPERLINK("https://github.com/osamahatem/CompetitiveProgramming/blob/master/SPOJ/BILLIARD.cpp","Sol")</f>
        <v>Sol</v>
      </c>
      <c r="E3347" s="17" t="s">
        <v>2510</v>
      </c>
      <c r="F3347" s="17" t="s">
        <v>229</v>
      </c>
      <c r="G3347" s="18"/>
      <c r="H3347" s="18"/>
    </row>
    <row r="3348" spans="1:8" ht="13.2">
      <c r="A3348" s="19" t="str">
        <f>HYPERLINK("http://codeforces.com/gym/101064/problem/A","CF101064-gym-A")</f>
        <v>CF101064-gym-A</v>
      </c>
      <c r="B3348" s="15" t="s">
        <v>2685</v>
      </c>
      <c r="C3348" s="17">
        <v>5</v>
      </c>
      <c r="D3348" s="26" t="str">
        <f>HYPERLINK("https://github.com/mostafa-saad/MyCompetitiveProgramming/blob/master/Codeforces/CF101064-GYM-A.txt","Sol")</f>
        <v>Sol</v>
      </c>
      <c r="E3348" s="17" t="s">
        <v>2510</v>
      </c>
      <c r="F3348" s="17" t="s">
        <v>229</v>
      </c>
      <c r="G3348" s="18"/>
      <c r="H3348" s="18"/>
    </row>
    <row r="3349" spans="1:8" ht="13.2">
      <c r="A3349" s="15" t="s">
        <v>2909</v>
      </c>
      <c r="B3349" s="29" t="s">
        <v>2910</v>
      </c>
      <c r="C3349" s="24">
        <v>5</v>
      </c>
      <c r="D3349" s="18"/>
      <c r="E3349" s="24" t="s">
        <v>2865</v>
      </c>
      <c r="F3349" s="17" t="s">
        <v>229</v>
      </c>
      <c r="G3349" s="18"/>
      <c r="H3349" s="18"/>
    </row>
    <row r="3350" spans="1:8" ht="13.2">
      <c r="A3350" s="15" t="s">
        <v>688</v>
      </c>
      <c r="B3350" s="29" t="s">
        <v>679</v>
      </c>
      <c r="C3350" s="17">
        <v>5</v>
      </c>
      <c r="D3350" s="18"/>
      <c r="E3350" s="24" t="s">
        <v>655</v>
      </c>
      <c r="F3350" s="17" t="s">
        <v>229</v>
      </c>
      <c r="G3350" s="18"/>
      <c r="H3350" s="18"/>
    </row>
    <row r="3351" spans="1:8" ht="13.2">
      <c r="A3351" s="19" t="str">
        <f>HYPERLINK("http://codeforces.com/contest/437/problem/D","CF437-D2-D")</f>
        <v>CF437-D2-D</v>
      </c>
      <c r="B3351" s="29" t="s">
        <v>3901</v>
      </c>
      <c r="C3351" s="17">
        <v>5</v>
      </c>
      <c r="D3351" s="26" t="str">
        <f>HYPERLINK("https://github.com/abdullaAshraf/Problem-Solving/blob/master/CodeForces/CF437-D2-D.cpp","Sol")</f>
        <v>Sol</v>
      </c>
      <c r="E3351" s="17" t="s">
        <v>3883</v>
      </c>
      <c r="F3351" s="17" t="s">
        <v>229</v>
      </c>
      <c r="G3351" s="18"/>
      <c r="H3351" s="18"/>
    </row>
    <row r="3352" spans="1:8" ht="13.2">
      <c r="A3352" s="19" t="str">
        <f>HYPERLINK("http://codeforces.com/problemset/problem/798/C","CF798-D2-C")</f>
        <v>CF798-D2-C</v>
      </c>
      <c r="B3352" s="30" t="s">
        <v>4530</v>
      </c>
      <c r="C3352" s="40">
        <v>5</v>
      </c>
      <c r="D3352" s="18"/>
      <c r="E3352" s="17" t="s">
        <v>4531</v>
      </c>
      <c r="F3352" s="17" t="s">
        <v>229</v>
      </c>
      <c r="G3352" s="18"/>
      <c r="H3352" s="18"/>
    </row>
    <row r="3353" spans="1:8" ht="13.2">
      <c r="A3353" s="19" t="str">
        <f>HYPERLINK("http://codeforces.com/problemset/problem/899/D","CF899-D2-D")</f>
        <v>CF899-D2-D</v>
      </c>
      <c r="B3353" s="18" t="s">
        <v>4530</v>
      </c>
      <c r="C3353" s="17">
        <v>5</v>
      </c>
      <c r="D3353" s="18"/>
      <c r="E3353" s="17" t="s">
        <v>4531</v>
      </c>
      <c r="F3353" s="17" t="s">
        <v>229</v>
      </c>
      <c r="G3353" s="18"/>
      <c r="H3353" s="18"/>
    </row>
    <row r="3354" spans="1:8" ht="13.2">
      <c r="A3354" s="15" t="s">
        <v>4657</v>
      </c>
      <c r="B3354" s="18" t="s">
        <v>4658</v>
      </c>
      <c r="C3354" s="17">
        <v>5</v>
      </c>
      <c r="D3354" s="26" t="str">
        <f>HYPERLINK("https://github.com/AliOsm/CompetitiveProgramming/blob/master/TopCoder/SRM394-D2-1000.cpp","Sol")</f>
        <v>Sol</v>
      </c>
      <c r="E3354" s="17" t="s">
        <v>4531</v>
      </c>
      <c r="F3354" s="17" t="s">
        <v>229</v>
      </c>
      <c r="G3354" s="18"/>
      <c r="H3354" s="18"/>
    </row>
    <row r="3355" spans="1:8" ht="13.2">
      <c r="A3355" s="15" t="s">
        <v>4749</v>
      </c>
      <c r="B3355" s="34" t="s">
        <v>4750</v>
      </c>
      <c r="C3355" s="31">
        <v>5</v>
      </c>
      <c r="D3355" s="18"/>
      <c r="E3355" s="17" t="s">
        <v>4751</v>
      </c>
      <c r="F3355" s="17" t="s">
        <v>229</v>
      </c>
      <c r="G3355" s="18"/>
      <c r="H3355" s="18"/>
    </row>
    <row r="3356" spans="1:8" ht="13.2">
      <c r="A3356" s="15" t="s">
        <v>6175</v>
      </c>
      <c r="B3356" s="16" t="s">
        <v>6176</v>
      </c>
      <c r="C3356" s="17">
        <v>5</v>
      </c>
      <c r="D3356" s="18"/>
      <c r="E3356" s="17" t="s">
        <v>6169</v>
      </c>
      <c r="F3356" s="17" t="s">
        <v>306</v>
      </c>
      <c r="G3356" s="18"/>
      <c r="H3356" s="18"/>
    </row>
    <row r="3357" spans="1:8" ht="13.2">
      <c r="A3357" s="15" t="s">
        <v>2094</v>
      </c>
      <c r="B3357" s="29" t="s">
        <v>2095</v>
      </c>
      <c r="C3357" s="17">
        <v>5</v>
      </c>
      <c r="D3357" s="26" t="str">
        <f>HYPERLINK("https://github.com/racsosabe/CompetitiveProgramming/blob/master/SPOJ/LOOPEXP.cpp","Sol")</f>
        <v>Sol</v>
      </c>
      <c r="E3357" s="17" t="s">
        <v>2074</v>
      </c>
      <c r="F3357" s="17" t="s">
        <v>306</v>
      </c>
      <c r="G3357" s="18"/>
      <c r="H3357" s="18"/>
    </row>
    <row r="3358" spans="1:8" ht="13.2">
      <c r="A3358" s="19" t="str">
        <f>HYPERLINK("http://codeforces.com/contest/922/problem/D","CF922-D2-D")</f>
        <v>CF922-D2-D</v>
      </c>
      <c r="B3358" s="15" t="s">
        <v>2273</v>
      </c>
      <c r="C3358" s="17">
        <v>5</v>
      </c>
      <c r="D3358" s="18"/>
      <c r="E3358" s="17" t="s">
        <v>2153</v>
      </c>
      <c r="F3358" s="17" t="s">
        <v>306</v>
      </c>
      <c r="G3358" s="18"/>
      <c r="H3358" s="18"/>
    </row>
    <row r="3359" spans="1:8" ht="13.2">
      <c r="A3359" s="15" t="s">
        <v>5837</v>
      </c>
      <c r="B3359" s="28" t="s">
        <v>5838</v>
      </c>
      <c r="C3359" s="24">
        <v>5</v>
      </c>
      <c r="D3359" s="26" t="str">
        <f>HYPERLINK("http://pc.fdi.ucm.es/swerc/swerc09/SWERC-expl.pdf","Coach doc or Stammering Alins in pdf.")</f>
        <v>Coach doc or Stammering Alins in pdf.</v>
      </c>
      <c r="E3359" s="17" t="s">
        <v>5794</v>
      </c>
      <c r="F3359" s="17" t="s">
        <v>173</v>
      </c>
      <c r="G3359" s="18"/>
      <c r="H3359" s="18"/>
    </row>
    <row r="3360" spans="1:8" ht="13.2">
      <c r="A3360" s="19" t="str">
        <f>HYPERLINK("https://beta.atcoder.jp/contests/abc009/tasks/abc009_3","AtCoder009-ABC-C")</f>
        <v>AtCoder009-ABC-C</v>
      </c>
      <c r="B3360" s="15" t="s">
        <v>2274</v>
      </c>
      <c r="C3360" s="17">
        <v>5</v>
      </c>
      <c r="D3360" s="18"/>
      <c r="E3360" s="17" t="s">
        <v>2153</v>
      </c>
      <c r="F3360" s="17" t="s">
        <v>173</v>
      </c>
      <c r="G3360" s="18"/>
      <c r="H3360" s="18"/>
    </row>
    <row r="3361" spans="1:8" ht="13.2">
      <c r="A3361" s="19" t="str">
        <f>HYPERLINK("https://www.codechef.com/problems/PSHTBRTH","CODECHEF PSHTBRTH")</f>
        <v>CODECHEF PSHTBRTH</v>
      </c>
      <c r="B3361" s="18" t="s">
        <v>2493</v>
      </c>
      <c r="C3361" s="17">
        <v>5</v>
      </c>
      <c r="D3361" s="18"/>
      <c r="E3361" s="17" t="s">
        <v>2467</v>
      </c>
      <c r="F3361" s="17" t="s">
        <v>173</v>
      </c>
      <c r="G3361" s="18"/>
      <c r="H3361" s="18"/>
    </row>
    <row r="3362" spans="1:8" ht="13.2">
      <c r="A3362" s="19" t="str">
        <f>HYPERLINK("http://codeforces.com/contest/582/problem/B","CF582-D1-B")</f>
        <v>CF582-D1-B</v>
      </c>
      <c r="B3362" s="18" t="s">
        <v>5286</v>
      </c>
      <c r="C3362" s="17">
        <v>5</v>
      </c>
      <c r="D3362" s="18"/>
      <c r="E3362" s="17" t="s">
        <v>5246</v>
      </c>
      <c r="F3362" s="17" t="s">
        <v>173</v>
      </c>
      <c r="G3362" s="18"/>
      <c r="H3362" s="18"/>
    </row>
    <row r="3363" spans="1:8" ht="13.2">
      <c r="A3363" s="19" t="str">
        <f>HYPERLINK("https://uva.onlinejudge.org/index.php?option=onlinejudge&amp;page=show_problem&amp;problem=946","UVA 10005")</f>
        <v>UVA 10005</v>
      </c>
      <c r="B3363" s="29" t="s">
        <v>2842</v>
      </c>
      <c r="C3363" s="17">
        <v>5</v>
      </c>
      <c r="D3363" s="26" t="str">
        <f>HYPERLINK("https://github.com/mostafa-saad/MyCompetitiveProgramming/blob/master/UVA/UVA_10005.txt","Sol")</f>
        <v>Sol</v>
      </c>
      <c r="E3363" s="17" t="s">
        <v>2798</v>
      </c>
      <c r="F3363" s="17" t="s">
        <v>2843</v>
      </c>
      <c r="G3363" s="18"/>
      <c r="H3363" s="18"/>
    </row>
    <row r="3364" spans="1:8" ht="13.2">
      <c r="A3364" s="19" t="str">
        <f>HYPERLINK("http://codeforces.com/contest/478/problem/D","CF478-D2-D")</f>
        <v>CF478-D2-D</v>
      </c>
      <c r="B3364" s="29" t="s">
        <v>1813</v>
      </c>
      <c r="C3364" s="17">
        <v>5</v>
      </c>
      <c r="D3364" s="18"/>
      <c r="E3364" s="17" t="s">
        <v>1793</v>
      </c>
      <c r="F3364" s="17" t="s">
        <v>1053</v>
      </c>
      <c r="G3364" s="18"/>
      <c r="H3364" s="18"/>
    </row>
    <row r="3365" spans="1:8" ht="13.2">
      <c r="A3365" s="15" t="s">
        <v>230</v>
      </c>
      <c r="B3365" s="15" t="s">
        <v>231</v>
      </c>
      <c r="C3365" s="17">
        <v>5</v>
      </c>
      <c r="D3365" s="26" t="str">
        <f>HYPERLINK("http://code.cloudkaksha.org/spoj/spoj-pairsum-solution","Editorial")</f>
        <v>Editorial</v>
      </c>
      <c r="E3365" s="17" t="s">
        <v>125</v>
      </c>
      <c r="F3365" s="17" t="s">
        <v>154</v>
      </c>
      <c r="G3365" s="18"/>
      <c r="H3365" s="18"/>
    </row>
    <row r="3366" spans="1:8" ht="13.2">
      <c r="A3366" s="19" t="str">
        <f>HYPERLINK("http://codeforces.com/contest/23/problem/C","CF23-D12-C")</f>
        <v>CF23-D12-C</v>
      </c>
      <c r="B3366" s="29" t="s">
        <v>232</v>
      </c>
      <c r="C3366" s="17">
        <v>5</v>
      </c>
      <c r="D3366" s="18"/>
      <c r="E3366" s="17" t="s">
        <v>125</v>
      </c>
      <c r="F3366" s="17" t="s">
        <v>154</v>
      </c>
      <c r="G3366" s="18"/>
      <c r="H3366" s="18"/>
    </row>
    <row r="3367" spans="1:8" ht="13.2">
      <c r="A3367" s="15" t="s">
        <v>933</v>
      </c>
      <c r="B3367" s="29" t="s">
        <v>934</v>
      </c>
      <c r="C3367" s="17">
        <v>5</v>
      </c>
      <c r="D3367" s="18"/>
      <c r="E3367" s="17" t="s">
        <v>910</v>
      </c>
      <c r="F3367" s="17" t="s">
        <v>154</v>
      </c>
      <c r="G3367" s="18"/>
      <c r="H3367" s="18"/>
    </row>
    <row r="3368" spans="1:8" ht="13.2">
      <c r="A3368" s="19" t="str">
        <f>HYPERLINK("http://codeforces.com/contest/842/problem/D","CF842-D2-D")</f>
        <v>CF842-D2-D</v>
      </c>
      <c r="B3368" s="28" t="s">
        <v>5679</v>
      </c>
      <c r="C3368" s="17">
        <v>5</v>
      </c>
      <c r="D3368" s="18"/>
      <c r="E3368" s="17" t="s">
        <v>5643</v>
      </c>
      <c r="F3368" s="17" t="s">
        <v>154</v>
      </c>
      <c r="G3368" s="18"/>
      <c r="H3368" s="18"/>
    </row>
    <row r="3369" spans="1:8" ht="13.2">
      <c r="A3369" s="15" t="s">
        <v>5937</v>
      </c>
      <c r="B3369" s="15" t="s">
        <v>5938</v>
      </c>
      <c r="C3369" s="17">
        <v>5</v>
      </c>
      <c r="D3369" s="18"/>
      <c r="E3369" s="17" t="s">
        <v>5915</v>
      </c>
      <c r="F3369" s="17" t="s">
        <v>154</v>
      </c>
      <c r="G3369" s="18"/>
      <c r="H3369" s="18"/>
    </row>
    <row r="3370" spans="1:8" ht="13.2">
      <c r="A3370" s="15" t="s">
        <v>969</v>
      </c>
      <c r="B3370" s="15" t="s">
        <v>956</v>
      </c>
      <c r="C3370" s="17">
        <v>5</v>
      </c>
      <c r="D3370" s="18" t="s">
        <v>970</v>
      </c>
      <c r="E3370" s="17" t="s">
        <v>951</v>
      </c>
      <c r="F3370" s="17" t="s">
        <v>154</v>
      </c>
      <c r="G3370" s="18"/>
      <c r="H3370" s="18"/>
    </row>
    <row r="3371" spans="1:8" ht="13.2">
      <c r="A3371" s="15" t="s">
        <v>6053</v>
      </c>
      <c r="B3371" s="15" t="s">
        <v>6054</v>
      </c>
      <c r="C3371" s="17">
        <v>5</v>
      </c>
      <c r="D3371" s="26" t="str">
        <f>HYPERLINK("https://github.com/nathalieFouad/CompetitiveProgramming/blob/master/SPOJ/SPOJ%20KOIREP/.cpp","Sol")</f>
        <v>Sol</v>
      </c>
      <c r="E3371" s="17" t="s">
        <v>6040</v>
      </c>
      <c r="F3371" s="17" t="s">
        <v>154</v>
      </c>
      <c r="G3371" s="18"/>
      <c r="H3371" s="18"/>
    </row>
    <row r="3372" spans="1:8" ht="13.2">
      <c r="A3372" s="19" t="str">
        <f>HYPERLINK("http://codeforces.com/contest/877/problem/E","CF877-D2-E")</f>
        <v>CF877-D2-E</v>
      </c>
      <c r="B3372" s="20" t="s">
        <v>1184</v>
      </c>
      <c r="C3372" s="21">
        <v>5</v>
      </c>
      <c r="D3372" s="26" t="str">
        <f>HYPERLINK("https://www.youtube.com/watch?v=rkbdB_vhgJw","Sol - Video")</f>
        <v>Sol - Video</v>
      </c>
      <c r="E3372" s="17" t="s">
        <v>1018</v>
      </c>
      <c r="F3372" s="17" t="s">
        <v>154</v>
      </c>
      <c r="G3372" s="18"/>
      <c r="H3372" s="18"/>
    </row>
    <row r="3373" spans="1:8" ht="13.2">
      <c r="A3373" s="15" t="s">
        <v>1283</v>
      </c>
      <c r="B3373" s="30" t="s">
        <v>1284</v>
      </c>
      <c r="C3373" s="17">
        <v>5</v>
      </c>
      <c r="D3373" s="26" t="str">
        <f>HYPERLINK("https://github.com/mostafa-saad/MyCompetitiveProgramming/blob/master/UVA/UVA_12697.txt","Sol-must read")</f>
        <v>Sol-must read</v>
      </c>
      <c r="E3373" s="17" t="s">
        <v>1223</v>
      </c>
      <c r="F3373" s="17" t="s">
        <v>154</v>
      </c>
      <c r="G3373" s="18"/>
      <c r="H3373" s="18"/>
    </row>
    <row r="3374" spans="1:8" ht="13.2">
      <c r="A3374" s="19" t="str">
        <f>HYPERLINK("http://codeforces.com/contest/598/problem/E","CF598-D12-E")</f>
        <v>CF598-D12-E</v>
      </c>
      <c r="B3374" s="15" t="s">
        <v>1348</v>
      </c>
      <c r="C3374" s="17">
        <v>5</v>
      </c>
      <c r="D3374" s="18"/>
      <c r="E3374" s="17" t="s">
        <v>1337</v>
      </c>
      <c r="F3374" s="17" t="s">
        <v>154</v>
      </c>
      <c r="G3374" s="18"/>
      <c r="H3374" s="18"/>
    </row>
    <row r="3375" spans="1:8" ht="13.2">
      <c r="A3375" s="19" t="str">
        <f>HYPERLINK("https://www.codechef.com/MAY18B/problems/CHSIGN","CODECHEF CHSIGN")</f>
        <v>CODECHEF CHSIGN</v>
      </c>
      <c r="B3375" s="15" t="s">
        <v>1563</v>
      </c>
      <c r="C3375" s="17">
        <v>5</v>
      </c>
      <c r="D3375" s="26" t="str">
        <f>HYPERLINK("https://github.com/timpostuvan/CompetitiveProgramming/blob/master/CodeChef/CHSIGN.cpp","Sol")</f>
        <v>Sol</v>
      </c>
      <c r="E3375" s="17" t="s">
        <v>1337</v>
      </c>
      <c r="F3375" s="17" t="s">
        <v>154</v>
      </c>
      <c r="G3375" s="18"/>
      <c r="H3375" s="18"/>
    </row>
    <row r="3376" spans="1:8" ht="13.2">
      <c r="A3376" s="19" t="str">
        <f>HYPERLINK("http://codeforces.com/problemset/problem/494/B", "CF494-D1-B")</f>
        <v>CF494-D1-B</v>
      </c>
      <c r="B3376" s="20" t="s">
        <v>1466</v>
      </c>
      <c r="C3376" s="21">
        <v>5</v>
      </c>
      <c r="D3376" s="18"/>
      <c r="E3376" s="17" t="s">
        <v>1337</v>
      </c>
      <c r="F3376" s="17" t="s">
        <v>154</v>
      </c>
      <c r="G3376" s="18"/>
      <c r="H3376" s="18"/>
    </row>
    <row r="3377" spans="1:8" ht="13.2">
      <c r="A3377" s="19" t="str">
        <f>HYPERLINK("https://arc087.contest.atcoder.jp/tasks/arc087_b","AtCoder087-ARC-B")</f>
        <v>AtCoder087-ARC-B</v>
      </c>
      <c r="B3377" s="15" t="s">
        <v>1384</v>
      </c>
      <c r="C3377" s="17">
        <v>5</v>
      </c>
      <c r="D3377" s="18"/>
      <c r="E3377" s="17" t="s">
        <v>1337</v>
      </c>
      <c r="F3377" s="17" t="s">
        <v>154</v>
      </c>
      <c r="G3377" s="18"/>
      <c r="H3377" s="18"/>
    </row>
    <row r="3378" spans="1:8" ht="13.2">
      <c r="A3378" s="19" t="str">
        <f>HYPERLINK("http://codeforces.com/contest/633/problem/D","CF633-D12-D")</f>
        <v>CF633-D12-D</v>
      </c>
      <c r="B3378" s="29" t="s">
        <v>403</v>
      </c>
      <c r="C3378" s="17">
        <v>5</v>
      </c>
      <c r="D3378" s="18"/>
      <c r="E3378" s="17" t="s">
        <v>332</v>
      </c>
      <c r="F3378" s="17" t="s">
        <v>154</v>
      </c>
      <c r="G3378" s="18"/>
      <c r="H3378" s="18"/>
    </row>
    <row r="3379" spans="1:8" ht="13.2">
      <c r="A3379" s="19" t="str">
        <f>HYPERLINK("http://codeforces.com/contest/621/problem/D","CF621-D2-D")</f>
        <v>CF621-D2-D</v>
      </c>
      <c r="B3379" s="29" t="s">
        <v>404</v>
      </c>
      <c r="C3379" s="17">
        <v>5</v>
      </c>
      <c r="D3379" s="26" t="str">
        <f>HYPERLINK("https://github.com/MedoN11/CompetitiveProgramming/blob/master/CodeForces/CF621-D2-D-Complex.cpp","Sol")</f>
        <v>Sol</v>
      </c>
      <c r="E3379" s="17" t="s">
        <v>332</v>
      </c>
      <c r="F3379" s="17" t="s">
        <v>154</v>
      </c>
      <c r="G3379" s="18"/>
      <c r="H3379" s="18"/>
    </row>
    <row r="3380" spans="1:8" ht="13.2">
      <c r="A3380" s="15" t="s">
        <v>2275</v>
      </c>
      <c r="B3380" s="15" t="s">
        <v>2169</v>
      </c>
      <c r="C3380" s="17">
        <v>5</v>
      </c>
      <c r="D3380" s="26" t="str">
        <f>HYPERLINK("https://github.com/Ownography/CP/blob/master/SPOJ%20ROADTRIP","Sol")</f>
        <v>Sol</v>
      </c>
      <c r="E3380" s="17" t="s">
        <v>2153</v>
      </c>
      <c r="F3380" s="17" t="s">
        <v>154</v>
      </c>
      <c r="G3380" s="18"/>
      <c r="H3380" s="18"/>
    </row>
    <row r="3381" spans="1:8" ht="13.2">
      <c r="A3381" s="19" t="str">
        <f>HYPERLINK("http://www.spoj.com/problems/WEIRDFN/","SPOJ WEIRDFN")</f>
        <v>SPOJ WEIRDFN</v>
      </c>
      <c r="B3381" s="29" t="s">
        <v>622</v>
      </c>
      <c r="C3381" s="17">
        <v>5</v>
      </c>
      <c r="D3381" s="26" t="str">
        <f>HYPERLINK("https://github.com/mostafa-saad/MyCompetitiveProgramming/blob/master/SPOJ/SPOJ_WEIRDFN.txt","Sol. Note, restricted time limit.")</f>
        <v>Sol. Note, restricted time limit.</v>
      </c>
      <c r="E3381" s="17" t="s">
        <v>575</v>
      </c>
      <c r="F3381" s="17" t="s">
        <v>154</v>
      </c>
      <c r="G3381" s="18"/>
      <c r="H3381" s="18"/>
    </row>
    <row r="3382" spans="1:8" ht="13.2">
      <c r="A3382" s="15" t="s">
        <v>3547</v>
      </c>
      <c r="B3382" s="29" t="s">
        <v>3548</v>
      </c>
      <c r="C3382" s="24">
        <v>5</v>
      </c>
      <c r="D3382" s="26" t="str">
        <f>HYPERLINK("https://github.com/mostafa-saad/MyCompetitiveProgramming/blob/master/UVA/UVA_11573.txt","Sol - must read")</f>
        <v>Sol - must read</v>
      </c>
      <c r="E3382" s="17" t="s">
        <v>3467</v>
      </c>
      <c r="F3382" s="17" t="s">
        <v>154</v>
      </c>
      <c r="G3382" s="18"/>
      <c r="H3382" s="18"/>
    </row>
    <row r="3383" spans="1:8" ht="13.2">
      <c r="A3383" s="19" t="str">
        <f>HYPERLINK("http://codeforces.com/contest/295/problem/B","CF295-D1-B")</f>
        <v>CF295-D1-B</v>
      </c>
      <c r="B3383" s="30" t="s">
        <v>4016</v>
      </c>
      <c r="C3383" s="24">
        <v>5</v>
      </c>
      <c r="D3383" s="18"/>
      <c r="E3383" s="17" t="s">
        <v>3998</v>
      </c>
      <c r="F3383" s="17" t="s">
        <v>154</v>
      </c>
      <c r="G3383" s="18"/>
      <c r="H3383" s="18"/>
    </row>
    <row r="3384" spans="1:8" ht="13.2">
      <c r="A3384" s="19" t="str">
        <f>HYPERLINK("http://acm.tju.edu.cn/toj/showp2823.html","TJU 2823")</f>
        <v>TJU 2823</v>
      </c>
      <c r="B3384" s="29" t="s">
        <v>4059</v>
      </c>
      <c r="C3384" s="17">
        <v>5</v>
      </c>
      <c r="D3384" s="26" t="str">
        <f>HYPERLINK("https://github.com/MohamedNabil97/CompetitiveProgramming/blob/master/TJU/2823.cpp","Sol")</f>
        <v>Sol</v>
      </c>
      <c r="E3384" s="17" t="s">
        <v>4060</v>
      </c>
      <c r="F3384" s="17" t="s">
        <v>154</v>
      </c>
      <c r="G3384" s="18"/>
      <c r="H3384" s="18"/>
    </row>
    <row r="3385" spans="1:8" ht="13.2">
      <c r="A3385" s="15" t="s">
        <v>4206</v>
      </c>
      <c r="B3385" s="27" t="s">
        <v>4207</v>
      </c>
      <c r="C3385" s="17">
        <v>5</v>
      </c>
      <c r="D3385" s="26" t="str">
        <f>HYPERLINK("https://github.com/mostafa-saad/MyCompetitiveProgramming/blob/master/LiveArchive/LIVEARCHIVE_3752.txt","Easy greedy. Try it as min path coverage")</f>
        <v>Easy greedy. Try it as min path coverage</v>
      </c>
      <c r="E3385" s="17" t="s">
        <v>4144</v>
      </c>
      <c r="F3385" s="17" t="s">
        <v>154</v>
      </c>
      <c r="G3385" s="18"/>
      <c r="H3385" s="18"/>
    </row>
    <row r="3386" spans="1:8" ht="13.2">
      <c r="A3386" s="19" t="str">
        <f>HYPERLINK("http://codeforces.com/contest/33/problem/D","CF33-D12-D")</f>
        <v>CF33-D12-D</v>
      </c>
      <c r="B3386" s="15" t="s">
        <v>4492</v>
      </c>
      <c r="C3386" s="17">
        <v>5</v>
      </c>
      <c r="D3386" s="26" t="str">
        <f>HYPERLINK("http://codeforces.com/contest/33/submission/142981","See")</f>
        <v>See</v>
      </c>
      <c r="E3386" s="17" t="s">
        <v>4454</v>
      </c>
      <c r="F3386" s="17" t="s">
        <v>154</v>
      </c>
      <c r="G3386" s="18"/>
      <c r="H3386" s="18"/>
    </row>
    <row r="3387" spans="1:8" ht="13.2">
      <c r="A3387" s="19" t="str">
        <f>HYPERLINK("http://codeforces.com/contest/1040/problem/D","CF1040-D2-D")</f>
        <v>CF1040-D2-D</v>
      </c>
      <c r="B3387" s="37" t="s">
        <v>4659</v>
      </c>
      <c r="C3387" s="17">
        <v>5</v>
      </c>
      <c r="D3387" s="26" t="str">
        <f>HYPERLINK("http://codeforces.com/blog/entry/61675","Read post and comments after trying (C++)")</f>
        <v>Read post and comments after trying (C++)</v>
      </c>
      <c r="E3387" s="17" t="s">
        <v>4531</v>
      </c>
      <c r="F3387" s="17" t="s">
        <v>154</v>
      </c>
      <c r="G3387" s="18"/>
      <c r="H3387" s="18"/>
    </row>
    <row r="3388" spans="1:8" ht="13.2">
      <c r="A3388" s="15" t="s">
        <v>4910</v>
      </c>
      <c r="B3388" s="29" t="s">
        <v>4911</v>
      </c>
      <c r="C3388" s="24">
        <v>5</v>
      </c>
      <c r="D3388" s="26" t="str">
        <f>HYPERLINK("https://github.com/mostafa-saad/MyCompetitiveProgramming/blob/master/UVA/UVA_1730.txt","Sol")</f>
        <v>Sol</v>
      </c>
      <c r="E3388" s="17" t="s">
        <v>4893</v>
      </c>
      <c r="F3388" s="17" t="s">
        <v>154</v>
      </c>
      <c r="G3388" s="18"/>
      <c r="H3388" s="18"/>
    </row>
    <row r="3389" spans="1:8" ht="13.2">
      <c r="A3389" s="19" t="str">
        <f>HYPERLINK("https://www.hackerrank.com/challenges/ajourney","HACKR ajourney")</f>
        <v>HACKR ajourney</v>
      </c>
      <c r="B3389" s="29" t="s">
        <v>5005</v>
      </c>
      <c r="C3389" s="17">
        <v>5</v>
      </c>
      <c r="D3389" s="18"/>
      <c r="E3389" s="17" t="s">
        <v>4958</v>
      </c>
      <c r="F3389" s="17" t="s">
        <v>154</v>
      </c>
      <c r="G3389" s="18"/>
      <c r="H3389" s="18"/>
    </row>
    <row r="3390" spans="1:8" ht="13.2">
      <c r="A3390" s="19" t="str">
        <f>HYPERLINK("http://codeforces.com/contest/476/problem/C","CF476-D2-C")</f>
        <v>CF476-D2-C</v>
      </c>
      <c r="B3390" s="29" t="s">
        <v>4912</v>
      </c>
      <c r="C3390" s="17">
        <v>5</v>
      </c>
      <c r="D3390" s="26" t="str">
        <f>HYPERLINK("https://www.youtube.com/watch?v=KS9POnQMfmY","Watch if needed")</f>
        <v>Watch if needed</v>
      </c>
      <c r="E3390" s="17" t="s">
        <v>4893</v>
      </c>
      <c r="F3390" s="17" t="s">
        <v>1164</v>
      </c>
      <c r="G3390" s="18"/>
      <c r="H3390" s="18"/>
    </row>
    <row r="3391" spans="1:8" ht="13.2">
      <c r="A3391" s="19" t="str">
        <f>HYPERLINK("http://codeforces.com/contest/432/problem/D","CF432-D2-D")</f>
        <v>CF432-D2-D</v>
      </c>
      <c r="B3391" s="29" t="s">
        <v>5721</v>
      </c>
      <c r="C3391" s="17">
        <v>5</v>
      </c>
      <c r="D3391" s="18"/>
      <c r="E3391" s="17" t="s">
        <v>5702</v>
      </c>
      <c r="F3391" s="17" t="s">
        <v>196</v>
      </c>
      <c r="G3391" s="18"/>
      <c r="H3391" s="18"/>
    </row>
    <row r="3392" spans="1:8" ht="13.2">
      <c r="A3392" s="19" t="str">
        <f>HYPERLINK("http://codeforces.com/contest/814/problem/D","CF814-D2-D")</f>
        <v>CF814-D2-D</v>
      </c>
      <c r="B3392" s="29" t="s">
        <v>6499</v>
      </c>
      <c r="C3392" s="17">
        <v>5</v>
      </c>
      <c r="D3392" s="18"/>
      <c r="E3392" s="17" t="s">
        <v>6459</v>
      </c>
      <c r="F3392" s="17" t="s">
        <v>196</v>
      </c>
      <c r="G3392" s="18"/>
      <c r="H3392" s="18"/>
    </row>
    <row r="3393" spans="1:8" ht="13.2">
      <c r="A3393" s="19" t="str">
        <f>HYPERLINK("http://codeforces.com/contest/709/problem/D","CF709-D2-D")</f>
        <v>CF709-D2-D</v>
      </c>
      <c r="B3393" s="29" t="s">
        <v>2276</v>
      </c>
      <c r="C3393" s="17">
        <v>5</v>
      </c>
      <c r="D3393" s="18"/>
      <c r="E3393" s="17" t="s">
        <v>2153</v>
      </c>
      <c r="F3393" s="17" t="s">
        <v>196</v>
      </c>
      <c r="G3393" s="18"/>
      <c r="H3393" s="18"/>
    </row>
    <row r="3394" spans="1:8" ht="13.2">
      <c r="A3394" s="15" t="s">
        <v>4913</v>
      </c>
      <c r="B3394" s="28" t="s">
        <v>4914</v>
      </c>
      <c r="C3394" s="24">
        <v>5</v>
      </c>
      <c r="D3394" s="26" t="str">
        <f>HYPERLINK("https://github.com/mostafa-saad/MyCompetitiveProgramming/blob/master/UVA/UVA_10830.txt","Sol")</f>
        <v>Sol</v>
      </c>
      <c r="E3394" s="17" t="s">
        <v>4893</v>
      </c>
      <c r="F3394" s="17" t="s">
        <v>196</v>
      </c>
      <c r="G3394" s="18"/>
      <c r="H3394" s="18"/>
    </row>
    <row r="3395" spans="1:8" ht="13.2">
      <c r="A3395" s="19" t="str">
        <f>HYPERLINK("http://codeforces.com/problemset/problem/869/C","CF869-D2-C")</f>
        <v>CF869-D2-C</v>
      </c>
      <c r="B3395" s="29" t="s">
        <v>5006</v>
      </c>
      <c r="C3395" s="17">
        <v>5</v>
      </c>
      <c r="D3395" s="18"/>
      <c r="E3395" s="17" t="s">
        <v>4958</v>
      </c>
      <c r="F3395" s="17" t="s">
        <v>196</v>
      </c>
      <c r="G3395" s="18"/>
      <c r="H3395" s="18"/>
    </row>
    <row r="3396" spans="1:8" ht="13.2">
      <c r="A3396" s="19" t="str">
        <f>HYPERLINK("https://uva.onlinejudge.org/index.php?option=onlinejudge&amp;page=show_problem&amp;problem=4330","UVA 1555")</f>
        <v>UVA 1555</v>
      </c>
      <c r="B3396" s="29" t="s">
        <v>860</v>
      </c>
      <c r="C3396" s="17">
        <v>5</v>
      </c>
      <c r="D3396" s="26" t="str">
        <f>HYPERLINK("https://github.com/mostafa-saad/MyCompetitiveProgramming/blob/master/UVA/UVA_1555.txt","Sol")</f>
        <v>Sol</v>
      </c>
      <c r="E3396" s="17" t="s">
        <v>805</v>
      </c>
      <c r="F3396" s="17" t="s">
        <v>196</v>
      </c>
      <c r="G3396" s="18"/>
      <c r="H3396" s="18"/>
    </row>
    <row r="3397" spans="1:8" ht="13.2">
      <c r="A3397" s="19" t="str">
        <f>HYPERLINK("http://codeforces.com/contest/309/problem/C","CF309-D1-C")</f>
        <v>CF309-D1-C</v>
      </c>
      <c r="B3397" s="29" t="s">
        <v>233</v>
      </c>
      <c r="C3397" s="17">
        <v>5</v>
      </c>
      <c r="D3397" s="18"/>
      <c r="E3397" s="17" t="s">
        <v>125</v>
      </c>
      <c r="F3397" s="17" t="s">
        <v>139</v>
      </c>
      <c r="G3397" s="18"/>
      <c r="H3397" s="18"/>
    </row>
    <row r="3398" spans="1:8" ht="13.2">
      <c r="A3398" s="19" t="str">
        <f>HYPERLINK("https://codeforces.com/contest/1174/problem/D", "CF1174-D2-D")</f>
        <v>CF1174-D2-D</v>
      </c>
      <c r="B3398" s="20" t="s">
        <v>234</v>
      </c>
      <c r="C3398" s="21">
        <v>5</v>
      </c>
      <c r="D3398" s="18"/>
      <c r="E3398" s="17" t="s">
        <v>125</v>
      </c>
      <c r="F3398" s="17" t="s">
        <v>139</v>
      </c>
      <c r="G3398" s="18"/>
      <c r="H3398" s="18"/>
    </row>
    <row r="3399" spans="1:8" ht="13.2">
      <c r="A3399" s="15" t="s">
        <v>235</v>
      </c>
      <c r="B3399" s="29" t="s">
        <v>236</v>
      </c>
      <c r="C3399" s="17">
        <v>5</v>
      </c>
      <c r="D3399" s="26" t="str">
        <f>HYPERLINK("https://github.com/ajfabian/Competitive-Programming/blob/master/SPOJ/UCBINTC/a.cpp","Sol")</f>
        <v>Sol</v>
      </c>
      <c r="E3399" s="17" t="s">
        <v>125</v>
      </c>
      <c r="F3399" s="17" t="s">
        <v>139</v>
      </c>
      <c r="G3399" s="18"/>
      <c r="H3399" s="18"/>
    </row>
    <row r="3400" spans="1:8" ht="13.2">
      <c r="A3400" s="19" t="str">
        <f>HYPERLINK("https://codeforces.com/contest/1204/problem/D2", "CF1204-D2-D")</f>
        <v>CF1204-D2-D</v>
      </c>
      <c r="B3400" s="20" t="s">
        <v>138</v>
      </c>
      <c r="C3400" s="21">
        <v>5</v>
      </c>
      <c r="D3400" s="18"/>
      <c r="E3400" s="17" t="s">
        <v>125</v>
      </c>
      <c r="F3400" s="17" t="s">
        <v>139</v>
      </c>
      <c r="G3400" s="18"/>
      <c r="H3400" s="18"/>
    </row>
    <row r="3401" spans="1:8" ht="13.2">
      <c r="A3401" s="19" t="str">
        <f>HYPERLINK("https://codeforces.com/contest/1270/problem/D","CF1270-D12-D")</f>
        <v>CF1270-D12-D</v>
      </c>
      <c r="B3401" s="15" t="s">
        <v>138</v>
      </c>
      <c r="C3401" s="17">
        <v>5</v>
      </c>
      <c r="D3401" s="18"/>
      <c r="E3401" s="17" t="s">
        <v>125</v>
      </c>
      <c r="F3401" s="17" t="s">
        <v>139</v>
      </c>
      <c r="G3401" s="18"/>
      <c r="H3401" s="18"/>
    </row>
    <row r="3402" spans="1:8" ht="13.2">
      <c r="A3402" s="19" t="str">
        <f>HYPERLINK("http://codeforces.com/contest/41/problem/E","CF41-D2-E")</f>
        <v>CF41-D2-E</v>
      </c>
      <c r="B3402" s="15" t="s">
        <v>138</v>
      </c>
      <c r="C3402" s="17">
        <v>5</v>
      </c>
      <c r="D3402" s="18"/>
      <c r="E3402" s="17" t="s">
        <v>125</v>
      </c>
      <c r="F3402" s="17" t="s">
        <v>139</v>
      </c>
      <c r="G3402" s="18"/>
      <c r="H3402" s="18"/>
    </row>
    <row r="3403" spans="1:8" ht="13.2">
      <c r="A3403" s="19" t="str">
        <f>HYPERLINK("https://codeforces.com/contest/1092/problem/D1","CF1092-D3-D1")</f>
        <v>CF1092-D3-D1</v>
      </c>
      <c r="B3403" s="20" t="s">
        <v>237</v>
      </c>
      <c r="C3403" s="21">
        <v>5</v>
      </c>
      <c r="D3403" s="18"/>
      <c r="E3403" s="17" t="s">
        <v>125</v>
      </c>
      <c r="F3403" s="17" t="s">
        <v>139</v>
      </c>
      <c r="G3403" s="18"/>
      <c r="H3403" s="18"/>
    </row>
    <row r="3404" spans="1:8" ht="13.2">
      <c r="A3404" s="19" t="str">
        <f>HYPERLINK("https://codeforces.com/contest/1244/problem/E","CF1244-D2-E")</f>
        <v>CF1244-D2-E</v>
      </c>
      <c r="B3404" s="20" t="s">
        <v>935</v>
      </c>
      <c r="C3404" s="17">
        <v>5</v>
      </c>
      <c r="D3404" s="18"/>
      <c r="E3404" s="17" t="s">
        <v>910</v>
      </c>
      <c r="F3404" s="17" t="s">
        <v>139</v>
      </c>
      <c r="G3404" s="18"/>
      <c r="H3404" s="18"/>
    </row>
    <row r="3405" spans="1:8" ht="13.2">
      <c r="A3405" s="19" t="str">
        <f>HYPERLINK("http://codeforces.com/contest/818/problem/F","CF818-D12-F")</f>
        <v>CF818-D12-F</v>
      </c>
      <c r="B3405" s="15" t="s">
        <v>936</v>
      </c>
      <c r="C3405" s="17">
        <v>5</v>
      </c>
      <c r="D3405" s="18"/>
      <c r="E3405" s="17" t="s">
        <v>910</v>
      </c>
      <c r="F3405" s="17" t="s">
        <v>139</v>
      </c>
      <c r="G3405" s="18"/>
      <c r="H3405" s="18"/>
    </row>
    <row r="3406" spans="1:8" ht="13.2">
      <c r="A3406" s="19" t="str">
        <f>HYPERLINK("http://codeforces.com/contest/631/problem/D","CF631-D2-D")</f>
        <v>CF631-D2-D</v>
      </c>
      <c r="B3406" s="29" t="s">
        <v>5714</v>
      </c>
      <c r="C3406" s="17">
        <v>5</v>
      </c>
      <c r="D3406" s="18"/>
      <c r="E3406" s="17" t="s">
        <v>5702</v>
      </c>
      <c r="F3406" s="17" t="s">
        <v>139</v>
      </c>
      <c r="G3406" s="18"/>
      <c r="H3406" s="18"/>
    </row>
    <row r="3407" spans="1:8" ht="13.2">
      <c r="A3407" s="15" t="s">
        <v>5839</v>
      </c>
      <c r="B3407" s="29" t="s">
        <v>5840</v>
      </c>
      <c r="C3407" s="17">
        <v>5</v>
      </c>
      <c r="D3407" s="26" t="str">
        <f>HYPERLINK("https://github.com/mostafa-saad/MyCompetitiveProgramming/blob/master/SPOJ/SPOJ_LPS.txt","Sol")</f>
        <v>Sol</v>
      </c>
      <c r="E3407" s="17" t="s">
        <v>5794</v>
      </c>
      <c r="F3407" s="17" t="s">
        <v>139</v>
      </c>
      <c r="G3407" s="18"/>
      <c r="H3407" s="18"/>
    </row>
    <row r="3408" spans="1:8" ht="13.2">
      <c r="A3408" s="15" t="s">
        <v>5953</v>
      </c>
      <c r="B3408" s="30" t="s">
        <v>5954</v>
      </c>
      <c r="C3408" s="24">
        <v>5</v>
      </c>
      <c r="D3408" s="18"/>
      <c r="E3408" s="17" t="s">
        <v>5947</v>
      </c>
      <c r="F3408" s="17" t="s">
        <v>139</v>
      </c>
      <c r="G3408" s="18"/>
      <c r="H3408" s="18"/>
    </row>
    <row r="3409" spans="1:8" ht="13.2">
      <c r="A3409" s="19" t="str">
        <f>HYPERLINK("http://codeforces.com/contest/1043/problem/D", "CF1042-D12-D")</f>
        <v>CF1042-D12-D</v>
      </c>
      <c r="B3409" s="15" t="s">
        <v>5987</v>
      </c>
      <c r="C3409" s="17">
        <v>5</v>
      </c>
      <c r="D3409" s="18"/>
      <c r="E3409" s="17" t="s">
        <v>5958</v>
      </c>
      <c r="F3409" s="17" t="s">
        <v>139</v>
      </c>
      <c r="G3409" s="18"/>
      <c r="H3409" s="18"/>
    </row>
    <row r="3410" spans="1:8" ht="13.2">
      <c r="A3410" s="19" t="str">
        <f>HYPERLINK("http://codeforces.com/contest/490/problem/D","CF490-D2-D")</f>
        <v>CF490-D2-D</v>
      </c>
      <c r="B3410" s="41" t="s">
        <v>971</v>
      </c>
      <c r="C3410" s="31">
        <v>5</v>
      </c>
      <c r="D3410" s="18"/>
      <c r="E3410" s="17" t="s">
        <v>951</v>
      </c>
      <c r="F3410" s="17" t="s">
        <v>139</v>
      </c>
      <c r="G3410" s="18"/>
      <c r="H3410" s="18"/>
    </row>
    <row r="3411" spans="1:8" ht="13.2">
      <c r="A3411" s="19" t="str">
        <f>HYPERLINK("https://dwacon5th-prelims.contest.atcoder.jp/tasks/dwacon5th_prelims_c","Dwango5th-C")</f>
        <v>Dwango5th-C</v>
      </c>
      <c r="B3411" s="15" t="s">
        <v>6054</v>
      </c>
      <c r="C3411" s="53">
        <v>5</v>
      </c>
      <c r="D3411" s="26" t="str">
        <f>HYPERLINK("https://ideone.com/SZdJ79","Sol")</f>
        <v>Sol</v>
      </c>
      <c r="E3411" s="17" t="s">
        <v>6040</v>
      </c>
      <c r="F3411" s="17" t="s">
        <v>139</v>
      </c>
      <c r="G3411" s="18"/>
      <c r="H3411" s="18"/>
    </row>
    <row r="3412" spans="1:8" ht="13.2">
      <c r="A3412" s="19" t="str">
        <f>HYPERLINK("http://codeforces.com/contest/1043/problem/D","CF1043-D12-D")</f>
        <v>CF1043-D12-D</v>
      </c>
      <c r="B3412" s="15" t="s">
        <v>6055</v>
      </c>
      <c r="C3412" s="17">
        <v>5</v>
      </c>
      <c r="D3412" s="26" t="str">
        <f>HYPERLINK("https://github.com/nya-nya-meow/CompetitiveProgramming/blob/master/CodeForces/CF1043-D12-D.cpp","Sol")</f>
        <v>Sol</v>
      </c>
      <c r="E3412" s="17" t="s">
        <v>6040</v>
      </c>
      <c r="F3412" s="17" t="s">
        <v>139</v>
      </c>
      <c r="G3412" s="18"/>
      <c r="H3412" s="18"/>
    </row>
    <row r="3413" spans="1:8" ht="13.2">
      <c r="A3413" s="19" t="str">
        <f>HYPERLINK("http://codeforces.com/contest/883/problem/I","CF883-D12-I")</f>
        <v>CF883-D12-I</v>
      </c>
      <c r="B3413" s="15" t="s">
        <v>6056</v>
      </c>
      <c r="C3413" s="17">
        <v>5</v>
      </c>
      <c r="D3413" s="18"/>
      <c r="E3413" s="17" t="s">
        <v>6040</v>
      </c>
      <c r="F3413" s="17" t="s">
        <v>139</v>
      </c>
      <c r="G3413" s="18"/>
      <c r="H3413" s="18"/>
    </row>
    <row r="3414" spans="1:8" ht="13.2">
      <c r="A3414" s="19" t="str">
        <f>HYPERLINK("http://codeforces.com/contest/6/problem/E","CF6-D2-E")</f>
        <v>CF6-D2-E</v>
      </c>
      <c r="B3414" s="15" t="s">
        <v>6057</v>
      </c>
      <c r="C3414" s="17">
        <v>5</v>
      </c>
      <c r="D3414" s="18"/>
      <c r="E3414" s="17" t="s">
        <v>6040</v>
      </c>
      <c r="F3414" s="17" t="s">
        <v>139</v>
      </c>
      <c r="G3414" s="18"/>
      <c r="H3414" s="18"/>
    </row>
    <row r="3415" spans="1:8" ht="13.2">
      <c r="A3415" s="19" t="str">
        <f>HYPERLINK("http://codeforces.com/contest/79/problem/C","CF79-D12-C")</f>
        <v>CF79-D12-C</v>
      </c>
      <c r="B3415" s="15" t="s">
        <v>6058</v>
      </c>
      <c r="C3415" s="17">
        <v>5</v>
      </c>
      <c r="D3415" s="18"/>
      <c r="E3415" s="17" t="s">
        <v>6040</v>
      </c>
      <c r="F3415" s="17" t="s">
        <v>139</v>
      </c>
      <c r="G3415" s="18"/>
      <c r="H3415" s="18"/>
    </row>
    <row r="3416" spans="1:8" ht="13.2">
      <c r="A3416" s="15" t="s">
        <v>6134</v>
      </c>
      <c r="B3416" s="15" t="s">
        <v>6135</v>
      </c>
      <c r="C3416" s="17">
        <v>5</v>
      </c>
      <c r="D3416" s="26" t="str">
        <f>HYPERLINK("https://ideone.com/hleZmr","Sol")</f>
        <v>Sol</v>
      </c>
      <c r="E3416" s="17" t="s">
        <v>6118</v>
      </c>
      <c r="F3416" s="17" t="s">
        <v>139</v>
      </c>
      <c r="G3416" s="18"/>
      <c r="H3416" s="18"/>
    </row>
    <row r="3417" spans="1:8" ht="13.2">
      <c r="A3417" s="19" t="str">
        <f>HYPERLINK("http://codeforces.com/contest/401/problem/D","CF401-D2-D")</f>
        <v>CF401-D2-D</v>
      </c>
      <c r="B3417" s="29" t="s">
        <v>6136</v>
      </c>
      <c r="C3417" s="17">
        <v>5</v>
      </c>
      <c r="D3417" s="18"/>
      <c r="E3417" s="17" t="s">
        <v>6118</v>
      </c>
      <c r="F3417" s="17" t="s">
        <v>139</v>
      </c>
      <c r="G3417" s="18"/>
      <c r="H3417" s="18"/>
    </row>
    <row r="3418" spans="1:8" ht="13.2">
      <c r="A3418" s="15" t="s">
        <v>6177</v>
      </c>
      <c r="B3418" s="29" t="s">
        <v>6178</v>
      </c>
      <c r="C3418" s="31">
        <v>5</v>
      </c>
      <c r="D3418" s="18"/>
      <c r="E3418" s="17" t="s">
        <v>6169</v>
      </c>
      <c r="F3418" s="17" t="s">
        <v>139</v>
      </c>
      <c r="G3418" s="18"/>
      <c r="H3418" s="18"/>
    </row>
    <row r="3419" spans="1:8" ht="13.2">
      <c r="A3419" s="15" t="s">
        <v>6222</v>
      </c>
      <c r="B3419" s="29" t="s">
        <v>6204</v>
      </c>
      <c r="C3419" s="17">
        <v>5</v>
      </c>
      <c r="D3419" s="18"/>
      <c r="E3419" s="17" t="s">
        <v>6205</v>
      </c>
      <c r="F3419" s="17" t="s">
        <v>139</v>
      </c>
      <c r="G3419" s="18"/>
      <c r="H3419" s="18"/>
    </row>
    <row r="3420" spans="1:8" ht="13.2">
      <c r="A3420" s="15" t="s">
        <v>6223</v>
      </c>
      <c r="B3420" s="28" t="s">
        <v>6224</v>
      </c>
      <c r="C3420" s="17">
        <v>5</v>
      </c>
      <c r="D3420" s="26" t="str">
        <f>HYPERLINK("https://github.com/mostafa-saad/MyCompetitiveProgramming/blob/master/UVA/UVA_12645.txt","Sol")</f>
        <v>Sol</v>
      </c>
      <c r="E3420" s="17" t="s">
        <v>6205</v>
      </c>
      <c r="F3420" s="17" t="s">
        <v>139</v>
      </c>
      <c r="G3420" s="18"/>
      <c r="H3420" s="18"/>
    </row>
    <row r="3421" spans="1:8" ht="13.2">
      <c r="A3421" s="19" t="str">
        <f>HYPERLINK("http://codeforces.com/contest/645/problem/D","CF645-D12-D")</f>
        <v>CF645-D12-D</v>
      </c>
      <c r="B3421" s="28" t="s">
        <v>6208</v>
      </c>
      <c r="C3421" s="24">
        <v>5</v>
      </c>
      <c r="D3421" s="18"/>
      <c r="E3421" s="17" t="s">
        <v>6205</v>
      </c>
      <c r="F3421" s="17" t="s">
        <v>139</v>
      </c>
      <c r="G3421" s="18"/>
      <c r="H3421" s="18"/>
    </row>
    <row r="3422" spans="1:8" ht="13.2">
      <c r="A3422" s="19" t="str">
        <f>HYPERLINK("http://codeforces.com/problemset/problem/514/D","CF514-D2-D")</f>
        <v>CF514-D2-D</v>
      </c>
      <c r="B3422" s="29" t="s">
        <v>1007</v>
      </c>
      <c r="C3422" s="17">
        <v>5</v>
      </c>
      <c r="D3422" s="18" t="s">
        <v>1008</v>
      </c>
      <c r="E3422" s="17" t="s">
        <v>997</v>
      </c>
      <c r="F3422" s="17" t="s">
        <v>139</v>
      </c>
      <c r="G3422" s="18"/>
      <c r="H3422" s="18"/>
    </row>
    <row r="3423" spans="1:8" ht="13.2">
      <c r="A3423" s="19" t="str">
        <f>HYPERLINK("https://codeforces.com/gym/102020/problem/E", "CF102020-GYM-E")</f>
        <v>CF102020-GYM-E</v>
      </c>
      <c r="B3423" s="15" t="s">
        <v>6276</v>
      </c>
      <c r="C3423" s="17">
        <v>5</v>
      </c>
      <c r="D3423" s="26" t="str">
        <f>HYPERLINK("https://github.com/YazanZebak/CompetitiveProgramming/blob/master/Codeforces/CF102020-GYM-E.cpp", "Sol")</f>
        <v>Sol</v>
      </c>
      <c r="E3423" s="17" t="s">
        <v>6275</v>
      </c>
      <c r="F3423" s="17" t="s">
        <v>139</v>
      </c>
      <c r="G3423" s="18"/>
      <c r="H3423" s="18"/>
    </row>
    <row r="3424" spans="1:8" ht="13.2">
      <c r="A3424" s="19" t="str">
        <f>HYPERLINK("https://www.hackerrank.com/challenges/vertical-sticks","HACKR vertical-sticks")</f>
        <v>HACKR vertical-sticks</v>
      </c>
      <c r="B3424" s="29" t="s">
        <v>6274</v>
      </c>
      <c r="C3424" s="17">
        <v>5</v>
      </c>
      <c r="D3424" s="18"/>
      <c r="E3424" s="17" t="s">
        <v>6275</v>
      </c>
      <c r="F3424" s="17" t="s">
        <v>139</v>
      </c>
      <c r="G3424" s="18"/>
      <c r="H3424" s="18"/>
    </row>
    <row r="3425" spans="1:8" ht="13.2">
      <c r="A3425" s="15" t="s">
        <v>6300</v>
      </c>
      <c r="B3425" s="29" t="s">
        <v>6301</v>
      </c>
      <c r="C3425" s="17">
        <v>5</v>
      </c>
      <c r="D3425" s="18"/>
      <c r="E3425" s="17" t="s">
        <v>6275</v>
      </c>
      <c r="F3425" s="17" t="s">
        <v>139</v>
      </c>
      <c r="G3425" s="18"/>
      <c r="H3425" s="18"/>
    </row>
    <row r="3426" spans="1:8" ht="13.2">
      <c r="A3426" s="19" t="str">
        <f>HYPERLINK("http://www.spoj.com/problems/BRCKTS","SPOJ BRCKTS")</f>
        <v>SPOJ BRCKTS</v>
      </c>
      <c r="B3426" s="29" t="s">
        <v>1185</v>
      </c>
      <c r="C3426" s="17">
        <v>5</v>
      </c>
      <c r="D3426" s="26" t="str">
        <f>HYPERLINK("https://github.com/AliOsm/CompetitiveProgramming/blob/master/SPOJ/BRCKTS%20-%20Brackets.cpp","Sol")</f>
        <v>Sol</v>
      </c>
      <c r="E3426" s="17" t="s">
        <v>1018</v>
      </c>
      <c r="F3426" s="17" t="s">
        <v>139</v>
      </c>
      <c r="G3426" s="18"/>
      <c r="H3426" s="18"/>
    </row>
    <row r="3427" spans="1:8" ht="13.2">
      <c r="A3427" s="19" t="str">
        <f>HYPERLINK("http://www.spoj.com/problems/GSS1/","SPOJ GSS1")</f>
        <v>SPOJ GSS1</v>
      </c>
      <c r="B3427" s="29" t="s">
        <v>1186</v>
      </c>
      <c r="C3427" s="17">
        <v>5</v>
      </c>
      <c r="D3427" s="26" t="str">
        <f>HYPERLINK("https://github.com/AliOsm/CompetitiveProgramming/blob/master/SPOJ/GSS1%20-%20Can%20you%20answer%20these%20queries%20I.cpp","Sol")</f>
        <v>Sol</v>
      </c>
      <c r="E3427" s="17" t="s">
        <v>1018</v>
      </c>
      <c r="F3427" s="17" t="s">
        <v>139</v>
      </c>
      <c r="G3427" s="18"/>
      <c r="H3427" s="18"/>
    </row>
    <row r="3428" spans="1:8" ht="13.2">
      <c r="A3428" s="15" t="s">
        <v>1187</v>
      </c>
      <c r="B3428" s="15" t="s">
        <v>1188</v>
      </c>
      <c r="C3428" s="17">
        <v>5</v>
      </c>
      <c r="D3428" s="26" t="str">
        <f>HYPERLINK("https://github.com/abdullaAshraf/Problem-Solving/blob/master/SPOJ/QUE2.cpp","Sol")</f>
        <v>Sol</v>
      </c>
      <c r="E3428" s="17" t="s">
        <v>1018</v>
      </c>
      <c r="F3428" s="17" t="s">
        <v>139</v>
      </c>
      <c r="G3428" s="18"/>
      <c r="H3428" s="18"/>
    </row>
    <row r="3429" spans="1:8" ht="13.2">
      <c r="A3429" s="19" t="str">
        <f>HYPERLINK("https://uva.onlinejudge.org/index.php?option=com_onlinejudge&amp;Itemid=8&amp;page=show_problem&amp;problem=3720","UVA 12299")</f>
        <v>UVA 12299</v>
      </c>
      <c r="B3429" s="29" t="s">
        <v>1189</v>
      </c>
      <c r="C3429" s="17">
        <v>5</v>
      </c>
      <c r="D3429" s="26" t="str">
        <f>HYPERLINK("https://github.com/Emsawy/CompetitiveProgramming/blob/master/UVA/12299.cpp","See sscanf and sprintf usage")</f>
        <v>See sscanf and sprintf usage</v>
      </c>
      <c r="E3429" s="17" t="s">
        <v>1018</v>
      </c>
      <c r="F3429" s="17" t="s">
        <v>139</v>
      </c>
      <c r="G3429" s="18"/>
      <c r="H3429" s="18"/>
    </row>
    <row r="3430" spans="1:8" ht="13.2">
      <c r="A3430" s="19" t="str">
        <f>HYPERLINK(" https://www.hackerearth.com/practice/algorithms/dynamic-programming/bit-masking/practice-problems/algorithm/special-pairs-7/description/","HACKER special-pairs-7")</f>
        <v>HACKER special-pairs-7</v>
      </c>
      <c r="B3430" s="15" t="s">
        <v>6444</v>
      </c>
      <c r="C3430" s="17">
        <v>5</v>
      </c>
      <c r="D3430" s="18"/>
      <c r="E3430" s="17" t="s">
        <v>6441</v>
      </c>
      <c r="F3430" s="17" t="s">
        <v>139</v>
      </c>
      <c r="G3430" s="18"/>
      <c r="H3430" s="18"/>
    </row>
    <row r="3431" spans="1:8" ht="13.2">
      <c r="A3431" s="19" t="str">
        <f>HYPERLINK("https://www.codechef.com/problems/SUBQUERY","CODECHEF SUBQUERY")</f>
        <v>CODECHEF SUBQUERY</v>
      </c>
      <c r="B3431" s="30" t="s">
        <v>6456</v>
      </c>
      <c r="C3431" s="17">
        <v>5</v>
      </c>
      <c r="D3431" s="18"/>
      <c r="E3431" s="17" t="s">
        <v>6457</v>
      </c>
      <c r="F3431" s="17" t="s">
        <v>139</v>
      </c>
      <c r="G3431" s="18"/>
      <c r="H3431" s="18"/>
    </row>
    <row r="3432" spans="1:8" ht="13.2">
      <c r="A3432" s="19" t="str">
        <f>HYPERLINK("https://www.codechef.com/problems/TSUBSTR","CODECHEF TSUBSTR")</f>
        <v>CODECHEF TSUBSTR</v>
      </c>
      <c r="B3432" s="30" t="s">
        <v>6456</v>
      </c>
      <c r="C3432" s="17">
        <v>5</v>
      </c>
      <c r="D3432" s="18"/>
      <c r="E3432" s="17" t="s">
        <v>6457</v>
      </c>
      <c r="F3432" s="17" t="s">
        <v>139</v>
      </c>
      <c r="G3432" s="18"/>
      <c r="H3432" s="18"/>
    </row>
    <row r="3433" spans="1:8" ht="13.2">
      <c r="A3433" s="19" t="str">
        <f>HYPERLINK("https://codeforces.com/contest/1101/problem/D","CF1101-D12-D")</f>
        <v>CF1101-D12-D</v>
      </c>
      <c r="B3433" s="15" t="s">
        <v>6500</v>
      </c>
      <c r="C3433" s="17">
        <v>5</v>
      </c>
      <c r="D3433" s="18"/>
      <c r="E3433" s="17" t="s">
        <v>6459</v>
      </c>
      <c r="F3433" s="17" t="s">
        <v>139</v>
      </c>
      <c r="G3433" s="18"/>
      <c r="H3433" s="18"/>
    </row>
    <row r="3434" spans="1:8" ht="13.2">
      <c r="A3434" s="15" t="s">
        <v>1285</v>
      </c>
      <c r="B3434" s="15" t="s">
        <v>1222</v>
      </c>
      <c r="C3434" s="17">
        <v>5</v>
      </c>
      <c r="D3434" s="26" t="str">
        <f>HYPERLINK("https://github.com/shashank0107/CompetitiveProgramming/blob/master/SPOJ/DCEPC705.cpp","Sol")</f>
        <v>Sol</v>
      </c>
      <c r="E3434" s="17" t="s">
        <v>1223</v>
      </c>
      <c r="F3434" s="17" t="s">
        <v>139</v>
      </c>
      <c r="G3434" s="18"/>
      <c r="H3434" s="18"/>
    </row>
    <row r="3435" spans="1:8" ht="13.2">
      <c r="A3435" s="19" t="str">
        <f>HYPERLINK("http://codeforces.com/contest/597/problem/C","CF597-D12-C")</f>
        <v>CF597-D12-C</v>
      </c>
      <c r="B3435" s="15" t="s">
        <v>1234</v>
      </c>
      <c r="C3435" s="17">
        <v>5</v>
      </c>
      <c r="D3435" s="26" t="str">
        <f>HYPERLINK("https://codeforces.com/contest/597/submission/14200939","Sol")</f>
        <v>Sol</v>
      </c>
      <c r="E3435" s="17" t="s">
        <v>1223</v>
      </c>
      <c r="F3435" s="17" t="s">
        <v>139</v>
      </c>
      <c r="G3435" s="18"/>
      <c r="H3435" s="18"/>
    </row>
    <row r="3436" spans="1:8" ht="13.2">
      <c r="A3436" s="15" t="s">
        <v>1286</v>
      </c>
      <c r="B3436" s="18" t="s">
        <v>1287</v>
      </c>
      <c r="C3436" s="33">
        <v>5</v>
      </c>
      <c r="D3436" s="26" t="str">
        <f>HYPERLINK("https://github.com/MeGaCrazy/CompetitiveProgramming/blob/c86a8f9935be057efbf0aa87b464b0740bcb41a4/UVA/UVA_1428.cpp","Don't use segment tree or pure STL. Sol")</f>
        <v>Don't use segment tree or pure STL. Sol</v>
      </c>
      <c r="E3436" s="17" t="s">
        <v>1223</v>
      </c>
      <c r="F3436" s="17" t="s">
        <v>139</v>
      </c>
      <c r="G3436" s="18"/>
      <c r="H3436" s="18"/>
    </row>
    <row r="3437" spans="1:8" ht="13.2">
      <c r="A3437" s="15" t="s">
        <v>1288</v>
      </c>
      <c r="B3437" s="28" t="s">
        <v>1289</v>
      </c>
      <c r="C3437" s="24">
        <v>5</v>
      </c>
      <c r="D3437" s="26" t="str">
        <f>HYPERLINK("https://github.com/magdy-hasan/competitive-programming/blob/master/SPOJ/SPOJ%20NICEDAY%20-%20The%20day%20of%20the%20competitors.cpp","Sol")</f>
        <v>Sol</v>
      </c>
      <c r="E3437" s="17" t="s">
        <v>1223</v>
      </c>
      <c r="F3437" s="17" t="s">
        <v>139</v>
      </c>
      <c r="G3437" s="18"/>
      <c r="H3437" s="18"/>
    </row>
    <row r="3438" spans="1:8" ht="13.2">
      <c r="A3438" s="19" t="str">
        <f>HYPERLINK("https://devskill.com/CodingProblems/ViewProblem/422","DCP 422")</f>
        <v>DCP 422</v>
      </c>
      <c r="B3438" s="15" t="s">
        <v>1290</v>
      </c>
      <c r="C3438" s="17">
        <v>5</v>
      </c>
      <c r="D3438" s="26" t="str">
        <f>HYPERLINK("https://github.com/shashank0107/CompetitiveProgramming/blob/master/DCP/422.cpp","Sol")</f>
        <v>Sol</v>
      </c>
      <c r="E3438" s="17" t="s">
        <v>1223</v>
      </c>
      <c r="F3438" s="17" t="s">
        <v>139</v>
      </c>
      <c r="G3438" s="18"/>
      <c r="H3438" s="18"/>
    </row>
    <row r="3439" spans="1:8" ht="13.2">
      <c r="A3439" s="19" t="str">
        <f>HYPERLINK("https://codeforces.com/contest/1132/problem/F","CF1132-D12-F")</f>
        <v>CF1132-D12-F</v>
      </c>
      <c r="B3439" s="15" t="s">
        <v>1348</v>
      </c>
      <c r="C3439" s="17">
        <v>5</v>
      </c>
      <c r="D3439" s="18"/>
      <c r="E3439" s="17" t="s">
        <v>1337</v>
      </c>
      <c r="F3439" s="17" t="s">
        <v>139</v>
      </c>
      <c r="G3439" s="18"/>
      <c r="H3439" s="18"/>
    </row>
    <row r="3440" spans="1:8" ht="13.2">
      <c r="A3440" s="19" t="str">
        <f>HYPERLINK("http://codeforces.com/contest/13/problem/C","CF13-D12-C")</f>
        <v>CF13-D12-C</v>
      </c>
      <c r="B3440" s="15" t="s">
        <v>1348</v>
      </c>
      <c r="C3440" s="17">
        <v>5</v>
      </c>
      <c r="D3440" s="18"/>
      <c r="E3440" s="17" t="s">
        <v>1337</v>
      </c>
      <c r="F3440" s="17" t="s">
        <v>139</v>
      </c>
      <c r="G3440" s="18"/>
      <c r="H3440" s="18"/>
    </row>
    <row r="3441" spans="1:8" ht="13.2">
      <c r="A3441" s="19" t="str">
        <f>HYPERLINK("http://codeforces.com/contest/383/problem/D","CF383-D1-D")</f>
        <v>CF383-D1-D</v>
      </c>
      <c r="B3441" s="15" t="s">
        <v>1348</v>
      </c>
      <c r="C3441" s="24">
        <v>5</v>
      </c>
      <c r="D3441" s="18"/>
      <c r="E3441" s="17" t="s">
        <v>1337</v>
      </c>
      <c r="F3441" s="17" t="s">
        <v>139</v>
      </c>
      <c r="G3441" s="18"/>
      <c r="H3441" s="18"/>
    </row>
    <row r="3442" spans="1:8" ht="13.2">
      <c r="A3442" s="19" t="str">
        <f>HYPERLINK("http://codeforces.com/problemset/problem/900/E","CF900-D2-E")</f>
        <v>CF900-D2-E</v>
      </c>
      <c r="B3442" s="18" t="s">
        <v>1348</v>
      </c>
      <c r="C3442" s="17">
        <v>5</v>
      </c>
      <c r="D3442" s="26" t="str">
        <f>HYPERLINK("https://github.com/MedoN11/CompetitiveProgramming/blob/master/CodeForces/CF450-D2-E.cpp","Sol")</f>
        <v>Sol</v>
      </c>
      <c r="E3442" s="17" t="s">
        <v>1337</v>
      </c>
      <c r="F3442" s="17" t="s">
        <v>139</v>
      </c>
      <c r="G3442" s="18"/>
      <c r="H3442" s="18"/>
    </row>
    <row r="3443" spans="1:8" ht="13.2">
      <c r="A3443" s="15" t="s">
        <v>1564</v>
      </c>
      <c r="B3443" s="15" t="s">
        <v>1348</v>
      </c>
      <c r="C3443" s="17">
        <v>5</v>
      </c>
      <c r="D3443" s="26" t="str">
        <f>HYPERLINK("https://github.com/AhmedElsisy/CompetitiveProgramming/blob/master/SPOJ/SPOJ%20NUMTSN.cpp","Sol")</f>
        <v>Sol</v>
      </c>
      <c r="E3443" s="17" t="s">
        <v>1337</v>
      </c>
      <c r="F3443" s="17" t="s">
        <v>139</v>
      </c>
      <c r="G3443" s="18"/>
      <c r="H3443" s="18"/>
    </row>
    <row r="3444" spans="1:8" ht="13.2">
      <c r="A3444" s="19" t="str">
        <f>HYPERLINK("https://codeforces.com/contest/1241/problem/D", "CF1241-D2-D")</f>
        <v>CF1241-D2-D</v>
      </c>
      <c r="B3444" s="15" t="s">
        <v>1565</v>
      </c>
      <c r="C3444" s="17">
        <v>5</v>
      </c>
      <c r="D3444" s="18"/>
      <c r="E3444" s="17" t="s">
        <v>1337</v>
      </c>
      <c r="F3444" s="17" t="s">
        <v>139</v>
      </c>
      <c r="G3444" s="18"/>
      <c r="H3444" s="18"/>
    </row>
    <row r="3445" spans="1:8" ht="13.2">
      <c r="A3445" s="15" t="s">
        <v>1566</v>
      </c>
      <c r="B3445" s="15" t="s">
        <v>1415</v>
      </c>
      <c r="C3445" s="17">
        <v>5</v>
      </c>
      <c r="D3445" s="26" t="str">
        <f>HYPERLINK("https://github.com/AhmedElsisy/CompetitiveProgramming/blob/master/SPOJ/SPOJ%20COLORSEG.cpp","Sol")</f>
        <v>Sol</v>
      </c>
      <c r="E3445" s="17" t="s">
        <v>1337</v>
      </c>
      <c r="F3445" s="17" t="s">
        <v>139</v>
      </c>
      <c r="G3445" s="18"/>
      <c r="H3445" s="18"/>
    </row>
    <row r="3446" spans="1:8" ht="13.2">
      <c r="A3446" s="19" t="str">
        <f>HYPERLINK("https://uva.onlinejudge.org/index.php?option=com_onlinejudge&amp;Itemid=8&amp;page=show_problem&amp;problem=1475","UVA 10534")</f>
        <v>UVA 10534</v>
      </c>
      <c r="B3446" s="29" t="s">
        <v>1567</v>
      </c>
      <c r="C3446" s="17">
        <v>5</v>
      </c>
      <c r="D3446" s="26" t="str">
        <f>HYPERLINK("https://github.com/AliOsm/CompetitiveProgramming/blob/master/UVA/10534%20-%20Wavio%20Sequence.cpp","Sol")</f>
        <v>Sol</v>
      </c>
      <c r="E3446" s="17" t="s">
        <v>1337</v>
      </c>
      <c r="F3446" s="17" t="s">
        <v>139</v>
      </c>
      <c r="G3446" s="18"/>
      <c r="H3446" s="18"/>
    </row>
    <row r="3447" spans="1:8" ht="13.2">
      <c r="A3447" s="19" t="str">
        <f>HYPERLINK("http://codeforces.com/contest/340/problem/D","CF340-D2-D")</f>
        <v>CF340-D2-D</v>
      </c>
      <c r="B3447" s="29" t="s">
        <v>1568</v>
      </c>
      <c r="C3447" s="17">
        <v>5</v>
      </c>
      <c r="D3447" s="18"/>
      <c r="E3447" s="17" t="s">
        <v>1337</v>
      </c>
      <c r="F3447" s="17" t="s">
        <v>139</v>
      </c>
      <c r="G3447" s="18"/>
      <c r="H3447" s="18"/>
    </row>
    <row r="3448" spans="1:8" ht="13.2">
      <c r="A3448" s="19" t="str">
        <f>HYPERLINK("https://atcoder.jp/contests/abc132/tasks/abc132_f","AtCoder132-ABC-F")</f>
        <v>AtCoder132-ABC-F</v>
      </c>
      <c r="B3448" s="20" t="s">
        <v>1346</v>
      </c>
      <c r="C3448" s="17">
        <v>5</v>
      </c>
      <c r="D3448" s="18"/>
      <c r="E3448" s="17" t="s">
        <v>1337</v>
      </c>
      <c r="F3448" s="17" t="s">
        <v>139</v>
      </c>
      <c r="G3448" s="18"/>
      <c r="H3448" s="18"/>
    </row>
    <row r="3449" spans="1:8" ht="13.2">
      <c r="A3449" s="19" t="str">
        <f>HYPERLINK("https://codeforces.com/contest/1197/problem/D","CF1197-D12-D")</f>
        <v>CF1197-D12-D</v>
      </c>
      <c r="B3449" s="20" t="s">
        <v>1346</v>
      </c>
      <c r="C3449" s="17">
        <v>5</v>
      </c>
      <c r="D3449" s="18"/>
      <c r="E3449" s="17" t="s">
        <v>1337</v>
      </c>
      <c r="F3449" s="17" t="s">
        <v>139</v>
      </c>
      <c r="G3449" s="18"/>
      <c r="H3449" s="18"/>
    </row>
    <row r="3450" spans="1:8" ht="13.2">
      <c r="A3450" s="19" t="str">
        <f>HYPERLINK("http://codeforces.com/contest/265/problem/D","CF265-D2-D")</f>
        <v>CF265-D2-D</v>
      </c>
      <c r="B3450" s="29" t="s">
        <v>1569</v>
      </c>
      <c r="C3450" s="17">
        <v>5</v>
      </c>
      <c r="D3450" s="18"/>
      <c r="E3450" s="17" t="s">
        <v>1337</v>
      </c>
      <c r="F3450" s="17" t="s">
        <v>139</v>
      </c>
      <c r="G3450" s="18"/>
      <c r="H3450" s="18"/>
    </row>
    <row r="3451" spans="1:8" ht="13.2">
      <c r="A3451" s="19" t="str">
        <f>HYPERLINK("https://atcoder.jp/contests/abc145/tasks/abc145_e","AtCoder145-ABC-E")</f>
        <v>AtCoder145-ABC-E</v>
      </c>
      <c r="B3451" s="20" t="s">
        <v>1433</v>
      </c>
      <c r="C3451" s="21">
        <v>5</v>
      </c>
      <c r="D3451" s="26" t="str">
        <f>HYPERLINK("https://github.com/farmerboy95/CompetitiveProgramming/blob/master/AtCoder/AtCoder145-ABC-E.cpp","Sol")</f>
        <v>Sol</v>
      </c>
      <c r="E3451" s="17" t="s">
        <v>1337</v>
      </c>
      <c r="F3451" s="17" t="s">
        <v>139</v>
      </c>
      <c r="G3451" s="18"/>
      <c r="H3451" s="18"/>
    </row>
    <row r="3452" spans="1:8" ht="13.2">
      <c r="A3452" s="15" t="s">
        <v>1570</v>
      </c>
      <c r="B3452" s="29" t="s">
        <v>1571</v>
      </c>
      <c r="C3452" s="24">
        <v>5</v>
      </c>
      <c r="D3452" s="26" t="str">
        <f>HYPERLINK("https://github.com/Coder-Boy1/UVA/blob/master/10690","Sol")</f>
        <v>Sol</v>
      </c>
      <c r="E3452" s="17" t="s">
        <v>1337</v>
      </c>
      <c r="F3452" s="17" t="s">
        <v>139</v>
      </c>
      <c r="G3452" s="18"/>
      <c r="H3452" s="18"/>
    </row>
    <row r="3453" spans="1:8" ht="13.2">
      <c r="A3453" s="19" t="str">
        <f>HYPERLINK("http://codeforces.com/contest/799/problem/D","CF799-D12-D")</f>
        <v>CF799-D12-D</v>
      </c>
      <c r="B3453" s="15" t="s">
        <v>359</v>
      </c>
      <c r="C3453" s="17">
        <v>5</v>
      </c>
      <c r="D3453" s="18"/>
      <c r="E3453" s="17" t="s">
        <v>332</v>
      </c>
      <c r="F3453" s="17" t="s">
        <v>139</v>
      </c>
      <c r="G3453" s="18"/>
      <c r="H3453" s="18"/>
    </row>
    <row r="3454" spans="1:8" ht="13.2">
      <c r="A3454" s="19" t="str">
        <f>HYPERLINK("http://codeforces.com/contest/818/problem/D","CF818-D12-D")</f>
        <v>CF818-D12-D</v>
      </c>
      <c r="B3454" s="15" t="s">
        <v>359</v>
      </c>
      <c r="C3454" s="17">
        <v>5</v>
      </c>
      <c r="D3454" s="18"/>
      <c r="E3454" s="17" t="s">
        <v>332</v>
      </c>
      <c r="F3454" s="17" t="s">
        <v>139</v>
      </c>
      <c r="G3454" s="18"/>
      <c r="H3454" s="18"/>
    </row>
    <row r="3455" spans="1:8" ht="13.2">
      <c r="A3455" s="15" t="s">
        <v>405</v>
      </c>
      <c r="B3455" s="29" t="s">
        <v>406</v>
      </c>
      <c r="C3455" s="24">
        <v>5</v>
      </c>
      <c r="D3455" s="26" t="str">
        <f>HYPERLINK("https://github.com/thackerhelik/UVA/blob/master/12261.cpp","Sol")</f>
        <v>Sol</v>
      </c>
      <c r="E3455" s="17" t="s">
        <v>332</v>
      </c>
      <c r="F3455" s="17" t="s">
        <v>139</v>
      </c>
      <c r="G3455" s="18"/>
      <c r="H3455" s="18"/>
    </row>
    <row r="3456" spans="1:8" ht="13.2">
      <c r="A3456" s="19" t="str">
        <f>HYPERLINK("http://codeforces.com/problemset/problem/1017/D","CF1017-D12-D")</f>
        <v>CF1017-D12-D</v>
      </c>
      <c r="B3456" s="20" t="s">
        <v>407</v>
      </c>
      <c r="C3456" s="21">
        <v>5</v>
      </c>
      <c r="D3456" s="18"/>
      <c r="E3456" s="17" t="s">
        <v>332</v>
      </c>
      <c r="F3456" s="17" t="s">
        <v>139</v>
      </c>
      <c r="G3456" s="18"/>
      <c r="H3456" s="18"/>
    </row>
    <row r="3457" spans="1:8" ht="13.2">
      <c r="A3457" s="19" t="str">
        <f>HYPERLINK("http://codeforces.com/contest/31/problem/D","CF31-D2-D")</f>
        <v>CF31-D2-D</v>
      </c>
      <c r="B3457" s="15" t="s">
        <v>341</v>
      </c>
      <c r="C3457" s="17">
        <v>5</v>
      </c>
      <c r="D3457" s="18"/>
      <c r="E3457" s="17" t="s">
        <v>332</v>
      </c>
      <c r="F3457" s="17" t="s">
        <v>139</v>
      </c>
      <c r="G3457" s="18"/>
      <c r="H3457" s="18"/>
    </row>
    <row r="3458" spans="1:8" ht="13.2">
      <c r="A3458" s="19" t="str">
        <f>HYPERLINK("http://codeforces.com/contest/872/problem/D","CF872-D2-D")</f>
        <v>CF872-D2-D</v>
      </c>
      <c r="B3458" s="15" t="s">
        <v>408</v>
      </c>
      <c r="C3458" s="17">
        <v>5</v>
      </c>
      <c r="D3458" s="18"/>
      <c r="E3458" s="17" t="s">
        <v>332</v>
      </c>
      <c r="F3458" s="17" t="s">
        <v>139</v>
      </c>
      <c r="G3458" s="18"/>
      <c r="H3458" s="18"/>
    </row>
    <row r="3459" spans="1:8" ht="13.2">
      <c r="A3459" s="19" t="str">
        <f>HYPERLINK("https://codeforces.com/contest/1169/problem/D","CF1169-D2-D")</f>
        <v>CF1169-D2-D</v>
      </c>
      <c r="B3459" s="15" t="s">
        <v>409</v>
      </c>
      <c r="C3459" s="17">
        <v>5</v>
      </c>
      <c r="D3459" s="18"/>
      <c r="E3459" s="17" t="s">
        <v>332</v>
      </c>
      <c r="F3459" s="17" t="s">
        <v>139</v>
      </c>
      <c r="G3459" s="18"/>
      <c r="H3459" s="18"/>
    </row>
    <row r="3460" spans="1:8" ht="13.2">
      <c r="A3460" s="15" t="s">
        <v>410</v>
      </c>
      <c r="B3460" s="29" t="s">
        <v>411</v>
      </c>
      <c r="C3460" s="24">
        <v>5</v>
      </c>
      <c r="D3460" s="26" t="str">
        <f>HYPERLINK("https://github.com/mostafa-saad/MyCompetitiveProgramming/blob/master/UVA/UVA_10705.txt","Sol")</f>
        <v>Sol</v>
      </c>
      <c r="E3460" s="17" t="s">
        <v>332</v>
      </c>
      <c r="F3460" s="17" t="s">
        <v>139</v>
      </c>
      <c r="G3460" s="18"/>
      <c r="H3460" s="18"/>
    </row>
    <row r="3461" spans="1:8" ht="13.2">
      <c r="A3461" s="19" t="str">
        <f>HYPERLINK("http://codeforces.com/contest/903/problem/F","CF903-D12-F")</f>
        <v>CF903-D12-F</v>
      </c>
      <c r="B3461" s="15" t="s">
        <v>1818</v>
      </c>
      <c r="C3461" s="17">
        <v>5</v>
      </c>
      <c r="D3461" s="18"/>
      <c r="E3461" s="17" t="s">
        <v>1819</v>
      </c>
      <c r="F3461" s="17" t="s">
        <v>139</v>
      </c>
      <c r="G3461" s="18"/>
      <c r="H3461" s="18"/>
    </row>
    <row r="3462" spans="1:8" ht="13.2">
      <c r="A3462" s="15" t="s">
        <v>1966</v>
      </c>
      <c r="B3462" s="15" t="s">
        <v>1967</v>
      </c>
      <c r="C3462" s="17">
        <v>5</v>
      </c>
      <c r="D3462" s="26" t="str">
        <f>HYPERLINK("https://github.com/MonaAhmed810/CompetitiveProgramming/blob/master/SPOJ/DCEPC810.cpp","Sol")</f>
        <v>Sol</v>
      </c>
      <c r="E3462" s="17" t="s">
        <v>1909</v>
      </c>
      <c r="F3462" s="17" t="s">
        <v>139</v>
      </c>
      <c r="G3462" s="18"/>
      <c r="H3462" s="18"/>
    </row>
    <row r="3463" spans="1:8" ht="13.2">
      <c r="A3463" s="19" t="str">
        <f>HYPERLINK("http://codeforces.com/contest/859/problem/D","CF859-D12-D")</f>
        <v>CF859-D12-D</v>
      </c>
      <c r="B3463" s="15" t="s">
        <v>2025</v>
      </c>
      <c r="C3463" s="17">
        <v>5</v>
      </c>
      <c r="D3463" s="18"/>
      <c r="E3463" s="17" t="s">
        <v>2026</v>
      </c>
      <c r="F3463" s="17" t="s">
        <v>139</v>
      </c>
      <c r="G3463" s="18"/>
      <c r="H3463" s="18"/>
    </row>
    <row r="3464" spans="1:8" ht="13.2">
      <c r="A3464" s="19" t="str">
        <f>HYPERLINK("http://codeforces.com/contest/16/problem/E","CF16-D2-E")</f>
        <v>CF16-D2-E</v>
      </c>
      <c r="B3464" s="30" t="s">
        <v>2054</v>
      </c>
      <c r="C3464" s="24">
        <v>5</v>
      </c>
      <c r="D3464" s="26" t="str">
        <f>HYPERLINK("https://github.com/3agwa/CompetitiveProgramming/blob/master/CodeForces/CF16-D2-E.cpp","Sol")</f>
        <v>Sol</v>
      </c>
      <c r="E3464" s="17" t="s">
        <v>2026</v>
      </c>
      <c r="F3464" s="17" t="s">
        <v>139</v>
      </c>
      <c r="G3464" s="18"/>
      <c r="H3464" s="18"/>
    </row>
    <row r="3465" spans="1:8" ht="13.2">
      <c r="A3465" s="15" t="s">
        <v>2134</v>
      </c>
      <c r="B3465" s="29" t="s">
        <v>2135</v>
      </c>
      <c r="C3465" s="17">
        <v>5</v>
      </c>
      <c r="D3465" s="26" t="str">
        <f>HYPERLINK("https://github.com/MichaelMounir12/CompetitiveProgramming/blob/eb1a3bc5b6e5be70605a78b1769b4ce6df81bf89/UVA/UVA_1239.cpp","Sol")</f>
        <v>Sol</v>
      </c>
      <c r="E3465" s="17" t="s">
        <v>2113</v>
      </c>
      <c r="F3465" s="17" t="s">
        <v>139</v>
      </c>
      <c r="G3465" s="18"/>
      <c r="H3465" s="18"/>
    </row>
    <row r="3466" spans="1:8" ht="13.2">
      <c r="A3466" s="19" t="str">
        <f>HYPERLINK("http://codeforces.com/contest/141/problem/C","CF141-D2-C")</f>
        <v>CF141-D2-C</v>
      </c>
      <c r="B3466" s="29" t="s">
        <v>2203</v>
      </c>
      <c r="C3466" s="17">
        <v>5</v>
      </c>
      <c r="D3466" s="18"/>
      <c r="E3466" s="17" t="s">
        <v>2153</v>
      </c>
      <c r="F3466" s="17" t="s">
        <v>139</v>
      </c>
      <c r="G3466" s="18"/>
      <c r="H3466" s="18"/>
    </row>
    <row r="3467" spans="1:8" ht="13.2">
      <c r="A3467" s="19" t="str">
        <f>HYPERLINK("https://codeforces.com/gym/101917/problem/B", "CF101917-gym-B")</f>
        <v>CF101917-gym-B</v>
      </c>
      <c r="B3467" s="15" t="s">
        <v>2277</v>
      </c>
      <c r="C3467" s="17">
        <v>5</v>
      </c>
      <c r="D3467" s="26" t="str">
        <f>HYPERLINK("https://github.com/Huvok/CompetitiveProgramming/blob/master/Codeforces/CF101917-D12-B.cpp", "Sol")</f>
        <v>Sol</v>
      </c>
      <c r="E3467" s="17" t="s">
        <v>2153</v>
      </c>
      <c r="F3467" s="17" t="s">
        <v>139</v>
      </c>
      <c r="G3467" s="18"/>
      <c r="H3467" s="18"/>
    </row>
    <row r="3468" spans="1:8" ht="13.2">
      <c r="A3468" s="19" t="str">
        <f>HYPERLINK("https://codeforces.com/contest/1256/problem/F","CF1256-D3-F")</f>
        <v>CF1256-D3-F</v>
      </c>
      <c r="B3468" s="20" t="s">
        <v>2278</v>
      </c>
      <c r="C3468" s="21">
        <v>5</v>
      </c>
      <c r="D3468" s="18"/>
      <c r="E3468" s="17" t="s">
        <v>2153</v>
      </c>
      <c r="F3468" s="17" t="s">
        <v>139</v>
      </c>
      <c r="G3468" s="18"/>
      <c r="H3468" s="18"/>
    </row>
    <row r="3469" spans="1:8" ht="13.2">
      <c r="A3469" s="19" t="str">
        <f>HYPERLINK("http://codeforces.com/contest/94/problem/D","CF94-D2-D")</f>
        <v>CF94-D2-D</v>
      </c>
      <c r="B3469" s="29" t="s">
        <v>2279</v>
      </c>
      <c r="C3469" s="17">
        <v>5</v>
      </c>
      <c r="D3469" s="18"/>
      <c r="E3469" s="17" t="s">
        <v>2153</v>
      </c>
      <c r="F3469" s="17" t="s">
        <v>139</v>
      </c>
      <c r="G3469" s="18"/>
      <c r="H3469" s="18"/>
    </row>
    <row r="3470" spans="1:8" ht="13.2">
      <c r="A3470" s="19" t="str">
        <f>HYPERLINK("https://codeforces.com/contest/1183/problem/G","CF1183-D3-G")</f>
        <v>CF1183-D3-G</v>
      </c>
      <c r="B3470" s="15" t="s">
        <v>2248</v>
      </c>
      <c r="C3470" s="17">
        <v>5</v>
      </c>
      <c r="D3470" s="18"/>
      <c r="E3470" s="17" t="s">
        <v>2153</v>
      </c>
      <c r="F3470" s="17" t="s">
        <v>139</v>
      </c>
      <c r="G3470" s="18"/>
      <c r="H3470" s="18"/>
    </row>
    <row r="3471" spans="1:8" ht="13.2">
      <c r="A3471" s="19" t="str">
        <f>HYPERLINK("https://codeforces.com/contest/1175/problem/D","CF1175-D12-D")</f>
        <v>CF1175-D12-D</v>
      </c>
      <c r="B3471" s="20" t="s">
        <v>2280</v>
      </c>
      <c r="C3471" s="21">
        <v>5</v>
      </c>
      <c r="D3471" s="18"/>
      <c r="E3471" s="17" t="s">
        <v>2153</v>
      </c>
      <c r="F3471" s="17" t="s">
        <v>139</v>
      </c>
      <c r="G3471" s="18"/>
      <c r="H3471" s="18"/>
    </row>
    <row r="3472" spans="1:8" ht="13.2">
      <c r="A3472" s="19" t="str">
        <f>HYPERLINK("http://codeforces.com/problemset/problem/120/E","CF120-D12-E")</f>
        <v>CF120-D12-E</v>
      </c>
      <c r="B3472" s="43" t="s">
        <v>2400</v>
      </c>
      <c r="C3472" s="17">
        <v>5</v>
      </c>
      <c r="D3472" s="18"/>
      <c r="E3472" s="17" t="s">
        <v>2394</v>
      </c>
      <c r="F3472" s="17" t="s">
        <v>139</v>
      </c>
      <c r="G3472" s="18"/>
      <c r="H3472" s="18"/>
    </row>
    <row r="3473" spans="1:8" ht="13.2">
      <c r="A3473" s="19" t="str">
        <f>HYPERLINK("https://www.codechef.com/COOK105B/problems/RANDGAME", "CODECHEF RANDGAME")</f>
        <v>CODECHEF RANDGAME</v>
      </c>
      <c r="B3473" s="15" t="s">
        <v>2400</v>
      </c>
      <c r="C3473" s="17">
        <v>5</v>
      </c>
      <c r="D3473" s="18"/>
      <c r="E3473" s="17" t="s">
        <v>2394</v>
      </c>
      <c r="F3473" s="17" t="s">
        <v>139</v>
      </c>
      <c r="G3473" s="18"/>
      <c r="H3473" s="18"/>
    </row>
    <row r="3474" spans="1:8" ht="13.2">
      <c r="A3474" s="19" t="str">
        <f>HYPERLINK("http://codeforces.com/contest/936/problem/B","CF936-D1-B")</f>
        <v>CF936-D1-B</v>
      </c>
      <c r="B3474" s="20" t="s">
        <v>2420</v>
      </c>
      <c r="C3474" s="17">
        <v>5</v>
      </c>
      <c r="D3474" s="18"/>
      <c r="E3474" s="17" t="s">
        <v>2394</v>
      </c>
      <c r="F3474" s="17" t="s">
        <v>139</v>
      </c>
      <c r="G3474" s="18"/>
      <c r="H3474" s="18"/>
    </row>
    <row r="3475" spans="1:8" ht="13.2">
      <c r="A3475" s="19" t="str">
        <f>HYPERLINK("http://codeforces.com/contest/342/problem/C","CF342-D2-C")</f>
        <v>CF342-D2-C</v>
      </c>
      <c r="B3475" s="29" t="s">
        <v>2509</v>
      </c>
      <c r="C3475" s="17">
        <v>5</v>
      </c>
      <c r="D3475" s="18"/>
      <c r="E3475" s="17" t="s">
        <v>2510</v>
      </c>
      <c r="F3475" s="17" t="s">
        <v>139</v>
      </c>
      <c r="G3475" s="18"/>
      <c r="H3475" s="18"/>
    </row>
    <row r="3476" spans="1:8" ht="13.2">
      <c r="A3476" s="19" t="str">
        <f>HYPERLINK("https://vjudge.net/contest/310021?fbclid=IwAR1wDO-Fi2MaSKE96aGmv0AiVDlix3dVvk7LHHIDhjrUlaAftMiGFHZPot8#problem/I","IFHLC19-C3-I")</f>
        <v>IFHLC19-C3-I</v>
      </c>
      <c r="B3476" s="15" t="s">
        <v>2509</v>
      </c>
      <c r="C3476" s="17">
        <v>5</v>
      </c>
      <c r="D3476" s="26" t="str">
        <f>HYPERLINK("https://ideone.com/zFUHeH","Sol")</f>
        <v>Sol</v>
      </c>
      <c r="E3476" s="17" t="s">
        <v>2510</v>
      </c>
      <c r="F3476" s="17" t="s">
        <v>139</v>
      </c>
      <c r="G3476" s="18"/>
      <c r="H3476" s="18"/>
    </row>
    <row r="3477" spans="1:8" ht="13.2">
      <c r="A3477" s="19" t="str">
        <f>HYPERLINK("http://codeforces.com/contest/552/problem/D","CF552-D2-D")</f>
        <v>CF552-D2-D</v>
      </c>
      <c r="B3477" s="15" t="s">
        <v>2686</v>
      </c>
      <c r="C3477" s="17">
        <v>5</v>
      </c>
      <c r="D3477" s="18"/>
      <c r="E3477" s="17" t="s">
        <v>2510</v>
      </c>
      <c r="F3477" s="17" t="s">
        <v>139</v>
      </c>
      <c r="G3477" s="18"/>
      <c r="H3477" s="18"/>
    </row>
    <row r="3478" spans="1:8" ht="13.2">
      <c r="A3478" s="19" t="str">
        <f>HYPERLINK("http://codeforces.com/gym/101864/problem/L","CF101864-GYM-L")</f>
        <v>CF101864-GYM-L</v>
      </c>
      <c r="B3478" s="29" t="s">
        <v>2687</v>
      </c>
      <c r="C3478" s="17">
        <v>5</v>
      </c>
      <c r="D3478" s="26" t="str">
        <f>HYPERLINK("https://github.com/mostafa-saad/MyCompetitiveProgramming/blob/master/Codeforces/CF101864-GYM-L.txt","Sol")</f>
        <v>Sol</v>
      </c>
      <c r="E3478" s="17" t="s">
        <v>2510</v>
      </c>
      <c r="F3478" s="17" t="s">
        <v>139</v>
      </c>
      <c r="G3478" s="18"/>
      <c r="H3478" s="18"/>
    </row>
    <row r="3479" spans="1:8" ht="13.2">
      <c r="A3479" s="19" t="str">
        <f>HYPERLINK("https://codeforces.com/gym/102021/attachments", "CF102021-GYM-B")</f>
        <v>CF102021-GYM-B</v>
      </c>
      <c r="B3479" s="15" t="s">
        <v>2800</v>
      </c>
      <c r="C3479" s="21">
        <v>5</v>
      </c>
      <c r="D3479" s="26" t="str">
        <f>HYPERLINK("https://github.com/YazanZebak/CompetitiveProgramming/blob/master/Codeforces/CF102021-GYM-B.cpp", "Sol")</f>
        <v>Sol</v>
      </c>
      <c r="E3479" s="17" t="s">
        <v>2798</v>
      </c>
      <c r="F3479" s="17" t="s">
        <v>139</v>
      </c>
      <c r="G3479" s="18"/>
      <c r="H3479" s="18"/>
    </row>
    <row r="3480" spans="1:8" ht="13.2">
      <c r="A3480" s="15" t="s">
        <v>2844</v>
      </c>
      <c r="B3480" s="29" t="s">
        <v>2845</v>
      </c>
      <c r="C3480" s="17">
        <v>5</v>
      </c>
      <c r="D3480" s="18"/>
      <c r="E3480" s="17" t="s">
        <v>2798</v>
      </c>
      <c r="F3480" s="17" t="s">
        <v>139</v>
      </c>
      <c r="G3480" s="18"/>
      <c r="H3480" s="18"/>
    </row>
    <row r="3481" spans="1:8" ht="13.2">
      <c r="A3481" s="19" t="str">
        <f>HYPERLINK("https://codeforces.com/gym/100112/attachments","CF100112-GYM-G")</f>
        <v>CF100112-GYM-G</v>
      </c>
      <c r="B3481" s="15" t="s">
        <v>2891</v>
      </c>
      <c r="C3481" s="17">
        <v>5</v>
      </c>
      <c r="D3481" s="26" t="str">
        <f>HYPERLINK("https://github.com/AhmedElsisy/CompetitiveProgramming/blob/master/Codeforces/CF100112-GYM-G.cpp","Sol")</f>
        <v>Sol</v>
      </c>
      <c r="E3481" s="17" t="s">
        <v>2865</v>
      </c>
      <c r="F3481" s="17" t="s">
        <v>139</v>
      </c>
      <c r="G3481" s="18"/>
      <c r="H3481" s="18"/>
    </row>
    <row r="3482" spans="1:8" ht="13.2">
      <c r="A3482" s="19" t="str">
        <f>HYPERLINK("http://codeforces.com/problemset/problem/961/D","CF961-D12-D")</f>
        <v>CF961-D12-D</v>
      </c>
      <c r="B3482" s="29" t="s">
        <v>2911</v>
      </c>
      <c r="C3482" s="17">
        <v>5</v>
      </c>
      <c r="D3482" s="18"/>
      <c r="E3482" s="17" t="s">
        <v>2865</v>
      </c>
      <c r="F3482" s="17" t="s">
        <v>139</v>
      </c>
      <c r="G3482" s="18"/>
      <c r="H3482" s="18"/>
    </row>
    <row r="3483" spans="1:8" ht="13.2">
      <c r="A3483" s="15" t="s">
        <v>623</v>
      </c>
      <c r="B3483" s="23" t="s">
        <v>587</v>
      </c>
      <c r="C3483" s="17">
        <v>5</v>
      </c>
      <c r="D3483" s="18"/>
      <c r="E3483" s="17" t="s">
        <v>575</v>
      </c>
      <c r="F3483" s="17" t="s">
        <v>139</v>
      </c>
      <c r="G3483" s="18"/>
      <c r="H3483" s="18"/>
    </row>
    <row r="3484" spans="1:8" ht="13.2">
      <c r="A3484" s="19" t="str">
        <f>HYPERLINK("http://codeforces.com/contest/5/problem/C","CF5-D12-C")</f>
        <v>CF5-D12-C</v>
      </c>
      <c r="B3484" s="15" t="s">
        <v>624</v>
      </c>
      <c r="C3484" s="17">
        <v>5</v>
      </c>
      <c r="D3484" s="18"/>
      <c r="E3484" s="17" t="s">
        <v>575</v>
      </c>
      <c r="F3484" s="17" t="s">
        <v>139</v>
      </c>
      <c r="G3484" s="18"/>
      <c r="H3484" s="18"/>
    </row>
    <row r="3485" spans="1:8" ht="13.2">
      <c r="A3485" s="19" t="str">
        <f>HYPERLINK("https://codeforces.com/contest/817/problem/D", "CF817-D12-D")</f>
        <v>CF817-D12-D</v>
      </c>
      <c r="B3485" s="29" t="s">
        <v>625</v>
      </c>
      <c r="C3485" s="31">
        <v>5</v>
      </c>
      <c r="D3485" s="26" t="str">
        <f>HYPERLINK("https://codeforces.com/contest/817/submission/47359168","Find O(n)")</f>
        <v>Find O(n)</v>
      </c>
      <c r="E3485" s="17" t="s">
        <v>575</v>
      </c>
      <c r="F3485" s="17" t="s">
        <v>139</v>
      </c>
      <c r="G3485" s="18"/>
      <c r="H3485" s="18"/>
    </row>
    <row r="3486" spans="1:8" ht="13.2">
      <c r="A3486" s="15" t="s">
        <v>626</v>
      </c>
      <c r="B3486" s="28" t="s">
        <v>627</v>
      </c>
      <c r="C3486" s="24">
        <v>5</v>
      </c>
      <c r="D3486" s="26" t="str">
        <f>HYPERLINK("https://github.com/Firastic/CompetitiveProgramming/blob/master/SPOJ/SPOJ%20RMID2.cpp","Sol")</f>
        <v>Sol</v>
      </c>
      <c r="E3486" s="17" t="s">
        <v>575</v>
      </c>
      <c r="F3486" s="17" t="s">
        <v>139</v>
      </c>
      <c r="G3486" s="18"/>
      <c r="H3486" s="18"/>
    </row>
    <row r="3487" spans="1:8" ht="13.2">
      <c r="A3487" s="19" t="str">
        <f>HYPERLINK("http://codeforces.com/contest/45/problem/C","CF45-D12-C")</f>
        <v>CF45-D12-C</v>
      </c>
      <c r="B3487" s="15" t="s">
        <v>628</v>
      </c>
      <c r="C3487" s="17">
        <v>5</v>
      </c>
      <c r="D3487" s="18"/>
      <c r="E3487" s="17" t="s">
        <v>575</v>
      </c>
      <c r="F3487" s="17" t="s">
        <v>139</v>
      </c>
      <c r="G3487" s="18"/>
      <c r="H3487" s="18"/>
    </row>
    <row r="3488" spans="1:8" ht="13.2">
      <c r="A3488" s="19" t="str">
        <f>HYPERLINK("https://uva.onlinejudge.org/index.php?option=onlinejudge&amp;page=show_problem&amp;problem=1029","UVA 10088")</f>
        <v>UVA 10088</v>
      </c>
      <c r="B3488" s="29" t="s">
        <v>3135</v>
      </c>
      <c r="C3488" s="17">
        <v>5</v>
      </c>
      <c r="D3488" s="26" t="str">
        <f>HYPERLINK("https://github.com/ZeyadKhattab/Competitive-Programming/blob/master/UVA/UVA%2010088.java","Sol")</f>
        <v>Sol</v>
      </c>
      <c r="E3488" s="17" t="s">
        <v>3130</v>
      </c>
      <c r="F3488" s="17" t="s">
        <v>139</v>
      </c>
      <c r="G3488" s="18"/>
      <c r="H3488" s="18"/>
    </row>
    <row r="3489" spans="1:8" ht="13.2">
      <c r="A3489" s="19" t="str">
        <f>HYPERLINK("http://codeforces.com/contest/203/problem/D","CF203-D2-D")</f>
        <v>CF203-D2-D</v>
      </c>
      <c r="B3489" s="29" t="s">
        <v>3244</v>
      </c>
      <c r="C3489" s="17">
        <v>5</v>
      </c>
      <c r="D3489" s="18"/>
      <c r="E3489" s="17" t="s">
        <v>3214</v>
      </c>
      <c r="F3489" s="17" t="s">
        <v>139</v>
      </c>
      <c r="G3489" s="18"/>
      <c r="H3489" s="18"/>
    </row>
    <row r="3490" spans="1:8" ht="13.2">
      <c r="A3490" s="19" t="str">
        <f>HYPERLINK("http://codeforces.com/contest/125/problem/C","CF125-D12-C")</f>
        <v>CF125-D12-C</v>
      </c>
      <c r="B3490" s="15" t="s">
        <v>3392</v>
      </c>
      <c r="C3490" s="17">
        <v>5</v>
      </c>
      <c r="D3490" s="26" t="str">
        <f>HYPERLINK("https://github.com/AhmedElsisy/CompetitiveProgramming/blob/master/Codeforces/CF125-D12-C.cpp","Sol")</f>
        <v>Sol</v>
      </c>
      <c r="E3490" s="17" t="s">
        <v>3257</v>
      </c>
      <c r="F3490" s="17" t="s">
        <v>139</v>
      </c>
      <c r="G3490" s="18"/>
      <c r="H3490" s="18"/>
    </row>
    <row r="3491" spans="1:8" ht="13.2">
      <c r="A3491" s="19" t="str">
        <f>HYPERLINK("http://codeforces.com/contest/550/problem/D","CF550-D2-D")</f>
        <v>CF550-D2-D</v>
      </c>
      <c r="B3491" s="29" t="s">
        <v>3393</v>
      </c>
      <c r="C3491" s="17">
        <v>5</v>
      </c>
      <c r="D3491" s="18"/>
      <c r="E3491" s="17" t="s">
        <v>3257</v>
      </c>
      <c r="F3491" s="17" t="s">
        <v>139</v>
      </c>
      <c r="G3491" s="18"/>
      <c r="H3491" s="18"/>
    </row>
    <row r="3492" spans="1:8" ht="13.2">
      <c r="A3492" s="19" t="str">
        <f>HYPERLINK("https://codeforces.com/contest/1146/problem/D","CF1146-D12-D")</f>
        <v>CF1146-D12-D</v>
      </c>
      <c r="B3492" s="15" t="s">
        <v>3394</v>
      </c>
      <c r="C3492" s="17">
        <v>5</v>
      </c>
      <c r="D3492" s="18"/>
      <c r="E3492" s="17" t="s">
        <v>3257</v>
      </c>
      <c r="F3492" s="17" t="s">
        <v>139</v>
      </c>
      <c r="G3492" s="18"/>
      <c r="H3492" s="18"/>
    </row>
    <row r="3493" spans="1:8" ht="13.2">
      <c r="A3493" s="19" t="str">
        <f>HYPERLINK("https://codeforces.com/contest/1060/problem/D","CF1060-D12-D")</f>
        <v>CF1060-D12-D</v>
      </c>
      <c r="B3493" s="20" t="s">
        <v>3284</v>
      </c>
      <c r="C3493" s="21">
        <v>5</v>
      </c>
      <c r="D3493" s="18"/>
      <c r="E3493" s="17" t="s">
        <v>3257</v>
      </c>
      <c r="F3493" s="17" t="s">
        <v>139</v>
      </c>
      <c r="G3493" s="18"/>
      <c r="H3493" s="18"/>
    </row>
    <row r="3494" spans="1:8" ht="13.2">
      <c r="A3494" s="15" t="s">
        <v>3395</v>
      </c>
      <c r="B3494" s="28" t="s">
        <v>3396</v>
      </c>
      <c r="C3494" s="24">
        <v>5</v>
      </c>
      <c r="D3494" s="26" t="str">
        <f>HYPERLINK("https://github.com/mostafa-saad/MyCompetitiveProgramming/blob/master/UVA/UVA_10982.txt","Sol")</f>
        <v>Sol</v>
      </c>
      <c r="E3494" s="17" t="s">
        <v>3257</v>
      </c>
      <c r="F3494" s="17" t="s">
        <v>139</v>
      </c>
      <c r="G3494" s="18"/>
      <c r="H3494" s="18"/>
    </row>
    <row r="3495" spans="1:8" ht="13.2">
      <c r="A3495" s="15" t="s">
        <v>3549</v>
      </c>
      <c r="B3495" s="15" t="s">
        <v>3466</v>
      </c>
      <c r="C3495" s="17">
        <v>5</v>
      </c>
      <c r="D3495" s="18"/>
      <c r="E3495" s="17" t="s">
        <v>3467</v>
      </c>
      <c r="F3495" s="17" t="s">
        <v>139</v>
      </c>
      <c r="G3495" s="18"/>
      <c r="H3495" s="18"/>
    </row>
    <row r="3496" spans="1:8" ht="13.2">
      <c r="A3496" s="19" t="str">
        <f>HYPERLINK("https://www.hackerearth.com/practice/algorithms/graphs/breadth-first-search/practice-problems/algorithm/pasha-jumps-on-a-permutation-june-easy-19-9e608b68/","HACKER pasha-jumps-on-a-permutation")</f>
        <v>HACKER pasha-jumps-on-a-permutation</v>
      </c>
      <c r="B3496" s="20" t="s">
        <v>3550</v>
      </c>
      <c r="C3496" s="17">
        <v>5</v>
      </c>
      <c r="D3496" s="18"/>
      <c r="E3496" s="17" t="s">
        <v>3467</v>
      </c>
      <c r="F3496" s="17" t="s">
        <v>139</v>
      </c>
      <c r="G3496" s="18"/>
      <c r="H3496" s="18"/>
    </row>
    <row r="3497" spans="1:8" ht="13.2">
      <c r="A3497" s="15" t="s">
        <v>3551</v>
      </c>
      <c r="B3497" s="29" t="s">
        <v>3552</v>
      </c>
      <c r="C3497" s="17">
        <v>5</v>
      </c>
      <c r="D3497" s="18"/>
      <c r="E3497" s="17" t="s">
        <v>3467</v>
      </c>
      <c r="F3497" s="17" t="s">
        <v>139</v>
      </c>
      <c r="G3497" s="18"/>
      <c r="H3497" s="18"/>
    </row>
    <row r="3498" spans="1:8" ht="13.2">
      <c r="A3498" s="15" t="s">
        <v>3553</v>
      </c>
      <c r="B3498" s="30" t="s">
        <v>3554</v>
      </c>
      <c r="C3498" s="24">
        <v>5</v>
      </c>
      <c r="D3498" s="18"/>
      <c r="E3498" s="17" t="s">
        <v>3467</v>
      </c>
      <c r="F3498" s="17" t="s">
        <v>139</v>
      </c>
      <c r="G3498" s="18"/>
      <c r="H3498" s="18"/>
    </row>
    <row r="3499" spans="1:8" ht="13.2">
      <c r="A3499" s="19" t="str">
        <f>HYPERLINK("https://codeforces.com/contest/1105/problem/D","CF1105-D2-D")</f>
        <v>CF1105-D2-D</v>
      </c>
      <c r="B3499" s="15" t="s">
        <v>3488</v>
      </c>
      <c r="C3499" s="17">
        <v>5</v>
      </c>
      <c r="D3499" s="18"/>
      <c r="E3499" s="17" t="s">
        <v>3467</v>
      </c>
      <c r="F3499" s="17" t="s">
        <v>139</v>
      </c>
      <c r="G3499" s="18"/>
      <c r="H3499" s="18"/>
    </row>
    <row r="3500" spans="1:8" ht="13.2">
      <c r="A3500" s="19" t="str">
        <f>HYPERLINK("http://codeforces.com/contest/811/problem/D","CF811-D2-D")</f>
        <v>CF811-D2-D</v>
      </c>
      <c r="B3500" s="29" t="s">
        <v>3555</v>
      </c>
      <c r="C3500" s="24">
        <v>5</v>
      </c>
      <c r="D3500" s="18"/>
      <c r="E3500" s="17" t="s">
        <v>3467</v>
      </c>
      <c r="F3500" s="17" t="s">
        <v>139</v>
      </c>
      <c r="G3500" s="18"/>
      <c r="H3500" s="18"/>
    </row>
    <row r="3501" spans="1:8" ht="13.2">
      <c r="A3501" s="15" t="s">
        <v>3556</v>
      </c>
      <c r="B3501" s="15" t="s">
        <v>3557</v>
      </c>
      <c r="C3501" s="17">
        <v>5</v>
      </c>
      <c r="D3501" s="26" t="str">
        <f>HYPERLINK("https://github.com/A7medgamal/CompetitiveProgramming/blob/master/SPOJ/SPOJ%20A_W_S_N.cpp","Sol")</f>
        <v>Sol</v>
      </c>
      <c r="E3501" s="17" t="s">
        <v>3467</v>
      </c>
      <c r="F3501" s="17" t="s">
        <v>139</v>
      </c>
      <c r="G3501" s="18"/>
      <c r="H3501" s="18"/>
    </row>
    <row r="3502" spans="1:8" ht="13.2">
      <c r="A3502" s="19" t="str">
        <f>HYPERLINK("http://codeforces.com/contest/47/problem/D","CF47-D2-D")</f>
        <v>CF47-D2-D</v>
      </c>
      <c r="B3502" s="29" t="s">
        <v>689</v>
      </c>
      <c r="C3502" s="17">
        <v>5</v>
      </c>
      <c r="D3502" s="18"/>
      <c r="E3502" s="17" t="s">
        <v>655</v>
      </c>
      <c r="F3502" s="17" t="s">
        <v>139</v>
      </c>
      <c r="G3502" s="18"/>
      <c r="H3502" s="18"/>
    </row>
    <row r="3503" spans="1:8" ht="13.2">
      <c r="A3503" s="15" t="s">
        <v>3733</v>
      </c>
      <c r="B3503" s="15" t="s">
        <v>3734</v>
      </c>
      <c r="C3503" s="17">
        <v>5</v>
      </c>
      <c r="D3503" s="26" t="str">
        <f>HYPERLINK("https://github.com/mostafa-saad/MyCompetitiveProgramming/blob/master/SPOJ/SPOJ-HOLI.txt","Sol")</f>
        <v>Sol</v>
      </c>
      <c r="E3503" s="17" t="s">
        <v>3650</v>
      </c>
      <c r="F3503" s="17" t="s">
        <v>139</v>
      </c>
      <c r="G3503" s="18"/>
      <c r="H3503" s="18"/>
    </row>
    <row r="3504" spans="1:8" ht="13.2">
      <c r="A3504" s="19" t="str">
        <f>HYPERLINK("https://codeforces.com/contest/1093/problem/D","CF1093-D12-D")</f>
        <v>CF1093-D12-D</v>
      </c>
      <c r="B3504" s="20" t="s">
        <v>3735</v>
      </c>
      <c r="C3504" s="17">
        <v>5</v>
      </c>
      <c r="D3504" s="18"/>
      <c r="E3504" s="17" t="s">
        <v>3650</v>
      </c>
      <c r="F3504" s="17" t="s">
        <v>139</v>
      </c>
      <c r="G3504" s="18"/>
      <c r="H3504" s="18"/>
    </row>
    <row r="3505" spans="1:8" ht="13.2">
      <c r="A3505" s="19" t="str">
        <f>HYPERLINK("http://codeforces.com/contest/711/problem/D","CF711-D2-D")</f>
        <v>CF711-D2-D</v>
      </c>
      <c r="B3505" s="29" t="s">
        <v>3736</v>
      </c>
      <c r="C3505" s="17">
        <v>5</v>
      </c>
      <c r="D3505" s="18"/>
      <c r="E3505" s="17" t="s">
        <v>3650</v>
      </c>
      <c r="F3505" s="17" t="s">
        <v>139</v>
      </c>
      <c r="G3505" s="18"/>
      <c r="H3505" s="18"/>
    </row>
    <row r="3506" spans="1:8" ht="13.2">
      <c r="A3506" s="19" t="str">
        <f>HYPERLINK("http://codeforces.com/contest/1075/problem/D","CF1075-D2-D")</f>
        <v>CF1075-D2-D</v>
      </c>
      <c r="B3506" s="20" t="s">
        <v>3737</v>
      </c>
      <c r="C3506" s="21">
        <v>5</v>
      </c>
      <c r="D3506" s="18" t="s">
        <v>2160</v>
      </c>
      <c r="E3506" s="17" t="s">
        <v>3650</v>
      </c>
      <c r="F3506" s="17" t="s">
        <v>139</v>
      </c>
      <c r="G3506" s="18"/>
      <c r="H3506" s="18"/>
    </row>
    <row r="3507" spans="1:8" ht="13.2">
      <c r="A3507" s="19" t="str">
        <f>HYPERLINK("https://codeforces.com/contest/1056/problem/D","CF1056-D12-D")</f>
        <v>CF1056-D12-D</v>
      </c>
      <c r="B3507" s="15" t="s">
        <v>3738</v>
      </c>
      <c r="C3507" s="17">
        <v>5</v>
      </c>
      <c r="D3507" s="18"/>
      <c r="E3507" s="17" t="s">
        <v>3650</v>
      </c>
      <c r="F3507" s="17" t="s">
        <v>139</v>
      </c>
      <c r="G3507" s="18"/>
      <c r="H3507" s="18"/>
    </row>
    <row r="3508" spans="1:8" ht="13.2">
      <c r="A3508" s="15" t="s">
        <v>3842</v>
      </c>
      <c r="B3508" s="29" t="s">
        <v>3791</v>
      </c>
      <c r="C3508" s="24">
        <v>5</v>
      </c>
      <c r="D3508" s="26" t="str">
        <f>HYPERLINK("https://github.com/ilyesG/Competitive-Programming/blob/master/UVA/UVA%2012047.cpp","Sol")</f>
        <v>Sol</v>
      </c>
      <c r="E3508" s="17" t="s">
        <v>3784</v>
      </c>
      <c r="F3508" s="17" t="s">
        <v>139</v>
      </c>
      <c r="G3508" s="18"/>
      <c r="H3508" s="18"/>
    </row>
    <row r="3509" spans="1:8" ht="13.2">
      <c r="A3509" s="19" t="str">
        <f>HYPERLINK("http://codeforces.com/contest/766/problem/D","CF766-D2-D")</f>
        <v>CF766-D2-D</v>
      </c>
      <c r="B3509" s="29" t="s">
        <v>3928</v>
      </c>
      <c r="C3509" s="17">
        <v>5</v>
      </c>
      <c r="D3509" s="18"/>
      <c r="E3509" s="17" t="s">
        <v>3883</v>
      </c>
      <c r="F3509" s="17" t="s">
        <v>139</v>
      </c>
      <c r="G3509" s="18"/>
      <c r="H3509" s="18"/>
    </row>
    <row r="3510" spans="1:8" ht="13.2">
      <c r="A3510" s="19" t="str">
        <f>HYPERLINK("https://www.facebook.com/hackercup/problem/294773441466017/","FbHkrCup 19-R2-B")</f>
        <v>FbHkrCup 19-R2-B</v>
      </c>
      <c r="B3510" s="20" t="s">
        <v>3929</v>
      </c>
      <c r="C3510" s="17">
        <v>5</v>
      </c>
      <c r="D3510" s="18"/>
      <c r="E3510" s="17" t="s">
        <v>3883</v>
      </c>
      <c r="F3510" s="17" t="s">
        <v>139</v>
      </c>
      <c r="G3510" s="18"/>
      <c r="H3510" s="18"/>
    </row>
    <row r="3511" spans="1:8" ht="13.2">
      <c r="A3511" s="19" t="str">
        <f>HYPERLINK("https://codeforces.com/contest/1196/problem/F","CF1196-D3-F")</f>
        <v>CF1196-D3-F</v>
      </c>
      <c r="B3511" s="15" t="s">
        <v>4006</v>
      </c>
      <c r="C3511" s="17">
        <v>5</v>
      </c>
      <c r="D3511" s="18"/>
      <c r="E3511" s="17" t="s">
        <v>3998</v>
      </c>
      <c r="F3511" s="17" t="s">
        <v>139</v>
      </c>
      <c r="G3511" s="18"/>
      <c r="H3511" s="18"/>
    </row>
    <row r="3512" spans="1:8" ht="13.2">
      <c r="A3512" s="19" t="str">
        <f>HYPERLINK("http://codeforces.com/contest/189/problem/D","CF189-D2-D")</f>
        <v>CF189-D2-D</v>
      </c>
      <c r="B3512" s="29" t="s">
        <v>4006</v>
      </c>
      <c r="C3512" s="17">
        <v>5</v>
      </c>
      <c r="D3512" s="26" t="str">
        <f>HYPERLINK("https://github.com/OmarMekkawy/Problems-Solved-Codes/blob/master/CodeForces/189D.cpp","Sol")</f>
        <v>Sol</v>
      </c>
      <c r="E3512" s="17" t="s">
        <v>3998</v>
      </c>
      <c r="F3512" s="17" t="s">
        <v>139</v>
      </c>
      <c r="G3512" s="18"/>
      <c r="H3512" s="18"/>
    </row>
    <row r="3513" spans="1:8" ht="13.2">
      <c r="A3513" s="19" t="str">
        <f>HYPERLINK("http://codeforces.com/contest/296/problem/D","CF296-D2-D")</f>
        <v>CF296-D2-D</v>
      </c>
      <c r="B3513" s="29" t="s">
        <v>4006</v>
      </c>
      <c r="C3513" s="17">
        <v>5</v>
      </c>
      <c r="D3513" s="18"/>
      <c r="E3513" s="17" t="s">
        <v>3998</v>
      </c>
      <c r="F3513" s="17" t="s">
        <v>139</v>
      </c>
      <c r="G3513" s="18"/>
      <c r="H3513" s="18"/>
    </row>
    <row r="3514" spans="1:8" ht="13.2">
      <c r="A3514" s="19" t="str">
        <f>HYPERLINK("https://atcoder.jp/contests/abc143/tasks/abc143_e","AtCoder143-ABC-E")</f>
        <v>AtCoder143-ABC-E</v>
      </c>
      <c r="B3514" s="20" t="s">
        <v>4017</v>
      </c>
      <c r="C3514" s="21">
        <v>5</v>
      </c>
      <c r="D3514" s="18"/>
      <c r="E3514" s="17" t="s">
        <v>3998</v>
      </c>
      <c r="F3514" s="17" t="s">
        <v>139</v>
      </c>
      <c r="G3514" s="18"/>
      <c r="H3514" s="18"/>
    </row>
    <row r="3515" spans="1:8" ht="13.2">
      <c r="A3515" s="15" t="s">
        <v>4208</v>
      </c>
      <c r="B3515" s="18" t="s">
        <v>4149</v>
      </c>
      <c r="C3515" s="17">
        <v>5</v>
      </c>
      <c r="D3515" s="26" t="str">
        <f>HYPERLINK("https://github.com/tanmoy13/CompetitveProgramming/blob/master/Online-Judge-Solutions/UVA/670%20-%20The%20dog%20task.cpp","Sol")</f>
        <v>Sol</v>
      </c>
      <c r="E3515" s="17" t="s">
        <v>4144</v>
      </c>
      <c r="F3515" s="17" t="s">
        <v>139</v>
      </c>
      <c r="G3515" s="18"/>
      <c r="H3515" s="18"/>
    </row>
    <row r="3516" spans="1:8" ht="13.2">
      <c r="A3516" s="15" t="s">
        <v>4314</v>
      </c>
      <c r="B3516" s="15" t="s">
        <v>4279</v>
      </c>
      <c r="C3516" s="17">
        <v>5</v>
      </c>
      <c r="D3516" s="26" t="str">
        <f>HYPERLINK("https://github.com/AhmedElsisy/CompetitiveProgramming/blob/master/SPOJ/SPOJ%20IITKWPCG.cpp","Sol")</f>
        <v>Sol</v>
      </c>
      <c r="E3516" s="17" t="s">
        <v>4275</v>
      </c>
      <c r="F3516" s="17" t="s">
        <v>139</v>
      </c>
      <c r="G3516" s="18"/>
      <c r="H3516" s="18"/>
    </row>
    <row r="3517" spans="1:8" ht="13.2">
      <c r="A3517" s="15" t="s">
        <v>4315</v>
      </c>
      <c r="B3517" s="29" t="s">
        <v>4279</v>
      </c>
      <c r="C3517" s="17">
        <v>5</v>
      </c>
      <c r="D3517" s="18"/>
      <c r="E3517" s="17" t="s">
        <v>4275</v>
      </c>
      <c r="F3517" s="17" t="s">
        <v>139</v>
      </c>
      <c r="G3517" s="18"/>
      <c r="H3517" s="18"/>
    </row>
    <row r="3518" spans="1:8" ht="13.2">
      <c r="A3518" s="15" t="s">
        <v>4316</v>
      </c>
      <c r="B3518" s="29" t="s">
        <v>4279</v>
      </c>
      <c r="C3518" s="17">
        <v>5</v>
      </c>
      <c r="D3518" s="18"/>
      <c r="E3518" s="17" t="s">
        <v>4275</v>
      </c>
      <c r="F3518" s="17" t="s">
        <v>139</v>
      </c>
      <c r="G3518" s="18"/>
      <c r="H3518" s="18"/>
    </row>
    <row r="3519" spans="1:8" ht="13.2">
      <c r="A3519" s="19" t="str">
        <f>HYPERLINK("http://codeforces.com/contest/472/problem/D","CF472-D12-D")</f>
        <v>CF472-D12-D</v>
      </c>
      <c r="B3519" s="29" t="s">
        <v>4317</v>
      </c>
      <c r="C3519" s="24">
        <v>5</v>
      </c>
      <c r="D3519" s="18"/>
      <c r="E3519" s="17" t="s">
        <v>4275</v>
      </c>
      <c r="F3519" s="17" t="s">
        <v>139</v>
      </c>
      <c r="G3519" s="18"/>
      <c r="H3519" s="18"/>
    </row>
    <row r="3520" spans="1:8" ht="13.2">
      <c r="A3520" s="19" t="str">
        <f>HYPERLINK("https://uva.onlinejudge.org/index.php?option=com_onlinejudge&amp;Itemid=8&amp;page=show_problem&amp;problem=3319","UVA 12167")</f>
        <v>UVA 12167</v>
      </c>
      <c r="B3520" s="29" t="s">
        <v>4357</v>
      </c>
      <c r="C3520" s="17">
        <v>5</v>
      </c>
      <c r="D3520" s="26" t="str">
        <f>HYPERLINK("https://github.com/abdullaAshraf/Problem-Solving/blob/master/UVA/12167.cpp","Sol")</f>
        <v>Sol</v>
      </c>
      <c r="E3520" s="17" t="s">
        <v>4344</v>
      </c>
      <c r="F3520" s="17" t="s">
        <v>139</v>
      </c>
      <c r="G3520" s="18"/>
      <c r="H3520" s="18"/>
    </row>
    <row r="3521" spans="1:8" ht="13.2">
      <c r="A3521" s="15" t="s">
        <v>4358</v>
      </c>
      <c r="B3521" s="30" t="s">
        <v>4359</v>
      </c>
      <c r="C3521" s="33">
        <v>5</v>
      </c>
      <c r="D3521" s="18" t="s">
        <v>4360</v>
      </c>
      <c r="E3521" s="17" t="s">
        <v>4344</v>
      </c>
      <c r="F3521" s="17" t="s">
        <v>139</v>
      </c>
      <c r="G3521" s="18"/>
      <c r="H3521" s="18"/>
    </row>
    <row r="3522" spans="1:8" ht="13.2">
      <c r="A3522" s="15" t="s">
        <v>4361</v>
      </c>
      <c r="B3522" s="29" t="s">
        <v>4362</v>
      </c>
      <c r="C3522" s="33">
        <v>5</v>
      </c>
      <c r="D3522" s="18"/>
      <c r="E3522" s="17" t="s">
        <v>4344</v>
      </c>
      <c r="F3522" s="17" t="s">
        <v>139</v>
      </c>
      <c r="G3522" s="18"/>
      <c r="H3522" s="18"/>
    </row>
    <row r="3523" spans="1:8" ht="13.2">
      <c r="A3523" s="19" t="str">
        <f>HYPERLINK("https://codeforces.com/contest/1214/problem/D","CF1214-D12-D")</f>
        <v>CF1214-D12-D</v>
      </c>
      <c r="B3523" s="15" t="s">
        <v>4448</v>
      </c>
      <c r="C3523" s="17">
        <v>5</v>
      </c>
      <c r="D3523" s="18"/>
      <c r="E3523" s="17" t="s">
        <v>4423</v>
      </c>
      <c r="F3523" s="17" t="s">
        <v>139</v>
      </c>
      <c r="G3523" s="18"/>
      <c r="H3523" s="18"/>
    </row>
    <row r="3524" spans="1:8" ht="13.2">
      <c r="A3524" s="19" t="str">
        <f>HYPERLINK("http://codeforces.com/gym/100342/attachments","CF100342-GYM-I")</f>
        <v>CF100342-GYM-I</v>
      </c>
      <c r="B3524" s="38" t="s">
        <v>4449</v>
      </c>
      <c r="C3524" s="17">
        <v>5</v>
      </c>
      <c r="D3524" s="26" t="str">
        <f>HYPERLINK("http://codeforces.com/gym/100342/submission/34115410","Sol")</f>
        <v>Sol</v>
      </c>
      <c r="E3524" s="17" t="s">
        <v>4423</v>
      </c>
      <c r="F3524" s="17" t="s">
        <v>139</v>
      </c>
      <c r="G3524" s="18"/>
      <c r="H3524" s="18"/>
    </row>
    <row r="3525" spans="1:8" ht="13.2">
      <c r="A3525" s="15" t="s">
        <v>4493</v>
      </c>
      <c r="B3525" s="15" t="s">
        <v>4484</v>
      </c>
      <c r="C3525" s="17">
        <v>5</v>
      </c>
      <c r="D3525" s="26" t="str">
        <f>HYPERLINK("https://github.com/mostafa-saad/MyCompetitiveProgramming/blob/master/SPOJ/SPOJ_DRTREE.txt","Sol")</f>
        <v>Sol</v>
      </c>
      <c r="E3525" s="17" t="s">
        <v>4454</v>
      </c>
      <c r="F3525" s="17" t="s">
        <v>139</v>
      </c>
      <c r="G3525" s="18"/>
      <c r="H3525" s="18"/>
    </row>
    <row r="3526" spans="1:8" ht="13.2">
      <c r="A3526" s="19" t="str">
        <f>HYPERLINK("http://codeforces.com/contest/192/problem/E","CF192-D2-E")</f>
        <v>CF192-D2-E</v>
      </c>
      <c r="B3526" s="43" t="s">
        <v>4494</v>
      </c>
      <c r="C3526" s="33">
        <v>5</v>
      </c>
      <c r="D3526" s="26" t="str">
        <f>HYPERLINK("https://github.com/mostafa-saad/MyCompetitiveProgramming/blob/master/Codeforces/CF192-D2-E.txt","Sol")</f>
        <v>Sol</v>
      </c>
      <c r="E3526" s="17" t="s">
        <v>4454</v>
      </c>
      <c r="F3526" s="17" t="s">
        <v>139</v>
      </c>
      <c r="G3526" s="18"/>
      <c r="H3526" s="18"/>
    </row>
    <row r="3527" spans="1:8" ht="13.2">
      <c r="A3527" s="19" t="str">
        <f>HYPERLINK("https://www.hackerearth.com/problem/algorithm/meetup-point-61916d93/","HACKER roads-in-a-city")</f>
        <v>HACKER roads-in-a-city</v>
      </c>
      <c r="B3527" s="15" t="s">
        <v>4495</v>
      </c>
      <c r="C3527" s="17">
        <v>5</v>
      </c>
      <c r="D3527" s="18"/>
      <c r="E3527" s="17" t="s">
        <v>4454</v>
      </c>
      <c r="F3527" s="17" t="s">
        <v>139</v>
      </c>
      <c r="G3527" s="18"/>
      <c r="H3527" s="18"/>
    </row>
    <row r="3528" spans="1:8" ht="13.2">
      <c r="A3528" s="19" t="str">
        <f>HYPERLINK("http://codeforces.com/contest/832/problem/D","CF832-D2-D")</f>
        <v>CF832-D2-D</v>
      </c>
      <c r="B3528" s="43" t="s">
        <v>4496</v>
      </c>
      <c r="C3528" s="24">
        <v>5</v>
      </c>
      <c r="D3528" s="18"/>
      <c r="E3528" s="17" t="s">
        <v>4454</v>
      </c>
      <c r="F3528" s="17" t="s">
        <v>139</v>
      </c>
      <c r="G3528" s="18"/>
      <c r="H3528" s="18"/>
    </row>
    <row r="3529" spans="1:8" ht="13.2">
      <c r="A3529" s="19" t="str">
        <f>HYPERLINK("http://codeforces.com/contest/349/problem/C","CF349-D2-C")</f>
        <v>CF349-D2-C</v>
      </c>
      <c r="B3529" s="29" t="s">
        <v>4530</v>
      </c>
      <c r="C3529" s="17">
        <v>5</v>
      </c>
      <c r="D3529" s="18"/>
      <c r="E3529" s="17" t="s">
        <v>4531</v>
      </c>
      <c r="F3529" s="17" t="s">
        <v>139</v>
      </c>
      <c r="G3529" s="18"/>
      <c r="H3529" s="18"/>
    </row>
    <row r="3530" spans="1:8" ht="13.2">
      <c r="A3530" s="19" t="str">
        <f>HYPERLINK("https://codeforces.com/contest/396/problem/A","CF396-D2-C")</f>
        <v>CF396-D2-C</v>
      </c>
      <c r="B3530" s="15" t="s">
        <v>4530</v>
      </c>
      <c r="C3530" s="21">
        <v>5</v>
      </c>
      <c r="D3530" s="18"/>
      <c r="E3530" s="17" t="s">
        <v>4531</v>
      </c>
      <c r="F3530" s="17" t="s">
        <v>139</v>
      </c>
      <c r="G3530" s="18"/>
      <c r="H3530" s="18"/>
    </row>
    <row r="3531" spans="1:8" ht="13.2">
      <c r="A3531" s="19" t="str">
        <f>HYPERLINK("https://www.codechef.com/JUNE19A/problems/CHFING","Codechef CHFING")</f>
        <v>Codechef CHFING</v>
      </c>
      <c r="B3531" s="20" t="s">
        <v>4530</v>
      </c>
      <c r="C3531" s="21">
        <v>5</v>
      </c>
      <c r="D3531" s="18"/>
      <c r="E3531" s="17" t="s">
        <v>4531</v>
      </c>
      <c r="F3531" s="17" t="s">
        <v>139</v>
      </c>
      <c r="G3531" s="18"/>
      <c r="H3531" s="18"/>
    </row>
    <row r="3532" spans="1:8" ht="13.2">
      <c r="A3532" s="19" t="str">
        <f>HYPERLINK("https://codingcompetitions.withgoogle.com/codejam/round/0000000000051705/000000000008830b","CODEJAM 19-Qualification-C")</f>
        <v>CODEJAM 19-Qualification-C</v>
      </c>
      <c r="B3532" s="20" t="s">
        <v>4530</v>
      </c>
      <c r="C3532" s="17">
        <v>5</v>
      </c>
      <c r="D3532" s="18"/>
      <c r="E3532" s="17" t="s">
        <v>4531</v>
      </c>
      <c r="F3532" s="17" t="s">
        <v>139</v>
      </c>
      <c r="G3532" s="18"/>
      <c r="H3532" s="18"/>
    </row>
    <row r="3533" spans="1:8" ht="13.2">
      <c r="A3533" s="19" t="str">
        <f>HYPERLINK("https://www.facebook.com/hackercup/problem/432000547357525/","FbHkrCup 19-R2-A")</f>
        <v>FbHkrCup 19-R2-A</v>
      </c>
      <c r="B3533" s="20" t="s">
        <v>4530</v>
      </c>
      <c r="C3533" s="17">
        <v>5</v>
      </c>
      <c r="D3533" s="18"/>
      <c r="E3533" s="17" t="s">
        <v>4531</v>
      </c>
      <c r="F3533" s="17" t="s">
        <v>139</v>
      </c>
      <c r="G3533" s="18"/>
      <c r="H3533" s="18"/>
    </row>
    <row r="3534" spans="1:8" ht="13.2">
      <c r="A3534" s="19" t="str">
        <f>HYPERLINK("http://codeforces.com/contest/633/problem/A","CF633-D12-A")</f>
        <v>CF633-D12-A</v>
      </c>
      <c r="B3534" s="15" t="s">
        <v>4660</v>
      </c>
      <c r="C3534" s="17">
        <v>5</v>
      </c>
      <c r="D3534" s="18" t="s">
        <v>1115</v>
      </c>
      <c r="E3534" s="17" t="s">
        <v>4531</v>
      </c>
      <c r="F3534" s="17" t="s">
        <v>139</v>
      </c>
      <c r="G3534" s="18"/>
      <c r="H3534" s="18"/>
    </row>
    <row r="3535" spans="1:8" ht="13.2">
      <c r="A3535" s="19" t="str">
        <f>HYPERLINK("https://codeforces.com/contest/1220/problem/D","CF1220-D12-D")</f>
        <v>CF1220-D12-D</v>
      </c>
      <c r="B3535" s="20" t="s">
        <v>4535</v>
      </c>
      <c r="C3535" s="17">
        <v>5</v>
      </c>
      <c r="D3535" s="18"/>
      <c r="E3535" s="17" t="s">
        <v>4531</v>
      </c>
      <c r="F3535" s="17" t="s">
        <v>139</v>
      </c>
      <c r="G3535" s="18"/>
      <c r="H3535" s="18"/>
    </row>
    <row r="3536" spans="1:8" ht="13.2">
      <c r="A3536" s="19" t="str">
        <f>HYPERLINK("http://codeforces.com/contest/451/problem/D","CF451-D2-D")</f>
        <v>CF451-D2-D</v>
      </c>
      <c r="B3536" s="29" t="s">
        <v>4661</v>
      </c>
      <c r="C3536" s="17">
        <v>5</v>
      </c>
      <c r="D3536" s="18"/>
      <c r="E3536" s="17" t="s">
        <v>4531</v>
      </c>
      <c r="F3536" s="17" t="s">
        <v>139</v>
      </c>
      <c r="G3536" s="18"/>
      <c r="H3536" s="18"/>
    </row>
    <row r="3537" spans="1:8" ht="13.2">
      <c r="A3537" s="19" t="str">
        <f>HYPERLINK("http://codeforces.com/contest/701/problem/D","CF701-D2-D")</f>
        <v>CF701-D2-D</v>
      </c>
      <c r="B3537" s="29" t="s">
        <v>4662</v>
      </c>
      <c r="C3537" s="17">
        <v>5</v>
      </c>
      <c r="D3537" s="26" t="str">
        <f>HYPERLINK("https://github.com/ahmedsamir221/CompetitiveProgramming/blob/master/CodeForces/CF701-D2-D.cpp","Sol (not intended)")</f>
        <v>Sol (not intended)</v>
      </c>
      <c r="E3537" s="17" t="s">
        <v>4531</v>
      </c>
      <c r="F3537" s="17" t="s">
        <v>139</v>
      </c>
      <c r="G3537" s="18"/>
      <c r="H3537" s="18"/>
    </row>
    <row r="3538" spans="1:8" ht="13.2">
      <c r="A3538" s="19" t="str">
        <f>HYPERLINK("https://www.codechef.com/DEC18A/problems/INTXOR","CODECHEF INTXOR")</f>
        <v>CODECHEF INTXOR</v>
      </c>
      <c r="B3538" s="15" t="s">
        <v>4663</v>
      </c>
      <c r="C3538" s="17">
        <v>5</v>
      </c>
      <c r="D3538" s="18"/>
      <c r="E3538" s="17" t="s">
        <v>4531</v>
      </c>
      <c r="F3538" s="17" t="s">
        <v>139</v>
      </c>
      <c r="G3538" s="18"/>
      <c r="H3538" s="18"/>
    </row>
    <row r="3539" spans="1:8" ht="13.2">
      <c r="A3539" s="19" t="str">
        <f>HYPERLINK("http://codeforces.com/contest/1167/problem/F","CF1167-D12-F")</f>
        <v>CF1167-D12-F</v>
      </c>
      <c r="B3539" s="23" t="s">
        <v>4664</v>
      </c>
      <c r="C3539" s="17">
        <v>5</v>
      </c>
      <c r="D3539" s="18"/>
      <c r="E3539" s="17" t="s">
        <v>4531</v>
      </c>
      <c r="F3539" s="17" t="s">
        <v>139</v>
      </c>
      <c r="G3539" s="18"/>
      <c r="H3539" s="18"/>
    </row>
    <row r="3540" spans="1:8" ht="13.2">
      <c r="A3540" s="19" t="str">
        <f>HYPERLINK("https://codeforces.com/contest/1244/problem/C","CF1244-D2-C")</f>
        <v>CF1244-D2-C</v>
      </c>
      <c r="B3540" s="20" t="s">
        <v>4564</v>
      </c>
      <c r="C3540" s="17">
        <v>5</v>
      </c>
      <c r="D3540" s="18"/>
      <c r="E3540" s="17" t="s">
        <v>4531</v>
      </c>
      <c r="F3540" s="17" t="s">
        <v>139</v>
      </c>
      <c r="G3540" s="18"/>
      <c r="H3540" s="18"/>
    </row>
    <row r="3541" spans="1:8" ht="13.2">
      <c r="A3541" s="19" t="str">
        <f>HYPERLINK("https://codeforces.com/contest/397/problem/D","CF397-D2-D")</f>
        <v>CF397-D2-D</v>
      </c>
      <c r="B3541" s="20" t="s">
        <v>4564</v>
      </c>
      <c r="C3541" s="21">
        <v>5</v>
      </c>
      <c r="D3541" s="18"/>
      <c r="E3541" s="17" t="s">
        <v>4531</v>
      </c>
      <c r="F3541" s="17" t="s">
        <v>139</v>
      </c>
      <c r="G3541" s="18"/>
      <c r="H3541" s="18"/>
    </row>
    <row r="3542" spans="1:8" ht="13.2">
      <c r="A3542" s="19" t="str">
        <f>HYPERLINK("http://codeforces.com/problemset/problem/1016/D","CF1016-D12-D")</f>
        <v>CF1016-D12-D</v>
      </c>
      <c r="B3542" s="29" t="s">
        <v>4665</v>
      </c>
      <c r="C3542" s="21">
        <v>5</v>
      </c>
      <c r="D3542" s="18"/>
      <c r="E3542" s="17" t="s">
        <v>4531</v>
      </c>
      <c r="F3542" s="17" t="s">
        <v>139</v>
      </c>
      <c r="G3542" s="18"/>
      <c r="H3542" s="18"/>
    </row>
    <row r="3543" spans="1:8" ht="13.2">
      <c r="A3543" s="19" t="str">
        <f>HYPERLINK("http://codeforces.com/contest/344/problem/C","CF344-D2-C")</f>
        <v>CF344-D2-C</v>
      </c>
      <c r="B3543" s="29" t="s">
        <v>4808</v>
      </c>
      <c r="C3543" s="17">
        <v>5</v>
      </c>
      <c r="D3543" s="18"/>
      <c r="E3543" s="17" t="s">
        <v>4809</v>
      </c>
      <c r="F3543" s="17" t="s">
        <v>139</v>
      </c>
      <c r="G3543" s="18"/>
      <c r="H3543" s="18"/>
    </row>
    <row r="3544" spans="1:8" ht="13.2">
      <c r="A3544" s="19" t="str">
        <f>HYPERLINK("https://codeforces.com/contest/1055/problem/C","CF1055-D12-C")</f>
        <v>CF1055-D12-C</v>
      </c>
      <c r="B3544" s="15" t="s">
        <v>4842</v>
      </c>
      <c r="C3544" s="17">
        <v>5</v>
      </c>
      <c r="D3544" s="18"/>
      <c r="E3544" s="17" t="s">
        <v>4809</v>
      </c>
      <c r="F3544" s="17" t="s">
        <v>139</v>
      </c>
      <c r="G3544" s="18"/>
      <c r="H3544" s="18"/>
    </row>
    <row r="3545" spans="1:8" ht="13.2">
      <c r="A3545" s="19" t="str">
        <f>HYPERLINK("http://codeforces.com/contest/337/problem/C","CF337-D2-C")</f>
        <v>CF337-D2-C</v>
      </c>
      <c r="B3545" s="29" t="s">
        <v>4871</v>
      </c>
      <c r="C3545" s="17">
        <v>5</v>
      </c>
      <c r="D3545" s="18"/>
      <c r="E3545" s="17" t="s">
        <v>4867</v>
      </c>
      <c r="F3545" s="17" t="s">
        <v>139</v>
      </c>
      <c r="G3545" s="18"/>
      <c r="H3545" s="18"/>
    </row>
    <row r="3546" spans="1:8" ht="13.2">
      <c r="A3546" s="19" t="str">
        <f>HYPERLINK("http://codeforces.com/contest/76/problem/E","CF76-D12-E")</f>
        <v>CF76-D12-E</v>
      </c>
      <c r="B3546" s="15" t="s">
        <v>4915</v>
      </c>
      <c r="C3546" s="17">
        <v>5</v>
      </c>
      <c r="D3546" s="18"/>
      <c r="E3546" s="17" t="s">
        <v>4893</v>
      </c>
      <c r="F3546" s="17" t="s">
        <v>139</v>
      </c>
      <c r="G3546" s="18"/>
      <c r="H3546" s="18"/>
    </row>
    <row r="3547" spans="1:8" ht="13.2">
      <c r="A3547" s="19" t="str">
        <f>HYPERLINK("https://atcoder.jp/contests/abc132/tasks/abc132_d","AtCoder132-ABC-D")</f>
        <v>AtCoder132-ABC-D</v>
      </c>
      <c r="B3547" s="20" t="s">
        <v>4964</v>
      </c>
      <c r="C3547" s="17">
        <v>5</v>
      </c>
      <c r="D3547" s="18"/>
      <c r="E3547" s="17" t="s">
        <v>4958</v>
      </c>
      <c r="F3547" s="17" t="s">
        <v>139</v>
      </c>
      <c r="G3547" s="18"/>
      <c r="H3547" s="18"/>
    </row>
    <row r="3548" spans="1:8" ht="13.2">
      <c r="A3548" s="19" t="str">
        <f>HYPERLINK("http://codeforces.com/contest/758/problem/C","CF758-D2-C")</f>
        <v>CF758-D2-C</v>
      </c>
      <c r="B3548" s="28" t="s">
        <v>5007</v>
      </c>
      <c r="C3548" s="24">
        <v>5</v>
      </c>
      <c r="D3548" s="18"/>
      <c r="E3548" s="17" t="s">
        <v>4958</v>
      </c>
      <c r="F3548" s="17" t="s">
        <v>139</v>
      </c>
      <c r="G3548" s="18"/>
      <c r="H3548" s="18"/>
    </row>
    <row r="3549" spans="1:8" ht="13.2">
      <c r="A3549" s="19" t="str">
        <f>HYPERLINK("http://codeforces.com/contest/459/problem/C","CF459-D2-C")</f>
        <v>CF459-D2-C</v>
      </c>
      <c r="B3549" s="15" t="s">
        <v>5008</v>
      </c>
      <c r="C3549" s="17">
        <v>5</v>
      </c>
      <c r="D3549" s="18"/>
      <c r="E3549" s="17" t="s">
        <v>4958</v>
      </c>
      <c r="F3549" s="17" t="s">
        <v>139</v>
      </c>
      <c r="G3549" s="18"/>
      <c r="H3549" s="18"/>
    </row>
    <row r="3550" spans="1:8" ht="13.2">
      <c r="A3550" s="19" t="str">
        <f>HYPERLINK("http://codeforces.com/contest/340/problem/C","CF340-D2-C")</f>
        <v>CF340-D2-C</v>
      </c>
      <c r="B3550" s="29" t="s">
        <v>5009</v>
      </c>
      <c r="C3550" s="17">
        <v>5</v>
      </c>
      <c r="D3550" s="18"/>
      <c r="E3550" s="17" t="s">
        <v>4958</v>
      </c>
      <c r="F3550" s="17" t="s">
        <v>139</v>
      </c>
      <c r="G3550" s="18"/>
      <c r="H3550" s="18"/>
    </row>
    <row r="3551" spans="1:8" ht="13.2">
      <c r="A3551" s="19" t="str">
        <f>HYPERLINK("https://codeforces.com/contest/1029/problem/F", "CF1029-D3-F")</f>
        <v>CF1029-D3-F</v>
      </c>
      <c r="B3551" s="15" t="s">
        <v>5085</v>
      </c>
      <c r="C3551" s="21">
        <v>5</v>
      </c>
      <c r="D3551" s="26" t="str">
        <f>HYPERLINK("https://github.com/Huvok/CompetitiveProgramming/blob/master/Codeforces/CF1029-D3-F.cpp", "Sol")</f>
        <v>Sol</v>
      </c>
      <c r="E3551" s="17" t="s">
        <v>5075</v>
      </c>
      <c r="F3551" s="17" t="s">
        <v>139</v>
      </c>
      <c r="G3551" s="18"/>
      <c r="H3551" s="18"/>
    </row>
    <row r="3552" spans="1:8" ht="13.2">
      <c r="A3552" s="19" t="str">
        <f>HYPERLINK("http://codeforces.com/problemset/problem/1033/D", "CF1033-D12-D")</f>
        <v>CF1033-D12-D</v>
      </c>
      <c r="B3552" s="20" t="s">
        <v>5085</v>
      </c>
      <c r="C3552" s="17">
        <v>5</v>
      </c>
      <c r="D3552" s="18"/>
      <c r="E3552" s="17" t="s">
        <v>5075</v>
      </c>
      <c r="F3552" s="17" t="s">
        <v>139</v>
      </c>
      <c r="G3552" s="18"/>
      <c r="H3552" s="18"/>
    </row>
    <row r="3553" spans="1:8" ht="13.2">
      <c r="A3553" s="19" t="str">
        <f>HYPERLINK("http://codeforces.com/contest/851/problem/D","CF851-D2-D")</f>
        <v>CF851-D2-D</v>
      </c>
      <c r="B3553" s="15" t="s">
        <v>5100</v>
      </c>
      <c r="C3553" s="17">
        <v>5</v>
      </c>
      <c r="D3553" s="18"/>
      <c r="E3553" s="17" t="s">
        <v>5075</v>
      </c>
      <c r="F3553" s="17" t="s">
        <v>139</v>
      </c>
      <c r="G3553" s="18"/>
      <c r="H3553" s="18"/>
    </row>
    <row r="3554" spans="1:8" ht="13.2">
      <c r="A3554" s="15" t="s">
        <v>5203</v>
      </c>
      <c r="B3554" s="28" t="s">
        <v>5204</v>
      </c>
      <c r="C3554" s="24">
        <v>5</v>
      </c>
      <c r="D3554" s="18"/>
      <c r="E3554" s="17" t="s">
        <v>5168</v>
      </c>
      <c r="F3554" s="17" t="s">
        <v>139</v>
      </c>
      <c r="G3554" s="18"/>
      <c r="H3554" s="18"/>
    </row>
    <row r="3555" spans="1:8" ht="13.2">
      <c r="A3555" s="15" t="s">
        <v>5287</v>
      </c>
      <c r="B3555" s="15" t="s">
        <v>5288</v>
      </c>
      <c r="C3555" s="17">
        <v>5</v>
      </c>
      <c r="D3555" s="26" t="str">
        <f>HYPERLINK("https://github.com/adarshkr532/CompetitiveProgramming/blob/master/SPOJ/JZPCIR.cpp","Sol")</f>
        <v>Sol</v>
      </c>
      <c r="E3555" s="17" t="s">
        <v>5246</v>
      </c>
      <c r="F3555" s="17" t="s">
        <v>139</v>
      </c>
      <c r="G3555" s="18"/>
      <c r="H3555" s="18"/>
    </row>
    <row r="3556" spans="1:8" ht="13.2">
      <c r="A3556" s="19" t="str">
        <f>HYPERLINK("http://codeforces.com/contest/448/problem/D","CF448-D2-D")</f>
        <v>CF448-D2-D</v>
      </c>
      <c r="B3556" s="29" t="s">
        <v>814</v>
      </c>
      <c r="C3556" s="17">
        <v>5</v>
      </c>
      <c r="D3556" s="18"/>
      <c r="E3556" s="17" t="s">
        <v>805</v>
      </c>
      <c r="F3556" s="17" t="s">
        <v>139</v>
      </c>
      <c r="G3556" s="18"/>
      <c r="H3556" s="18"/>
    </row>
    <row r="3557" spans="1:8" ht="13.2">
      <c r="A3557" s="19" t="str">
        <f>HYPERLINK("https://www.codechef.com/IOITC181/problems/CIRCINTE","CODECHEF CIRCINTE")</f>
        <v>CODECHEF CIRCINTE</v>
      </c>
      <c r="B3557" s="20" t="s">
        <v>848</v>
      </c>
      <c r="C3557" s="21">
        <v>5</v>
      </c>
      <c r="D3557" s="18"/>
      <c r="E3557" s="17" t="s">
        <v>805</v>
      </c>
      <c r="F3557" s="17" t="s">
        <v>139</v>
      </c>
      <c r="G3557" s="18"/>
      <c r="H3557" s="18"/>
    </row>
    <row r="3558" spans="1:8" ht="13.2">
      <c r="A3558" s="19" t="str">
        <f>HYPERLINK("https://codeforces.com/problemset/problem/1063/C","CF1063-D1-C")</f>
        <v>CF1063-D1-C</v>
      </c>
      <c r="B3558" s="20" t="s">
        <v>808</v>
      </c>
      <c r="C3558" s="21">
        <v>5</v>
      </c>
      <c r="D3558" s="18"/>
      <c r="E3558" s="17" t="s">
        <v>805</v>
      </c>
      <c r="F3558" s="17" t="s">
        <v>139</v>
      </c>
      <c r="G3558" s="18"/>
      <c r="H3558" s="18"/>
    </row>
    <row r="3559" spans="1:8" ht="13.2">
      <c r="A3559" s="19" t="str">
        <f>HYPERLINK("https://atcoder.jp/contests/abc149/tasks/abc149_e","AtCoder149-ABC-E")</f>
        <v>AtCoder149-ABC-E</v>
      </c>
      <c r="B3559" s="23" t="s">
        <v>818</v>
      </c>
      <c r="C3559" s="17">
        <v>5</v>
      </c>
      <c r="D3559" s="18"/>
      <c r="E3559" s="17" t="s">
        <v>805</v>
      </c>
      <c r="F3559" s="17" t="s">
        <v>139</v>
      </c>
      <c r="G3559" s="18"/>
      <c r="H3559" s="18"/>
    </row>
    <row r="3560" spans="1:8" ht="13.2">
      <c r="A3560" s="15" t="s">
        <v>861</v>
      </c>
      <c r="B3560" s="37" t="s">
        <v>862</v>
      </c>
      <c r="C3560" s="17">
        <v>5</v>
      </c>
      <c r="D3560" s="18"/>
      <c r="E3560" s="17" t="s">
        <v>805</v>
      </c>
      <c r="F3560" s="17" t="s">
        <v>139</v>
      </c>
      <c r="G3560" s="18"/>
      <c r="H3560" s="18"/>
    </row>
    <row r="3561" spans="1:8" ht="13.2">
      <c r="A3561" s="19" t="str">
        <f>HYPERLINK("https://codeforces.com/contest/1060/problem/C","CF1060-D12-C")</f>
        <v>CF1060-D12-C</v>
      </c>
      <c r="B3561" s="20" t="s">
        <v>863</v>
      </c>
      <c r="C3561" s="21">
        <v>5</v>
      </c>
      <c r="D3561" s="26" t="str">
        <f>HYPERLINK("https://github.com/AhmedElsisy/CompetitiveProgramming/blob/master/Codeforces/CF1060-D12-C.cpp","Sol")</f>
        <v>Sol</v>
      </c>
      <c r="E3561" s="17" t="s">
        <v>805</v>
      </c>
      <c r="F3561" s="17" t="s">
        <v>139</v>
      </c>
      <c r="G3561" s="18"/>
      <c r="H3561" s="18"/>
    </row>
    <row r="3562" spans="1:8" ht="13.2">
      <c r="A3562" s="19" t="str">
        <f>HYPERLINK("http://poj.org/problem?id=2374","PKU 2374")</f>
        <v>PKU 2374</v>
      </c>
      <c r="B3562" s="29" t="s">
        <v>1190</v>
      </c>
      <c r="C3562" s="17">
        <v>5</v>
      </c>
      <c r="D3562" s="26" t="str">
        <f>HYPERLINK("https://github.com/mostafa-saad/MyCompetitiveProgramming/blob/master/PKU/PKU_2374.txt","Sol")</f>
        <v>Sol</v>
      </c>
      <c r="E3562" s="17" t="s">
        <v>1018</v>
      </c>
      <c r="F3562" s="17" t="s">
        <v>227</v>
      </c>
      <c r="G3562" s="18"/>
      <c r="H3562" s="18"/>
    </row>
    <row r="3563" spans="1:8" ht="13.2">
      <c r="A3563" s="19" t="str">
        <f>HYPERLINK("http://codeforces.com/contest/313/problem/C","CF313-D2-C")</f>
        <v>CF313-D2-C</v>
      </c>
      <c r="B3563" s="29" t="s">
        <v>2203</v>
      </c>
      <c r="C3563" s="17">
        <v>5</v>
      </c>
      <c r="D3563" s="18"/>
      <c r="E3563" s="17" t="s">
        <v>2153</v>
      </c>
      <c r="F3563" s="17" t="s">
        <v>227</v>
      </c>
      <c r="G3563" s="18"/>
      <c r="H3563" s="18"/>
    </row>
    <row r="3564" spans="1:8" ht="13.2">
      <c r="A3564" s="19" t="str">
        <f>HYPERLINK("https://uva.onlinejudge.org/index.php?option=onlinejudge&amp;page=show_problem&amp;problem=442","UVA 501")</f>
        <v>UVA 501</v>
      </c>
      <c r="B3564" s="29" t="s">
        <v>629</v>
      </c>
      <c r="C3564" s="17">
        <v>5</v>
      </c>
      <c r="D3564" s="26" t="str">
        <f>HYPERLINK("https://github.com/mostafa-saad/MyCompetitiveProgramming/blob/master/UVA/UVA_501.txt","Sol Must Read")</f>
        <v>Sol Must Read</v>
      </c>
      <c r="E3564" s="17" t="s">
        <v>575</v>
      </c>
      <c r="F3564" s="17" t="s">
        <v>227</v>
      </c>
      <c r="G3564" s="18"/>
      <c r="H3564" s="18"/>
    </row>
    <row r="3565" spans="1:8" ht="13.2">
      <c r="A3565" s="19" t="str">
        <f>HYPERLINK("http://codeforces.com/contest/255/problem/D","CF255-D2-D")</f>
        <v>CF255-D2-D</v>
      </c>
      <c r="B3565" s="29" t="s">
        <v>818</v>
      </c>
      <c r="C3565" s="17">
        <v>5</v>
      </c>
      <c r="D3565" s="18"/>
      <c r="E3565" s="17" t="s">
        <v>805</v>
      </c>
      <c r="F3565" s="17" t="s">
        <v>227</v>
      </c>
      <c r="G3565" s="18"/>
      <c r="H3565" s="18"/>
    </row>
    <row r="3566" spans="1:8" ht="13.2">
      <c r="A3566" s="19" t="str">
        <f>HYPERLINK("http://codeforces.com/contest/271/problem/D","CF271-D2-D")</f>
        <v>CF271-D2-D</v>
      </c>
      <c r="B3566" s="18" t="s">
        <v>5680</v>
      </c>
      <c r="C3566" s="17">
        <v>5</v>
      </c>
      <c r="D3566" s="18"/>
      <c r="E3566" s="17" t="s">
        <v>5643</v>
      </c>
      <c r="F3566" s="17" t="s">
        <v>613</v>
      </c>
      <c r="G3566" s="18"/>
      <c r="H3566" s="18"/>
    </row>
    <row r="3567" spans="1:8" ht="13.2">
      <c r="A3567" s="19" t="str">
        <f>HYPERLINK("http://codeforces.com/contest/334/problem/D","CF334-D2-D")</f>
        <v>CF334-D2-D</v>
      </c>
      <c r="B3567" s="29" t="s">
        <v>6059</v>
      </c>
      <c r="C3567" s="17">
        <v>5</v>
      </c>
      <c r="D3567" s="18"/>
      <c r="E3567" s="17" t="s">
        <v>6040</v>
      </c>
      <c r="F3567" s="17" t="s">
        <v>613</v>
      </c>
      <c r="G3567" s="18"/>
      <c r="H3567" s="18"/>
    </row>
    <row r="3568" spans="1:8" ht="13.2">
      <c r="A3568" s="19" t="str">
        <f>HYPERLINK("http://codeforces.com/contest/474/problem/F","CF474-D2-F")</f>
        <v>CF474-D2-F</v>
      </c>
      <c r="B3568" s="38" t="s">
        <v>1191</v>
      </c>
      <c r="C3568" s="31">
        <v>5</v>
      </c>
      <c r="D3568" s="18"/>
      <c r="E3568" s="17" t="s">
        <v>1018</v>
      </c>
      <c r="F3568" s="17" t="s">
        <v>613</v>
      </c>
      <c r="G3568" s="18"/>
      <c r="H3568" s="18"/>
    </row>
    <row r="3569" spans="1:8" ht="13.2">
      <c r="A3569" s="19" t="str">
        <f>HYPERLINK("http://codeforces.com/contest/161/problem/D","CF161-D12-D")</f>
        <v>CF161-D12-D</v>
      </c>
      <c r="B3569" s="15" t="s">
        <v>6501</v>
      </c>
      <c r="C3569" s="17">
        <v>5</v>
      </c>
      <c r="D3569" s="18"/>
      <c r="E3569" s="17" t="s">
        <v>6459</v>
      </c>
      <c r="F3569" s="17" t="s">
        <v>613</v>
      </c>
      <c r="G3569" s="18"/>
      <c r="H3569" s="18"/>
    </row>
    <row r="3570" spans="1:8" ht="13.2">
      <c r="A3570" s="19" t="str">
        <f>HYPERLINK("http://codeforces.com/contest/366/problem/C","CF366-D2-C")</f>
        <v>CF366-D2-C</v>
      </c>
      <c r="B3570" s="29" t="s">
        <v>1481</v>
      </c>
      <c r="C3570" s="17">
        <v>5</v>
      </c>
      <c r="D3570" s="18"/>
      <c r="E3570" s="17" t="s">
        <v>1337</v>
      </c>
      <c r="F3570" s="17" t="s">
        <v>613</v>
      </c>
      <c r="G3570" s="18"/>
      <c r="H3570" s="18"/>
    </row>
    <row r="3571" spans="1:8" ht="13.2">
      <c r="A3571" s="15" t="s">
        <v>1865</v>
      </c>
      <c r="B3571" s="28" t="s">
        <v>1866</v>
      </c>
      <c r="C3571" s="24">
        <v>5</v>
      </c>
      <c r="D3571" s="26" t="str">
        <f>HYPERLINK("https://github.com/aboodJAD/CompetitiveProgramming/blob/master/UVA/UVA%2011806.cpp","Sol")</f>
        <v>Sol</v>
      </c>
      <c r="E3571" s="17" t="s">
        <v>1819</v>
      </c>
      <c r="F3571" s="17" t="s">
        <v>613</v>
      </c>
      <c r="G3571" s="18"/>
      <c r="H3571" s="18"/>
    </row>
    <row r="3572" spans="1:8" ht="13.2">
      <c r="A3572" s="19" t="str">
        <f>HYPERLINK("https://github.com/3agwa/CompetitiveProgramming/blob/master/TopCoder/SRM420-D1-500","SRM420-D1-500")</f>
        <v>SRM420-D1-500</v>
      </c>
      <c r="B3572" s="30" t="s">
        <v>2096</v>
      </c>
      <c r="C3572" s="33">
        <v>5</v>
      </c>
      <c r="D3572" s="26" t="str">
        <f>HYPERLINK("https://github.com/tanmoy13/CompetitveProgramming/blob/master/Online-Judge-Solutions/TopCoder/SRM420-D1-500.cpp","Sol")</f>
        <v>Sol</v>
      </c>
      <c r="E3572" s="17" t="s">
        <v>2074</v>
      </c>
      <c r="F3572" s="17" t="s">
        <v>613</v>
      </c>
      <c r="G3572" s="18"/>
      <c r="H3572" s="18"/>
    </row>
    <row r="3573" spans="1:8" ht="13.2">
      <c r="A3573" s="19" t="str">
        <f>HYPERLINK("http://codeforces.com/contest/272/problem/D","CF272-D2-D")</f>
        <v>CF272-D2-D</v>
      </c>
      <c r="B3573" s="29" t="s">
        <v>4752</v>
      </c>
      <c r="C3573" s="17">
        <v>5</v>
      </c>
      <c r="D3573" s="18"/>
      <c r="E3573" s="17" t="s">
        <v>4751</v>
      </c>
      <c r="F3573" s="17" t="s">
        <v>613</v>
      </c>
      <c r="G3573" s="18"/>
      <c r="H3573" s="18"/>
    </row>
    <row r="3574" spans="1:8" ht="13.2">
      <c r="A3574" s="15" t="s">
        <v>5065</v>
      </c>
      <c r="B3574" s="20" t="s">
        <v>5066</v>
      </c>
      <c r="C3574" s="33">
        <v>5</v>
      </c>
      <c r="D3574" s="18"/>
      <c r="E3574" s="17" t="s">
        <v>5043</v>
      </c>
      <c r="F3574" s="17" t="s">
        <v>613</v>
      </c>
      <c r="G3574" s="18"/>
      <c r="H3574" s="18"/>
    </row>
    <row r="3575" spans="1:8" ht="13.2">
      <c r="A3575" s="19" t="str">
        <f>HYPERLINK("http://codeforces.com/contest/146/problem/D","CF146-D2-D")</f>
        <v>CF146-D2-D</v>
      </c>
      <c r="B3575" s="29" t="s">
        <v>412</v>
      </c>
      <c r="C3575" s="17">
        <v>5</v>
      </c>
      <c r="D3575" s="18"/>
      <c r="E3575" s="17" t="s">
        <v>332</v>
      </c>
      <c r="F3575" s="17" t="s">
        <v>413</v>
      </c>
      <c r="G3575" s="18"/>
      <c r="H3575" s="18"/>
    </row>
    <row r="3576" spans="1:8" ht="13.2">
      <c r="A3576" s="15" t="s">
        <v>238</v>
      </c>
      <c r="B3576" s="15" t="s">
        <v>138</v>
      </c>
      <c r="C3576" s="17">
        <v>5</v>
      </c>
      <c r="D3576" s="18"/>
      <c r="E3576" s="17" t="s">
        <v>125</v>
      </c>
      <c r="F3576" s="17" t="s">
        <v>201</v>
      </c>
      <c r="G3576" s="18"/>
      <c r="H3576" s="18"/>
    </row>
    <row r="3577" spans="1:8" ht="13.2">
      <c r="A3577" s="19" t="str">
        <f>HYPERLINK("http://codeforces.com/contest/1110/problem/E","CF1110-D12-E")</f>
        <v>CF1110-D12-E</v>
      </c>
      <c r="B3577" s="15" t="s">
        <v>138</v>
      </c>
      <c r="C3577" s="17">
        <v>5</v>
      </c>
      <c r="D3577" s="18"/>
      <c r="E3577" s="17" t="s">
        <v>125</v>
      </c>
      <c r="F3577" s="17" t="s">
        <v>201</v>
      </c>
      <c r="G3577" s="18"/>
      <c r="H3577" s="18"/>
    </row>
    <row r="3578" spans="1:8" ht="13.2">
      <c r="A3578" s="15" t="s">
        <v>239</v>
      </c>
      <c r="B3578" s="29" t="s">
        <v>240</v>
      </c>
      <c r="C3578" s="31">
        <v>5</v>
      </c>
      <c r="D3578" s="18" t="s">
        <v>241</v>
      </c>
      <c r="E3578" s="17" t="s">
        <v>125</v>
      </c>
      <c r="F3578" s="17" t="s">
        <v>201</v>
      </c>
      <c r="G3578" s="18"/>
      <c r="H3578" s="18"/>
    </row>
    <row r="3579" spans="1:8" ht="13.2">
      <c r="A3579" s="19" t="str">
        <f>HYPERLINK("http://codeforces.com/contest/706/problem/D","CF706-D2-D")</f>
        <v>CF706-D2-D</v>
      </c>
      <c r="B3579" s="29" t="s">
        <v>5681</v>
      </c>
      <c r="C3579" s="17">
        <v>5</v>
      </c>
      <c r="D3579" s="18"/>
      <c r="E3579" s="17" t="s">
        <v>5643</v>
      </c>
      <c r="F3579" s="17" t="s">
        <v>201</v>
      </c>
      <c r="G3579" s="18"/>
      <c r="H3579" s="18"/>
    </row>
    <row r="3580" spans="1:8" ht="13.2">
      <c r="A3580" s="19" t="str">
        <f>HYPERLINK("https://codeforces.com/contest/1138/problem/D","CF1138-D2-D")</f>
        <v>CF1138-D2-D</v>
      </c>
      <c r="B3580" s="20" t="s">
        <v>5729</v>
      </c>
      <c r="C3580" s="17">
        <v>5</v>
      </c>
      <c r="D3580" s="18"/>
      <c r="E3580" s="17" t="s">
        <v>5702</v>
      </c>
      <c r="F3580" s="17" t="s">
        <v>201</v>
      </c>
      <c r="G3580" s="18"/>
      <c r="H3580" s="18"/>
    </row>
    <row r="3581" spans="1:8" ht="13.2">
      <c r="A3581" s="15" t="s">
        <v>5841</v>
      </c>
      <c r="B3581" s="28" t="s">
        <v>5842</v>
      </c>
      <c r="C3581" s="17">
        <v>5</v>
      </c>
      <c r="D3581" s="26" t="str">
        <f>HYPERLINK("https://github.com/HosamEissa/Competitive-programming-/blob/master/Spoj/LONGCS.cpp","Sol")</f>
        <v>Sol</v>
      </c>
      <c r="E3581" s="17" t="s">
        <v>5794</v>
      </c>
      <c r="F3581" s="17" t="s">
        <v>201</v>
      </c>
      <c r="G3581" s="18"/>
      <c r="H3581" s="18"/>
    </row>
    <row r="3582" spans="1:8" ht="13.2">
      <c r="A3582" s="19" t="str">
        <f>HYPERLINK("http://codeforces.com/contest/1003/problem/F","CF1003-D3-F")</f>
        <v>CF1003-D3-F</v>
      </c>
      <c r="B3582" s="20" t="s">
        <v>5863</v>
      </c>
      <c r="C3582" s="17">
        <v>5</v>
      </c>
      <c r="D3582" s="18"/>
      <c r="E3582" s="17" t="s">
        <v>5857</v>
      </c>
      <c r="F3582" s="17" t="s">
        <v>201</v>
      </c>
      <c r="G3582" s="18"/>
      <c r="H3582" s="18"/>
    </row>
    <row r="3583" spans="1:8" ht="13.2">
      <c r="A3583" s="15" t="s">
        <v>5905</v>
      </c>
      <c r="B3583" s="15" t="s">
        <v>5892</v>
      </c>
      <c r="C3583" s="17">
        <v>5</v>
      </c>
      <c r="D3583" s="18"/>
      <c r="E3583" s="17" t="s">
        <v>5874</v>
      </c>
      <c r="F3583" s="17" t="s">
        <v>201</v>
      </c>
      <c r="G3583" s="18"/>
      <c r="H3583" s="18"/>
    </row>
    <row r="3584" spans="1:8" ht="13.2">
      <c r="A3584" s="15" t="s">
        <v>5906</v>
      </c>
      <c r="B3584" s="15" t="s">
        <v>5884</v>
      </c>
      <c r="C3584" s="17">
        <v>5</v>
      </c>
      <c r="D3584" s="26" t="str">
        <f>HYPERLINK("https://github.com/mostafa-saad/MyCompetitiveProgramming/blob/master/SPOJ/SPOJ_ADAAPHID.txt","Sol")</f>
        <v>Sol</v>
      </c>
      <c r="E3584" s="17" t="s">
        <v>5874</v>
      </c>
      <c r="F3584" s="17" t="s">
        <v>201</v>
      </c>
      <c r="G3584" s="18"/>
      <c r="H3584" s="18"/>
    </row>
    <row r="3585" spans="1:8" ht="13.2">
      <c r="A3585" s="19" t="str">
        <f>HYPERLINK("https://www.codechef.com/ACMIND18/problems/REDCGAME","CODECHEF REDCGAME")</f>
        <v>CODECHEF REDCGAME</v>
      </c>
      <c r="B3585" s="15" t="s">
        <v>6054</v>
      </c>
      <c r="C3585" s="17">
        <v>5</v>
      </c>
      <c r="D3585" s="18"/>
      <c r="E3585" s="17" t="s">
        <v>6040</v>
      </c>
      <c r="F3585" s="17" t="s">
        <v>201</v>
      </c>
      <c r="G3585" s="18"/>
      <c r="H3585" s="18"/>
    </row>
    <row r="3586" spans="1:8" ht="13.2">
      <c r="A3586" s="19" t="str">
        <f>HYPERLINK("http://codeforces.com/contest/368/problem/D","CF368-D2-D")</f>
        <v>CF368-D2-D</v>
      </c>
      <c r="B3586" s="29" t="s">
        <v>6060</v>
      </c>
      <c r="C3586" s="17">
        <v>5</v>
      </c>
      <c r="D3586" s="26" t="str">
        <f>HYPERLINK("https://github.com/MohamedNabil97/CompetitiveProgramming/blob/master/CodeForces/CF368-D2-D.cpp","Sol")</f>
        <v>Sol</v>
      </c>
      <c r="E3586" s="17" t="s">
        <v>6040</v>
      </c>
      <c r="F3586" s="17" t="s">
        <v>201</v>
      </c>
      <c r="G3586" s="18"/>
      <c r="H3586" s="18"/>
    </row>
    <row r="3587" spans="1:8" ht="13.2">
      <c r="A3587" s="19" t="str">
        <f>HYPERLINK("https://www.hackerearth.com/problem/algorithm/pr-numbers-160aa0c9/","HACKER pr-numbers")</f>
        <v>HACKER pr-numbers</v>
      </c>
      <c r="B3587" s="15" t="s">
        <v>6122</v>
      </c>
      <c r="C3587" s="17">
        <v>5</v>
      </c>
      <c r="D3587" s="18"/>
      <c r="E3587" s="17" t="s">
        <v>6118</v>
      </c>
      <c r="F3587" s="17" t="s">
        <v>201</v>
      </c>
      <c r="G3587" s="18"/>
      <c r="H3587" s="18"/>
    </row>
    <row r="3588" spans="1:8" ht="13.2">
      <c r="A3588" s="19" t="str">
        <f>HYPERLINK("http://codeforces.com/contest/160/problem/C","CF160-D2-C")</f>
        <v>CF160-D2-C</v>
      </c>
      <c r="B3588" s="29" t="s">
        <v>6137</v>
      </c>
      <c r="C3588" s="17">
        <v>5</v>
      </c>
      <c r="D3588" s="18"/>
      <c r="E3588" s="17" t="s">
        <v>6118</v>
      </c>
      <c r="F3588" s="17" t="s">
        <v>201</v>
      </c>
      <c r="G3588" s="18"/>
      <c r="H3588" s="18"/>
    </row>
    <row r="3589" spans="1:8" ht="13.2">
      <c r="A3589" s="19" t="str">
        <f>HYPERLINK("http://codeforces.com/contest/510/problem/C","CF510-D2-C")</f>
        <v>CF510-D2-C</v>
      </c>
      <c r="B3589" s="28" t="s">
        <v>6204</v>
      </c>
      <c r="C3589" s="17">
        <v>5</v>
      </c>
      <c r="D3589" s="18"/>
      <c r="E3589" s="17" t="s">
        <v>6205</v>
      </c>
      <c r="F3589" s="17" t="s">
        <v>201</v>
      </c>
      <c r="G3589" s="18"/>
      <c r="H3589" s="18"/>
    </row>
    <row r="3590" spans="1:8" ht="13.2">
      <c r="A3590" s="15" t="s">
        <v>6336</v>
      </c>
      <c r="B3590" s="30" t="s">
        <v>6325</v>
      </c>
      <c r="C3590" s="54">
        <v>5</v>
      </c>
      <c r="D3590" s="18"/>
      <c r="E3590" s="17" t="s">
        <v>6311</v>
      </c>
      <c r="F3590" s="17" t="s">
        <v>201</v>
      </c>
      <c r="G3590" s="18"/>
      <c r="H3590" s="18"/>
    </row>
    <row r="3591" spans="1:8" ht="13.2">
      <c r="A3591" s="19" t="str">
        <f>HYPERLINK("https://codeforces.com/gym/101856/attachments","CF101856-GYM-E")</f>
        <v>CF101856-GYM-E</v>
      </c>
      <c r="B3591" s="20" t="s">
        <v>6360</v>
      </c>
      <c r="C3591" s="21">
        <v>5</v>
      </c>
      <c r="D3591" s="26" t="str">
        <f>HYPERLINK("https://github.com/SpeedOfMagic/CompetitiveProgramming/blob/master/CodeforcesGym/CF101840-GYM-E.cpp","Sol")</f>
        <v>Sol</v>
      </c>
      <c r="E3591" s="17" t="s">
        <v>6345</v>
      </c>
      <c r="F3591" s="17" t="s">
        <v>201</v>
      </c>
      <c r="G3591" s="18"/>
      <c r="H3591" s="18"/>
    </row>
    <row r="3592" spans="1:8" ht="13.2">
      <c r="A3592" s="15" t="s">
        <v>6423</v>
      </c>
      <c r="B3592" s="15" t="s">
        <v>6424</v>
      </c>
      <c r="C3592" s="17">
        <v>5</v>
      </c>
      <c r="D3592" s="26" t="str">
        <f>HYPERLINK("https://github.com/taow-com-prog/problemsolving/blob/master/UVA/UVA%2010304.cpp","Use knuth")</f>
        <v>Use knuth</v>
      </c>
      <c r="E3592" s="17" t="s">
        <v>6419</v>
      </c>
      <c r="F3592" s="17" t="s">
        <v>201</v>
      </c>
      <c r="G3592" s="18"/>
      <c r="H3592" s="18"/>
    </row>
    <row r="3593" spans="1:8" ht="13.2">
      <c r="A3593" s="19" t="str">
        <f>HYPERLINK("http://www.spoj.com/problems/ANDROUND","SPOJ ANDROUND")</f>
        <v>SPOJ ANDROUND</v>
      </c>
      <c r="B3593" s="29" t="s">
        <v>1017</v>
      </c>
      <c r="C3593" s="17">
        <v>5</v>
      </c>
      <c r="D3593" s="26" t="str">
        <f>HYPERLINK("https://github.com/AliOsm/CompetitiveProgramming/blob/master/SPOJ/ANDROUND%20-%20AND%20Rounds.cpp","Sol")</f>
        <v>Sol</v>
      </c>
      <c r="E3593" s="17" t="s">
        <v>1018</v>
      </c>
      <c r="F3593" s="17" t="s">
        <v>201</v>
      </c>
      <c r="G3593" s="18"/>
      <c r="H3593" s="18"/>
    </row>
    <row r="3594" spans="1:8" ht="13.2">
      <c r="A3594" s="19" t="str">
        <f>HYPERLINK("https://codeforces.com/contest/1187/problem/D","CF1187-D12-D")</f>
        <v>CF1187-D12-D</v>
      </c>
      <c r="B3594" s="15" t="s">
        <v>1192</v>
      </c>
      <c r="C3594" s="17">
        <v>5</v>
      </c>
      <c r="D3594" s="18"/>
      <c r="E3594" s="17" t="s">
        <v>1018</v>
      </c>
      <c r="F3594" s="17" t="s">
        <v>201</v>
      </c>
      <c r="G3594" s="18"/>
      <c r="H3594" s="18"/>
    </row>
    <row r="3595" spans="1:8" ht="13.2">
      <c r="A3595" s="15" t="s">
        <v>1193</v>
      </c>
      <c r="B3595" s="15" t="s">
        <v>1122</v>
      </c>
      <c r="C3595" s="17">
        <v>5</v>
      </c>
      <c r="D3595" s="26" t="str">
        <f>HYPERLINK("https://github.com/ajfabian/Competitive-Programming/blob/master/SPOJ/GOODE/a.cpp","Sol")</f>
        <v>Sol</v>
      </c>
      <c r="E3595" s="17" t="s">
        <v>1018</v>
      </c>
      <c r="F3595" s="17" t="s">
        <v>201</v>
      </c>
      <c r="G3595" s="18"/>
      <c r="H3595" s="18"/>
    </row>
    <row r="3596" spans="1:8" ht="13.2">
      <c r="A3596" s="19" t="str">
        <f>HYPERLINK("http://codeforces.com/contest/460/problem/C","CF460-D2-C")</f>
        <v>CF460-D2-C</v>
      </c>
      <c r="B3596" s="29" t="s">
        <v>1194</v>
      </c>
      <c r="C3596" s="17">
        <v>5</v>
      </c>
      <c r="D3596" s="18"/>
      <c r="E3596" s="17" t="s">
        <v>1018</v>
      </c>
      <c r="F3596" s="17" t="s">
        <v>201</v>
      </c>
      <c r="G3596" s="18"/>
      <c r="H3596" s="18"/>
    </row>
    <row r="3597" spans="1:8" ht="13.2">
      <c r="A3597" s="15" t="s">
        <v>6502</v>
      </c>
      <c r="B3597" s="29" t="s">
        <v>6503</v>
      </c>
      <c r="C3597" s="24">
        <v>5</v>
      </c>
      <c r="D3597" s="26" t="str">
        <f>HYPERLINK("https://github.com/mostafa-saad/MyCompetitiveProgramming/blob/master/Timus/Timus_1362.txt","Sol")</f>
        <v>Sol</v>
      </c>
      <c r="E3597" s="17" t="s">
        <v>6459</v>
      </c>
      <c r="F3597" s="17" t="s">
        <v>201</v>
      </c>
      <c r="G3597" s="18"/>
      <c r="H3597" s="18"/>
    </row>
    <row r="3598" spans="1:8" ht="13.2">
      <c r="A3598" s="15" t="s">
        <v>1291</v>
      </c>
      <c r="B3598" s="18" t="s">
        <v>1292</v>
      </c>
      <c r="C3598" s="33">
        <v>5</v>
      </c>
      <c r="D3598" s="26" t="str">
        <f>HYPERLINK("https://github.com/MeGaCrazy/CompetitiveProgramming/blob/1804aa9c2f7169786363d83eeacd7a0a392653cb/SPOJ/SPOJ_ORDERSET.cpp","Don't use segment tree or pure STL. Sol")</f>
        <v>Don't use segment tree or pure STL. Sol</v>
      </c>
      <c r="E3598" s="17" t="s">
        <v>1223</v>
      </c>
      <c r="F3598" s="17" t="s">
        <v>201</v>
      </c>
      <c r="G3598" s="18"/>
      <c r="H3598" s="18"/>
    </row>
    <row r="3599" spans="1:8" ht="13.2">
      <c r="A3599" s="15" t="s">
        <v>1293</v>
      </c>
      <c r="B3599" s="29" t="s">
        <v>1294</v>
      </c>
      <c r="C3599" s="17">
        <v>5</v>
      </c>
      <c r="D3599" s="18" t="s">
        <v>1272</v>
      </c>
      <c r="E3599" s="17" t="s">
        <v>1223</v>
      </c>
      <c r="F3599" s="17" t="s">
        <v>201</v>
      </c>
      <c r="G3599" s="18"/>
      <c r="H3599" s="18"/>
    </row>
    <row r="3600" spans="1:8" ht="13.2">
      <c r="A3600" s="15" t="s">
        <v>1295</v>
      </c>
      <c r="B3600" s="29" t="s">
        <v>1296</v>
      </c>
      <c r="C3600" s="17">
        <v>5</v>
      </c>
      <c r="D3600" s="18" t="s">
        <v>1297</v>
      </c>
      <c r="E3600" s="17" t="s">
        <v>1223</v>
      </c>
      <c r="F3600" s="17" t="s">
        <v>201</v>
      </c>
      <c r="G3600" s="18"/>
      <c r="H3600" s="18"/>
    </row>
    <row r="3601" spans="1:8" ht="13.2">
      <c r="A3601" s="19" t="str">
        <f>HYPERLINK("https://codeforces.com/contest/1278/problem/E","CF1278-D12-E")</f>
        <v>CF1278-D12-E</v>
      </c>
      <c r="B3601" s="20" t="s">
        <v>1298</v>
      </c>
      <c r="C3601" s="21">
        <v>5</v>
      </c>
      <c r="D3601" s="18"/>
      <c r="E3601" s="17" t="s">
        <v>1223</v>
      </c>
      <c r="F3601" s="17" t="s">
        <v>201</v>
      </c>
      <c r="G3601" s="18"/>
      <c r="H3601" s="18"/>
    </row>
    <row r="3602" spans="1:8" ht="13.2">
      <c r="A3602" s="15" t="s">
        <v>1299</v>
      </c>
      <c r="B3602" s="28" t="s">
        <v>1300</v>
      </c>
      <c r="C3602" s="17">
        <v>5</v>
      </c>
      <c r="D3602" s="18"/>
      <c r="E3602" s="17" t="s">
        <v>1223</v>
      </c>
      <c r="F3602" s="17" t="s">
        <v>201</v>
      </c>
      <c r="G3602" s="18"/>
      <c r="H3602" s="18"/>
    </row>
    <row r="3603" spans="1:8" ht="13.2">
      <c r="A3603" s="19" t="str">
        <f>HYPERLINK("https://atcoder.jp/contests/abc155/tasks/abc155_e","AtCoder155-ABC-E")</f>
        <v>AtCoder155-ABC-E</v>
      </c>
      <c r="B3603" s="20" t="s">
        <v>1348</v>
      </c>
      <c r="C3603" s="21">
        <v>5</v>
      </c>
      <c r="D3603" s="18"/>
      <c r="E3603" s="17" t="s">
        <v>1337</v>
      </c>
      <c r="F3603" s="17" t="s">
        <v>201</v>
      </c>
      <c r="G3603" s="18"/>
      <c r="H3603" s="18"/>
    </row>
    <row r="3604" spans="1:8" ht="13.2">
      <c r="A3604" s="19" t="str">
        <f>HYPERLINK("https://codeforces.com/contest/1140/problem/D","CF1140-D12-D")</f>
        <v>CF1140-D12-D</v>
      </c>
      <c r="B3604" s="20" t="s">
        <v>1348</v>
      </c>
      <c r="C3604" s="17">
        <v>5</v>
      </c>
      <c r="D3604" s="18"/>
      <c r="E3604" s="17" t="s">
        <v>1337</v>
      </c>
      <c r="F3604" s="17" t="s">
        <v>201</v>
      </c>
      <c r="G3604" s="18"/>
      <c r="H3604" s="18"/>
    </row>
    <row r="3605" spans="1:8" ht="13.2">
      <c r="A3605" s="19" t="str">
        <f>HYPERLINK("http://codeforces.com/contest/101/problem/B","CF101-D1-B")</f>
        <v>CF101-D1-B</v>
      </c>
      <c r="B3605" s="29" t="s">
        <v>1572</v>
      </c>
      <c r="C3605" s="17">
        <v>5</v>
      </c>
      <c r="D3605" s="26" t="str">
        <f>HYPERLINK("https://github.com/Huvok/CompetitiveProgramming/blob/master/Codeforces/CF101-D1-B.cpp","Sol")</f>
        <v>Sol</v>
      </c>
      <c r="E3605" s="17" t="s">
        <v>1337</v>
      </c>
      <c r="F3605" s="17" t="s">
        <v>201</v>
      </c>
      <c r="G3605" s="18"/>
      <c r="H3605" s="18"/>
    </row>
    <row r="3606" spans="1:8" ht="13.2">
      <c r="A3606" s="19" t="str">
        <f>HYPERLINK("http://codeforces.com/contest/721/problem/C","CF721-D2-C")</f>
        <v>CF721-D2-C</v>
      </c>
      <c r="B3606" s="29" t="s">
        <v>1573</v>
      </c>
      <c r="C3606" s="17">
        <v>5</v>
      </c>
      <c r="D3606" s="18"/>
      <c r="E3606" s="17" t="s">
        <v>1337</v>
      </c>
      <c r="F3606" s="17" t="s">
        <v>201</v>
      </c>
      <c r="G3606" s="18"/>
      <c r="H3606" s="18"/>
    </row>
    <row r="3607" spans="1:8" ht="13.2">
      <c r="A3607" s="19" t="str">
        <f>HYPERLINK("https://codeforces.com/contest/1107/problem/D","CF1107-D12-D")</f>
        <v>CF1107-D12-D</v>
      </c>
      <c r="B3607" s="15" t="s">
        <v>1354</v>
      </c>
      <c r="C3607" s="17">
        <v>5</v>
      </c>
      <c r="D3607" s="18"/>
      <c r="E3607" s="17" t="s">
        <v>1337</v>
      </c>
      <c r="F3607" s="17" t="s">
        <v>201</v>
      </c>
      <c r="G3607" s="18"/>
      <c r="H3607" s="18"/>
    </row>
    <row r="3608" spans="1:8" ht="13.2">
      <c r="A3608" s="19" t="str">
        <f>HYPERLINK("http://codeforces.com/contest/2/problem/B","CF2-D12-B")</f>
        <v>CF2-D12-B</v>
      </c>
      <c r="B3608" s="23" t="s">
        <v>1346</v>
      </c>
      <c r="C3608" s="17">
        <v>5</v>
      </c>
      <c r="D3608" s="18"/>
      <c r="E3608" s="17" t="s">
        <v>1337</v>
      </c>
      <c r="F3608" s="17" t="s">
        <v>201</v>
      </c>
      <c r="G3608" s="18"/>
      <c r="H3608" s="18"/>
    </row>
    <row r="3609" spans="1:8" ht="13.2">
      <c r="A3609" s="19" t="str">
        <f>HYPERLINK("http://codeforces.com/contest/506/problem/A", "CF506-D1-A")</f>
        <v>CF506-D1-A</v>
      </c>
      <c r="B3609" s="15" t="s">
        <v>1574</v>
      </c>
      <c r="C3609" s="17">
        <v>5</v>
      </c>
      <c r="D3609" s="18"/>
      <c r="E3609" s="17" t="s">
        <v>1337</v>
      </c>
      <c r="F3609" s="17" t="s">
        <v>201</v>
      </c>
      <c r="G3609" s="18"/>
      <c r="H3609" s="18"/>
    </row>
    <row r="3610" spans="1:8" ht="13.2">
      <c r="A3610" s="19" t="str">
        <f>HYPERLINK("http://codeforces.com/contest/946/problem/D","CF946-D12-D")</f>
        <v>CF946-D12-D</v>
      </c>
      <c r="B3610" s="15" t="s">
        <v>1575</v>
      </c>
      <c r="C3610" s="17">
        <v>5</v>
      </c>
      <c r="D3610" s="18"/>
      <c r="E3610" s="17" t="s">
        <v>1337</v>
      </c>
      <c r="F3610" s="17" t="s">
        <v>201</v>
      </c>
      <c r="G3610" s="18"/>
      <c r="H3610" s="18"/>
    </row>
    <row r="3611" spans="1:8" ht="13.2">
      <c r="A3611" s="19" t="str">
        <f>HYPERLINK("https://codeforces.com/contest/1077/problem/E","CF1077-D3-E")</f>
        <v>CF1077-D3-E</v>
      </c>
      <c r="B3611" s="15" t="s">
        <v>398</v>
      </c>
      <c r="C3611" s="17">
        <v>5</v>
      </c>
      <c r="D3611" s="18"/>
      <c r="E3611" s="17" t="s">
        <v>332</v>
      </c>
      <c r="F3611" s="17" t="s">
        <v>201</v>
      </c>
      <c r="G3611" s="18"/>
      <c r="H3611" s="18"/>
    </row>
    <row r="3612" spans="1:8" ht="13.2">
      <c r="A3612" s="19" t="str">
        <f>HYPERLINK("http://codeforces.com/contest/863/problem/D","CF863-D12-D")</f>
        <v>CF863-D12-D</v>
      </c>
      <c r="B3612" s="15" t="s">
        <v>414</v>
      </c>
      <c r="C3612" s="17">
        <v>5</v>
      </c>
      <c r="D3612" s="26" t="str">
        <f>HYPERLINK("https://codeforces.com/contest/863/submission/47240069","Sol")</f>
        <v>Sol</v>
      </c>
      <c r="E3612" s="17" t="s">
        <v>332</v>
      </c>
      <c r="F3612" s="17" t="s">
        <v>201</v>
      </c>
      <c r="G3612" s="18"/>
      <c r="H3612" s="18"/>
    </row>
    <row r="3613" spans="1:8" ht="13.2">
      <c r="A3613" s="19" t="str">
        <f>HYPERLINK("http://codeforces.com/contest/490/problem/C","CF490-D2-C")</f>
        <v>CF490-D2-C</v>
      </c>
      <c r="B3613" s="29" t="s">
        <v>389</v>
      </c>
      <c r="C3613" s="17">
        <v>5</v>
      </c>
      <c r="D3613" s="18"/>
      <c r="E3613" s="17" t="s">
        <v>332</v>
      </c>
      <c r="F3613" s="17" t="s">
        <v>201</v>
      </c>
      <c r="G3613" s="18"/>
      <c r="H3613" s="18"/>
    </row>
    <row r="3614" spans="1:8" ht="13.2">
      <c r="A3614" s="19" t="str">
        <f>HYPERLINK("http://codeforces.com/contest/75/problem/D","CF75-D2-D")</f>
        <v>CF75-D2-D</v>
      </c>
      <c r="B3614" s="29" t="s">
        <v>1741</v>
      </c>
      <c r="C3614" s="17">
        <v>5</v>
      </c>
      <c r="D3614" s="18"/>
      <c r="E3614" s="17" t="s">
        <v>1734</v>
      </c>
      <c r="F3614" s="17" t="s">
        <v>201</v>
      </c>
      <c r="G3614" s="18"/>
      <c r="H3614" s="18"/>
    </row>
    <row r="3615" spans="1:8" ht="13.2">
      <c r="A3615" s="19" t="str">
        <f>HYPERLINK("https://www.facebook.com/hackercup/problem/180494849326631/","FbHkrCup 18-R1-A")</f>
        <v>FbHkrCup 18-R1-A</v>
      </c>
      <c r="B3615" s="29" t="s">
        <v>1782</v>
      </c>
      <c r="C3615" s="21">
        <v>5</v>
      </c>
      <c r="D3615" s="18"/>
      <c r="E3615" s="17" t="s">
        <v>1768</v>
      </c>
      <c r="F3615" s="17" t="s">
        <v>201</v>
      </c>
      <c r="G3615" s="18"/>
      <c r="H3615" s="18"/>
    </row>
    <row r="3616" spans="1:8" ht="13.2">
      <c r="A3616" s="15" t="s">
        <v>1867</v>
      </c>
      <c r="B3616" s="29" t="s">
        <v>1868</v>
      </c>
      <c r="C3616" s="17">
        <v>5</v>
      </c>
      <c r="D3616" s="26" t="str">
        <f>HYPERLINK("https://github.com/ilyesG/Competitive-Programming/blob/master/UVA/UVA%2011825.cpp","Sol")</f>
        <v>Sol</v>
      </c>
      <c r="E3616" s="17" t="s">
        <v>1819</v>
      </c>
      <c r="F3616" s="17" t="s">
        <v>201</v>
      </c>
      <c r="G3616" s="18"/>
      <c r="H3616" s="18"/>
    </row>
    <row r="3617" spans="1:8" ht="13.2">
      <c r="A3617" s="15" t="s">
        <v>2055</v>
      </c>
      <c r="B3617" s="29" t="s">
        <v>2056</v>
      </c>
      <c r="C3617" s="17">
        <v>5</v>
      </c>
      <c r="D3617" s="26" t="str">
        <f>HYPERLINK("https://github.com/mostafa-saad/MyCompetitiveProgramming/blob/master/UVA/UVA_10218.txt","Sol")</f>
        <v>Sol</v>
      </c>
      <c r="E3617" s="17" t="s">
        <v>2026</v>
      </c>
      <c r="F3617" s="17" t="s">
        <v>201</v>
      </c>
      <c r="G3617" s="18"/>
      <c r="H3617" s="18"/>
    </row>
    <row r="3618" spans="1:8" ht="13.2">
      <c r="A3618" s="15" t="s">
        <v>2057</v>
      </c>
      <c r="B3618" s="28" t="s">
        <v>2058</v>
      </c>
      <c r="C3618" s="31">
        <v>5</v>
      </c>
      <c r="D3618" s="26" t="str">
        <f>HYPERLINK("https://github.com/mostafa-saad/MyCompetitiveProgramming/blob/master/PKU/PKU_3744.txt","Sol")</f>
        <v>Sol</v>
      </c>
      <c r="E3618" s="17" t="s">
        <v>2026</v>
      </c>
      <c r="F3618" s="17" t="s">
        <v>201</v>
      </c>
      <c r="G3618" s="18"/>
      <c r="H3618" s="18"/>
    </row>
    <row r="3619" spans="1:8" ht="13.2">
      <c r="A3619" s="19" t="str">
        <f>HYPERLINK("http://poj.org/problem?id=2151","PKU 2151")</f>
        <v>PKU 2151</v>
      </c>
      <c r="B3619" s="29" t="s">
        <v>2059</v>
      </c>
      <c r="C3619" s="17">
        <v>5</v>
      </c>
      <c r="D3619" s="26" t="str">
        <f>HYPERLINK("https://github.com/mostafa-saad/MyCompetitiveProgramming/blob/master/PKU/PKU_2151.txt","Sol")</f>
        <v>Sol</v>
      </c>
      <c r="E3619" s="17" t="s">
        <v>2026</v>
      </c>
      <c r="F3619" s="17" t="s">
        <v>201</v>
      </c>
      <c r="G3619" s="18"/>
      <c r="H3619" s="18"/>
    </row>
    <row r="3620" spans="1:8" ht="13.2">
      <c r="A3620" s="15" t="s">
        <v>2097</v>
      </c>
      <c r="B3620" s="29" t="s">
        <v>2098</v>
      </c>
      <c r="C3620" s="17">
        <v>5</v>
      </c>
      <c r="D3620" s="18"/>
      <c r="E3620" s="17" t="s">
        <v>2074</v>
      </c>
      <c r="F3620" s="17" t="s">
        <v>201</v>
      </c>
      <c r="G3620" s="18"/>
      <c r="H3620" s="18"/>
    </row>
    <row r="3621" spans="1:8" ht="13.2">
      <c r="A3621" s="15" t="s">
        <v>2099</v>
      </c>
      <c r="B3621" s="28" t="s">
        <v>2100</v>
      </c>
      <c r="C3621" s="31">
        <v>5</v>
      </c>
      <c r="D3621" s="26" t="str">
        <f>HYPERLINK("https://github.com/racsosabe/CompetitiveProgramming/blob/master/UVA/10288.cpp","Sol")</f>
        <v>Sol</v>
      </c>
      <c r="E3621" s="17" t="s">
        <v>2074</v>
      </c>
      <c r="F3621" s="17" t="s">
        <v>201</v>
      </c>
      <c r="G3621" s="18"/>
      <c r="H3621" s="18"/>
    </row>
    <row r="3622" spans="1:8" ht="13.2">
      <c r="A3622" s="15" t="s">
        <v>2136</v>
      </c>
      <c r="B3622" s="29" t="s">
        <v>2137</v>
      </c>
      <c r="C3622" s="17">
        <v>5</v>
      </c>
      <c r="D3622" s="18"/>
      <c r="E3622" s="17" t="s">
        <v>2113</v>
      </c>
      <c r="F3622" s="17" t="s">
        <v>201</v>
      </c>
      <c r="G3622" s="18"/>
      <c r="H3622" s="18"/>
    </row>
    <row r="3623" spans="1:8" ht="13.2">
      <c r="A3623" s="19" t="str">
        <f>HYPERLINK("https://codeforces.com/gym/101917/problem/D", "CF101917-D12-D")</f>
        <v>CF101917-D12-D</v>
      </c>
      <c r="B3623" s="15" t="s">
        <v>2163</v>
      </c>
      <c r="C3623" s="17">
        <v>5</v>
      </c>
      <c r="D3623" s="26" t="str">
        <f>HYPERLINK("https://github.com/Huvok/CompetitiveProgramming/blob/master/Codeforces/CF101917-D12-D.cpp", "Sol")</f>
        <v>Sol</v>
      </c>
      <c r="E3623" s="17" t="s">
        <v>2153</v>
      </c>
      <c r="F3623" s="17" t="s">
        <v>201</v>
      </c>
      <c r="G3623" s="18"/>
      <c r="H3623" s="18"/>
    </row>
    <row r="3624" spans="1:8" ht="13.2">
      <c r="A3624" s="19" t="str">
        <f>HYPERLINK("https://codeforces.com/contest/1153/problem/D","CF1153-D2-D")</f>
        <v>CF1153-D2-D</v>
      </c>
      <c r="B3624" s="20" t="s">
        <v>2163</v>
      </c>
      <c r="C3624" s="17">
        <v>5</v>
      </c>
      <c r="D3624" s="18"/>
      <c r="E3624" s="17" t="s">
        <v>2153</v>
      </c>
      <c r="F3624" s="17" t="s">
        <v>201</v>
      </c>
      <c r="G3624" s="18"/>
      <c r="H3624" s="18"/>
    </row>
    <row r="3625" spans="1:8" ht="13.2">
      <c r="A3625" s="19" t="str">
        <f>HYPERLINK("http://codeforces.com/contest/737/problem/C","CF737-D1-C")</f>
        <v>CF737-D1-C</v>
      </c>
      <c r="B3625" s="29" t="s">
        <v>2163</v>
      </c>
      <c r="C3625" s="24">
        <v>5</v>
      </c>
      <c r="D3625" s="18"/>
      <c r="E3625" s="17" t="s">
        <v>2153</v>
      </c>
      <c r="F3625" s="17" t="s">
        <v>201</v>
      </c>
      <c r="G3625" s="18"/>
      <c r="H3625" s="18"/>
    </row>
    <row r="3626" spans="1:8" ht="13.2">
      <c r="A3626" s="19" t="str">
        <f>HYPERLINK("http://codeforces.com/contest/465/problem/C","CF465-D2-C")</f>
        <v>CF465-D2-C</v>
      </c>
      <c r="B3626" s="29" t="s">
        <v>2281</v>
      </c>
      <c r="C3626" s="17">
        <v>5</v>
      </c>
      <c r="D3626" s="18"/>
      <c r="E3626" s="17" t="s">
        <v>2153</v>
      </c>
      <c r="F3626" s="17" t="s">
        <v>201</v>
      </c>
      <c r="G3626" s="18"/>
      <c r="H3626" s="18"/>
    </row>
    <row r="3627" spans="1:8" ht="13.2">
      <c r="A3627" s="19" t="str">
        <f>HYPERLINK("http://codeforces.com/problemset/gymProblem/101149/G","CF101149-GYM-G")</f>
        <v>CF101149-GYM-G</v>
      </c>
      <c r="B3627" s="29" t="s">
        <v>2282</v>
      </c>
      <c r="C3627" s="17">
        <v>5</v>
      </c>
      <c r="D3627" s="26" t="str">
        <f>HYPERLINK("https://github.com/BRAINOOOO/CompetitiveProgramming/blob/3057480d3a311cc86a6d64546655a9bb4017cbd6/CF/CF101149-GYM-G.Cpp","Sol")</f>
        <v>Sol</v>
      </c>
      <c r="E3627" s="17" t="s">
        <v>2153</v>
      </c>
      <c r="F3627" s="17" t="s">
        <v>201</v>
      </c>
      <c r="G3627" s="18"/>
      <c r="H3627" s="18"/>
    </row>
    <row r="3628" spans="1:8" ht="13.2">
      <c r="A3628" s="19" t="str">
        <f>HYPERLINK("http://codeforces.com/contest/1012/problem/A","CF1012-D1-A")</f>
        <v>CF1012-D1-A</v>
      </c>
      <c r="B3628" s="29" t="s">
        <v>2283</v>
      </c>
      <c r="C3628" s="21">
        <v>5</v>
      </c>
      <c r="D3628" s="18"/>
      <c r="E3628" s="17" t="s">
        <v>2153</v>
      </c>
      <c r="F3628" s="17" t="s">
        <v>201</v>
      </c>
      <c r="G3628" s="18"/>
      <c r="H3628" s="18"/>
    </row>
    <row r="3629" spans="1:8" ht="13.2">
      <c r="A3629" s="19" t="str">
        <f>HYPERLINK("https://agc002.contest.atcoder.jp/tasks/agc002_c","AtCoder002-AGC-C")</f>
        <v>AtCoder002-AGC-C</v>
      </c>
      <c r="B3629" s="15" t="s">
        <v>2284</v>
      </c>
      <c r="C3629" s="17">
        <v>5</v>
      </c>
      <c r="D3629" s="26" t="str">
        <f>HYPERLINK("https://github.com/Triplem5ds/Competitve-Programming/blob/master/atcoder/AtCoder002-AGC-C.cpp","Sol")</f>
        <v>Sol</v>
      </c>
      <c r="E3629" s="17" t="s">
        <v>2153</v>
      </c>
      <c r="F3629" s="17" t="s">
        <v>201</v>
      </c>
      <c r="G3629" s="18"/>
      <c r="H3629" s="18"/>
    </row>
    <row r="3630" spans="1:8" ht="13.2">
      <c r="A3630" s="19" t="str">
        <f>HYPERLINK("http://codeforces.com/problemsets/acmsguru/problem/99999/321","SGU 321")</f>
        <v>SGU 321</v>
      </c>
      <c r="B3630" s="29" t="s">
        <v>2285</v>
      </c>
      <c r="C3630" s="17">
        <v>5</v>
      </c>
      <c r="D3630" s="26" t="str">
        <f>HYPERLINK("https://github.com/mostafa-saad/MyCompetitiveProgramming/blob/master/SGU/SGU_321.txt","Sol")</f>
        <v>Sol</v>
      </c>
      <c r="E3630" s="17" t="s">
        <v>2153</v>
      </c>
      <c r="F3630" s="17" t="s">
        <v>201</v>
      </c>
      <c r="G3630" s="18"/>
      <c r="H3630" s="18"/>
    </row>
    <row r="3631" spans="1:8" ht="13.2">
      <c r="A3631" s="19" t="str">
        <f>HYPERLINK("http://codeforces.com/contest/242/problem/D","CF242-D2-D")</f>
        <v>CF242-D2-D</v>
      </c>
      <c r="B3631" s="29" t="s">
        <v>2286</v>
      </c>
      <c r="C3631" s="17">
        <v>5</v>
      </c>
      <c r="D3631" s="18"/>
      <c r="E3631" s="17" t="s">
        <v>2153</v>
      </c>
      <c r="F3631" s="17" t="s">
        <v>201</v>
      </c>
      <c r="G3631" s="18"/>
      <c r="H3631" s="18"/>
    </row>
    <row r="3632" spans="1:8" ht="13.2">
      <c r="A3632" s="15" t="s">
        <v>2287</v>
      </c>
      <c r="B3632" s="35" t="s">
        <v>2181</v>
      </c>
      <c r="C3632" s="40">
        <v>5</v>
      </c>
      <c r="D3632" s="18" t="s">
        <v>2288</v>
      </c>
      <c r="E3632" s="17" t="s">
        <v>2153</v>
      </c>
      <c r="F3632" s="17" t="s">
        <v>201</v>
      </c>
      <c r="G3632" s="18"/>
      <c r="H3632" s="18"/>
    </row>
    <row r="3633" spans="1:8" ht="13.2">
      <c r="A3633" s="19" t="str">
        <f>HYPERLINK("http://codeforces.com/contest/1038/problem/D","CF1038-D2-D")</f>
        <v>CF1038-D2-D</v>
      </c>
      <c r="B3633" s="23" t="s">
        <v>2225</v>
      </c>
      <c r="C3633" s="17">
        <v>5</v>
      </c>
      <c r="D3633" s="18"/>
      <c r="E3633" s="17" t="s">
        <v>2153</v>
      </c>
      <c r="F3633" s="17" t="s">
        <v>201</v>
      </c>
      <c r="G3633" s="18"/>
      <c r="H3633" s="18"/>
    </row>
    <row r="3634" spans="1:8" ht="13.2">
      <c r="A3634" s="15" t="s">
        <v>2289</v>
      </c>
      <c r="B3634" s="29" t="s">
        <v>2290</v>
      </c>
      <c r="C3634" s="33">
        <v>5</v>
      </c>
      <c r="D3634" s="26" t="str">
        <f>HYPERLINK("https://github.com/yazanKabbany/CompetitiveProgramming/blob/master/UVA/UVA%2012325.cpp","Prove your Solution")</f>
        <v>Prove your Solution</v>
      </c>
      <c r="E3634" s="17" t="s">
        <v>2153</v>
      </c>
      <c r="F3634" s="17" t="s">
        <v>201</v>
      </c>
      <c r="G3634" s="18"/>
      <c r="H3634" s="18"/>
    </row>
    <row r="3635" spans="1:8" ht="13.2">
      <c r="A3635" s="15" t="s">
        <v>2291</v>
      </c>
      <c r="B3635" s="16" t="s">
        <v>2292</v>
      </c>
      <c r="C3635" s="17">
        <v>5</v>
      </c>
      <c r="D3635" s="18"/>
      <c r="E3635" s="17" t="s">
        <v>2153</v>
      </c>
      <c r="F3635" s="17" t="s">
        <v>201</v>
      </c>
      <c r="G3635" s="18"/>
      <c r="H3635" s="18"/>
    </row>
    <row r="3636" spans="1:8" ht="13.2">
      <c r="A3636" s="15" t="s">
        <v>2293</v>
      </c>
      <c r="B3636" s="29" t="s">
        <v>2294</v>
      </c>
      <c r="C3636" s="31">
        <v>5</v>
      </c>
      <c r="D3636" s="18"/>
      <c r="E3636" s="24" t="s">
        <v>2153</v>
      </c>
      <c r="F3636" s="17" t="s">
        <v>201</v>
      </c>
      <c r="G3636" s="18"/>
      <c r="H3636" s="18"/>
    </row>
    <row r="3637" spans="1:8" ht="13.2">
      <c r="A3637" s="19" t="str">
        <f>HYPERLINK("https://www.facebook.com/hackercup/problem/2448144345414246/","FbHkrCup 19-R1-B")</f>
        <v>FbHkrCup 19-R1-B</v>
      </c>
      <c r="B3637" s="20" t="s">
        <v>2295</v>
      </c>
      <c r="C3637" s="17">
        <v>5</v>
      </c>
      <c r="D3637" s="18"/>
      <c r="E3637" s="17" t="s">
        <v>2153</v>
      </c>
      <c r="F3637" s="17" t="s">
        <v>201</v>
      </c>
      <c r="G3637" s="18"/>
      <c r="H3637" s="18"/>
    </row>
    <row r="3638" spans="1:8" ht="13.2">
      <c r="A3638" s="19" t="str">
        <f>HYPERLINK("http://codeforces.com/contest/239/problem/D","CF239-D2-D")</f>
        <v>CF239-D2-D</v>
      </c>
      <c r="B3638" s="29" t="s">
        <v>2296</v>
      </c>
      <c r="C3638" s="17">
        <v>5</v>
      </c>
      <c r="D3638" s="26" t="str">
        <f>HYPERLINK("https://github.com/MedoN11/CompetitiveProgramming/blob/master/CodeForces/CF239-D2-D.java","Sol. Find proof (See editorial comments)")</f>
        <v>Sol. Find proof (See editorial comments)</v>
      </c>
      <c r="E3638" s="17" t="s">
        <v>2153</v>
      </c>
      <c r="F3638" s="17" t="s">
        <v>201</v>
      </c>
      <c r="G3638" s="18"/>
      <c r="H3638" s="18"/>
    </row>
    <row r="3639" spans="1:8" ht="13.2">
      <c r="A3639" s="19" t="str">
        <f>HYPERLINK("http://codeforces.com/contest/97/problem/B","CF97-D12-B")</f>
        <v>CF97-D12-B</v>
      </c>
      <c r="B3639" s="29" t="s">
        <v>2688</v>
      </c>
      <c r="C3639" s="33">
        <v>5</v>
      </c>
      <c r="D3639" s="18"/>
      <c r="E3639" s="17" t="s">
        <v>2510</v>
      </c>
      <c r="F3639" s="17" t="s">
        <v>201</v>
      </c>
      <c r="G3639" s="18"/>
      <c r="H3639" s="18"/>
    </row>
    <row r="3640" spans="1:8" ht="13.2">
      <c r="A3640" s="19" t="str">
        <f>HYPERLINK("https://github.com/racsosabe/CompetitiveProgramming/blob/master/CodeForces/CF1016-D2-E.cpp","CF1016-D2-E")</f>
        <v>CF1016-D2-E</v>
      </c>
      <c r="B3640" s="29" t="s">
        <v>2533</v>
      </c>
      <c r="C3640" s="21">
        <v>5</v>
      </c>
      <c r="D3640" s="18"/>
      <c r="E3640" s="17" t="s">
        <v>2510</v>
      </c>
      <c r="F3640" s="17" t="s">
        <v>201</v>
      </c>
      <c r="G3640" s="18"/>
      <c r="H3640" s="18"/>
    </row>
    <row r="3641" spans="1:8" ht="13.2">
      <c r="A3641" s="15" t="s">
        <v>2689</v>
      </c>
      <c r="B3641" s="30" t="s">
        <v>2690</v>
      </c>
      <c r="C3641" s="24">
        <v>5</v>
      </c>
      <c r="D3641" s="26" t="str">
        <f>HYPERLINK("https://github.com/MichaelMounir12/CompetitiveProgramming/blob/master/Contests/SuperVision-Contest-33139/UVA_12957.cpp","Sol")</f>
        <v>Sol</v>
      </c>
      <c r="E3641" s="17" t="s">
        <v>2510</v>
      </c>
      <c r="F3641" s="17" t="s">
        <v>201</v>
      </c>
      <c r="G3641" s="18"/>
      <c r="H3641" s="18"/>
    </row>
    <row r="3642" spans="1:8" ht="13.2">
      <c r="A3642" s="15" t="s">
        <v>2691</v>
      </c>
      <c r="B3642" s="29" t="s">
        <v>2692</v>
      </c>
      <c r="C3642" s="24">
        <v>5</v>
      </c>
      <c r="D3642" s="26" t="str">
        <f>HYPERLINK("https://github.com/morris821028/UVa/blob/master/volume013/1342%20-%20That%20Nice%20Euler%20Circuit.cpp","Sol")</f>
        <v>Sol</v>
      </c>
      <c r="E3642" s="17" t="s">
        <v>2510</v>
      </c>
      <c r="F3642" s="17" t="s">
        <v>201</v>
      </c>
      <c r="G3642" s="18"/>
      <c r="H3642" s="18"/>
    </row>
    <row r="3643" spans="1:8" ht="13.2">
      <c r="A3643" s="19" t="str">
        <f>HYPERLINK("http://codeforces.com/contest/1058/problem/D","CF1058-D2-D")</f>
        <v>CF1058-D2-D</v>
      </c>
      <c r="B3643" s="15" t="s">
        <v>2693</v>
      </c>
      <c r="C3643" s="17">
        <v>5</v>
      </c>
      <c r="D3643" s="18"/>
      <c r="E3643" s="17" t="s">
        <v>2510</v>
      </c>
      <c r="F3643" s="17" t="s">
        <v>201</v>
      </c>
      <c r="G3643" s="18"/>
      <c r="H3643" s="18"/>
    </row>
    <row r="3644" spans="1:8" ht="13.2">
      <c r="A3644" s="19" t="str">
        <f>HYPERLINK("http://www.spoj.com/problems/ALIENS/","SPOJ ALIENS")</f>
        <v>SPOJ ALIENS</v>
      </c>
      <c r="B3644" s="29" t="s">
        <v>2846</v>
      </c>
      <c r="C3644" s="24">
        <v>5</v>
      </c>
      <c r="D3644" s="26" t="str">
        <f>HYPERLINK("https://github.com/mostafa-saad/MyCompetitiveProgramming/blob/master/SPOJ/SPOJ_ALIENS.txt","Sol - Practice on min enclosing circle")</f>
        <v>Sol - Practice on min enclosing circle</v>
      </c>
      <c r="E3644" s="17" t="s">
        <v>2798</v>
      </c>
      <c r="F3644" s="17" t="s">
        <v>201</v>
      </c>
      <c r="G3644" s="18"/>
      <c r="H3644" s="18"/>
    </row>
    <row r="3645" spans="1:8" ht="13.2">
      <c r="A3645" s="19" t="str">
        <f>HYPERLINK("https://icpcarchive.ecs.baylor.edu/index.php?option=com_onlinejudge&amp;Itemid=8&amp;category=19&amp;page=show_problem&amp;problem=1635","LiveArchive 3634")</f>
        <v>LiveArchive 3634</v>
      </c>
      <c r="B3645" s="29" t="s">
        <v>630</v>
      </c>
      <c r="C3645" s="17">
        <v>5</v>
      </c>
      <c r="D3645" s="26" t="str">
        <f>HYPERLINK("https://github.com/SaraElkadi/competitive-programming-/blob/master/LiveArchive/3634.cpp","Sol")</f>
        <v>Sol</v>
      </c>
      <c r="E3645" s="17" t="s">
        <v>575</v>
      </c>
      <c r="F3645" s="17" t="s">
        <v>201</v>
      </c>
      <c r="G3645" s="18"/>
      <c r="H3645" s="18"/>
    </row>
    <row r="3646" spans="1:8" ht="13.2">
      <c r="A3646" s="19" t="str">
        <f>HYPERLINK("http://codeforces.com/contest/340/problem/B","CF340-D2-B")</f>
        <v>CF340-D2-B</v>
      </c>
      <c r="B3646" s="29" t="s">
        <v>3019</v>
      </c>
      <c r="C3646" s="17">
        <v>5</v>
      </c>
      <c r="D3646" s="18"/>
      <c r="E3646" s="17" t="s">
        <v>2948</v>
      </c>
      <c r="F3646" s="17" t="s">
        <v>201</v>
      </c>
      <c r="G3646" s="18"/>
      <c r="H3646" s="18"/>
    </row>
    <row r="3647" spans="1:8" ht="13.2">
      <c r="A3647" s="19" t="str">
        <f>HYPERLINK("http://codeforces.com/contest/801/problem/D","CF801-D2-D")</f>
        <v>CF801-D2-D</v>
      </c>
      <c r="B3647" s="29" t="s">
        <v>3020</v>
      </c>
      <c r="C3647" s="17">
        <v>5</v>
      </c>
      <c r="D3647" s="26" t="str">
        <f>HYPERLINK("https://github.com/MeGaCrazy/CompetitiveProgramming/blob/ff934b5231a55818d401805db5e0caa0720a1fa4/Codeforces/CF801-D2-D.cpp","Sol")</f>
        <v>Sol</v>
      </c>
      <c r="E3647" s="17" t="s">
        <v>2948</v>
      </c>
      <c r="F3647" s="17" t="s">
        <v>201</v>
      </c>
      <c r="G3647" s="18"/>
      <c r="H3647" s="18"/>
    </row>
    <row r="3648" spans="1:8" ht="13.2">
      <c r="A3648" s="15" t="s">
        <v>3199</v>
      </c>
      <c r="B3648" s="29" t="s">
        <v>3200</v>
      </c>
      <c r="C3648" s="24">
        <v>5</v>
      </c>
      <c r="D3648" s="26" t="str">
        <f>HYPERLINK("https://github.com/mostafa-saad/MyCompetitiveProgramming/blob/master/SPOJ/SPOJ_RIGHTTRI.txt","Sol")</f>
        <v>Sol</v>
      </c>
      <c r="E3648" s="17" t="s">
        <v>3140</v>
      </c>
      <c r="F3648" s="17" t="s">
        <v>201</v>
      </c>
      <c r="G3648" s="18"/>
      <c r="H3648" s="18"/>
    </row>
    <row r="3649" spans="1:8" ht="13.2">
      <c r="A3649" s="19" t="str">
        <f>HYPERLINK("https://codeforces.com/gym/102001/problem/G", "CF102001-GYM-G")</f>
        <v>CF102001-GYM-G</v>
      </c>
      <c r="B3649" s="15" t="s">
        <v>3397</v>
      </c>
      <c r="C3649" s="17">
        <v>5</v>
      </c>
      <c r="D3649" s="26" t="str">
        <f>HYPERLINK("https://github.com/YazanZebak/CompetitiveProgramming/blob/master/Codeforces/CF102001-GYM-G.cpp", "Sol")</f>
        <v>Sol</v>
      </c>
      <c r="E3649" s="17" t="s">
        <v>3257</v>
      </c>
      <c r="F3649" s="17" t="s">
        <v>201</v>
      </c>
      <c r="G3649" s="18"/>
      <c r="H3649" s="18"/>
    </row>
    <row r="3650" spans="1:8" ht="13.2">
      <c r="A3650" s="19" t="str">
        <f>HYPERLINK("https://tenka1-2018.contest.atcoder.jp/tasks/tenka1_2018_d","AtCoder-Tenka118-D")</f>
        <v>AtCoder-Tenka118-D</v>
      </c>
      <c r="B3650" s="23" t="s">
        <v>3398</v>
      </c>
      <c r="C3650" s="17">
        <v>5</v>
      </c>
      <c r="D3650" s="18"/>
      <c r="E3650" s="17" t="s">
        <v>3257</v>
      </c>
      <c r="F3650" s="17" t="s">
        <v>201</v>
      </c>
      <c r="G3650" s="18"/>
      <c r="H3650" s="18"/>
    </row>
    <row r="3651" spans="1:8" ht="13.2">
      <c r="A3651" s="19" t="str">
        <f>HYPERLINK("https://codeforces.com/contest/1082/problem/D","CF1082-D12-D")</f>
        <v>CF1082-D12-D</v>
      </c>
      <c r="B3651" s="20" t="s">
        <v>3399</v>
      </c>
      <c r="C3651" s="21">
        <v>5</v>
      </c>
      <c r="D3651" s="18"/>
      <c r="E3651" s="17" t="s">
        <v>3257</v>
      </c>
      <c r="F3651" s="17" t="s">
        <v>201</v>
      </c>
      <c r="G3651" s="18"/>
      <c r="H3651" s="18"/>
    </row>
    <row r="3652" spans="1:8" ht="13.2">
      <c r="A3652" s="19" t="str">
        <f>HYPERLINK("https://codeforces.com/contest/1296/problem/F","CF1296-D3-F")</f>
        <v>CF1296-D3-F</v>
      </c>
      <c r="B3652" s="20" t="s">
        <v>3368</v>
      </c>
      <c r="C3652" s="17">
        <v>5</v>
      </c>
      <c r="D3652" s="18"/>
      <c r="E3652" s="17" t="s">
        <v>3257</v>
      </c>
      <c r="F3652" s="17" t="s">
        <v>201</v>
      </c>
      <c r="G3652" s="18"/>
      <c r="H3652" s="18"/>
    </row>
    <row r="3653" spans="1:8" ht="13.2">
      <c r="A3653" s="19" t="str">
        <f>HYPERLINK("https://codeforces.com/contest/1189/problem/D2","CF1189-D2-D2")</f>
        <v>CF1189-D2-D2</v>
      </c>
      <c r="B3653" s="23" t="s">
        <v>3400</v>
      </c>
      <c r="C3653" s="17">
        <v>5</v>
      </c>
      <c r="D3653" s="18"/>
      <c r="E3653" s="17" t="s">
        <v>3257</v>
      </c>
      <c r="F3653" s="17" t="s">
        <v>201</v>
      </c>
      <c r="G3653" s="18"/>
      <c r="H3653" s="18"/>
    </row>
    <row r="3654" spans="1:8" ht="13.2">
      <c r="A3654" s="15" t="s">
        <v>3558</v>
      </c>
      <c r="B3654" s="29" t="s">
        <v>3559</v>
      </c>
      <c r="C3654" s="17">
        <v>5</v>
      </c>
      <c r="D3654" s="18"/>
      <c r="E3654" s="17" t="s">
        <v>3467</v>
      </c>
      <c r="F3654" s="17" t="s">
        <v>201</v>
      </c>
      <c r="G3654" s="18"/>
      <c r="H3654" s="18"/>
    </row>
    <row r="3655" spans="1:8" ht="13.2">
      <c r="A3655" s="19" t="str">
        <f>HYPERLINK("http://codeforces.com/contest/253/problem/C","CF253-D2-C")</f>
        <v>CF253-D2-C</v>
      </c>
      <c r="B3655" s="29" t="s">
        <v>3560</v>
      </c>
      <c r="C3655" s="17">
        <v>5</v>
      </c>
      <c r="D3655" s="18"/>
      <c r="E3655" s="17" t="s">
        <v>3467</v>
      </c>
      <c r="F3655" s="17" t="s">
        <v>201</v>
      </c>
      <c r="G3655" s="18"/>
      <c r="H3655" s="18"/>
    </row>
    <row r="3656" spans="1:8" ht="13.2">
      <c r="A3656" s="19" t="str">
        <f>HYPERLINK("https://codeforces.com/contest/131/problem/D","CF131-D2-D")</f>
        <v>CF131-D2-D</v>
      </c>
      <c r="B3656" s="15" t="s">
        <v>3561</v>
      </c>
      <c r="C3656" s="17">
        <v>5</v>
      </c>
      <c r="D3656" s="18"/>
      <c r="E3656" s="17" t="s">
        <v>3467</v>
      </c>
      <c r="F3656" s="17" t="s">
        <v>201</v>
      </c>
      <c r="G3656" s="18"/>
      <c r="H3656" s="18"/>
    </row>
    <row r="3657" spans="1:8" ht="13.2">
      <c r="A3657" s="19" t="str">
        <f>HYPERLINK("http://codeforces.com/contest/861/problem/F","CF861-D12-F")</f>
        <v>CF861-D12-F</v>
      </c>
      <c r="B3657" s="15" t="s">
        <v>3649</v>
      </c>
      <c r="C3657" s="17">
        <v>5</v>
      </c>
      <c r="D3657" s="18"/>
      <c r="E3657" s="17" t="s">
        <v>3650</v>
      </c>
      <c r="F3657" s="17" t="s">
        <v>201</v>
      </c>
      <c r="G3657" s="18"/>
      <c r="H3657" s="18"/>
    </row>
    <row r="3658" spans="1:8" ht="13.2">
      <c r="A3658" s="15" t="s">
        <v>3739</v>
      </c>
      <c r="B3658" s="30" t="s">
        <v>3740</v>
      </c>
      <c r="C3658" s="24">
        <v>5</v>
      </c>
      <c r="D3658" s="18" t="s">
        <v>118</v>
      </c>
      <c r="E3658" s="17" t="s">
        <v>3650</v>
      </c>
      <c r="F3658" s="17" t="s">
        <v>201</v>
      </c>
      <c r="G3658" s="18"/>
      <c r="H3658" s="18"/>
    </row>
    <row r="3659" spans="1:8" ht="13.2">
      <c r="A3659" s="19" t="str">
        <f>HYPERLINK("http://codeforces.com/contest/1027/problem/D","CF1027-D2-D")</f>
        <v>CF1027-D2-D</v>
      </c>
      <c r="B3659" s="20" t="s">
        <v>3741</v>
      </c>
      <c r="C3659" s="17">
        <v>5</v>
      </c>
      <c r="D3659" s="18"/>
      <c r="E3659" s="17" t="s">
        <v>3650</v>
      </c>
      <c r="F3659" s="17" t="s">
        <v>201</v>
      </c>
      <c r="G3659" s="18"/>
      <c r="H3659" s="18"/>
    </row>
    <row r="3660" spans="1:8" ht="13.2">
      <c r="A3660" s="19" t="str">
        <f>HYPERLINK("http://codeforces.com/contest/1076/problem/D","CF1076-D12-D")</f>
        <v>CF1076-D12-D</v>
      </c>
      <c r="B3660" s="20" t="s">
        <v>3791</v>
      </c>
      <c r="C3660" s="21">
        <v>5</v>
      </c>
      <c r="D3660" s="18"/>
      <c r="E3660" s="17" t="s">
        <v>3784</v>
      </c>
      <c r="F3660" s="17" t="s">
        <v>201</v>
      </c>
      <c r="G3660" s="18"/>
      <c r="H3660" s="18"/>
    </row>
    <row r="3661" spans="1:8" ht="13.2">
      <c r="A3661" s="15" t="s">
        <v>3843</v>
      </c>
      <c r="B3661" s="29" t="s">
        <v>3791</v>
      </c>
      <c r="C3661" s="17">
        <v>5</v>
      </c>
      <c r="D3661" s="26" t="str">
        <f>HYPERLINK("https://github.com/BRAINOOO/CompetitiveProgramming/blob/master/UVA/V-116/UVA%2011635.Cpp","Sol")</f>
        <v>Sol</v>
      </c>
      <c r="E3661" s="17" t="s">
        <v>3784</v>
      </c>
      <c r="F3661" s="17" t="s">
        <v>201</v>
      </c>
      <c r="G3661" s="18"/>
      <c r="H3661" s="18"/>
    </row>
    <row r="3662" spans="1:8" ht="13.2">
      <c r="A3662" s="19" t="str">
        <f>HYPERLINK("https://codeforces.com/contest/1131/problem/F","CF1131-D2-F")</f>
        <v>CF1131-D2-F</v>
      </c>
      <c r="B3662" s="20" t="s">
        <v>3886</v>
      </c>
      <c r="C3662" s="21">
        <v>5</v>
      </c>
      <c r="D3662" s="18"/>
      <c r="E3662" s="17" t="s">
        <v>3883</v>
      </c>
      <c r="F3662" s="17" t="s">
        <v>201</v>
      </c>
      <c r="G3662" s="18"/>
      <c r="H3662" s="18"/>
    </row>
    <row r="3663" spans="1:8" ht="13.2">
      <c r="A3663" s="19" t="str">
        <f>HYPERLINK("https://codeforces.com/contest/1245/problem/D","CF1245-D2-D")</f>
        <v>CF1245-D2-D</v>
      </c>
      <c r="B3663" s="20" t="s">
        <v>3930</v>
      </c>
      <c r="C3663" s="21">
        <v>5</v>
      </c>
      <c r="D3663" s="18"/>
      <c r="E3663" s="17" t="s">
        <v>3883</v>
      </c>
      <c r="F3663" s="17" t="s">
        <v>201</v>
      </c>
      <c r="G3663" s="18"/>
      <c r="H3663" s="18"/>
    </row>
    <row r="3664" spans="1:8" ht="13.2">
      <c r="A3664" s="15" t="s">
        <v>3981</v>
      </c>
      <c r="B3664" s="35" t="s">
        <v>3982</v>
      </c>
      <c r="C3664" s="17">
        <v>5</v>
      </c>
      <c r="D3664" s="26" t="str">
        <f>HYPERLINK("https://github.com/Huvok/CompetitiveProgramming/blob/master/Topcoder/SRM268-D1-500.cpp","Prove your solution")</f>
        <v>Prove your solution</v>
      </c>
      <c r="E3664" s="17" t="s">
        <v>3955</v>
      </c>
      <c r="F3664" s="17" t="s">
        <v>201</v>
      </c>
      <c r="G3664" s="18"/>
      <c r="H3664" s="18"/>
    </row>
    <row r="3665" spans="1:8" ht="13.2">
      <c r="A3665" s="19" t="str">
        <f>HYPERLINK("http://codeforces.com/contest/400/problem/D","CF400-D2-D")</f>
        <v>CF400-D2-D</v>
      </c>
      <c r="B3665" s="29" t="s">
        <v>4018</v>
      </c>
      <c r="C3665" s="17">
        <v>5</v>
      </c>
      <c r="D3665" s="18"/>
      <c r="E3665" s="17" t="s">
        <v>3998</v>
      </c>
      <c r="F3665" s="17" t="s">
        <v>201</v>
      </c>
      <c r="G3665" s="18"/>
      <c r="H3665" s="18"/>
    </row>
    <row r="3666" spans="1:8" ht="13.2">
      <c r="A3666" s="19" t="str">
        <f>HYPERLINK("https://uva.onlinejudge.org/index.php?option=com_onlinejudge&amp;Itemid=8&amp;page=show_problem&amp;problem=3277","UVA 12125")</f>
        <v>UVA 12125</v>
      </c>
      <c r="B3666" s="29" t="s">
        <v>4123</v>
      </c>
      <c r="C3666" s="17">
        <v>5</v>
      </c>
      <c r="D3666" s="26" t="str">
        <f>HYPERLINK("https://github.com/mostafa-saad/MyCompetitiveProgramming/blob/master/UVA/UVA_12125.txt","Sol")</f>
        <v>Sol</v>
      </c>
      <c r="E3666" s="17" t="s">
        <v>4060</v>
      </c>
      <c r="F3666" s="17" t="s">
        <v>201</v>
      </c>
      <c r="G3666" s="18"/>
      <c r="H3666" s="18"/>
    </row>
    <row r="3667" spans="1:8" ht="13.2">
      <c r="A3667" s="15" t="s">
        <v>4209</v>
      </c>
      <c r="B3667" s="27" t="s">
        <v>4210</v>
      </c>
      <c r="C3667" s="17">
        <v>5</v>
      </c>
      <c r="D3667" s="26" t="str">
        <f>HYPERLINK("https://github.com/AhmedRamadanAbdElghany/CompetitiveProgramming/blob/master/UVA/1184.cpp","Sol")</f>
        <v>Sol</v>
      </c>
      <c r="E3667" s="17" t="s">
        <v>4144</v>
      </c>
      <c r="F3667" s="17" t="s">
        <v>201</v>
      </c>
      <c r="G3667" s="18"/>
      <c r="H3667" s="18"/>
    </row>
    <row r="3668" spans="1:8" ht="13.2">
      <c r="A3668" s="19" t="str">
        <f>HYPERLINK("http://codeforces.com/contest/606/problem/D","CF606-D2-D")</f>
        <v>CF606-D2-D</v>
      </c>
      <c r="B3668" s="29" t="s">
        <v>4318</v>
      </c>
      <c r="C3668" s="17">
        <v>5</v>
      </c>
      <c r="D3668" s="18"/>
      <c r="E3668" s="17" t="s">
        <v>4275</v>
      </c>
      <c r="F3668" s="17" t="s">
        <v>201</v>
      </c>
      <c r="G3668" s="18"/>
      <c r="H3668" s="18"/>
    </row>
    <row r="3669" spans="1:8" ht="13.2">
      <c r="A3669" s="19" t="str">
        <f>HYPERLINK("https://codeforces.com/contest/1081/problem/D","CF1081-D12-D")</f>
        <v>CF1081-D12-D</v>
      </c>
      <c r="B3669" s="15" t="s">
        <v>4319</v>
      </c>
      <c r="C3669" s="17">
        <v>5</v>
      </c>
      <c r="D3669" s="18"/>
      <c r="E3669" s="17" t="s">
        <v>4275</v>
      </c>
      <c r="F3669" s="17" t="s">
        <v>201</v>
      </c>
      <c r="G3669" s="18"/>
      <c r="H3669" s="18"/>
    </row>
    <row r="3670" spans="1:8" ht="13.2">
      <c r="A3670" s="19" t="str">
        <f>HYPERLINK("https://uva.onlinejudge.org/index.php?option=com_onlinejudge&amp;Itemid=8&amp;page=show_problem&amp;problem=3675","UVA 1234")</f>
        <v>UVA 1234</v>
      </c>
      <c r="B3670" s="29" t="s">
        <v>4320</v>
      </c>
      <c r="C3670" s="17">
        <v>5</v>
      </c>
      <c r="D3670" s="26" t="str">
        <f>HYPERLINK("https://github.com/MohamedNabil97/CompetitiveProgramming/tree/master/UVA/1234.cpp","Sol")</f>
        <v>Sol</v>
      </c>
      <c r="E3670" s="17" t="s">
        <v>4275</v>
      </c>
      <c r="F3670" s="17" t="s">
        <v>201</v>
      </c>
      <c r="G3670" s="18"/>
      <c r="H3670" s="18"/>
    </row>
    <row r="3671" spans="1:8" ht="13.2">
      <c r="A3671" s="19" t="str">
        <f>HYPERLINK("https://uva.onlinejudge.org/index.php?option=com_onlinejudge&amp;Itemid=8&amp;page=show_problem&amp;problem=1310","UVA 10369")</f>
        <v>UVA 10369</v>
      </c>
      <c r="B3671" s="29" t="s">
        <v>4321</v>
      </c>
      <c r="C3671" s="17">
        <v>5</v>
      </c>
      <c r="D3671" s="18"/>
      <c r="E3671" s="17" t="s">
        <v>4275</v>
      </c>
      <c r="F3671" s="17" t="s">
        <v>201</v>
      </c>
      <c r="G3671" s="18"/>
      <c r="H3671" s="18"/>
    </row>
    <row r="3672" spans="1:8" ht="13.2">
      <c r="A3672" s="19" t="str">
        <f>HYPERLINK("http://codeforces.com/contest/467/problem/D","CF467-D2-D")</f>
        <v>CF467-D2-D</v>
      </c>
      <c r="B3672" s="29" t="s">
        <v>4363</v>
      </c>
      <c r="C3672" s="17">
        <v>5</v>
      </c>
      <c r="D3672" s="18"/>
      <c r="E3672" s="17" t="s">
        <v>4344</v>
      </c>
      <c r="F3672" s="17" t="s">
        <v>201</v>
      </c>
      <c r="G3672" s="18"/>
      <c r="H3672" s="18"/>
    </row>
    <row r="3673" spans="1:8" ht="13.2">
      <c r="A3673" s="19" t="str">
        <f>HYPERLINK("https://codeforces.com/gym/101979/problem/H","CF101979-GYM-H")</f>
        <v>CF101979-GYM-H</v>
      </c>
      <c r="B3673" s="20" t="s">
        <v>4450</v>
      </c>
      <c r="C3673" s="21">
        <v>5</v>
      </c>
      <c r="D3673" s="26" t="str">
        <f>HYPERLINK("https://github.com/ahmedsamir221/CompetitiveProgramming/blob/master/CodeForces/CF101979-GYM-H.cpp","Sol")</f>
        <v>Sol</v>
      </c>
      <c r="E3673" s="17" t="s">
        <v>4423</v>
      </c>
      <c r="F3673" s="17" t="s">
        <v>201</v>
      </c>
      <c r="G3673" s="18"/>
      <c r="H3673" s="18"/>
    </row>
    <row r="3674" spans="1:8" ht="13.2">
      <c r="A3674" s="19" t="str">
        <f>HYPERLINK("https://codeforces.com/group/viIfsUpAco/contest/102191/problem/I","CF102191-GYM-I")</f>
        <v>CF102191-GYM-I</v>
      </c>
      <c r="B3674" s="15" t="s">
        <v>4497</v>
      </c>
      <c r="C3674" s="17">
        <v>5</v>
      </c>
      <c r="D3674" s="26" t="str">
        <f>HYPERLINK("https://ideone.com/TXPngv","Sol")</f>
        <v>Sol</v>
      </c>
      <c r="E3674" s="17" t="s">
        <v>4454</v>
      </c>
      <c r="F3674" s="17" t="s">
        <v>201</v>
      </c>
      <c r="G3674" s="18"/>
      <c r="H3674" s="18"/>
    </row>
    <row r="3675" spans="1:8" ht="13.2">
      <c r="A3675" s="19" t="str">
        <f>HYPERLINK("https://codeforces.com/contest/1079/problem/D","CF1079-D2-D")</f>
        <v>CF1079-D2-D</v>
      </c>
      <c r="B3675" s="15" t="s">
        <v>4530</v>
      </c>
      <c r="C3675" s="17">
        <v>5</v>
      </c>
      <c r="D3675" s="18"/>
      <c r="E3675" s="17" t="s">
        <v>4531</v>
      </c>
      <c r="F3675" s="17" t="s">
        <v>201</v>
      </c>
      <c r="G3675" s="18"/>
      <c r="H3675" s="18"/>
    </row>
    <row r="3676" spans="1:8" ht="13.2">
      <c r="A3676" s="19" t="str">
        <f>HYPERLINK("https://codeforces.com/contest/1185/problem/D", "CF1185-D2-D")</f>
        <v>CF1185-D2-D</v>
      </c>
      <c r="B3676" s="15" t="s">
        <v>4530</v>
      </c>
      <c r="C3676" s="17">
        <v>5</v>
      </c>
      <c r="D3676" s="18"/>
      <c r="E3676" s="17" t="s">
        <v>4531</v>
      </c>
      <c r="F3676" s="17" t="s">
        <v>201</v>
      </c>
      <c r="G3676" s="18"/>
      <c r="H3676" s="18"/>
    </row>
    <row r="3677" spans="1:8" ht="13.2">
      <c r="A3677" s="19" t="str">
        <f>HYPERLINK("https://uva.onlinejudge.org/index.php?option=com_onlinejudge&amp;Itemid=8&amp;page=show_problem&amp;problem=64","UVA 128")</f>
        <v>UVA 128</v>
      </c>
      <c r="B3677" s="29" t="s">
        <v>4666</v>
      </c>
      <c r="C3677" s="17">
        <v>5</v>
      </c>
      <c r="D3677" s="26" t="str">
        <f>HYPERLINK("http://roprogrammer.blogspot.com/2010/01/uva-problem-128-software-crc.html","Sol")</f>
        <v>Sol</v>
      </c>
      <c r="E3677" s="17" t="s">
        <v>4531</v>
      </c>
      <c r="F3677" s="17" t="s">
        <v>201</v>
      </c>
      <c r="G3677" s="18"/>
      <c r="H3677" s="18"/>
    </row>
    <row r="3678" spans="1:8" ht="13.2">
      <c r="A3678" s="19" t="str">
        <f>HYPERLINK("https://codeforces.com/contest/1130/problem/D2","CF1130-D2-D2")</f>
        <v>CF1130-D2-D2</v>
      </c>
      <c r="B3678" s="20" t="s">
        <v>4667</v>
      </c>
      <c r="C3678" s="21">
        <v>5</v>
      </c>
      <c r="D3678" s="18"/>
      <c r="E3678" s="17" t="s">
        <v>4531</v>
      </c>
      <c r="F3678" s="17" t="s">
        <v>201</v>
      </c>
      <c r="G3678" s="18"/>
      <c r="H3678" s="18"/>
    </row>
    <row r="3679" spans="1:8" ht="13.2">
      <c r="A3679" s="19" t="str">
        <f>HYPERLINK("http://codeforces.com/contest/535/problem/C","CF535-D2-C")</f>
        <v>CF535-D2-C</v>
      </c>
      <c r="B3679" s="29" t="s">
        <v>4653</v>
      </c>
      <c r="C3679" s="17">
        <v>5</v>
      </c>
      <c r="D3679" s="18"/>
      <c r="E3679" s="17" t="s">
        <v>4531</v>
      </c>
      <c r="F3679" s="17" t="s">
        <v>201</v>
      </c>
      <c r="G3679" s="18"/>
      <c r="H3679" s="18"/>
    </row>
    <row r="3680" spans="1:8" ht="13.2">
      <c r="A3680" s="19" t="str">
        <f>HYPERLINK("https://atcoder.jp/contests/abc140/tasks/abc140_e","AtCoder140-ABC-E")</f>
        <v>AtCoder140-ABC-E</v>
      </c>
      <c r="B3680" s="20" t="s">
        <v>4668</v>
      </c>
      <c r="C3680" s="17">
        <v>5</v>
      </c>
      <c r="D3680" s="26" t="str">
        <f>HYPERLINK("https://github.com/farmerboy95/CompetitiveProgramming/blob/master/AtCoder/AtCoder140-ABC-E.cpp","Sol")</f>
        <v>Sol</v>
      </c>
      <c r="E3680" s="17" t="s">
        <v>4531</v>
      </c>
      <c r="F3680" s="17" t="s">
        <v>201</v>
      </c>
      <c r="G3680" s="18"/>
      <c r="H3680" s="18"/>
    </row>
    <row r="3681" spans="1:8" ht="13.2">
      <c r="A3681" s="19" t="str">
        <f>HYPERLINK("http://codeforces.com/contest/451/problem/C","CF451-D2-C")</f>
        <v>CF451-D2-C</v>
      </c>
      <c r="B3681" s="29" t="s">
        <v>4669</v>
      </c>
      <c r="C3681" s="17">
        <v>5</v>
      </c>
      <c r="D3681" s="18"/>
      <c r="E3681" s="17" t="s">
        <v>4531</v>
      </c>
      <c r="F3681" s="17" t="s">
        <v>201</v>
      </c>
      <c r="G3681" s="18"/>
      <c r="H3681" s="18"/>
    </row>
    <row r="3682" spans="1:8" ht="13.2">
      <c r="A3682" s="19" t="str">
        <f>HYPERLINK("http://codeforces.com/problemset/problem/955/C","CF955-D2-C")</f>
        <v>CF955-D2-C</v>
      </c>
      <c r="B3682" s="29" t="s">
        <v>4564</v>
      </c>
      <c r="C3682" s="17">
        <v>5</v>
      </c>
      <c r="D3682" s="18"/>
      <c r="E3682" s="17" t="s">
        <v>4531</v>
      </c>
      <c r="F3682" s="17" t="s">
        <v>201</v>
      </c>
      <c r="G3682" s="18"/>
      <c r="H3682" s="18"/>
    </row>
    <row r="3683" spans="1:8" ht="13.2">
      <c r="A3683" s="19" t="str">
        <f>HYPERLINK("http://codeforces.com/contest/45/problem/D","CF45-D12-D")</f>
        <v>CF45-D12-D</v>
      </c>
      <c r="B3683" s="37" t="s">
        <v>4670</v>
      </c>
      <c r="C3683" s="17">
        <v>5</v>
      </c>
      <c r="D3683" s="26" t="str">
        <f>HYPERLINK("https://github.com/ahmedsamir221/CompetitiveProgramming/blob/master/CodeForces/CF45-D12-D.cpp","Sol (not intended)")</f>
        <v>Sol (not intended)</v>
      </c>
      <c r="E3683" s="17" t="s">
        <v>4531</v>
      </c>
      <c r="F3683" s="17" t="s">
        <v>201</v>
      </c>
      <c r="G3683" s="18"/>
      <c r="H3683" s="18"/>
    </row>
    <row r="3684" spans="1:8" ht="13.2">
      <c r="A3684" s="15" t="s">
        <v>4772</v>
      </c>
      <c r="B3684" s="30" t="s">
        <v>4766</v>
      </c>
      <c r="C3684" s="17">
        <v>5</v>
      </c>
      <c r="D3684" s="26" t="str">
        <f>HYPERLINK("https://github.com/MuhammadMustafaAbdalqadir/Competitive-Programming-Workspace/blob/master/UVA/12041.cpp","Sol")</f>
        <v>Sol</v>
      </c>
      <c r="E3684" s="17" t="s">
        <v>4767</v>
      </c>
      <c r="F3684" s="17" t="s">
        <v>201</v>
      </c>
      <c r="G3684" s="18"/>
      <c r="H3684" s="18"/>
    </row>
    <row r="3685" spans="1:8" ht="13.2">
      <c r="A3685" s="15" t="s">
        <v>4790</v>
      </c>
      <c r="B3685" s="29" t="s">
        <v>4779</v>
      </c>
      <c r="C3685" s="24">
        <v>5</v>
      </c>
      <c r="D3685" s="26" t="str">
        <f>HYPERLINK("https://pastebin.com/WHzEMUew","Sol")</f>
        <v>Sol</v>
      </c>
      <c r="E3685" s="17" t="s">
        <v>4778</v>
      </c>
      <c r="F3685" s="17" t="s">
        <v>201</v>
      </c>
      <c r="G3685" s="18"/>
      <c r="H3685" s="18"/>
    </row>
    <row r="3686" spans="1:8" ht="13.2">
      <c r="A3686" s="19" t="str">
        <f>HYPERLINK("https://atcoder.jp/contests/abc156/tasks/abc156_e","AtCoder156-ABC-E")</f>
        <v>AtCoder156-ABC-E</v>
      </c>
      <c r="B3686" s="20" t="s">
        <v>4964</v>
      </c>
      <c r="C3686" s="21">
        <v>5</v>
      </c>
      <c r="D3686" s="18"/>
      <c r="E3686" s="17" t="s">
        <v>4958</v>
      </c>
      <c r="F3686" s="17" t="s">
        <v>201</v>
      </c>
      <c r="G3686" s="18"/>
      <c r="H3686" s="18"/>
    </row>
    <row r="3687" spans="1:8" ht="13.2">
      <c r="A3687" s="19" t="str">
        <f>HYPERLINK("http://codeforces.com/problemset/problem/204/A","CF204-D1-A")</f>
        <v>CF204-D1-A</v>
      </c>
      <c r="B3687" s="29" t="s">
        <v>4964</v>
      </c>
      <c r="C3687" s="17">
        <v>5</v>
      </c>
      <c r="D3687" s="18"/>
      <c r="E3687" s="17" t="s">
        <v>4958</v>
      </c>
      <c r="F3687" s="17" t="s">
        <v>201</v>
      </c>
      <c r="G3687" s="18"/>
      <c r="H3687" s="18"/>
    </row>
    <row r="3688" spans="1:8" ht="13.2">
      <c r="A3688" s="15" t="s">
        <v>5010</v>
      </c>
      <c r="B3688" s="34" t="s">
        <v>5011</v>
      </c>
      <c r="C3688" s="31">
        <v>5</v>
      </c>
      <c r="D3688" s="18"/>
      <c r="E3688" s="17" t="s">
        <v>4958</v>
      </c>
      <c r="F3688" s="17" t="s">
        <v>201</v>
      </c>
      <c r="G3688" s="18"/>
      <c r="H3688" s="18"/>
    </row>
    <row r="3689" spans="1:8" ht="13.2">
      <c r="A3689" s="15" t="s">
        <v>5012</v>
      </c>
      <c r="B3689" s="29" t="s">
        <v>5013</v>
      </c>
      <c r="C3689" s="17">
        <v>5</v>
      </c>
      <c r="D3689" s="26" t="str">
        <f>HYPERLINK("https://github.com/thackerhelik/UVA/blob/master/10460.py","Sol")</f>
        <v>Sol</v>
      </c>
      <c r="E3689" s="17" t="s">
        <v>4958</v>
      </c>
      <c r="F3689" s="17" t="s">
        <v>201</v>
      </c>
      <c r="G3689" s="18"/>
      <c r="H3689" s="18"/>
    </row>
    <row r="3690" spans="1:8" ht="13.2">
      <c r="A3690" s="19" t="str">
        <f>HYPERLINK("http://codeforces.com/contest/986/problem/B","CF986-D1-B")</f>
        <v>CF986-D1-B</v>
      </c>
      <c r="B3690" s="20" t="s">
        <v>5045</v>
      </c>
      <c r="C3690" s="21">
        <v>5</v>
      </c>
      <c r="D3690" s="18"/>
      <c r="E3690" s="17" t="s">
        <v>5043</v>
      </c>
      <c r="F3690" s="17" t="s">
        <v>201</v>
      </c>
      <c r="G3690" s="18"/>
      <c r="H3690" s="18"/>
    </row>
    <row r="3691" spans="1:8" ht="13.2">
      <c r="A3691" s="15" t="s">
        <v>5289</v>
      </c>
      <c r="B3691" s="30" t="s">
        <v>5290</v>
      </c>
      <c r="C3691" s="24">
        <v>5</v>
      </c>
      <c r="D3691" s="26" t="str">
        <f>HYPERLINK("https://github.com/yazanKabbany/CompetitiveProgramming/blob/master/UVA/UVA%2011486.cpp","Sol")</f>
        <v>Sol</v>
      </c>
      <c r="E3691" s="17" t="s">
        <v>5246</v>
      </c>
      <c r="F3691" s="17" t="s">
        <v>201</v>
      </c>
      <c r="G3691" s="18"/>
      <c r="H3691" s="18"/>
    </row>
    <row r="3692" spans="1:8" ht="13.2">
      <c r="A3692" s="19" t="str">
        <f>HYPERLINK("https://csacademy.com/contest/archive/task/water-bottles/statement/","CSA28-D")</f>
        <v>CSA28-D</v>
      </c>
      <c r="B3692" s="15" t="s">
        <v>814</v>
      </c>
      <c r="C3692" s="17">
        <v>5</v>
      </c>
      <c r="D3692" s="18"/>
      <c r="E3692" s="17" t="s">
        <v>805</v>
      </c>
      <c r="F3692" s="17" t="s">
        <v>201</v>
      </c>
      <c r="G3692" s="18"/>
      <c r="H3692" s="18"/>
    </row>
    <row r="3693" spans="1:8" ht="13.2">
      <c r="A3693" s="19" t="str">
        <f>HYPERLINK("https://atcoder.jp/contests/abc155/tasks/abc155_d","AtCoder155-ABC-D")</f>
        <v>AtCoder155-ABC-D</v>
      </c>
      <c r="B3693" s="20" t="s">
        <v>864</v>
      </c>
      <c r="C3693" s="21">
        <v>5</v>
      </c>
      <c r="D3693" s="18"/>
      <c r="E3693" s="17" t="s">
        <v>805</v>
      </c>
      <c r="F3693" s="17" t="s">
        <v>201</v>
      </c>
      <c r="G3693" s="18"/>
      <c r="H3693" s="18"/>
    </row>
    <row r="3694" spans="1:8" ht="13.2">
      <c r="A3694" s="19" t="str">
        <f>HYPERLINK("http://codeforces.com/contest/985/problem/D","CF985-D12-D")</f>
        <v>CF985-D12-D</v>
      </c>
      <c r="B3694" s="20" t="s">
        <v>818</v>
      </c>
      <c r="C3694" s="21">
        <v>5</v>
      </c>
      <c r="D3694" s="18"/>
      <c r="E3694" s="17" t="s">
        <v>805</v>
      </c>
      <c r="F3694" s="17" t="s">
        <v>201</v>
      </c>
      <c r="G3694" s="18"/>
      <c r="H3694" s="18"/>
    </row>
    <row r="3695" spans="1:8" ht="13.2">
      <c r="A3695" s="19" t="str">
        <f>HYPERLINK("https://codeforces.com/contest/1260/problem/D","CF1260-D12-D")</f>
        <v>CF1260-D12-D</v>
      </c>
      <c r="B3695" s="20" t="s">
        <v>865</v>
      </c>
      <c r="C3695" s="21">
        <v>5</v>
      </c>
      <c r="D3695" s="18"/>
      <c r="E3695" s="17" t="s">
        <v>805</v>
      </c>
      <c r="F3695" s="17" t="s">
        <v>201</v>
      </c>
      <c r="G3695" s="18"/>
      <c r="H3695" s="18"/>
    </row>
    <row r="3696" spans="1:8" ht="13.2">
      <c r="A3696" s="15" t="s">
        <v>5391</v>
      </c>
      <c r="B3696" s="29" t="s">
        <v>5392</v>
      </c>
      <c r="C3696" s="31">
        <v>5</v>
      </c>
      <c r="D3696" s="26" t="str">
        <f>HYPERLINK("https://github.com/achrafmam2/CompetitiveProgramming/blob/master/Topcoder/SRM537-D2-1000.cc","SolToMe")</f>
        <v>SolToMe</v>
      </c>
      <c r="E3696" s="17" t="s">
        <v>5346</v>
      </c>
      <c r="F3696" s="17" t="s">
        <v>201</v>
      </c>
      <c r="G3696" s="18"/>
      <c r="H3696" s="18"/>
    </row>
    <row r="3697" spans="1:8" ht="13.2">
      <c r="A3697" s="15" t="s">
        <v>5393</v>
      </c>
      <c r="B3697" s="29" t="s">
        <v>5394</v>
      </c>
      <c r="C3697" s="17">
        <v>5</v>
      </c>
      <c r="D3697" s="26" t="str">
        <f>HYPERLINK("https://github.com/BRAINOOO/CompetitiveProgramming/blob/master/UVA/V-124/UVA%2012461.Cpp","Sol")</f>
        <v>Sol</v>
      </c>
      <c r="E3697" s="17" t="s">
        <v>5346</v>
      </c>
      <c r="F3697" s="17" t="s">
        <v>201</v>
      </c>
      <c r="G3697" s="18"/>
      <c r="H3697" s="18"/>
    </row>
    <row r="3698" spans="1:8" ht="13.2">
      <c r="A3698" s="19" t="str">
        <f>HYPERLINK("https://uva.onlinejudge.org/index.php?option=com_onlinejudge&amp;Itemid=8&amp;page=show_problem&amp;problem=1360","UVA 10419")</f>
        <v>UVA 10419</v>
      </c>
      <c r="B3698" s="29" t="s">
        <v>5456</v>
      </c>
      <c r="C3698" s="17">
        <v>5</v>
      </c>
      <c r="D3698" s="26" t="str">
        <f>HYPERLINK("https://github.com/BRAINOOOO/CompetitiveProgramming/blob/master/UVA/V-104/UVA%2010419.Cpp","Sol")</f>
        <v>Sol</v>
      </c>
      <c r="E3698" s="17" t="s">
        <v>5414</v>
      </c>
      <c r="F3698" s="17" t="s">
        <v>201</v>
      </c>
      <c r="G3698" s="18"/>
      <c r="H3698" s="18"/>
    </row>
    <row r="3699" spans="1:8" ht="13.2">
      <c r="A3699" s="19" t="str">
        <f>HYPERLINK("http://codeforces.com/gym/101778","CF101778-GYM-C")</f>
        <v>CF101778-GYM-C</v>
      </c>
      <c r="B3699" s="15" t="s">
        <v>5596</v>
      </c>
      <c r="C3699" s="17">
        <v>5</v>
      </c>
      <c r="D3699" s="26" t="str">
        <f>HYPERLINK("https://github.com/SpeedOfMagic/CompetitiveProgramming/blob/master/CodeforcesGym/CF101778-GYM-C.cpp","Sol")</f>
        <v>Sol</v>
      </c>
      <c r="E3699" s="17" t="s">
        <v>5575</v>
      </c>
      <c r="F3699" s="17" t="s">
        <v>201</v>
      </c>
      <c r="G3699" s="18"/>
      <c r="H3699" s="18"/>
    </row>
    <row r="3700" spans="1:8" ht="13.2">
      <c r="A3700" s="15" t="s">
        <v>2297</v>
      </c>
      <c r="B3700" s="29" t="s">
        <v>2203</v>
      </c>
      <c r="C3700" s="33">
        <v>5</v>
      </c>
      <c r="D3700" s="18"/>
      <c r="E3700" s="17" t="s">
        <v>2153</v>
      </c>
      <c r="F3700" s="17" t="s">
        <v>358</v>
      </c>
      <c r="G3700" s="18"/>
      <c r="H3700" s="18"/>
    </row>
    <row r="3701" spans="1:8" ht="13.2">
      <c r="A3701" s="19" t="str">
        <f>HYPERLINK("http://codeforces.com/contest/143/problem/D","CF143-D2-D")</f>
        <v>CF143-D2-D</v>
      </c>
      <c r="B3701" s="29" t="s">
        <v>4791</v>
      </c>
      <c r="C3701" s="17">
        <v>5</v>
      </c>
      <c r="D3701" s="18"/>
      <c r="E3701" s="17" t="s">
        <v>4778</v>
      </c>
      <c r="F3701" s="17" t="s">
        <v>358</v>
      </c>
      <c r="G3701" s="18"/>
      <c r="H3701" s="18"/>
    </row>
    <row r="3702" spans="1:8" ht="13.2">
      <c r="A3702" s="15" t="s">
        <v>2298</v>
      </c>
      <c r="B3702" s="29" t="s">
        <v>2299</v>
      </c>
      <c r="C3702" s="17">
        <v>5</v>
      </c>
      <c r="D3702" s="18"/>
      <c r="E3702" s="24" t="s">
        <v>2153</v>
      </c>
      <c r="F3702" s="17" t="s">
        <v>436</v>
      </c>
      <c r="G3702" s="18"/>
      <c r="H3702" s="18"/>
    </row>
    <row r="3703" spans="1:8" ht="13.2">
      <c r="A3703" s="15" t="s">
        <v>535</v>
      </c>
      <c r="B3703" s="18" t="s">
        <v>536</v>
      </c>
      <c r="C3703" s="17">
        <v>5</v>
      </c>
      <c r="D3703" s="26" t="str">
        <f>HYPERLINK("http://ideone.com/0FAHJa","Sol")</f>
        <v>Sol</v>
      </c>
      <c r="E3703" s="17" t="s">
        <v>503</v>
      </c>
      <c r="F3703" s="17" t="s">
        <v>537</v>
      </c>
      <c r="G3703" s="18"/>
      <c r="H3703" s="18"/>
    </row>
    <row r="3704" spans="1:8" ht="13.2">
      <c r="A3704" s="15" t="s">
        <v>3401</v>
      </c>
      <c r="B3704" s="29" t="s">
        <v>3402</v>
      </c>
      <c r="C3704" s="24">
        <v>5</v>
      </c>
      <c r="D3704" s="18"/>
      <c r="E3704" s="17" t="s">
        <v>3257</v>
      </c>
      <c r="F3704" s="17" t="s">
        <v>537</v>
      </c>
      <c r="G3704" s="18"/>
      <c r="H3704" s="18"/>
    </row>
    <row r="3705" spans="1:8" ht="13.2">
      <c r="A3705" s="19" t="str">
        <f>HYPERLINK("http://codeforces.com/contest/344/problem/D","CF344-D2-D")</f>
        <v>CF344-D2-D</v>
      </c>
      <c r="B3705" s="29" t="s">
        <v>124</v>
      </c>
      <c r="C3705" s="17">
        <v>5</v>
      </c>
      <c r="D3705" s="18"/>
      <c r="E3705" s="17" t="s">
        <v>125</v>
      </c>
      <c r="F3705" s="17" t="s">
        <v>242</v>
      </c>
      <c r="G3705" s="18"/>
      <c r="H3705" s="18"/>
    </row>
    <row r="3706" spans="1:8" ht="13.2">
      <c r="A3706" s="15" t="s">
        <v>243</v>
      </c>
      <c r="B3706" s="34" t="s">
        <v>244</v>
      </c>
      <c r="C3706" s="31">
        <v>5</v>
      </c>
      <c r="D3706" s="18"/>
      <c r="E3706" s="17" t="s">
        <v>125</v>
      </c>
      <c r="F3706" s="17" t="s">
        <v>242</v>
      </c>
      <c r="G3706" s="18"/>
      <c r="H3706" s="18"/>
    </row>
    <row r="3707" spans="1:8" ht="13.2">
      <c r="A3707" s="19" t="str">
        <f>HYPERLINK("http://codeforces.com/contest/1005/problem/E1","CF1005-D3-E1")</f>
        <v>CF1005-D3-E1</v>
      </c>
      <c r="B3707" s="20" t="s">
        <v>245</v>
      </c>
      <c r="C3707" s="21">
        <v>5</v>
      </c>
      <c r="D3707" s="18"/>
      <c r="E3707" s="17" t="s">
        <v>125</v>
      </c>
      <c r="F3707" s="17" t="s">
        <v>242</v>
      </c>
      <c r="G3707" s="18"/>
      <c r="H3707" s="18"/>
    </row>
    <row r="3708" spans="1:8" ht="13.2">
      <c r="A3708" s="15" t="s">
        <v>5682</v>
      </c>
      <c r="B3708" s="18" t="s">
        <v>5683</v>
      </c>
      <c r="C3708" s="17">
        <v>5</v>
      </c>
      <c r="D3708" s="18"/>
      <c r="E3708" s="17" t="s">
        <v>5643</v>
      </c>
      <c r="F3708" s="17" t="s">
        <v>242</v>
      </c>
      <c r="G3708" s="18"/>
      <c r="H3708" s="18"/>
    </row>
    <row r="3709" spans="1:8" ht="13.2">
      <c r="A3709" s="15" t="s">
        <v>5684</v>
      </c>
      <c r="B3709" s="28" t="s">
        <v>5685</v>
      </c>
      <c r="C3709" s="24">
        <v>5</v>
      </c>
      <c r="D3709" s="26" t="str">
        <f>HYPERLINK("https://github.com/ilyesG/Competitive-Programming/blob/master/UVA/UVA%201401.cpp","Sol")</f>
        <v>Sol</v>
      </c>
      <c r="E3709" s="17" t="s">
        <v>5643</v>
      </c>
      <c r="F3709" s="17" t="s">
        <v>242</v>
      </c>
      <c r="G3709" s="18"/>
      <c r="H3709" s="18"/>
    </row>
    <row r="3710" spans="1:8" ht="13.2">
      <c r="A3710" s="19" t="str">
        <f>HYPERLINK("http://codeforces.com/contest/535/problem/D","CF535-D2-D")</f>
        <v>CF535-D2-D</v>
      </c>
      <c r="B3710" s="29" t="s">
        <v>5730</v>
      </c>
      <c r="C3710" s="17">
        <v>5</v>
      </c>
      <c r="D3710" s="18"/>
      <c r="E3710" s="17" t="s">
        <v>5702</v>
      </c>
      <c r="F3710" s="17" t="s">
        <v>242</v>
      </c>
      <c r="G3710" s="18"/>
      <c r="H3710" s="18"/>
    </row>
    <row r="3711" spans="1:8" ht="13.2">
      <c r="A3711" s="19" t="str">
        <f>HYPERLINK("https://www.hackerearth.com/practice/algorithms/searching/binary-search/practice-problems/algorithm/kriti-and-her-birthday-gift/","HACKER kriti-and-her-birthday-gift")</f>
        <v>HACKER kriti-and-her-birthday-gift</v>
      </c>
      <c r="B3711" s="38" t="s">
        <v>5868</v>
      </c>
      <c r="C3711" s="17">
        <v>5</v>
      </c>
      <c r="D3711" s="18"/>
      <c r="E3711" s="17" t="s">
        <v>5857</v>
      </c>
      <c r="F3711" s="17" t="s">
        <v>242</v>
      </c>
      <c r="G3711" s="18"/>
      <c r="H3711" s="18"/>
    </row>
    <row r="3712" spans="1:8" ht="13.2">
      <c r="A3712" s="19" t="str">
        <f>HYPERLINK("https://www.codechef.com/problems/IITI15","CODECHEF IITI15")</f>
        <v>CODECHEF IITI15</v>
      </c>
      <c r="B3712" s="38" t="s">
        <v>5939</v>
      </c>
      <c r="C3712" s="17">
        <v>5</v>
      </c>
      <c r="D3712" s="18"/>
      <c r="E3712" s="17" t="s">
        <v>5915</v>
      </c>
      <c r="F3712" s="17" t="s">
        <v>242</v>
      </c>
      <c r="G3712" s="18"/>
      <c r="H3712" s="18"/>
    </row>
    <row r="3713" spans="1:8" ht="13.2">
      <c r="A3713" s="19" t="str">
        <f>HYPERLINK("http://codeforces.com/contest/350/problem/E","CF350-D2-E")</f>
        <v>CF350-D2-E</v>
      </c>
      <c r="B3713" s="15" t="s">
        <v>5988</v>
      </c>
      <c r="C3713" s="24">
        <v>5</v>
      </c>
      <c r="D3713" s="18"/>
      <c r="E3713" s="17" t="s">
        <v>5958</v>
      </c>
      <c r="F3713" s="17" t="s">
        <v>242</v>
      </c>
      <c r="G3713" s="18"/>
      <c r="H3713" s="18"/>
    </row>
    <row r="3714" spans="1:8" ht="13.2">
      <c r="A3714" s="19" t="str">
        <f>HYPERLINK("http://codeforces.com/contest/405/problem/C","CF405-D2-C")</f>
        <v>CF405-D2-C</v>
      </c>
      <c r="B3714" s="29" t="s">
        <v>5989</v>
      </c>
      <c r="C3714" s="17">
        <v>5</v>
      </c>
      <c r="D3714" s="18"/>
      <c r="E3714" s="17" t="s">
        <v>5958</v>
      </c>
      <c r="F3714" s="17" t="s">
        <v>242</v>
      </c>
      <c r="G3714" s="18"/>
      <c r="H3714" s="18"/>
    </row>
    <row r="3715" spans="1:8" ht="13.2">
      <c r="A3715" s="15" t="s">
        <v>972</v>
      </c>
      <c r="B3715" s="34" t="s">
        <v>973</v>
      </c>
      <c r="C3715" s="31">
        <v>5</v>
      </c>
      <c r="D3715" s="18"/>
      <c r="E3715" s="17" t="s">
        <v>951</v>
      </c>
      <c r="F3715" s="17" t="s">
        <v>242</v>
      </c>
      <c r="G3715" s="18"/>
      <c r="H3715" s="18"/>
    </row>
    <row r="3716" spans="1:8" ht="13.2">
      <c r="A3716" s="19" t="str">
        <f>HYPERLINK("https://codeforces.com/problemset/problem/61/E","CF61-D2-E")</f>
        <v>CF61-D2-E</v>
      </c>
      <c r="B3716" s="15" t="s">
        <v>1195</v>
      </c>
      <c r="C3716" s="17">
        <v>5</v>
      </c>
      <c r="D3716" s="26" t="str">
        <f>HYPERLINK("https://github.com/SpeedOfMagic/CompetitiveProgramming/blob/master/Codeforces/CF61-D2-E.cpp","Sol")</f>
        <v>Sol</v>
      </c>
      <c r="E3716" s="17" t="s">
        <v>1018</v>
      </c>
      <c r="F3716" s="17" t="s">
        <v>242</v>
      </c>
      <c r="G3716" s="18"/>
      <c r="H3716" s="18"/>
    </row>
    <row r="3717" spans="1:8" ht="13.2">
      <c r="A3717" s="19" t="str">
        <f>HYPERLINK("https://github.com/TheRealImaginary/CompetitiveProgramming/blob/master/PKU/PKU_2019_Cornfields.java","PKU 2019")</f>
        <v>PKU 2019</v>
      </c>
      <c r="B3717" s="28" t="s">
        <v>1196</v>
      </c>
      <c r="C3717" s="24">
        <v>5</v>
      </c>
      <c r="D3717" s="26" t="str">
        <f>HYPERLINK("https://github.com/MedoN11/CompetitiveProgramming/blob/master/POJ/2019.cpp","Sol")</f>
        <v>Sol</v>
      </c>
      <c r="E3717" s="17" t="s">
        <v>1018</v>
      </c>
      <c r="F3717" s="17" t="s">
        <v>242</v>
      </c>
      <c r="G3717" s="18"/>
      <c r="H3717" s="18"/>
    </row>
    <row r="3718" spans="1:8" ht="13.2">
      <c r="A3718" s="19" t="str">
        <f>HYPERLINK("https://www.hackerrank.com/contests/101hack52/challenges/car-show","HACKR car-show")</f>
        <v>HACKR car-show</v>
      </c>
      <c r="B3718" s="18" t="s">
        <v>1122</v>
      </c>
      <c r="C3718" s="17">
        <v>5</v>
      </c>
      <c r="D3718" s="18"/>
      <c r="E3718" s="17" t="s">
        <v>1018</v>
      </c>
      <c r="F3718" s="17" t="s">
        <v>242</v>
      </c>
      <c r="G3718" s="18"/>
      <c r="H3718" s="18"/>
    </row>
    <row r="3719" spans="1:8" ht="13.2">
      <c r="A3719" s="19" t="str">
        <f>HYPERLINK("https://uva.onlinejudge.org/index.php?option=com_onlinejudge&amp;Itemid=8&amp;page=show_problem&amp;problem=2397","UVA 11402")</f>
        <v>UVA 11402</v>
      </c>
      <c r="B3719" s="29" t="s">
        <v>1197</v>
      </c>
      <c r="C3719" s="17">
        <v>5</v>
      </c>
      <c r="D3719" s="26" t="str">
        <f>HYPERLINK("https://github.com/hosamk92/CompetitiveProgramming/blob/master/UVA/UVA%2011402.cpp","Sol")</f>
        <v>Sol</v>
      </c>
      <c r="E3719" s="17" t="s">
        <v>1018</v>
      </c>
      <c r="F3719" s="17" t="s">
        <v>242</v>
      </c>
      <c r="G3719" s="18"/>
      <c r="H3719" s="18"/>
    </row>
    <row r="3720" spans="1:8" ht="13.2">
      <c r="A3720" s="19" t="str">
        <f>HYPERLINK("https://www.hackerearth.com/practice/data-structures/queues/basics-of-queues/practice-problems/algorithm/weird-planet-2000a170/","HACKER weird-planet-2000a170")</f>
        <v>HACKER weird-planet-2000a170</v>
      </c>
      <c r="B3720" s="18" t="s">
        <v>1198</v>
      </c>
      <c r="C3720" s="17">
        <v>5</v>
      </c>
      <c r="D3720" s="18"/>
      <c r="E3720" s="17" t="s">
        <v>1018</v>
      </c>
      <c r="F3720" s="17" t="s">
        <v>242</v>
      </c>
      <c r="G3720" s="18"/>
      <c r="H3720" s="18"/>
    </row>
    <row r="3721" spans="1:8" ht="13.2">
      <c r="A3721" s="19" t="str">
        <f>HYPERLINK("http://codeforces.com/contest/743/problem/D","CF743-D2-D")</f>
        <v>CF743-D2-D</v>
      </c>
      <c r="B3721" s="29" t="s">
        <v>6458</v>
      </c>
      <c r="C3721" s="17">
        <v>5</v>
      </c>
      <c r="D3721" s="18"/>
      <c r="E3721" s="17" t="s">
        <v>6459</v>
      </c>
      <c r="F3721" s="17" t="s">
        <v>242</v>
      </c>
      <c r="G3721" s="18"/>
      <c r="H3721" s="18"/>
    </row>
    <row r="3722" spans="1:8" ht="13.2">
      <c r="A3722" s="15" t="s">
        <v>1301</v>
      </c>
      <c r="B3722" s="28" t="s">
        <v>1302</v>
      </c>
      <c r="C3722" s="17">
        <v>5</v>
      </c>
      <c r="D3722" s="18" t="s">
        <v>1272</v>
      </c>
      <c r="E3722" s="17" t="s">
        <v>1223</v>
      </c>
      <c r="F3722" s="17" t="s">
        <v>242</v>
      </c>
      <c r="G3722" s="18"/>
      <c r="H3722" s="18"/>
    </row>
    <row r="3723" spans="1:8" ht="13.2">
      <c r="A3723" s="19" t="str">
        <f>HYPERLINK("http://codeforces.com/contest/608/problem/C","CF608-D2-C")</f>
        <v>CF608-D2-C</v>
      </c>
      <c r="B3723" s="29" t="s">
        <v>1348</v>
      </c>
      <c r="C3723" s="17">
        <v>5</v>
      </c>
      <c r="D3723" s="18"/>
      <c r="E3723" s="17" t="s">
        <v>1337</v>
      </c>
      <c r="F3723" s="17" t="s">
        <v>242</v>
      </c>
      <c r="G3723" s="18"/>
      <c r="H3723" s="18"/>
    </row>
    <row r="3724" spans="1:8" ht="13.2">
      <c r="A3724" s="15" t="s">
        <v>1576</v>
      </c>
      <c r="B3724" s="30" t="s">
        <v>1577</v>
      </c>
      <c r="C3724" s="17">
        <v>5</v>
      </c>
      <c r="D3724" s="26" t="str">
        <f>HYPERLINK("https://github.com/StavrosChryselis/spoj/blob/master/FATAWY.cpp","Sol")</f>
        <v>Sol</v>
      </c>
      <c r="E3724" s="17" t="s">
        <v>1337</v>
      </c>
      <c r="F3724" s="17" t="s">
        <v>242</v>
      </c>
      <c r="G3724" s="18"/>
      <c r="H3724" s="18"/>
    </row>
    <row r="3725" spans="1:8" ht="13.2">
      <c r="A3725" s="15" t="s">
        <v>1578</v>
      </c>
      <c r="B3725" s="35" t="s">
        <v>1579</v>
      </c>
      <c r="C3725" s="40">
        <v>5</v>
      </c>
      <c r="D3725" s="18"/>
      <c r="E3725" s="17" t="s">
        <v>1337</v>
      </c>
      <c r="F3725" s="17" t="s">
        <v>242</v>
      </c>
      <c r="G3725" s="18"/>
      <c r="H3725" s="18"/>
    </row>
    <row r="3726" spans="1:8" ht="13.2">
      <c r="A3726" s="15" t="s">
        <v>1580</v>
      </c>
      <c r="B3726" s="34" t="s">
        <v>1581</v>
      </c>
      <c r="C3726" s="31">
        <v>5</v>
      </c>
      <c r="D3726" s="18"/>
      <c r="E3726" s="17" t="s">
        <v>1337</v>
      </c>
      <c r="F3726" s="17" t="s">
        <v>242</v>
      </c>
      <c r="G3726" s="18"/>
      <c r="H3726" s="18"/>
    </row>
    <row r="3727" spans="1:8" ht="13.2">
      <c r="A3727" s="19" t="str">
        <f>HYPERLINK("http://codeforces.com/contest/252/problem/D","CF252-D2-D")</f>
        <v>CF252-D2-D</v>
      </c>
      <c r="B3727" s="29" t="s">
        <v>415</v>
      </c>
      <c r="C3727" s="17">
        <v>5</v>
      </c>
      <c r="D3727" s="18"/>
      <c r="E3727" s="17" t="s">
        <v>332</v>
      </c>
      <c r="F3727" s="17" t="s">
        <v>242</v>
      </c>
      <c r="G3727" s="18"/>
      <c r="H3727" s="18"/>
    </row>
    <row r="3728" spans="1:8" ht="13.2">
      <c r="A3728" s="19" t="str">
        <f>HYPERLINK("https://onlinejudge.org/index.php?option=onlinejudge&amp;Itemid=8&amp;page=show_problem&amp;problem=3665","UVA 10918")</f>
        <v>UVA 10918</v>
      </c>
      <c r="B3728" s="28" t="s">
        <v>1783</v>
      </c>
      <c r="C3728" s="24">
        <v>5</v>
      </c>
      <c r="D3728" s="26" t="str">
        <f>HYPERLINK("https://algorithmist.com/wiki/UVa_10918","Sol")</f>
        <v>Sol</v>
      </c>
      <c r="E3728" s="17" t="s">
        <v>1768</v>
      </c>
      <c r="F3728" s="17" t="s">
        <v>242</v>
      </c>
      <c r="G3728" s="18"/>
      <c r="H3728" s="18"/>
    </row>
    <row r="3729" spans="1:8" ht="13.2">
      <c r="A3729" s="15" t="s">
        <v>2003</v>
      </c>
      <c r="B3729" s="41" t="s">
        <v>2004</v>
      </c>
      <c r="C3729" s="17">
        <v>5</v>
      </c>
      <c r="D3729" s="18"/>
      <c r="E3729" s="17" t="s">
        <v>1989</v>
      </c>
      <c r="F3729" s="17" t="s">
        <v>242</v>
      </c>
      <c r="G3729" s="18"/>
      <c r="H3729" s="18"/>
    </row>
    <row r="3730" spans="1:8" ht="13.2">
      <c r="A3730" s="15" t="s">
        <v>2060</v>
      </c>
      <c r="B3730" s="41" t="s">
        <v>2061</v>
      </c>
      <c r="C3730" s="31">
        <v>5</v>
      </c>
      <c r="D3730" s="26" t="str">
        <f>HYPERLINK("https://github.com/mostafa-saad/MyCompetitiveProgramming/blob/master/UVA/UVA_12179.txt","Sol")</f>
        <v>Sol</v>
      </c>
      <c r="E3730" s="17" t="s">
        <v>2026</v>
      </c>
      <c r="F3730" s="17" t="s">
        <v>242</v>
      </c>
      <c r="G3730" s="18"/>
      <c r="H3730" s="18"/>
    </row>
    <row r="3731" spans="1:8" ht="13.2">
      <c r="A3731" s="15" t="s">
        <v>2300</v>
      </c>
      <c r="B3731" s="41" t="s">
        <v>2301</v>
      </c>
      <c r="C3731" s="31">
        <v>5</v>
      </c>
      <c r="D3731" s="26" t="str">
        <f>HYPERLINK("https://github.com/mostafa-saad/MyCompetitiveProgramming/blob/master/SPOJ/SPOJ_SAM.txt","Sol")</f>
        <v>Sol</v>
      </c>
      <c r="E3731" s="17" t="s">
        <v>2153</v>
      </c>
      <c r="F3731" s="17" t="s">
        <v>242</v>
      </c>
      <c r="G3731" s="18"/>
      <c r="H3731" s="18"/>
    </row>
    <row r="3732" spans="1:8" ht="13.2">
      <c r="A3732" s="19" t="str">
        <f>HYPERLINK("http://codeforces.com/contest/954/problem/E","CF954-D2-E")</f>
        <v>CF954-D2-E</v>
      </c>
      <c r="B3732" s="20" t="s">
        <v>2302</v>
      </c>
      <c r="C3732" s="17">
        <v>5</v>
      </c>
      <c r="D3732" s="18"/>
      <c r="E3732" s="17" t="s">
        <v>2153</v>
      </c>
      <c r="F3732" s="17" t="s">
        <v>242</v>
      </c>
      <c r="G3732" s="18"/>
      <c r="H3732" s="18"/>
    </row>
    <row r="3733" spans="1:8" ht="13.2">
      <c r="A3733" s="19" t="str">
        <f>HYPERLINK("http://codeforces.com/contest/227/problem/D","CF227-D2-D")</f>
        <v>CF227-D2-D</v>
      </c>
      <c r="B3733" s="29" t="s">
        <v>2303</v>
      </c>
      <c r="C3733" s="17">
        <v>5</v>
      </c>
      <c r="D3733" s="18"/>
      <c r="E3733" s="17" t="s">
        <v>2153</v>
      </c>
      <c r="F3733" s="17" t="s">
        <v>242</v>
      </c>
      <c r="G3733" s="18"/>
      <c r="H3733" s="18"/>
    </row>
    <row r="3734" spans="1:8" ht="13.2">
      <c r="A3734" s="15" t="s">
        <v>2421</v>
      </c>
      <c r="B3734" s="28" t="s">
        <v>2422</v>
      </c>
      <c r="C3734" s="24">
        <v>5</v>
      </c>
      <c r="D3734" s="26" t="str">
        <f>HYPERLINK("https://pastebin.com/udLvZbc9","Sol")</f>
        <v>Sol</v>
      </c>
      <c r="E3734" s="17" t="s">
        <v>2394</v>
      </c>
      <c r="F3734" s="17" t="s">
        <v>242</v>
      </c>
      <c r="G3734" s="18"/>
      <c r="H3734" s="18"/>
    </row>
    <row r="3735" spans="1:8" ht="13.2">
      <c r="A3735" s="19" t="str">
        <f>HYPERLINK("https://www.hackerearth.com/fr/practice/algorithms/dynamic-programming/2-dimensional/practice-problems/algorithm/prime-game-1-2604365b/","HACKER prime-game-1")</f>
        <v>HACKER prime-game-1</v>
      </c>
      <c r="B3735" s="15" t="s">
        <v>2494</v>
      </c>
      <c r="C3735" s="17">
        <v>5</v>
      </c>
      <c r="D3735" s="18"/>
      <c r="E3735" s="17" t="s">
        <v>2467</v>
      </c>
      <c r="F3735" s="17" t="s">
        <v>242</v>
      </c>
      <c r="G3735" s="18"/>
      <c r="H3735" s="18"/>
    </row>
    <row r="3736" spans="1:8" ht="13.2">
      <c r="A3736" s="15" t="s">
        <v>2694</v>
      </c>
      <c r="B3736" s="30" t="s">
        <v>2695</v>
      </c>
      <c r="C3736" s="24">
        <v>5</v>
      </c>
      <c r="D3736" s="26" t="str">
        <f>HYPERLINK("https://github.com/morris821028/UVa/blob/master/volume105/10545%20-%20Maximal%20Quadrilateral.cpp","Sol")</f>
        <v>Sol</v>
      </c>
      <c r="E3736" s="17" t="s">
        <v>2510</v>
      </c>
      <c r="F3736" s="17" t="s">
        <v>242</v>
      </c>
      <c r="G3736" s="18"/>
      <c r="H3736" s="18"/>
    </row>
    <row r="3737" spans="1:8" ht="13.2">
      <c r="A3737" s="15" t="s">
        <v>2696</v>
      </c>
      <c r="B3737" s="15" t="s">
        <v>2697</v>
      </c>
      <c r="C3737" s="24">
        <v>5</v>
      </c>
      <c r="D3737" s="26" t="str">
        <f>HYPERLINK("https://github.com/mostafa-saad/MyCompetitiveProgramming/blob/master/UVA/UVA_10250.txt","Sol")</f>
        <v>Sol</v>
      </c>
      <c r="E3737" s="17" t="s">
        <v>2510</v>
      </c>
      <c r="F3737" s="17" t="s">
        <v>242</v>
      </c>
      <c r="G3737" s="18"/>
      <c r="H3737" s="18"/>
    </row>
    <row r="3738" spans="1:8" ht="13.2">
      <c r="A3738" s="15" t="s">
        <v>2847</v>
      </c>
      <c r="B3738" s="28" t="s">
        <v>2800</v>
      </c>
      <c r="C3738" s="24">
        <v>5</v>
      </c>
      <c r="D3738" s="26" t="str">
        <f>HYPERLINK("https://github.com/ryuzmukhametov/CompetitiveProgramming/blob/master/uva/UVA%2010439.cpp", "Sol")</f>
        <v>Sol</v>
      </c>
      <c r="E3738" s="17" t="s">
        <v>2798</v>
      </c>
      <c r="F3738" s="17" t="s">
        <v>242</v>
      </c>
      <c r="G3738" s="18"/>
      <c r="H3738" s="18"/>
    </row>
    <row r="3739" spans="1:8" ht="13.2">
      <c r="A3739" s="15" t="s">
        <v>631</v>
      </c>
      <c r="B3739" s="30" t="s">
        <v>632</v>
      </c>
      <c r="C3739" s="24">
        <v>5</v>
      </c>
      <c r="D3739" s="18"/>
      <c r="E3739" s="17" t="s">
        <v>575</v>
      </c>
      <c r="F3739" s="17" t="s">
        <v>242</v>
      </c>
      <c r="G3739" s="18"/>
      <c r="H3739" s="18"/>
    </row>
    <row r="3740" spans="1:8" ht="13.2">
      <c r="A3740" s="15" t="s">
        <v>3105</v>
      </c>
      <c r="B3740" s="30" t="s">
        <v>3073</v>
      </c>
      <c r="C3740" s="24">
        <v>5</v>
      </c>
      <c r="D3740" s="26" t="str">
        <f>HYPERLINK("https://github.com/MeGaCrazy/CompetitiveProgramming/blob/bec564a6ceb521c881f45109cf287c3ade0b7048/SPOJ/SPOJ_VMILI.cpp","Sol")</f>
        <v>Sol</v>
      </c>
      <c r="E3740" s="17" t="s">
        <v>3065</v>
      </c>
      <c r="F3740" s="17" t="s">
        <v>242</v>
      </c>
      <c r="G3740" s="18"/>
      <c r="H3740" s="18"/>
    </row>
    <row r="3741" spans="1:8" ht="13.2">
      <c r="A3741" s="15" t="s">
        <v>3106</v>
      </c>
      <c r="B3741" s="30" t="s">
        <v>3073</v>
      </c>
      <c r="C3741" s="24">
        <v>5</v>
      </c>
      <c r="D3741" s="26" t="str">
        <f>HYPERLINK("https://github.com/MeGaCrazy/CompetitiveProgramming/blob/53a480a068a190154a3b9a10ad0068d7d8082f3c/UVA/UVA_109.cpp","Sol")</f>
        <v>Sol</v>
      </c>
      <c r="E3741" s="17" t="s">
        <v>3065</v>
      </c>
      <c r="F3741" s="17" t="s">
        <v>242</v>
      </c>
      <c r="G3741" s="18"/>
      <c r="H3741" s="18"/>
    </row>
    <row r="3742" spans="1:8" ht="13.2">
      <c r="A3742" s="19" t="str">
        <f>HYPERLINK("http://codeforces.com/contest/65/problem/C","CF65-D12-C")</f>
        <v>CF65-D12-C</v>
      </c>
      <c r="B3742" s="29" t="s">
        <v>3245</v>
      </c>
      <c r="C3742" s="24">
        <v>5</v>
      </c>
      <c r="D3742" s="18"/>
      <c r="E3742" s="17" t="s">
        <v>3214</v>
      </c>
      <c r="F3742" s="17" t="s">
        <v>242</v>
      </c>
      <c r="G3742" s="18"/>
      <c r="H3742" s="18"/>
    </row>
    <row r="3743" spans="1:8" ht="13.2">
      <c r="A3743" s="19" t="str">
        <f>HYPERLINK("http://codeforces.com/problemset/problem/786/A","CF786-D1-A")</f>
        <v>CF786-D1-A</v>
      </c>
      <c r="B3743" s="15" t="s">
        <v>3466</v>
      </c>
      <c r="C3743" s="21">
        <v>5</v>
      </c>
      <c r="D3743" s="18"/>
      <c r="E3743" s="17" t="s">
        <v>3467</v>
      </c>
      <c r="F3743" s="17" t="s">
        <v>242</v>
      </c>
      <c r="G3743" s="18"/>
      <c r="H3743" s="18"/>
    </row>
    <row r="3744" spans="1:8" ht="13.2">
      <c r="A3744" s="15" t="s">
        <v>3562</v>
      </c>
      <c r="B3744" s="35" t="s">
        <v>3563</v>
      </c>
      <c r="C3744" s="17">
        <v>5</v>
      </c>
      <c r="D3744" s="18"/>
      <c r="E3744" s="17" t="s">
        <v>3467</v>
      </c>
      <c r="F3744" s="17" t="s">
        <v>242</v>
      </c>
      <c r="G3744" s="18"/>
      <c r="H3744" s="18"/>
    </row>
    <row r="3745" spans="1:8" ht="13.2">
      <c r="A3745" s="15" t="s">
        <v>3564</v>
      </c>
      <c r="B3745" s="18" t="s">
        <v>3565</v>
      </c>
      <c r="C3745" s="17">
        <v>5</v>
      </c>
      <c r="D3745" s="18"/>
      <c r="E3745" s="17" t="s">
        <v>3467</v>
      </c>
      <c r="F3745" s="17" t="s">
        <v>242</v>
      </c>
      <c r="G3745" s="18"/>
      <c r="H3745" s="18"/>
    </row>
    <row r="3746" spans="1:8" ht="13.2">
      <c r="A3746" s="15" t="s">
        <v>4124</v>
      </c>
      <c r="B3746" s="28" t="s">
        <v>4059</v>
      </c>
      <c r="C3746" s="24">
        <v>5</v>
      </c>
      <c r="D3746" s="18"/>
      <c r="E3746" s="24" t="s">
        <v>4060</v>
      </c>
      <c r="F3746" s="17" t="s">
        <v>242</v>
      </c>
      <c r="G3746" s="18"/>
      <c r="H3746" s="18"/>
    </row>
    <row r="3747" spans="1:8" ht="13.2">
      <c r="A3747" s="15" t="s">
        <v>4322</v>
      </c>
      <c r="B3747" s="30" t="s">
        <v>4279</v>
      </c>
      <c r="C3747" s="24">
        <v>5</v>
      </c>
      <c r="D3747" s="26" t="str">
        <f>HYPERLINK("https://github.com/ilyesG/Competitive-Programming/blob/master/UVA/UVA%201395.cpp","Sol")</f>
        <v>Sol</v>
      </c>
      <c r="E3747" s="17" t="s">
        <v>4275</v>
      </c>
      <c r="F3747" s="17" t="s">
        <v>242</v>
      </c>
      <c r="G3747" s="18"/>
      <c r="H3747" s="18"/>
    </row>
    <row r="3748" spans="1:8" ht="13.2">
      <c r="A3748" s="19" t="str">
        <f>HYPERLINK("http://codeforces.com/contest/322/problem/C","CF322-D2-C")</f>
        <v>CF322-D2-C</v>
      </c>
      <c r="B3748" s="29" t="s">
        <v>4671</v>
      </c>
      <c r="C3748" s="17">
        <v>5</v>
      </c>
      <c r="D3748" s="18"/>
      <c r="E3748" s="17" t="s">
        <v>4531</v>
      </c>
      <c r="F3748" s="17" t="s">
        <v>242</v>
      </c>
      <c r="G3748" s="18"/>
      <c r="H3748" s="18"/>
    </row>
    <row r="3749" spans="1:8" ht="13.2">
      <c r="A3749" s="19" t="str">
        <f>HYPERLINK("http://codeforces.com/contest/499/problem/C","CF499-D2-C")</f>
        <v>CF499-D2-C</v>
      </c>
      <c r="B3749" s="29" t="s">
        <v>4544</v>
      </c>
      <c r="C3749" s="17">
        <v>5</v>
      </c>
      <c r="D3749" s="18"/>
      <c r="E3749" s="17" t="s">
        <v>4531</v>
      </c>
      <c r="F3749" s="17" t="s">
        <v>242</v>
      </c>
      <c r="G3749" s="18"/>
      <c r="H3749" s="18"/>
    </row>
    <row r="3750" spans="1:8" ht="13.2">
      <c r="A3750" s="15" t="s">
        <v>4753</v>
      </c>
      <c r="B3750" s="28" t="s">
        <v>4754</v>
      </c>
      <c r="C3750" s="17">
        <v>5</v>
      </c>
      <c r="D3750" s="26" t="str">
        <f>HYPERLINK("https://github.com/mostafa-saad/MyCompetitiveProgramming/blob/master/LiveArchive/LIVEARCHIVE_3498.txt","Sol")</f>
        <v>Sol</v>
      </c>
      <c r="E3750" s="24" t="s">
        <v>4751</v>
      </c>
      <c r="F3750" s="17" t="s">
        <v>242</v>
      </c>
      <c r="G3750" s="18"/>
      <c r="H3750" s="18"/>
    </row>
    <row r="3751" spans="1:8" ht="13.2">
      <c r="A3751" s="15" t="s">
        <v>4755</v>
      </c>
      <c r="B3751" s="28" t="s">
        <v>6561</v>
      </c>
      <c r="C3751" s="17">
        <v>5</v>
      </c>
      <c r="D3751" s="26" t="str">
        <f>HYPERLINK("https://github.com/dasannagariraja/CompetitiveProgramming/blob/master/SPOJ/SPOJ%20MIB.cpp", "Sol")</f>
        <v>Sol</v>
      </c>
      <c r="E3751" s="17" t="s">
        <v>4751</v>
      </c>
      <c r="F3751" s="17" t="s">
        <v>242</v>
      </c>
      <c r="G3751" s="18"/>
      <c r="H3751" s="18"/>
    </row>
    <row r="3752" spans="1:8" ht="13.2">
      <c r="A3752" s="15" t="s">
        <v>4773</v>
      </c>
      <c r="B3752" s="28" t="s">
        <v>4774</v>
      </c>
      <c r="C3752" s="24">
        <v>5</v>
      </c>
      <c r="D3752" s="26" t="str">
        <f>HYPERLINK("https://github.com/Andres-Unt/problem_solving/blob/master/UVA/11582.cpp","Sol")</f>
        <v>Sol</v>
      </c>
      <c r="E3752" s="17" t="s">
        <v>4767</v>
      </c>
      <c r="F3752" s="17" t="s">
        <v>242</v>
      </c>
      <c r="G3752" s="18"/>
      <c r="H3752" s="18"/>
    </row>
    <row r="3753" spans="1:8" ht="13.2">
      <c r="A3753" s="19" t="str">
        <f>HYPERLINK("https://csacademy.com/contest/round-47/task/gcd-rebuild/","CSA47-C")</f>
        <v>CSA47-C</v>
      </c>
      <c r="B3753" s="15" t="s">
        <v>4812</v>
      </c>
      <c r="C3753" s="17">
        <v>5</v>
      </c>
      <c r="D3753" s="18"/>
      <c r="E3753" s="17" t="s">
        <v>4809</v>
      </c>
      <c r="F3753" s="17" t="s">
        <v>242</v>
      </c>
      <c r="G3753" s="18"/>
      <c r="H3753" s="18"/>
    </row>
    <row r="3754" spans="1:8" ht="13.2">
      <c r="A3754" s="19" t="str">
        <f>HYPERLINK("http://codeforces.com/contest/984/problem/C","CF984-D2-C")</f>
        <v>CF984-D2-C</v>
      </c>
      <c r="B3754" s="20" t="s">
        <v>4879</v>
      </c>
      <c r="C3754" s="21">
        <v>5</v>
      </c>
      <c r="D3754" s="18"/>
      <c r="E3754" s="17" t="s">
        <v>4875</v>
      </c>
      <c r="F3754" s="17" t="s">
        <v>242</v>
      </c>
      <c r="G3754" s="18"/>
      <c r="H3754" s="18"/>
    </row>
    <row r="3755" spans="1:8" ht="13.2">
      <c r="A3755" s="19" t="str">
        <f>HYPERLINK("http://codeforces.com/contest/201/problem/B","CF201-D1-B")</f>
        <v>CF201-D1-B</v>
      </c>
      <c r="B3755" s="29" t="s">
        <v>4916</v>
      </c>
      <c r="C3755" s="17">
        <v>5</v>
      </c>
      <c r="D3755" s="18"/>
      <c r="E3755" s="17" t="s">
        <v>4893</v>
      </c>
      <c r="F3755" s="17" t="s">
        <v>242</v>
      </c>
      <c r="G3755" s="18"/>
      <c r="H3755" s="18"/>
    </row>
    <row r="3756" spans="1:8" ht="13.2">
      <c r="A3756" s="19" t="str">
        <f>HYPERLINK("https://codeforces.com/contest/691/problem/E","CF691-D12-E")</f>
        <v>CF691-D12-E</v>
      </c>
      <c r="B3756" s="20" t="s">
        <v>5248</v>
      </c>
      <c r="C3756" s="17">
        <v>5</v>
      </c>
      <c r="D3756" s="18"/>
      <c r="E3756" s="17" t="s">
        <v>5246</v>
      </c>
      <c r="F3756" s="17" t="s">
        <v>242</v>
      </c>
      <c r="G3756" s="18"/>
      <c r="H3756" s="18"/>
    </row>
    <row r="3757" spans="1:8" ht="13.2">
      <c r="A3757" s="19" t="str">
        <f>HYPERLINK("http://codeforces.com/contest/1010/problem/B","CF1010-D1-B")</f>
        <v>CF1010-D1-B</v>
      </c>
      <c r="B3757" s="20" t="s">
        <v>808</v>
      </c>
      <c r="C3757" s="21">
        <v>5</v>
      </c>
      <c r="D3757" s="18"/>
      <c r="E3757" s="17" t="s">
        <v>805</v>
      </c>
      <c r="F3757" s="17" t="s">
        <v>242</v>
      </c>
      <c r="G3757" s="18"/>
      <c r="H3757" s="18"/>
    </row>
    <row r="3758" spans="1:8" ht="13.2">
      <c r="A3758" s="19" t="str">
        <f>HYPERLINK("http://codeforces.com/contest/83/problem/B","CF83-D1-B")</f>
        <v>CF83-D1-B</v>
      </c>
      <c r="B3758" s="15" t="s">
        <v>866</v>
      </c>
      <c r="C3758" s="31">
        <v>5</v>
      </c>
      <c r="D3758" s="18"/>
      <c r="E3758" s="17" t="s">
        <v>805</v>
      </c>
      <c r="F3758" s="17" t="s">
        <v>242</v>
      </c>
      <c r="G3758" s="18"/>
      <c r="H3758" s="18"/>
    </row>
    <row r="3759" spans="1:8" ht="13.2">
      <c r="A3759" s="19" t="str">
        <f>HYPERLINK("http://codeforces.com/problemset/gymProblem/100812/L","CF100812-GYM-L")</f>
        <v>CF100812-GYM-L</v>
      </c>
      <c r="B3759" s="28" t="s">
        <v>5503</v>
      </c>
      <c r="C3759" s="17">
        <v>5</v>
      </c>
      <c r="D3759" s="26" t="str">
        <f>HYPERLINK("https://github.com/AMR-KELEG/Competitive-Programming/blob/master/Codeforces/100812L.cpp","Sol")</f>
        <v>Sol</v>
      </c>
      <c r="E3759" s="17" t="s">
        <v>5501</v>
      </c>
      <c r="F3759" s="17" t="s">
        <v>242</v>
      </c>
      <c r="G3759" s="18"/>
      <c r="H3759" s="18"/>
    </row>
    <row r="3760" spans="1:8" ht="13.2">
      <c r="A3760" s="19" t="str">
        <f>HYPERLINK("https://agc003.contest.atcoder.jp/tasks/agc003_a","AtCoder003-AGC-A")</f>
        <v>AtCoder003-AGC-A</v>
      </c>
      <c r="B3760" s="15" t="s">
        <v>124</v>
      </c>
      <c r="C3760" s="17">
        <v>5</v>
      </c>
      <c r="D3760" s="18"/>
      <c r="E3760" s="17" t="s">
        <v>125</v>
      </c>
      <c r="F3760" s="17"/>
      <c r="G3760" s="18"/>
      <c r="H3760" s="18"/>
    </row>
    <row r="3761" spans="1:8" ht="13.2">
      <c r="A3761" s="19" t="str">
        <f>HYPERLINK("http://codeforces.com/problemset/gymProblem/100812/B","CF100182-GYM-B")</f>
        <v>CF100182-GYM-B</v>
      </c>
      <c r="B3761" s="15" t="s">
        <v>124</v>
      </c>
      <c r="C3761" s="17">
        <v>5</v>
      </c>
      <c r="D3761" s="18"/>
      <c r="E3761" s="17" t="s">
        <v>125</v>
      </c>
      <c r="F3761" s="17"/>
      <c r="G3761" s="18"/>
      <c r="H3761" s="18"/>
    </row>
    <row r="3762" spans="1:8" ht="13.2">
      <c r="A3762" s="19" t="str">
        <f>HYPERLINK("http://codeforces.com/contest/63/problem/D","CF63-D2-D")</f>
        <v>CF63-D2-D</v>
      </c>
      <c r="B3762" s="29" t="s">
        <v>124</v>
      </c>
      <c r="C3762" s="17">
        <v>5</v>
      </c>
      <c r="D3762" s="18"/>
      <c r="E3762" s="17" t="s">
        <v>125</v>
      </c>
      <c r="F3762" s="17"/>
      <c r="G3762" s="18"/>
      <c r="H3762" s="18"/>
    </row>
    <row r="3763" spans="1:8" ht="13.2">
      <c r="A3763" s="19" t="str">
        <f>HYPERLINK("http://codeforces.com/problemset/problem/957/D","CF957-D2-D")</f>
        <v>CF957-D2-D</v>
      </c>
      <c r="B3763" s="15" t="s">
        <v>124</v>
      </c>
      <c r="C3763" s="17">
        <v>5</v>
      </c>
      <c r="D3763" s="18"/>
      <c r="E3763" s="17" t="s">
        <v>125</v>
      </c>
      <c r="F3763" s="17"/>
      <c r="G3763" s="18"/>
      <c r="H3763" s="18"/>
    </row>
    <row r="3764" spans="1:8" ht="13.2">
      <c r="A3764" s="19" t="str">
        <f>HYPERLINK("https://www.codechef.com/problems/FRCPRT", "CODECHEF FRCPRT")</f>
        <v>CODECHEF FRCPRT</v>
      </c>
      <c r="B3764" s="29" t="s">
        <v>124</v>
      </c>
      <c r="C3764" s="21">
        <v>5</v>
      </c>
      <c r="D3764" s="18"/>
      <c r="E3764" s="17" t="s">
        <v>125</v>
      </c>
      <c r="F3764" s="17"/>
      <c r="G3764" s="18"/>
      <c r="H3764" s="18"/>
    </row>
    <row r="3765" spans="1:8" ht="13.2">
      <c r="A3765" s="19" t="str">
        <f>HYPERLINK("https://codejam.withgoogle.com/2018/challenges/0000000000007706/dashboard", "CODEJAM 18-R2-A")</f>
        <v>CODEJAM 18-R2-A</v>
      </c>
      <c r="B3765" s="20" t="s">
        <v>124</v>
      </c>
      <c r="C3765" s="21">
        <v>5</v>
      </c>
      <c r="D3765" s="26" t="str">
        <f>HYPERLINK("https://github.com/tmwilliamlin168/CompetitiveProgramming/blob/master/GoogleCodeJam/18-R2-A.java", "SolToMe")</f>
        <v>SolToMe</v>
      </c>
      <c r="E3765" s="17" t="s">
        <v>125</v>
      </c>
      <c r="F3765" s="17"/>
      <c r="G3765" s="18"/>
      <c r="H3765" s="18"/>
    </row>
    <row r="3766" spans="1:8" ht="13.2">
      <c r="A3766" s="15" t="s">
        <v>246</v>
      </c>
      <c r="B3766" s="15" t="s">
        <v>124</v>
      </c>
      <c r="C3766" s="24">
        <v>5</v>
      </c>
      <c r="D3766" s="18"/>
      <c r="E3766" s="17" t="s">
        <v>125</v>
      </c>
      <c r="F3766" s="17"/>
      <c r="G3766" s="18"/>
      <c r="H3766" s="18"/>
    </row>
    <row r="3767" spans="1:8" ht="13.2">
      <c r="A3767" s="19" t="str">
        <f>HYPERLINK("https://codeforces.com/contest/1047/problem/D","CF1047-D2-D")</f>
        <v>CF1047-D2-D</v>
      </c>
      <c r="B3767" s="15" t="s">
        <v>247</v>
      </c>
      <c r="C3767" s="17">
        <v>5</v>
      </c>
      <c r="D3767" s="18"/>
      <c r="E3767" s="17" t="s">
        <v>125</v>
      </c>
      <c r="F3767" s="17"/>
      <c r="G3767" s="18"/>
      <c r="H3767" s="18"/>
    </row>
    <row r="3768" spans="1:8" ht="13.2">
      <c r="A3768" s="19" t="str">
        <f>HYPERLINK("https://agc004.contest.atcoder.jp/tasks/agc004_c","AtCoder004-AGC-C")</f>
        <v>AtCoder004-AGC-C</v>
      </c>
      <c r="B3768" s="15" t="s">
        <v>213</v>
      </c>
      <c r="C3768" s="17">
        <v>5</v>
      </c>
      <c r="D3768" s="18"/>
      <c r="E3768" s="17" t="s">
        <v>125</v>
      </c>
      <c r="F3768" s="17"/>
      <c r="G3768" s="18"/>
      <c r="H3768" s="18"/>
    </row>
    <row r="3769" spans="1:8" ht="13.2">
      <c r="A3769" s="15" t="s">
        <v>248</v>
      </c>
      <c r="B3769" s="29" t="s">
        <v>249</v>
      </c>
      <c r="C3769" s="17">
        <v>5</v>
      </c>
      <c r="D3769" s="18"/>
      <c r="E3769" s="24" t="s">
        <v>125</v>
      </c>
      <c r="F3769" s="17"/>
      <c r="G3769" s="18"/>
      <c r="H3769" s="18"/>
    </row>
    <row r="3770" spans="1:8" ht="13.2">
      <c r="A3770" s="15" t="s">
        <v>250</v>
      </c>
      <c r="B3770" s="29" t="s">
        <v>251</v>
      </c>
      <c r="C3770" s="17">
        <v>5</v>
      </c>
      <c r="D3770" s="18"/>
      <c r="E3770" s="17" t="s">
        <v>125</v>
      </c>
      <c r="F3770" s="17"/>
      <c r="G3770" s="18"/>
      <c r="H3770" s="18"/>
    </row>
    <row r="3771" spans="1:8" ht="13.2">
      <c r="A3771" s="19" t="str">
        <f>HYPERLINK("http://codeforces.com/problemset/problem/56/C","CF56-D2-C")</f>
        <v>CF56-D2-C</v>
      </c>
      <c r="B3771" s="15" t="s">
        <v>252</v>
      </c>
      <c r="C3771" s="17">
        <v>5</v>
      </c>
      <c r="D3771" s="18"/>
      <c r="E3771" s="17" t="s">
        <v>125</v>
      </c>
      <c r="F3771" s="17"/>
      <c r="G3771" s="18"/>
      <c r="H3771" s="18"/>
    </row>
    <row r="3772" spans="1:8" ht="13.2">
      <c r="A3772" s="15" t="s">
        <v>253</v>
      </c>
      <c r="B3772" s="15" t="s">
        <v>254</v>
      </c>
      <c r="C3772" s="24">
        <v>5</v>
      </c>
      <c r="D3772" s="18"/>
      <c r="E3772" s="17" t="s">
        <v>125</v>
      </c>
      <c r="F3772" s="17"/>
      <c r="G3772" s="18"/>
      <c r="H3772" s="18"/>
    </row>
    <row r="3773" spans="1:8" ht="13.2">
      <c r="A3773" s="19" t="str">
        <f>HYPERLINK("https://codeforces.com/contest/702/problem/D","CF702-D12-D")</f>
        <v>CF702-D12-D</v>
      </c>
      <c r="B3773" s="15" t="s">
        <v>927</v>
      </c>
      <c r="C3773" s="17">
        <v>5</v>
      </c>
      <c r="D3773" s="18"/>
      <c r="E3773" s="17" t="s">
        <v>910</v>
      </c>
      <c r="F3773" s="17"/>
      <c r="G3773" s="18"/>
      <c r="H3773" s="18"/>
    </row>
    <row r="3774" spans="1:8" ht="13.2">
      <c r="A3774" s="19" t="str">
        <f>HYPERLINK("https://community.topcoder.com/stat?c=problem_statement&amp;pm=8020&amp;rd=10790","TC(MONKEYTREEDISTANCE)")</f>
        <v>TC(MONKEYTREEDISTANCE)</v>
      </c>
      <c r="B3774" s="30" t="s">
        <v>937</v>
      </c>
      <c r="C3774" s="24">
        <v>5</v>
      </c>
      <c r="D3774" s="18"/>
      <c r="E3774" s="17" t="s">
        <v>910</v>
      </c>
      <c r="F3774" s="17"/>
      <c r="G3774" s="18"/>
      <c r="H3774" s="18"/>
    </row>
    <row r="3775" spans="1:8" ht="13.2">
      <c r="A3775" s="19" t="str">
        <f>HYPERLINK("http://codeforces.com/contest/304/problem/D","CF304-D2-D")</f>
        <v>CF304-D2-D</v>
      </c>
      <c r="B3775" s="29" t="s">
        <v>938</v>
      </c>
      <c r="C3775" s="17">
        <v>5</v>
      </c>
      <c r="D3775" s="18"/>
      <c r="E3775" s="17" t="s">
        <v>910</v>
      </c>
      <c r="F3775" s="17"/>
      <c r="G3775" s="18"/>
      <c r="H3775" s="18"/>
    </row>
    <row r="3776" spans="1:8" ht="13.2">
      <c r="A3776" s="15" t="s">
        <v>939</v>
      </c>
      <c r="B3776" s="30" t="s">
        <v>940</v>
      </c>
      <c r="C3776" s="24">
        <v>5</v>
      </c>
      <c r="D3776" s="18"/>
      <c r="E3776" s="17" t="s">
        <v>910</v>
      </c>
      <c r="F3776" s="17"/>
      <c r="G3776" s="18"/>
      <c r="H3776" s="18"/>
    </row>
    <row r="3777" spans="1:8" ht="13.2">
      <c r="A3777" s="15" t="s">
        <v>5686</v>
      </c>
      <c r="B3777" s="28" t="s">
        <v>5642</v>
      </c>
      <c r="C3777" s="24">
        <v>5</v>
      </c>
      <c r="D3777" s="18"/>
      <c r="E3777" s="17" t="s">
        <v>5643</v>
      </c>
      <c r="F3777" s="17"/>
      <c r="G3777" s="18"/>
      <c r="H3777" s="18"/>
    </row>
    <row r="3778" spans="1:8" ht="13.2">
      <c r="A3778" s="15" t="s">
        <v>5687</v>
      </c>
      <c r="B3778" s="28" t="s">
        <v>5642</v>
      </c>
      <c r="C3778" s="24">
        <v>5</v>
      </c>
      <c r="D3778" s="26" t="str">
        <f>HYPERLINK("https://github.com/HosamEissa/Competitive-programming-/blob/master/UVA/12333.cpp","Sol")</f>
        <v>Sol</v>
      </c>
      <c r="E3778" s="17" t="s">
        <v>5643</v>
      </c>
      <c r="F3778" s="17"/>
      <c r="G3778" s="18"/>
      <c r="H3778" s="18"/>
    </row>
    <row r="3779" spans="1:8" ht="13.2">
      <c r="A3779" s="15" t="s">
        <v>5688</v>
      </c>
      <c r="B3779" s="28" t="s">
        <v>5660</v>
      </c>
      <c r="C3779" s="24">
        <v>5</v>
      </c>
      <c r="D3779" s="18"/>
      <c r="E3779" s="17" t="s">
        <v>5643</v>
      </c>
      <c r="F3779" s="17"/>
      <c r="G3779" s="18"/>
      <c r="H3779" s="18"/>
    </row>
    <row r="3780" spans="1:8" ht="13.2">
      <c r="A3780" s="15" t="s">
        <v>5689</v>
      </c>
      <c r="B3780" s="28" t="s">
        <v>5690</v>
      </c>
      <c r="C3780" s="17">
        <v>5</v>
      </c>
      <c r="D3780" s="26" t="str">
        <f>HYPERLINK("https://github.com/3agwa/CompetitiveProgramming/blob/master/TopCoder/SRM330-D1-500","Sol")</f>
        <v>Sol</v>
      </c>
      <c r="E3780" s="17" t="s">
        <v>5643</v>
      </c>
      <c r="F3780" s="17"/>
      <c r="G3780" s="18"/>
      <c r="H3780" s="18"/>
    </row>
    <row r="3781" spans="1:8" ht="13.2">
      <c r="A3781" s="15" t="s">
        <v>5691</v>
      </c>
      <c r="B3781" s="28" t="s">
        <v>5681</v>
      </c>
      <c r="C3781" s="24">
        <v>5</v>
      </c>
      <c r="D3781" s="26" t="str">
        <f>HYPERLINK("https://github.com/HosamEissa/Competitive-programming-/blob/master/Spoj/SUBXOR.cpp","Sol")</f>
        <v>Sol</v>
      </c>
      <c r="E3781" s="17" t="s">
        <v>5643</v>
      </c>
      <c r="F3781" s="17"/>
      <c r="G3781" s="18"/>
      <c r="H3781" s="18"/>
    </row>
    <row r="3782" spans="1:8" ht="13.2">
      <c r="A3782" s="19" t="str">
        <f>HYPERLINK("https://codingcompetitions.withgoogle.com/codejam/round/0000000000051635/0000000000104e05","CODEJAM 19-R1A-C")</f>
        <v>CODEJAM 19-R1A-C</v>
      </c>
      <c r="B3782" s="20" t="s">
        <v>5692</v>
      </c>
      <c r="C3782" s="17">
        <v>5</v>
      </c>
      <c r="D3782" s="18"/>
      <c r="E3782" s="17" t="s">
        <v>5643</v>
      </c>
      <c r="F3782" s="17"/>
      <c r="G3782" s="18"/>
      <c r="H3782" s="18"/>
    </row>
    <row r="3783" spans="1:8" ht="13.2">
      <c r="A3783" s="15" t="s">
        <v>5731</v>
      </c>
      <c r="B3783" s="28" t="s">
        <v>5714</v>
      </c>
      <c r="C3783" s="24">
        <v>5</v>
      </c>
      <c r="D3783" s="18"/>
      <c r="E3783" s="17" t="s">
        <v>5702</v>
      </c>
      <c r="F3783" s="17"/>
      <c r="G3783" s="18"/>
      <c r="H3783" s="18"/>
    </row>
    <row r="3784" spans="1:8" ht="13.2">
      <c r="A3784" s="15" t="s">
        <v>5732</v>
      </c>
      <c r="B3784" s="28" t="s">
        <v>5714</v>
      </c>
      <c r="C3784" s="17">
        <v>5</v>
      </c>
      <c r="D3784" s="18"/>
      <c r="E3784" s="17" t="s">
        <v>5702</v>
      </c>
      <c r="F3784" s="17"/>
      <c r="G3784" s="18"/>
      <c r="H3784" s="18"/>
    </row>
    <row r="3785" spans="1:8" ht="13.2">
      <c r="A3785" s="15" t="s">
        <v>5733</v>
      </c>
      <c r="B3785" s="28" t="s">
        <v>5704</v>
      </c>
      <c r="C3785" s="24">
        <v>5</v>
      </c>
      <c r="D3785" s="26" t="str">
        <f>HYPERLINK("https://github.com/TheRealImaginary/CompetitiveProgramming/blob/master/UVA/UVA_11888_Abnormal89s.java","Don't implement as ad-hoc/greedy/Pure STL. Use algorithm. Sol")</f>
        <v>Don't implement as ad-hoc/greedy/Pure STL. Use algorithm. Sol</v>
      </c>
      <c r="E3785" s="17" t="s">
        <v>5702</v>
      </c>
      <c r="F3785" s="17"/>
      <c r="G3785" s="18"/>
      <c r="H3785" s="18"/>
    </row>
    <row r="3786" spans="1:8" ht="13.2">
      <c r="A3786" s="19" t="str">
        <f>HYPERLINK("http://codeforces.com/contest/471/problem/D","CF471-D2-D")</f>
        <v>CF471-D2-D</v>
      </c>
      <c r="B3786" s="29" t="s">
        <v>5734</v>
      </c>
      <c r="C3786" s="17">
        <v>5</v>
      </c>
      <c r="D3786" s="18"/>
      <c r="E3786" s="17" t="s">
        <v>5702</v>
      </c>
      <c r="F3786" s="17"/>
      <c r="G3786" s="18"/>
      <c r="H3786" s="18"/>
    </row>
    <row r="3787" spans="1:8" ht="13.2">
      <c r="A3787" s="19" t="str">
        <f>HYPERLINK("http://codeforces.com/contest/346/problem/B","CF346-D1-B")</f>
        <v>CF346-D1-B</v>
      </c>
      <c r="B3787" s="29" t="s">
        <v>5711</v>
      </c>
      <c r="C3787" s="17">
        <v>5</v>
      </c>
      <c r="D3787" s="18"/>
      <c r="E3787" s="17" t="s">
        <v>5702</v>
      </c>
      <c r="F3787" s="17"/>
      <c r="G3787" s="18"/>
      <c r="H3787" s="18"/>
    </row>
    <row r="3788" spans="1:8" ht="13.2">
      <c r="A3788" s="15" t="s">
        <v>5735</v>
      </c>
      <c r="B3788" s="28" t="s">
        <v>5711</v>
      </c>
      <c r="C3788" s="24">
        <v>5</v>
      </c>
      <c r="D3788" s="18"/>
      <c r="E3788" s="17" t="s">
        <v>5702</v>
      </c>
      <c r="F3788" s="17"/>
      <c r="G3788" s="18"/>
      <c r="H3788" s="18"/>
    </row>
    <row r="3789" spans="1:8" ht="13.2">
      <c r="A3789" s="19" t="str">
        <f>HYPERLINK("http://codeforces.com/contest/347/problem/D","CF347-D2-D")</f>
        <v>CF347-D2-D</v>
      </c>
      <c r="B3789" s="18" t="s">
        <v>5736</v>
      </c>
      <c r="C3789" s="31">
        <v>5</v>
      </c>
      <c r="D3789" s="18"/>
      <c r="E3789" s="17" t="s">
        <v>5702</v>
      </c>
      <c r="F3789" s="17"/>
      <c r="G3789" s="18"/>
      <c r="H3789" s="18"/>
    </row>
    <row r="3790" spans="1:8" ht="13.2">
      <c r="A3790" s="15" t="s">
        <v>5788</v>
      </c>
      <c r="B3790" s="29" t="s">
        <v>5763</v>
      </c>
      <c r="C3790" s="17">
        <v>5</v>
      </c>
      <c r="D3790" s="18"/>
      <c r="E3790" s="17" t="s">
        <v>5761</v>
      </c>
      <c r="F3790" s="17"/>
      <c r="G3790" s="18"/>
      <c r="H3790" s="18"/>
    </row>
    <row r="3791" spans="1:8" ht="13.2">
      <c r="A3791" s="15" t="s">
        <v>5789</v>
      </c>
      <c r="B3791" s="18" t="s">
        <v>5790</v>
      </c>
      <c r="C3791" s="33">
        <v>5</v>
      </c>
      <c r="D3791" s="18"/>
      <c r="E3791" s="17" t="s">
        <v>5761</v>
      </c>
      <c r="F3791" s="17"/>
      <c r="G3791" s="18"/>
      <c r="H3791" s="18"/>
    </row>
    <row r="3792" spans="1:8" ht="13.2">
      <c r="A3792" s="15" t="s">
        <v>5843</v>
      </c>
      <c r="B3792" s="37" t="s">
        <v>5796</v>
      </c>
      <c r="C3792" s="24">
        <v>5</v>
      </c>
      <c r="D3792" s="18"/>
      <c r="E3792" s="17" t="s">
        <v>5794</v>
      </c>
      <c r="F3792" s="17"/>
      <c r="G3792" s="18"/>
      <c r="H3792" s="18"/>
    </row>
    <row r="3793" spans="1:8" ht="13.2">
      <c r="A3793" s="15" t="s">
        <v>5844</v>
      </c>
      <c r="B3793" s="29" t="s">
        <v>5845</v>
      </c>
      <c r="C3793" s="17">
        <v>5</v>
      </c>
      <c r="D3793" s="18" t="s">
        <v>5740</v>
      </c>
      <c r="E3793" s="17" t="s">
        <v>5794</v>
      </c>
      <c r="F3793" s="17"/>
      <c r="G3793" s="18"/>
      <c r="H3793" s="18"/>
    </row>
    <row r="3794" spans="1:8" ht="13.2">
      <c r="A3794" s="15" t="s">
        <v>5846</v>
      </c>
      <c r="B3794" s="29" t="s">
        <v>5847</v>
      </c>
      <c r="C3794" s="24">
        <v>5</v>
      </c>
      <c r="D3794" s="26" t="str">
        <f>HYPERLINK("http://web.stanford.edu/class/cs97si/suffix-array.pdf","Problem 9 Sol in stanfrod suffix array - read problem from this doc")</f>
        <v>Problem 9 Sol in stanfrod suffix array - read problem from this doc</v>
      </c>
      <c r="E3794" s="17" t="s">
        <v>5794</v>
      </c>
      <c r="F3794" s="17"/>
      <c r="G3794" s="18"/>
      <c r="H3794" s="18"/>
    </row>
    <row r="3795" spans="1:8" ht="13.2">
      <c r="A3795" s="19" t="str">
        <f>HYPERLINK("https://www.spoj.com/problems/TREAP/","SPOJ TREAP")</f>
        <v>SPOJ TREAP</v>
      </c>
      <c r="B3795" s="15" t="s">
        <v>5892</v>
      </c>
      <c r="C3795" s="17">
        <v>5</v>
      </c>
      <c r="D3795" s="18"/>
      <c r="E3795" s="17" t="s">
        <v>5874</v>
      </c>
      <c r="F3795" s="17"/>
      <c r="G3795" s="18"/>
      <c r="H3795" s="18"/>
    </row>
    <row r="3796" spans="1:8" ht="13.2">
      <c r="A3796" s="15" t="s">
        <v>5907</v>
      </c>
      <c r="B3796" s="28" t="s">
        <v>5908</v>
      </c>
      <c r="C3796" s="24">
        <v>5</v>
      </c>
      <c r="D3796" s="18"/>
      <c r="E3796" s="17" t="s">
        <v>5874</v>
      </c>
      <c r="F3796" s="17"/>
      <c r="G3796" s="18"/>
      <c r="H3796" s="18"/>
    </row>
    <row r="3797" spans="1:8" ht="13.2">
      <c r="A3797" s="19" t="str">
        <f>HYPERLINK("https://www.spoj.com/problems/SDITSAVL/","SPOJ SDITSAVL")</f>
        <v>SPOJ SDITSAVL</v>
      </c>
      <c r="B3797" s="25" t="s">
        <v>5904</v>
      </c>
      <c r="C3797" s="17">
        <v>5</v>
      </c>
      <c r="D3797" s="18" t="s">
        <v>1166</v>
      </c>
      <c r="E3797" s="17" t="s">
        <v>5874</v>
      </c>
      <c r="F3797" s="17"/>
      <c r="G3797" s="18"/>
      <c r="H3797" s="18"/>
    </row>
    <row r="3798" spans="1:8" ht="13.2">
      <c r="A3798" s="19" t="str">
        <f>HYPERLINK("http://codeforces.com/contest/220/problem/B","CF220-D1-B")</f>
        <v>CF220-D1-B</v>
      </c>
      <c r="B3798" s="28" t="s">
        <v>5914</v>
      </c>
      <c r="C3798" s="17">
        <v>5</v>
      </c>
      <c r="D3798" s="18"/>
      <c r="E3798" s="17" t="s">
        <v>5915</v>
      </c>
      <c r="F3798" s="17"/>
      <c r="G3798" s="18"/>
      <c r="H3798" s="18"/>
    </row>
    <row r="3799" spans="1:8" ht="13.2">
      <c r="A3799" s="19" t="str">
        <f>HYPERLINK("https://www.hackerearth.com/problem/algorithm/substrings-count-3/","HACKER substrings-count-3")</f>
        <v>HACKER substrings-count-3</v>
      </c>
      <c r="B3799" s="38" t="s">
        <v>5914</v>
      </c>
      <c r="C3799" s="17">
        <v>5</v>
      </c>
      <c r="D3799" s="18"/>
      <c r="E3799" s="17" t="s">
        <v>5915</v>
      </c>
      <c r="F3799" s="17"/>
      <c r="G3799" s="18"/>
      <c r="H3799" s="18"/>
    </row>
    <row r="3800" spans="1:8" ht="13.2">
      <c r="A3800" s="15" t="s">
        <v>5940</v>
      </c>
      <c r="B3800" s="30" t="s">
        <v>5941</v>
      </c>
      <c r="C3800" s="24">
        <v>5</v>
      </c>
      <c r="D3800" s="26" t="str">
        <f>HYPERLINK("https://github.com/mostafa-saad/MyCompetitiveProgramming/blob/master/SPOJ/SPOJ_RACETIME.txt","Don't implement as ad-hoc/greedy/Pure STL. Use a data structure. Sol")</f>
        <v>Don't implement as ad-hoc/greedy/Pure STL. Use a data structure. Sol</v>
      </c>
      <c r="E3800" s="17" t="s">
        <v>5915</v>
      </c>
      <c r="F3800" s="17"/>
      <c r="G3800" s="18"/>
      <c r="H3800" s="18"/>
    </row>
    <row r="3801" spans="1:8" ht="13.2">
      <c r="A3801" s="19" t="str">
        <f>HYPERLINK("http://codeforces.com/contest/114/problem/C","CF114-D2-C")</f>
        <v>CF114-D2-C</v>
      </c>
      <c r="B3801" s="18" t="s">
        <v>5961</v>
      </c>
      <c r="C3801" s="17">
        <v>5</v>
      </c>
      <c r="D3801" s="18"/>
      <c r="E3801" s="17" t="s">
        <v>5958</v>
      </c>
      <c r="F3801" s="17"/>
      <c r="G3801" s="18"/>
      <c r="H3801" s="18"/>
    </row>
    <row r="3802" spans="1:8" ht="13.2">
      <c r="A3802" s="19" t="str">
        <f>HYPERLINK("http://codeforces.com/contest/463/problem/C","CF463-D2-C")</f>
        <v>CF463-D2-C</v>
      </c>
      <c r="B3802" s="29" t="s">
        <v>5961</v>
      </c>
      <c r="C3802" s="17">
        <v>5</v>
      </c>
      <c r="D3802" s="18"/>
      <c r="E3802" s="17" t="s">
        <v>5958</v>
      </c>
      <c r="F3802" s="17"/>
      <c r="G3802" s="18"/>
      <c r="H3802" s="18"/>
    </row>
    <row r="3803" spans="1:8" ht="13.2">
      <c r="A3803" s="19" t="str">
        <f>HYPERLINK("http://codeforces.com/contest/734/problem/D","CF734-D2-D")</f>
        <v>CF734-D2-D</v>
      </c>
      <c r="B3803" s="18" t="s">
        <v>5961</v>
      </c>
      <c r="C3803" s="17">
        <v>5</v>
      </c>
      <c r="D3803" s="18"/>
      <c r="E3803" s="17" t="s">
        <v>5958</v>
      </c>
      <c r="F3803" s="17"/>
      <c r="G3803" s="18"/>
      <c r="H3803" s="18"/>
    </row>
    <row r="3804" spans="1:8" ht="13.2">
      <c r="A3804" s="15" t="s">
        <v>5990</v>
      </c>
      <c r="B3804" s="48" t="s">
        <v>5961</v>
      </c>
      <c r="C3804" s="31">
        <v>5</v>
      </c>
      <c r="D3804" s="18"/>
      <c r="E3804" s="17" t="s">
        <v>5958</v>
      </c>
      <c r="F3804" s="17"/>
      <c r="G3804" s="18"/>
      <c r="H3804" s="18"/>
    </row>
    <row r="3805" spans="1:8" ht="13.2">
      <c r="A3805" s="15" t="s">
        <v>5991</v>
      </c>
      <c r="B3805" s="28" t="s">
        <v>5961</v>
      </c>
      <c r="C3805" s="24">
        <v>5</v>
      </c>
      <c r="D3805" s="18"/>
      <c r="E3805" s="17" t="s">
        <v>5958</v>
      </c>
      <c r="F3805" s="17"/>
      <c r="G3805" s="18"/>
      <c r="H3805" s="18"/>
    </row>
    <row r="3806" spans="1:8" ht="13.2">
      <c r="A3806" s="19" t="str">
        <f>HYPERLINK("http://codeforces.com/contest/143/problem/C","CF143-D2-C")</f>
        <v>CF143-D2-C</v>
      </c>
      <c r="B3806" s="18" t="s">
        <v>5992</v>
      </c>
      <c r="C3806" s="17">
        <v>5</v>
      </c>
      <c r="D3806" s="18"/>
      <c r="E3806" s="17" t="s">
        <v>5958</v>
      </c>
      <c r="F3806" s="17"/>
      <c r="G3806" s="18"/>
      <c r="H3806" s="18"/>
    </row>
    <row r="3807" spans="1:8" ht="13.2">
      <c r="A3807" s="19" t="str">
        <f>HYPERLINK("http://codeforces.com/contest/433/problem/C","CF433-D2-C")</f>
        <v>CF433-D2-C</v>
      </c>
      <c r="B3807" s="29" t="s">
        <v>5993</v>
      </c>
      <c r="C3807" s="31">
        <v>5</v>
      </c>
      <c r="D3807" s="18"/>
      <c r="E3807" s="17" t="s">
        <v>5958</v>
      </c>
      <c r="F3807" s="17"/>
      <c r="G3807" s="18"/>
      <c r="H3807" s="18"/>
    </row>
    <row r="3808" spans="1:8" ht="13.2">
      <c r="A3808" s="15" t="s">
        <v>5994</v>
      </c>
      <c r="B3808" s="27" t="s">
        <v>5995</v>
      </c>
      <c r="C3808" s="17">
        <v>5</v>
      </c>
      <c r="D3808" s="18"/>
      <c r="E3808" s="17" t="s">
        <v>5958</v>
      </c>
      <c r="F3808" s="17"/>
      <c r="G3808" s="18"/>
      <c r="H3808" s="18"/>
    </row>
    <row r="3809" spans="1:8" ht="13.2">
      <c r="A3809" s="15" t="s">
        <v>5996</v>
      </c>
      <c r="B3809" s="38" t="s">
        <v>5997</v>
      </c>
      <c r="C3809" s="17">
        <v>5</v>
      </c>
      <c r="D3809" s="18"/>
      <c r="E3809" s="17" t="s">
        <v>5958</v>
      </c>
      <c r="F3809" s="17"/>
      <c r="G3809" s="18"/>
      <c r="H3809" s="18"/>
    </row>
    <row r="3810" spans="1:8" ht="13.2">
      <c r="A3810" s="19" t="str">
        <f>HYPERLINK("http://codeforces.com/contest/1006/problem/F","CF1006-D3-F")</f>
        <v>CF1006-D3-F</v>
      </c>
      <c r="B3810" s="20" t="s">
        <v>956</v>
      </c>
      <c r="C3810" s="17">
        <v>5</v>
      </c>
      <c r="D3810" s="18"/>
      <c r="E3810" s="17" t="s">
        <v>951</v>
      </c>
      <c r="F3810" s="17"/>
      <c r="G3810" s="18"/>
      <c r="H3810" s="18"/>
    </row>
    <row r="3811" spans="1:8" ht="13.2">
      <c r="A3811" s="15" t="s">
        <v>974</v>
      </c>
      <c r="B3811" s="18" t="s">
        <v>975</v>
      </c>
      <c r="C3811" s="17">
        <v>5</v>
      </c>
      <c r="D3811" s="18"/>
      <c r="E3811" s="17" t="s">
        <v>951</v>
      </c>
      <c r="F3811" s="17"/>
      <c r="G3811" s="18"/>
      <c r="H3811" s="18"/>
    </row>
    <row r="3812" spans="1:8" ht="13.2">
      <c r="A3812" s="15" t="s">
        <v>976</v>
      </c>
      <c r="B3812" s="41" t="s">
        <v>977</v>
      </c>
      <c r="C3812" s="17">
        <v>5</v>
      </c>
      <c r="D3812" s="26" t="str">
        <f>HYPERLINK("https://github.com/mostafa-saad/MyCompetitiveProgramming/blob/master/UVA/UVA_10125.txt","Sol")</f>
        <v>Sol</v>
      </c>
      <c r="E3812" s="17" t="s">
        <v>951</v>
      </c>
      <c r="F3812" s="17"/>
      <c r="G3812" s="18"/>
      <c r="H3812" s="18"/>
    </row>
    <row r="3813" spans="1:8" ht="13.2">
      <c r="A3813" s="19" t="str">
        <f>HYPERLINK("http://codeforces.com/contest/888/problem/E","CF888-D12-E")</f>
        <v>CF888-D12-E</v>
      </c>
      <c r="B3813" s="15" t="s">
        <v>978</v>
      </c>
      <c r="C3813" s="17">
        <v>5</v>
      </c>
      <c r="D3813" s="18"/>
      <c r="E3813" s="17" t="s">
        <v>951</v>
      </c>
      <c r="F3813" s="17"/>
      <c r="G3813" s="18"/>
      <c r="H3813" s="18"/>
    </row>
    <row r="3814" spans="1:8" ht="13.2">
      <c r="A3814" s="15" t="s">
        <v>979</v>
      </c>
      <c r="B3814" s="18" t="s">
        <v>980</v>
      </c>
      <c r="C3814" s="17">
        <v>5</v>
      </c>
      <c r="D3814" s="18"/>
      <c r="E3814" s="17" t="s">
        <v>951</v>
      </c>
      <c r="F3814" s="17"/>
      <c r="G3814" s="18"/>
      <c r="H3814" s="18"/>
    </row>
    <row r="3815" spans="1:8" ht="13.2">
      <c r="A3815" s="15" t="s">
        <v>981</v>
      </c>
      <c r="B3815" s="29" t="s">
        <v>982</v>
      </c>
      <c r="C3815" s="17">
        <v>5</v>
      </c>
      <c r="D3815" s="18"/>
      <c r="E3815" s="17" t="s">
        <v>951</v>
      </c>
      <c r="F3815" s="17"/>
      <c r="G3815" s="18"/>
      <c r="H3815" s="18"/>
    </row>
    <row r="3816" spans="1:8" ht="13.2">
      <c r="A3816" s="19" t="str">
        <f>HYPERLINK("https://community.topcoder.com/stat?c=problem_statement&amp;pm=6742","TC(KNAPSACKPROBLEM)")</f>
        <v>TC(KNAPSACKPROBLEM)</v>
      </c>
      <c r="B3816" s="29" t="s">
        <v>983</v>
      </c>
      <c r="C3816" s="31">
        <v>5</v>
      </c>
      <c r="D3816" s="26" t="str">
        <f>HYPERLINK("https://github.com/MohamedNabil97/CompetitiveProgramming/blob/master/TopCoder/TC(KNAPSACKPROBLEM).cpp","Sol")</f>
        <v>Sol</v>
      </c>
      <c r="E3816" s="17" t="s">
        <v>951</v>
      </c>
      <c r="F3816" s="17"/>
      <c r="G3816" s="18"/>
      <c r="H3816" s="18"/>
    </row>
    <row r="3817" spans="1:8" ht="13.2">
      <c r="A3817" s="15" t="s">
        <v>984</v>
      </c>
      <c r="B3817" s="30" t="s">
        <v>985</v>
      </c>
      <c r="C3817" s="17">
        <v>5</v>
      </c>
      <c r="D3817" s="18"/>
      <c r="E3817" s="17" t="s">
        <v>951</v>
      </c>
      <c r="F3817" s="17"/>
      <c r="G3817" s="18"/>
      <c r="H3817" s="18"/>
    </row>
    <row r="3818" spans="1:8" ht="13.2">
      <c r="A3818" s="15" t="s">
        <v>986</v>
      </c>
      <c r="B3818" s="29" t="s">
        <v>987</v>
      </c>
      <c r="C3818" s="24">
        <v>5</v>
      </c>
      <c r="D3818" s="18"/>
      <c r="E3818" s="17" t="s">
        <v>951</v>
      </c>
      <c r="F3818" s="17"/>
      <c r="G3818" s="18"/>
      <c r="H3818" s="18"/>
    </row>
    <row r="3819" spans="1:8" ht="13.2">
      <c r="A3819" s="19" t="str">
        <f>HYPERLINK("http://codeforces.com/contest/190/problem/D","CF190-D2-D")</f>
        <v>CF190-D2-D</v>
      </c>
      <c r="B3819" s="48" t="s">
        <v>6054</v>
      </c>
      <c r="C3819" s="31">
        <v>5</v>
      </c>
      <c r="D3819" s="18"/>
      <c r="E3819" s="17" t="s">
        <v>6040</v>
      </c>
      <c r="F3819" s="17"/>
      <c r="G3819" s="18"/>
      <c r="H3819" s="18"/>
    </row>
    <row r="3820" spans="1:8" ht="13.2">
      <c r="A3820" s="19" t="str">
        <f>HYPERLINK("http://codeforces.com/contest/676/problem/C","CF676-D2-C")</f>
        <v>CF676-D2-C</v>
      </c>
      <c r="B3820" s="29" t="s">
        <v>6054</v>
      </c>
      <c r="C3820" s="17">
        <v>5</v>
      </c>
      <c r="D3820" s="18"/>
      <c r="E3820" s="17" t="s">
        <v>6040</v>
      </c>
      <c r="F3820" s="17"/>
      <c r="G3820" s="18"/>
      <c r="H3820" s="18"/>
    </row>
    <row r="3821" spans="1:8" ht="13.2">
      <c r="A3821" s="19" t="str">
        <f>HYPERLINK("http://codeforces.com/contest/131/problem/F","CF131-D2-F")</f>
        <v>CF131-D2-F</v>
      </c>
      <c r="B3821" s="18" t="s">
        <v>6061</v>
      </c>
      <c r="C3821" s="17">
        <v>5</v>
      </c>
      <c r="D3821" s="18"/>
      <c r="E3821" s="17" t="s">
        <v>6040</v>
      </c>
      <c r="F3821" s="17"/>
      <c r="G3821" s="18"/>
      <c r="H3821" s="18"/>
    </row>
    <row r="3822" spans="1:8" ht="13.2">
      <c r="A3822" s="19" t="str">
        <f>HYPERLINK("http://codeforces.com/problemset/problem/788/A","CF788-D1-A")</f>
        <v>CF788-D1-A</v>
      </c>
      <c r="B3822" s="20" t="s">
        <v>6062</v>
      </c>
      <c r="C3822" s="21">
        <v>5</v>
      </c>
      <c r="D3822" s="18"/>
      <c r="E3822" s="17" t="s">
        <v>6040</v>
      </c>
      <c r="F3822" s="17"/>
      <c r="G3822" s="18"/>
      <c r="H3822" s="18"/>
    </row>
    <row r="3823" spans="1:8" ht="13.2">
      <c r="A3823" s="15" t="s">
        <v>6088</v>
      </c>
      <c r="B3823" s="28" t="s">
        <v>6089</v>
      </c>
      <c r="C3823" s="17">
        <v>5</v>
      </c>
      <c r="D3823" s="18"/>
      <c r="E3823" s="17" t="s">
        <v>6075</v>
      </c>
      <c r="F3823" s="17"/>
      <c r="G3823" s="18"/>
      <c r="H3823" s="18"/>
    </row>
    <row r="3824" spans="1:8" ht="13.2">
      <c r="A3824" s="15" t="s">
        <v>6090</v>
      </c>
      <c r="B3824" s="30" t="s">
        <v>6091</v>
      </c>
      <c r="C3824" s="17">
        <v>5</v>
      </c>
      <c r="D3824" s="26" t="str">
        <f>HYPERLINK("https://github.com/Huvok/CompetitiveProgramming/blob/master/UVA/10086.cpp","Sol")</f>
        <v>Sol</v>
      </c>
      <c r="E3824" s="17" t="s">
        <v>6075</v>
      </c>
      <c r="F3824" s="17"/>
      <c r="G3824" s="18"/>
      <c r="H3824" s="18"/>
    </row>
    <row r="3825" spans="1:8" ht="13.2">
      <c r="A3825" s="15" t="s">
        <v>6111</v>
      </c>
      <c r="B3825" s="37" t="s">
        <v>6112</v>
      </c>
      <c r="C3825" s="17">
        <v>5</v>
      </c>
      <c r="D3825" s="18" t="s">
        <v>6113</v>
      </c>
      <c r="E3825" s="17" t="s">
        <v>6098</v>
      </c>
      <c r="F3825" s="17"/>
      <c r="G3825" s="18"/>
      <c r="H3825" s="18"/>
    </row>
    <row r="3826" spans="1:8" ht="13.2">
      <c r="A3826" s="19" t="str">
        <f>HYPERLINK("http://codeforces.com/contest/261/problem/C","CF261-D1-C")</f>
        <v>CF261-D1-C</v>
      </c>
      <c r="B3826" s="15" t="s">
        <v>6138</v>
      </c>
      <c r="C3826" s="17">
        <v>5</v>
      </c>
      <c r="D3826" s="18"/>
      <c r="E3826" s="17" t="s">
        <v>6118</v>
      </c>
      <c r="F3826" s="17"/>
      <c r="G3826" s="18"/>
      <c r="H3826" s="18"/>
    </row>
    <row r="3827" spans="1:8" ht="13.2">
      <c r="A3827" s="15" t="s">
        <v>6139</v>
      </c>
      <c r="B3827" s="15" t="s">
        <v>6140</v>
      </c>
      <c r="C3827" s="31">
        <v>5</v>
      </c>
      <c r="D3827" s="26" t="str">
        <f>HYPERLINK("https://github.com/MedoN11/CompetitiveProgramming/blob/master/Timus/1057.cpp?fref=gc&amp;dti=197799716986593","Sol")</f>
        <v>Sol</v>
      </c>
      <c r="E3827" s="17" t="s">
        <v>6118</v>
      </c>
      <c r="F3827" s="17"/>
      <c r="G3827" s="18"/>
      <c r="H3827" s="18"/>
    </row>
    <row r="3828" spans="1:8" ht="13.2">
      <c r="A3828" s="15" t="s">
        <v>6179</v>
      </c>
      <c r="B3828" s="29" t="s">
        <v>6168</v>
      </c>
      <c r="C3828" s="24">
        <v>5</v>
      </c>
      <c r="D3828" s="18"/>
      <c r="E3828" s="17" t="s">
        <v>6169</v>
      </c>
      <c r="F3828" s="17"/>
      <c r="G3828" s="18"/>
      <c r="H3828" s="18"/>
    </row>
    <row r="3829" spans="1:8" ht="13.2">
      <c r="A3829" s="15" t="s">
        <v>6180</v>
      </c>
      <c r="B3829" s="29" t="s">
        <v>6168</v>
      </c>
      <c r="C3829" s="24">
        <v>5</v>
      </c>
      <c r="D3829" s="18"/>
      <c r="E3829" s="17" t="s">
        <v>6169</v>
      </c>
      <c r="F3829" s="17"/>
      <c r="G3829" s="18"/>
      <c r="H3829" s="18"/>
    </row>
    <row r="3830" spans="1:8" ht="13.2">
      <c r="A3830" s="15" t="s">
        <v>6225</v>
      </c>
      <c r="B3830" s="20" t="s">
        <v>6204</v>
      </c>
      <c r="C3830" s="21">
        <v>5</v>
      </c>
      <c r="D3830" s="18"/>
      <c r="E3830" s="17" t="s">
        <v>6205</v>
      </c>
      <c r="F3830" s="17"/>
      <c r="G3830" s="18"/>
      <c r="H3830" s="18"/>
    </row>
    <row r="3831" spans="1:8" ht="13.2">
      <c r="A3831" s="19" t="str">
        <f>HYPERLINK("https://codeforces.com/contest/1068/problem/E","CF1068-D2-E")</f>
        <v>CF1068-D2-E</v>
      </c>
      <c r="B3831" s="15" t="s">
        <v>6204</v>
      </c>
      <c r="C3831" s="17">
        <v>5</v>
      </c>
      <c r="D3831" s="18"/>
      <c r="E3831" s="17" t="s">
        <v>6205</v>
      </c>
      <c r="F3831" s="17"/>
      <c r="G3831" s="18"/>
      <c r="H3831" s="18"/>
    </row>
    <row r="3832" spans="1:8" ht="13.2">
      <c r="A3832" s="15" t="s">
        <v>6226</v>
      </c>
      <c r="B3832" s="29" t="s">
        <v>6227</v>
      </c>
      <c r="C3832" s="24">
        <v>5</v>
      </c>
      <c r="D3832" s="26" t="str">
        <f>HYPERLINK("https://github.com/VAMPIER000001/CompetitiveProgramming/blob/master/UVA/V-110/UVA%2011060.Cpp","Sol")</f>
        <v>Sol</v>
      </c>
      <c r="E3832" s="17" t="s">
        <v>6205</v>
      </c>
      <c r="F3832" s="17"/>
      <c r="G3832" s="18"/>
      <c r="H3832" s="18"/>
    </row>
    <row r="3833" spans="1:8" ht="13.2">
      <c r="A3833" s="19" t="str">
        <f>HYPERLINK("http://codeforces.com/contest/655/problem/D","CF655-D12-D")</f>
        <v>CF655-D12-D</v>
      </c>
      <c r="B3833" s="20" t="s">
        <v>6208</v>
      </c>
      <c r="C3833" s="21">
        <v>5</v>
      </c>
      <c r="D3833" s="18"/>
      <c r="E3833" s="17" t="s">
        <v>6205</v>
      </c>
      <c r="F3833" s="17"/>
      <c r="G3833" s="18"/>
      <c r="H3833" s="18"/>
    </row>
    <row r="3834" spans="1:8" ht="13.2">
      <c r="A3834" s="15" t="s">
        <v>6228</v>
      </c>
      <c r="B3834" s="28" t="s">
        <v>6229</v>
      </c>
      <c r="C3834" s="17">
        <v>5</v>
      </c>
      <c r="D3834" s="18"/>
      <c r="E3834" s="17" t="s">
        <v>6205</v>
      </c>
      <c r="F3834" s="17"/>
      <c r="G3834" s="18"/>
      <c r="H3834" s="18"/>
    </row>
    <row r="3835" spans="1:8" ht="13.2">
      <c r="A3835" s="15" t="s">
        <v>1009</v>
      </c>
      <c r="B3835" s="28" t="s">
        <v>1010</v>
      </c>
      <c r="C3835" s="24">
        <v>5</v>
      </c>
      <c r="D3835" s="18"/>
      <c r="E3835" s="17" t="s">
        <v>997</v>
      </c>
      <c r="F3835" s="17"/>
      <c r="G3835" s="18"/>
      <c r="H3835" s="18"/>
    </row>
    <row r="3836" spans="1:8" ht="13.2">
      <c r="A3836" s="19" t="str">
        <f>HYPERLINK("http://codeforces.com/problemset/problem/702/E","CF702-D2-E")</f>
        <v>CF702-D2-E</v>
      </c>
      <c r="B3836" s="15" t="s">
        <v>1011</v>
      </c>
      <c r="C3836" s="17">
        <v>5</v>
      </c>
      <c r="D3836" s="18"/>
      <c r="E3836" s="17" t="s">
        <v>997</v>
      </c>
      <c r="F3836" s="17"/>
      <c r="G3836" s="18"/>
      <c r="H3836" s="18"/>
    </row>
    <row r="3837" spans="1:8" ht="13.2">
      <c r="A3837" s="15" t="s">
        <v>6337</v>
      </c>
      <c r="B3837" s="28" t="s">
        <v>6338</v>
      </c>
      <c r="C3837" s="24">
        <v>5</v>
      </c>
      <c r="D3837" s="26" t="str">
        <f>HYPERLINK("https://github.com/WaleedAbdelhakim/Competitive-Programming/blob/master/SPOJ/QTREE3.cpp","Sol")</f>
        <v>Sol</v>
      </c>
      <c r="E3837" s="17" t="s">
        <v>6311</v>
      </c>
      <c r="F3837" s="17"/>
      <c r="G3837" s="18"/>
      <c r="H3837" s="18"/>
    </row>
    <row r="3838" spans="1:8" ht="13.2">
      <c r="A3838" s="15" t="s">
        <v>6339</v>
      </c>
      <c r="B3838" s="28" t="s">
        <v>6340</v>
      </c>
      <c r="C3838" s="24">
        <v>5</v>
      </c>
      <c r="D3838" s="18"/>
      <c r="E3838" s="17" t="s">
        <v>6311</v>
      </c>
      <c r="F3838" s="17"/>
      <c r="G3838" s="18"/>
      <c r="H3838" s="18"/>
    </row>
    <row r="3839" spans="1:8" ht="13.2">
      <c r="A3839" s="15" t="s">
        <v>6341</v>
      </c>
      <c r="B3839" s="29" t="s">
        <v>6314</v>
      </c>
      <c r="C3839" s="24">
        <v>5</v>
      </c>
      <c r="D3839" s="26" t="str">
        <f>HYPERLINK("https://github.com/luciocf/OI-Problems/blob/master/USACO/USACO%202011-2012/Gold/Dec%202011/grassplant.cpp","Sol")</f>
        <v>Sol</v>
      </c>
      <c r="E3839" s="17" t="s">
        <v>6311</v>
      </c>
      <c r="F3839" s="17"/>
      <c r="G3839" s="18"/>
      <c r="H3839" s="18"/>
    </row>
    <row r="3840" spans="1:8" ht="13.2">
      <c r="A3840" s="19" t="str">
        <f>HYPERLINK("https://www.hackerearth.com/practice/algorithms/graphs/depth-first-search/practice-problems/algorithm/the-grass-type/","HACKER the-grass-type")</f>
        <v>HACKER the-grass-type</v>
      </c>
      <c r="B3840" s="15" t="s">
        <v>6393</v>
      </c>
      <c r="C3840" s="17">
        <v>5</v>
      </c>
      <c r="D3840" s="18"/>
      <c r="E3840" s="17" t="s">
        <v>6390</v>
      </c>
      <c r="F3840" s="17"/>
      <c r="G3840" s="18"/>
      <c r="H3840" s="18"/>
    </row>
    <row r="3841" spans="1:8" ht="13.2">
      <c r="A3841" s="19" t="str">
        <f>HYPERLINK("http://codeforces.com/contest/246/problem/E","CF246-D2-E")</f>
        <v>CF246-D2-E</v>
      </c>
      <c r="B3841" s="20" t="s">
        <v>6391</v>
      </c>
      <c r="C3841" s="17">
        <v>5</v>
      </c>
      <c r="D3841" s="18"/>
      <c r="E3841" s="17" t="s">
        <v>6390</v>
      </c>
      <c r="F3841" s="17"/>
      <c r="G3841" s="18"/>
      <c r="H3841" s="18"/>
    </row>
    <row r="3842" spans="1:8" ht="13.2">
      <c r="A3842" s="19" t="str">
        <f>HYPERLINK("http://codeforces.com/contest/103/problem/D","CF103-D1-D")</f>
        <v>CF103-D1-D</v>
      </c>
      <c r="B3842" s="15" t="s">
        <v>6398</v>
      </c>
      <c r="C3842" s="17">
        <v>5</v>
      </c>
      <c r="D3842" s="18"/>
      <c r="E3842" s="17" t="s">
        <v>6397</v>
      </c>
      <c r="F3842" s="17"/>
      <c r="G3842" s="18"/>
      <c r="H3842" s="18"/>
    </row>
    <row r="3843" spans="1:8" ht="13.2">
      <c r="A3843" s="15" t="s">
        <v>6414</v>
      </c>
      <c r="B3843" s="29" t="s">
        <v>6415</v>
      </c>
      <c r="C3843" s="17">
        <v>5</v>
      </c>
      <c r="D3843" s="26" t="str">
        <f>HYPERLINK("https://pastebin.com/Hfz9Aq4e","Sol")</f>
        <v>Sol</v>
      </c>
      <c r="E3843" s="17" t="s">
        <v>6397</v>
      </c>
      <c r="F3843" s="17"/>
      <c r="G3843" s="18"/>
      <c r="H3843" s="18"/>
    </row>
    <row r="3844" spans="1:8" ht="13.2">
      <c r="A3844" s="19" t="str">
        <f>HYPERLINK("http://codeforces.com/gym/100739/problem/A","CF100739-gym-A")</f>
        <v>CF100739-gym-A</v>
      </c>
      <c r="B3844" s="15" t="s">
        <v>1017</v>
      </c>
      <c r="C3844" s="17">
        <v>5</v>
      </c>
      <c r="D3844" s="18"/>
      <c r="E3844" s="17" t="s">
        <v>1018</v>
      </c>
      <c r="F3844" s="17"/>
      <c r="G3844" s="18"/>
      <c r="H3844" s="18"/>
    </row>
    <row r="3845" spans="1:8" ht="13.2">
      <c r="A3845" s="19" t="str">
        <f>HYPERLINK("http://codeforces.com/contest/240/problem/F","CF240-D1-F")</f>
        <v>CF240-D1-F</v>
      </c>
      <c r="B3845" s="15" t="s">
        <v>1017</v>
      </c>
      <c r="C3845" s="17">
        <v>5</v>
      </c>
      <c r="D3845" s="18"/>
      <c r="E3845" s="17" t="s">
        <v>1018</v>
      </c>
      <c r="F3845" s="17"/>
      <c r="G3845" s="18"/>
      <c r="H3845" s="18"/>
    </row>
    <row r="3846" spans="1:8" ht="13.2">
      <c r="A3846" s="19" t="str">
        <f>HYPERLINK("http://codeforces.com/contest/830/problem/B","CF830-D1-B")</f>
        <v>CF830-D1-B</v>
      </c>
      <c r="B3846" s="29" t="s">
        <v>1017</v>
      </c>
      <c r="C3846" s="17">
        <v>5</v>
      </c>
      <c r="D3846" s="18"/>
      <c r="E3846" s="17" t="s">
        <v>1018</v>
      </c>
      <c r="F3846" s="17"/>
      <c r="G3846" s="18"/>
      <c r="H3846" s="18"/>
    </row>
    <row r="3847" spans="1:8" ht="13.2">
      <c r="A3847" s="19" t="str">
        <f>HYPERLINK("https://www.hackerearth.com/problem/algorithm/test-problem-13-1db9a7bd/","HACKER test-problem-13-1db9a7bd")</f>
        <v>HACKER test-problem-13-1db9a7bd</v>
      </c>
      <c r="B3847" s="18" t="s">
        <v>1017</v>
      </c>
      <c r="C3847" s="17">
        <v>5</v>
      </c>
      <c r="D3847" s="18"/>
      <c r="E3847" s="17" t="s">
        <v>1018</v>
      </c>
      <c r="F3847" s="17"/>
      <c r="G3847" s="18"/>
      <c r="H3847" s="18"/>
    </row>
    <row r="3848" spans="1:8" ht="13.2">
      <c r="A3848" s="19" t="str">
        <f>HYPERLINK("http://codeforces.com/contest/914/problem/D","CF914-D12-D")</f>
        <v>CF914-D12-D</v>
      </c>
      <c r="B3848" s="18" t="s">
        <v>1191</v>
      </c>
      <c r="C3848" s="17">
        <v>5</v>
      </c>
      <c r="D3848" s="18"/>
      <c r="E3848" s="17" t="s">
        <v>1018</v>
      </c>
      <c r="F3848" s="17"/>
      <c r="G3848" s="18"/>
      <c r="H3848" s="18"/>
    </row>
    <row r="3849" spans="1:8" ht="13.2">
      <c r="A3849" s="15" t="s">
        <v>1199</v>
      </c>
      <c r="B3849" s="28" t="s">
        <v>1200</v>
      </c>
      <c r="C3849" s="17">
        <v>5</v>
      </c>
      <c r="D3849" s="18"/>
      <c r="E3849" s="17" t="s">
        <v>1018</v>
      </c>
      <c r="F3849" s="17"/>
      <c r="G3849" s="18"/>
      <c r="H3849" s="18"/>
    </row>
    <row r="3850" spans="1:8" ht="13.2">
      <c r="A3850" s="19" t="str">
        <f>HYPERLINK("https://codeforces.com/gym/101992/problem/M","CF101992-GYM-M")</f>
        <v>CF101992-GYM-M</v>
      </c>
      <c r="B3850" s="15" t="s">
        <v>1201</v>
      </c>
      <c r="C3850" s="17">
        <v>5</v>
      </c>
      <c r="D3850" s="26" t="str">
        <f>HYPERLINK("https://github.com/3agwa/CompetitiveProgramming/blob/master/CodeForces/CFGYM-101992-M.cpp","Sol")</f>
        <v>Sol</v>
      </c>
      <c r="E3850" s="17" t="s">
        <v>1018</v>
      </c>
      <c r="F3850" s="17"/>
      <c r="G3850" s="18"/>
      <c r="H3850" s="18"/>
    </row>
    <row r="3851" spans="1:8" ht="13.2">
      <c r="A3851" s="19" t="str">
        <f>HYPERLINK("https://www.spoj.com/problems/PSEGTREE/", "SPOJ PSEGTREE")</f>
        <v>SPOJ PSEGTREE</v>
      </c>
      <c r="B3851" s="15" t="s">
        <v>1202</v>
      </c>
      <c r="C3851" s="17">
        <v>5</v>
      </c>
      <c r="D3851" s="18"/>
      <c r="E3851" s="17" t="s">
        <v>1018</v>
      </c>
      <c r="F3851" s="17"/>
      <c r="G3851" s="18"/>
      <c r="H3851" s="18"/>
    </row>
    <row r="3852" spans="1:8" ht="13.2">
      <c r="A3852" s="19" t="str">
        <f>HYPERLINK("https://csacademy.com/contest/fii-code-2019-round-1/task/Sugarel-in-Love/","CSA-FiiCode1-D")</f>
        <v>CSA-FiiCode1-D</v>
      </c>
      <c r="B3852" s="15" t="s">
        <v>6458</v>
      </c>
      <c r="C3852" s="17">
        <v>5</v>
      </c>
      <c r="D3852" s="18"/>
      <c r="E3852" s="17" t="s">
        <v>6459</v>
      </c>
      <c r="F3852" s="17"/>
      <c r="G3852" s="18"/>
      <c r="H3852" s="18"/>
    </row>
    <row r="3853" spans="1:8" ht="13.2">
      <c r="A3853" s="19" t="str">
        <f>HYPERLINK("http://www.spoj.com/problems/PT07X/","SPOJ PT07X")</f>
        <v>SPOJ PT07X</v>
      </c>
      <c r="B3853" s="29" t="s">
        <v>6458</v>
      </c>
      <c r="C3853" s="17">
        <v>5</v>
      </c>
      <c r="D3853" s="26" t="str">
        <f>HYPERLINK("https://github.com/abdullaAshraf/Problem-Solving/blob/master/SPOJ/PT07X.cpp","Sol")</f>
        <v>Sol</v>
      </c>
      <c r="E3853" s="17" t="s">
        <v>6459</v>
      </c>
      <c r="F3853" s="17"/>
      <c r="G3853" s="18"/>
      <c r="H3853" s="18"/>
    </row>
    <row r="3854" spans="1:8" ht="13.2">
      <c r="A3854" s="19" t="str">
        <f>HYPERLINK("https://codeforces.com/contest/1282/problem/D","CF1282-D2-D")</f>
        <v>CF1282-D2-D</v>
      </c>
      <c r="B3854" s="20" t="s">
        <v>6508</v>
      </c>
      <c r="C3854" s="21">
        <v>5</v>
      </c>
      <c r="D3854" s="18"/>
      <c r="E3854" s="17" t="s">
        <v>6505</v>
      </c>
      <c r="F3854" s="17"/>
      <c r="G3854" s="18"/>
      <c r="H3854" s="18"/>
    </row>
    <row r="3855" spans="1:8" ht="13.2">
      <c r="A3855" s="15" t="s">
        <v>1303</v>
      </c>
      <c r="B3855" s="18" t="s">
        <v>1222</v>
      </c>
      <c r="C3855" s="17">
        <v>5</v>
      </c>
      <c r="D3855" s="18"/>
      <c r="E3855" s="17" t="s">
        <v>1223</v>
      </c>
      <c r="F3855" s="17"/>
      <c r="G3855" s="18"/>
      <c r="H3855" s="18"/>
    </row>
    <row r="3856" spans="1:8" ht="13.2">
      <c r="A3856" s="19" t="str">
        <f>HYPERLINK("http://codeforces.com/contest/102/problem/D","CF102-D2-D")</f>
        <v>CF102-D2-D</v>
      </c>
      <c r="B3856" s="29" t="s">
        <v>1302</v>
      </c>
      <c r="C3856" s="17">
        <v>5</v>
      </c>
      <c r="D3856" s="18"/>
      <c r="E3856" s="17" t="s">
        <v>1223</v>
      </c>
      <c r="F3856" s="17"/>
      <c r="G3856" s="18"/>
      <c r="H3856" s="18"/>
    </row>
    <row r="3857" spans="1:8" ht="13.2">
      <c r="A3857" s="15" t="s">
        <v>1304</v>
      </c>
      <c r="B3857" s="30" t="s">
        <v>1305</v>
      </c>
      <c r="C3857" s="24">
        <v>5</v>
      </c>
      <c r="D3857" s="18"/>
      <c r="E3857" s="17" t="s">
        <v>1223</v>
      </c>
      <c r="F3857" s="17"/>
      <c r="G3857" s="18"/>
      <c r="H3857" s="18"/>
    </row>
    <row r="3858" spans="1:8" ht="13.2">
      <c r="A3858" s="15" t="s">
        <v>1306</v>
      </c>
      <c r="B3858" s="29" t="s">
        <v>1307</v>
      </c>
      <c r="C3858" s="17">
        <v>5</v>
      </c>
      <c r="D3858" s="26" t="str">
        <f>HYPERLINK("https://github.com/magdy-hasan/competitive-programming/blob/99949526fddbb0857a233c02342293b21e5f242d/uva-/uva%201513%20-%20Movie%20collection.cpp","Sol")</f>
        <v>Sol</v>
      </c>
      <c r="E3858" s="17" t="s">
        <v>1223</v>
      </c>
      <c r="F3858" s="17"/>
      <c r="G3858" s="18"/>
      <c r="H3858" s="18"/>
    </row>
    <row r="3859" spans="1:8" ht="13.2">
      <c r="A3859" s="15" t="s">
        <v>1308</v>
      </c>
      <c r="B3859" s="28" t="s">
        <v>1309</v>
      </c>
      <c r="C3859" s="33">
        <v>5</v>
      </c>
      <c r="D3859" s="18"/>
      <c r="E3859" s="17" t="s">
        <v>1223</v>
      </c>
      <c r="F3859" s="17"/>
      <c r="G3859" s="18"/>
      <c r="H3859" s="18"/>
    </row>
    <row r="3860" spans="1:8" ht="13.2">
      <c r="A3860" s="15" t="s">
        <v>1310</v>
      </c>
      <c r="B3860" s="28" t="s">
        <v>1311</v>
      </c>
      <c r="C3860" s="24">
        <v>5</v>
      </c>
      <c r="D3860" s="26" t="str">
        <f>HYPERLINK("https://github.com/shashank0107/CompetitiveProgramming/blob/master/SPOJ/INTERVA2.cpp","Sol")</f>
        <v>Sol</v>
      </c>
      <c r="E3860" s="17" t="s">
        <v>1223</v>
      </c>
      <c r="F3860" s="17"/>
      <c r="G3860" s="18"/>
      <c r="H3860" s="18"/>
    </row>
    <row r="3861" spans="1:8" ht="13.2">
      <c r="A3861" s="19" t="str">
        <f>HYPERLINK("http://codeforces.com/contest/387/problem/E","CF387-D2-E")</f>
        <v>CF387-D2-E</v>
      </c>
      <c r="B3861" s="29" t="s">
        <v>1312</v>
      </c>
      <c r="C3861" s="17">
        <v>5</v>
      </c>
      <c r="D3861" s="18"/>
      <c r="E3861" s="17" t="s">
        <v>1223</v>
      </c>
      <c r="F3861" s="17"/>
      <c r="G3861" s="18"/>
      <c r="H3861" s="18"/>
    </row>
    <row r="3862" spans="1:8" ht="13.2">
      <c r="A3862" s="19" t="str">
        <f>HYPERLINK("http://agc021.contest.atcoder.jp/tasks/agc021_d","AtCoder021-AGC-D")</f>
        <v>AtCoder021-AGC-D</v>
      </c>
      <c r="B3862" s="15" t="s">
        <v>1348</v>
      </c>
      <c r="C3862" s="17">
        <v>5</v>
      </c>
      <c r="D3862" s="18"/>
      <c r="E3862" s="17" t="s">
        <v>1337</v>
      </c>
      <c r="F3862" s="17"/>
      <c r="G3862" s="18"/>
      <c r="H3862" s="18"/>
    </row>
    <row r="3863" spans="1:8" ht="13.2">
      <c r="A3863" s="19" t="str">
        <f>HYPERLINK("https://codeforces.com/contest/1096/problem/D","CF1096-D12-D")</f>
        <v>CF1096-D12-D</v>
      </c>
      <c r="B3863" s="20" t="s">
        <v>1348</v>
      </c>
      <c r="C3863" s="17">
        <v>5</v>
      </c>
      <c r="D3863" s="18"/>
      <c r="E3863" s="17" t="s">
        <v>1337</v>
      </c>
      <c r="F3863" s="17"/>
      <c r="G3863" s="18"/>
      <c r="H3863" s="18"/>
    </row>
    <row r="3864" spans="1:8" ht="13.2">
      <c r="A3864" s="19" t="str">
        <f>HYPERLINK("http://codeforces.com/contest/225/problem/C","CF225-D2-C")</f>
        <v>CF225-D2-C</v>
      </c>
      <c r="B3864" s="29" t="s">
        <v>1348</v>
      </c>
      <c r="C3864" s="17">
        <v>5</v>
      </c>
      <c r="D3864" s="18"/>
      <c r="E3864" s="17" t="s">
        <v>1337</v>
      </c>
      <c r="F3864" s="17"/>
      <c r="G3864" s="18"/>
      <c r="H3864" s="18"/>
    </row>
    <row r="3865" spans="1:8" ht="13.2">
      <c r="A3865" s="19" t="str">
        <f>HYPERLINK("http://codeforces.com/contest/407/problem/B","CF407-D1-B")</f>
        <v>CF407-D1-B</v>
      </c>
      <c r="B3865" s="29" t="s">
        <v>1348</v>
      </c>
      <c r="C3865" s="17">
        <v>5</v>
      </c>
      <c r="D3865" s="18"/>
      <c r="E3865" s="17" t="s">
        <v>1337</v>
      </c>
      <c r="F3865" s="17"/>
      <c r="G3865" s="18"/>
      <c r="H3865" s="18"/>
    </row>
    <row r="3866" spans="1:8" ht="13.2">
      <c r="A3866" s="19" t="str">
        <f>HYPERLINK("http://codeforces.com/contest/699/problem/C","CF699-D2-C")</f>
        <v>CF699-D2-C</v>
      </c>
      <c r="B3866" s="29" t="s">
        <v>1348</v>
      </c>
      <c r="C3866" s="17">
        <v>5</v>
      </c>
      <c r="D3866" s="18"/>
      <c r="E3866" s="17" t="s">
        <v>1337</v>
      </c>
      <c r="F3866" s="17"/>
      <c r="G3866" s="18"/>
      <c r="H3866" s="18"/>
    </row>
    <row r="3867" spans="1:8" ht="13.2">
      <c r="A3867" s="19" t="str">
        <f>HYPERLINK("http://codeforces.com/contest/811/problem/C","CF811-D2-C")</f>
        <v>CF811-D2-C</v>
      </c>
      <c r="B3867" s="18" t="s">
        <v>1348</v>
      </c>
      <c r="C3867" s="31">
        <v>5</v>
      </c>
      <c r="D3867" s="18"/>
      <c r="E3867" s="17" t="s">
        <v>1337</v>
      </c>
      <c r="F3867" s="17"/>
      <c r="G3867" s="18"/>
      <c r="H3867" s="18"/>
    </row>
    <row r="3868" spans="1:8" ht="13.2">
      <c r="A3868" s="19" t="str">
        <f>HYPERLINK("https://www.codechef.com/problems/RWALK","CODECHEF RWALK")</f>
        <v>CODECHEF RWALK</v>
      </c>
      <c r="B3868" s="29" t="s">
        <v>1348</v>
      </c>
      <c r="C3868" s="17">
        <v>5</v>
      </c>
      <c r="D3868" s="18"/>
      <c r="E3868" s="17" t="s">
        <v>1337</v>
      </c>
      <c r="F3868" s="17"/>
      <c r="G3868" s="18"/>
      <c r="H3868" s="18"/>
    </row>
    <row r="3869" spans="1:8" ht="13.2">
      <c r="A3869" s="15" t="s">
        <v>1582</v>
      </c>
      <c r="B3869" s="29" t="s">
        <v>1348</v>
      </c>
      <c r="C3869" s="17">
        <v>5</v>
      </c>
      <c r="D3869" s="18"/>
      <c r="E3869" s="17" t="s">
        <v>1337</v>
      </c>
      <c r="F3869" s="17"/>
      <c r="G3869" s="18"/>
      <c r="H3869" s="18"/>
    </row>
    <row r="3870" spans="1:8" ht="13.2">
      <c r="A3870" s="15" t="s">
        <v>1583</v>
      </c>
      <c r="B3870" s="30" t="s">
        <v>1348</v>
      </c>
      <c r="C3870" s="31">
        <v>5</v>
      </c>
      <c r="D3870" s="18"/>
      <c r="E3870" s="17" t="s">
        <v>1337</v>
      </c>
      <c r="F3870" s="17"/>
      <c r="G3870" s="18"/>
      <c r="H3870" s="18"/>
    </row>
    <row r="3871" spans="1:8" ht="13.2">
      <c r="A3871" s="15" t="s">
        <v>1584</v>
      </c>
      <c r="B3871" s="29" t="s">
        <v>1348</v>
      </c>
      <c r="C3871" s="17">
        <v>5</v>
      </c>
      <c r="D3871" s="18"/>
      <c r="E3871" s="24" t="s">
        <v>1337</v>
      </c>
      <c r="F3871" s="17"/>
      <c r="G3871" s="18"/>
      <c r="H3871" s="18"/>
    </row>
    <row r="3872" spans="1:8" ht="13.2">
      <c r="A3872" s="15" t="s">
        <v>1585</v>
      </c>
      <c r="B3872" s="18" t="s">
        <v>1348</v>
      </c>
      <c r="C3872" s="17">
        <v>5</v>
      </c>
      <c r="D3872" s="18"/>
      <c r="E3872" s="17" t="s">
        <v>1337</v>
      </c>
      <c r="F3872" s="17"/>
      <c r="G3872" s="18"/>
      <c r="H3872" s="18"/>
    </row>
    <row r="3873" spans="1:8" ht="13.2">
      <c r="A3873" s="15" t="s">
        <v>1586</v>
      </c>
      <c r="B3873" s="30" t="s">
        <v>1348</v>
      </c>
      <c r="C3873" s="24">
        <v>5</v>
      </c>
      <c r="D3873" s="18"/>
      <c r="E3873" s="17" t="s">
        <v>1337</v>
      </c>
      <c r="F3873" s="17"/>
      <c r="G3873" s="18"/>
      <c r="H3873" s="18"/>
    </row>
    <row r="3874" spans="1:8" ht="13.2">
      <c r="A3874" s="15" t="s">
        <v>1587</v>
      </c>
      <c r="B3874" s="29" t="s">
        <v>1588</v>
      </c>
      <c r="C3874" s="17">
        <v>5</v>
      </c>
      <c r="D3874" s="18"/>
      <c r="E3874" s="24" t="s">
        <v>1337</v>
      </c>
      <c r="F3874" s="17"/>
      <c r="G3874" s="18"/>
      <c r="H3874" s="18"/>
    </row>
    <row r="3875" spans="1:8" ht="13.2">
      <c r="A3875" s="15" t="s">
        <v>1589</v>
      </c>
      <c r="B3875" s="16" t="s">
        <v>1541</v>
      </c>
      <c r="C3875" s="31">
        <v>5</v>
      </c>
      <c r="D3875" s="18"/>
      <c r="E3875" s="17" t="s">
        <v>1337</v>
      </c>
      <c r="F3875" s="17"/>
      <c r="G3875" s="18"/>
      <c r="H3875" s="18"/>
    </row>
    <row r="3876" spans="1:8" ht="13.2">
      <c r="A3876" s="15" t="s">
        <v>1590</v>
      </c>
      <c r="B3876" s="35" t="s">
        <v>1541</v>
      </c>
      <c r="C3876" s="40">
        <v>5</v>
      </c>
      <c r="D3876" s="18"/>
      <c r="E3876" s="17" t="s">
        <v>1337</v>
      </c>
      <c r="F3876" s="17"/>
      <c r="G3876" s="18"/>
      <c r="H3876" s="18"/>
    </row>
    <row r="3877" spans="1:8" ht="13.2">
      <c r="A3877" s="19" t="str">
        <f>HYPERLINK("http://codeforces.com/contest/991/problem/D","CF991-D2-D")</f>
        <v>CF991-D2-D</v>
      </c>
      <c r="B3877" s="15" t="s">
        <v>1591</v>
      </c>
      <c r="C3877" s="17">
        <v>5</v>
      </c>
      <c r="D3877" s="18"/>
      <c r="E3877" s="17" t="s">
        <v>1337</v>
      </c>
      <c r="F3877" s="17"/>
      <c r="G3877" s="18"/>
      <c r="H3877" s="18"/>
    </row>
    <row r="3878" spans="1:8" ht="13.2">
      <c r="A3878" s="19" t="str">
        <f>HYPERLINK("http://codeforces.com/contest/527/problem/D","CF527-D2-D")</f>
        <v>CF527-D2-D</v>
      </c>
      <c r="B3878" s="15" t="s">
        <v>1592</v>
      </c>
      <c r="C3878" s="24">
        <v>5</v>
      </c>
      <c r="D3878" s="18"/>
      <c r="E3878" s="17" t="s">
        <v>1337</v>
      </c>
      <c r="F3878" s="17"/>
      <c r="G3878" s="18"/>
      <c r="H3878" s="18"/>
    </row>
    <row r="3879" spans="1:8" ht="13.2">
      <c r="A3879" s="19" t="str">
        <f>HYPERLINK("https://www.codechef.com/problems/VOGOZO","CODECHEF VOGOZO")</f>
        <v>CODECHEF VOGOZO</v>
      </c>
      <c r="B3879" s="18" t="s">
        <v>1593</v>
      </c>
      <c r="C3879" s="17">
        <v>5</v>
      </c>
      <c r="D3879" s="26" t="str">
        <f>HYPERLINK("https://github.com/MedoN11/CompetitiveProgramming/blob/master/CodeChef/VOGOZO.cpp","Sol")</f>
        <v>Sol</v>
      </c>
      <c r="E3879" s="17" t="s">
        <v>1337</v>
      </c>
      <c r="F3879" s="17"/>
      <c r="G3879" s="18"/>
      <c r="H3879" s="18"/>
    </row>
    <row r="3880" spans="1:8" ht="13.2">
      <c r="A3880" s="19" t="str">
        <f>HYPERLINK("http://codeforces.com/problemset/gymProblem/101411/H","CF101411-GYM-H")</f>
        <v>CF101411-GYM-H</v>
      </c>
      <c r="B3880" s="29" t="s">
        <v>1594</v>
      </c>
      <c r="C3880" s="17">
        <v>5</v>
      </c>
      <c r="D3880" s="18"/>
      <c r="E3880" s="17" t="s">
        <v>1337</v>
      </c>
      <c r="F3880" s="17"/>
      <c r="G3880" s="18"/>
      <c r="H3880" s="18"/>
    </row>
    <row r="3881" spans="1:8" ht="13.2">
      <c r="A3881" s="15" t="s">
        <v>1595</v>
      </c>
      <c r="B3881" s="30" t="s">
        <v>1596</v>
      </c>
      <c r="C3881" s="24">
        <v>5</v>
      </c>
      <c r="D3881" s="18"/>
      <c r="E3881" s="24" t="s">
        <v>1337</v>
      </c>
      <c r="F3881" s="17"/>
      <c r="G3881" s="18"/>
      <c r="H3881" s="18"/>
    </row>
    <row r="3882" spans="1:8" ht="13.2">
      <c r="A3882" s="15" t="s">
        <v>1597</v>
      </c>
      <c r="B3882" s="29" t="s">
        <v>1598</v>
      </c>
      <c r="C3882" s="17">
        <v>5</v>
      </c>
      <c r="D3882" s="18"/>
      <c r="E3882" s="17" t="s">
        <v>1337</v>
      </c>
      <c r="F3882" s="17"/>
      <c r="G3882" s="18"/>
      <c r="H3882" s="18"/>
    </row>
    <row r="3883" spans="1:8" ht="13.2">
      <c r="A3883" s="19" t="str">
        <f>HYPERLINK("http://codeforces.com/contest/607/problem/D","CF607-D1-D")</f>
        <v>CF607-D1-D</v>
      </c>
      <c r="B3883" s="15" t="s">
        <v>1599</v>
      </c>
      <c r="C3883" s="24">
        <v>5</v>
      </c>
      <c r="D3883" s="18"/>
      <c r="E3883" s="17" t="s">
        <v>1337</v>
      </c>
      <c r="F3883" s="17"/>
      <c r="G3883" s="18"/>
      <c r="H3883" s="18"/>
    </row>
    <row r="3884" spans="1:8" ht="13.2">
      <c r="A3884" s="19" t="str">
        <f>HYPERLINK("http://codeforces.com/contest/417/problem/D","CF417-D2-D")</f>
        <v>CF417-D2-D</v>
      </c>
      <c r="B3884" s="15" t="s">
        <v>1600</v>
      </c>
      <c r="C3884" s="24">
        <v>5</v>
      </c>
      <c r="D3884" s="18"/>
      <c r="E3884" s="17" t="s">
        <v>1337</v>
      </c>
      <c r="F3884" s="17"/>
      <c r="G3884" s="18"/>
      <c r="H3884" s="18"/>
    </row>
    <row r="3885" spans="1:8" ht="13.2">
      <c r="A3885" s="15" t="s">
        <v>1601</v>
      </c>
      <c r="B3885" s="29" t="s">
        <v>1357</v>
      </c>
      <c r="C3885" s="31">
        <v>5</v>
      </c>
      <c r="D3885" s="18"/>
      <c r="E3885" s="17" t="s">
        <v>1337</v>
      </c>
      <c r="F3885" s="17"/>
      <c r="G3885" s="18"/>
      <c r="H3885" s="18"/>
    </row>
    <row r="3886" spans="1:8" ht="13.2">
      <c r="A3886" s="15" t="s">
        <v>1602</v>
      </c>
      <c r="B3886" s="30" t="s">
        <v>1354</v>
      </c>
      <c r="C3886" s="24">
        <v>5</v>
      </c>
      <c r="D3886" s="18"/>
      <c r="E3886" s="17" t="s">
        <v>1337</v>
      </c>
      <c r="F3886" s="17"/>
      <c r="G3886" s="18"/>
      <c r="H3886" s="18"/>
    </row>
    <row r="3887" spans="1:8" ht="13.2">
      <c r="A3887" s="19" t="str">
        <f>HYPERLINK("http://codeforces.com/contest/270/problem/D","CF270-D2-D")</f>
        <v>CF270-D2-D</v>
      </c>
      <c r="B3887" s="29" t="s">
        <v>1603</v>
      </c>
      <c r="C3887" s="17">
        <v>5</v>
      </c>
      <c r="D3887" s="18"/>
      <c r="E3887" s="17" t="s">
        <v>1337</v>
      </c>
      <c r="F3887" s="17"/>
      <c r="G3887" s="18"/>
      <c r="H3887" s="18"/>
    </row>
    <row r="3888" spans="1:8" ht="13.2">
      <c r="A3888" s="19" t="str">
        <f>HYPERLINK("https://csacademy.com/contest/round-61/task/strictly-increasing-array/","CSA61-D")</f>
        <v>CSA61-D</v>
      </c>
      <c r="B3888" s="15" t="s">
        <v>1604</v>
      </c>
      <c r="C3888" s="17">
        <v>5</v>
      </c>
      <c r="D3888" s="18"/>
      <c r="E3888" s="17" t="s">
        <v>1337</v>
      </c>
      <c r="F3888" s="17"/>
      <c r="G3888" s="18"/>
      <c r="H3888" s="18"/>
    </row>
    <row r="3889" spans="1:8" ht="13.2">
      <c r="A3889" s="15" t="s">
        <v>1605</v>
      </c>
      <c r="B3889" s="18" t="s">
        <v>1606</v>
      </c>
      <c r="C3889" s="17">
        <v>5</v>
      </c>
      <c r="D3889" s="26" t="str">
        <f>HYPERLINK("https://github.com/AliOsm/CompetitiveProgramming/blob/master/SPOJ/BRDGHRD%20-%20Building%20Bridges(HARD).cpp","Sol")</f>
        <v>Sol</v>
      </c>
      <c r="E3889" s="17" t="s">
        <v>1337</v>
      </c>
      <c r="F3889" s="17"/>
      <c r="G3889" s="18"/>
      <c r="H3889" s="18"/>
    </row>
    <row r="3890" spans="1:8" ht="13.2">
      <c r="A3890" s="15" t="s">
        <v>1607</v>
      </c>
      <c r="B3890" s="34" t="s">
        <v>1346</v>
      </c>
      <c r="C3890" s="17">
        <v>5</v>
      </c>
      <c r="D3890" s="18"/>
      <c r="E3890" s="17" t="s">
        <v>1337</v>
      </c>
      <c r="F3890" s="17"/>
      <c r="G3890" s="18"/>
      <c r="H3890" s="18"/>
    </row>
    <row r="3891" spans="1:8" ht="13.2">
      <c r="A3891" s="19" t="str">
        <f>HYPERLINK("https://codeforces.com/contest/245/problem/H","CF245-D12-H")</f>
        <v>CF245-D12-H</v>
      </c>
      <c r="B3891" s="15" t="s">
        <v>1608</v>
      </c>
      <c r="C3891" s="17">
        <v>5</v>
      </c>
      <c r="D3891" s="18"/>
      <c r="E3891" s="17" t="s">
        <v>1337</v>
      </c>
      <c r="F3891" s="17"/>
      <c r="G3891" s="18"/>
      <c r="H3891" s="18"/>
    </row>
    <row r="3892" spans="1:8" ht="13.2">
      <c r="A3892" s="15" t="s">
        <v>1609</v>
      </c>
      <c r="B3892" s="30" t="s">
        <v>1610</v>
      </c>
      <c r="C3892" s="40">
        <v>5</v>
      </c>
      <c r="D3892" s="18"/>
      <c r="E3892" s="17" t="s">
        <v>1337</v>
      </c>
      <c r="F3892" s="17"/>
      <c r="G3892" s="18"/>
      <c r="H3892" s="18"/>
    </row>
    <row r="3893" spans="1:8" ht="13.2">
      <c r="A3893" s="15" t="s">
        <v>1611</v>
      </c>
      <c r="B3893" s="18" t="s">
        <v>1612</v>
      </c>
      <c r="C3893" s="31">
        <v>5</v>
      </c>
      <c r="D3893" s="18"/>
      <c r="E3893" s="17" t="s">
        <v>1337</v>
      </c>
      <c r="F3893" s="17"/>
      <c r="G3893" s="18"/>
      <c r="H3893" s="18"/>
    </row>
    <row r="3894" spans="1:8" ht="13.2">
      <c r="A3894" s="15" t="s">
        <v>1613</v>
      </c>
      <c r="B3894" s="28" t="s">
        <v>1614</v>
      </c>
      <c r="C3894" s="24">
        <v>5</v>
      </c>
      <c r="D3894" s="18"/>
      <c r="E3894" s="17" t="s">
        <v>1337</v>
      </c>
      <c r="F3894" s="17"/>
      <c r="G3894" s="18"/>
      <c r="H3894" s="18"/>
    </row>
    <row r="3895" spans="1:8" ht="13.2">
      <c r="A3895" s="19" t="str">
        <f>HYPERLINK("http://codeforces.com/problemset/problem/842/C","CF842-D2-C")</f>
        <v>CF842-D2-C</v>
      </c>
      <c r="B3895" s="18" t="s">
        <v>1615</v>
      </c>
      <c r="C3895" s="17">
        <v>5</v>
      </c>
      <c r="D3895" s="26" t="str">
        <f>HYPERLINK("https://github.com/MedoN11/CompetitiveProgramming/blob/master/CodeForces/CF842-D2-C.cpp","Sol")</f>
        <v>Sol</v>
      </c>
      <c r="E3895" s="17" t="s">
        <v>1337</v>
      </c>
      <c r="F3895" s="17"/>
      <c r="G3895" s="18"/>
      <c r="H3895" s="18"/>
    </row>
    <row r="3896" spans="1:8" ht="13.2">
      <c r="A3896" s="15" t="s">
        <v>1711</v>
      </c>
      <c r="B3896" s="28" t="s">
        <v>1712</v>
      </c>
      <c r="C3896" s="17">
        <v>5</v>
      </c>
      <c r="D3896" s="18"/>
      <c r="E3896" s="17" t="s">
        <v>1691</v>
      </c>
      <c r="F3896" s="17"/>
      <c r="G3896" s="18"/>
      <c r="H3896" s="18"/>
    </row>
    <row r="3897" spans="1:8" ht="13.2">
      <c r="A3897" s="15" t="s">
        <v>1713</v>
      </c>
      <c r="B3897" s="28" t="s">
        <v>1714</v>
      </c>
      <c r="C3897" s="24">
        <v>5</v>
      </c>
      <c r="D3897" s="26" t="str">
        <f>HYPERLINK("https://github.com/MedoN11/CompetitiveProgramming/blob/master/TopCoder/SRM568-D2-1000.java","Sol")</f>
        <v>Sol</v>
      </c>
      <c r="E3897" s="17" t="s">
        <v>1691</v>
      </c>
      <c r="F3897" s="17"/>
      <c r="G3897" s="18"/>
      <c r="H3897" s="18"/>
    </row>
    <row r="3898" spans="1:8" ht="13.2">
      <c r="A3898" s="19" t="str">
        <f>HYPERLINK("http://codeforces.com/contest/837/problem/D","CF837-D12-D")</f>
        <v>CF837-D12-D</v>
      </c>
      <c r="B3898" s="29" t="s">
        <v>1725</v>
      </c>
      <c r="C3898" s="17">
        <v>5</v>
      </c>
      <c r="D3898" s="18"/>
      <c r="E3898" s="17" t="s">
        <v>1716</v>
      </c>
      <c r="F3898" s="17"/>
      <c r="G3898" s="18"/>
      <c r="H3898" s="18"/>
    </row>
    <row r="3899" spans="1:8" ht="13.2">
      <c r="A3899" s="15" t="s">
        <v>1726</v>
      </c>
      <c r="B3899" s="29" t="s">
        <v>1727</v>
      </c>
      <c r="C3899" s="17">
        <v>5</v>
      </c>
      <c r="D3899" s="18"/>
      <c r="E3899" s="17" t="s">
        <v>1716</v>
      </c>
      <c r="F3899" s="17"/>
      <c r="G3899" s="18"/>
      <c r="H3899" s="18"/>
    </row>
    <row r="3900" spans="1:8" ht="13.2">
      <c r="A3900" s="19" t="str">
        <f>HYPERLINK("http://codeforces.com/contest/332/problem/E","CF332-D2-E")</f>
        <v>CF332-D2-E</v>
      </c>
      <c r="B3900" s="15" t="s">
        <v>359</v>
      </c>
      <c r="C3900" s="24">
        <v>5</v>
      </c>
      <c r="D3900" s="18"/>
      <c r="E3900" s="17" t="s">
        <v>332</v>
      </c>
      <c r="F3900" s="17"/>
      <c r="G3900" s="18"/>
      <c r="H3900" s="18"/>
    </row>
    <row r="3901" spans="1:8" ht="13.2">
      <c r="A3901" s="19" t="str">
        <f>HYPERLINK("http://codeforces.com/contest/465/problem/D","CF465-D2-D")</f>
        <v>CF465-D2-D</v>
      </c>
      <c r="B3901" s="29" t="s">
        <v>359</v>
      </c>
      <c r="C3901" s="17">
        <v>5</v>
      </c>
      <c r="D3901" s="18"/>
      <c r="E3901" s="17" t="s">
        <v>332</v>
      </c>
      <c r="F3901" s="17"/>
      <c r="G3901" s="18"/>
      <c r="H3901" s="18"/>
    </row>
    <row r="3902" spans="1:8" ht="13.2">
      <c r="A3902" s="19" t="str">
        <f>HYPERLINK("http://codeforces.com/contest/550/problem/C","CF550-D2-C")</f>
        <v>CF550-D2-C</v>
      </c>
      <c r="B3902" s="29" t="s">
        <v>359</v>
      </c>
      <c r="C3902" s="17">
        <v>5</v>
      </c>
      <c r="D3902" s="18"/>
      <c r="E3902" s="17" t="s">
        <v>332</v>
      </c>
      <c r="F3902" s="17"/>
      <c r="G3902" s="18"/>
      <c r="H3902" s="18"/>
    </row>
    <row r="3903" spans="1:8" ht="13.2">
      <c r="A3903" s="19" t="str">
        <f>HYPERLINK("http://codeforces.com/contest/58/problem/C","CF58-D2-C")</f>
        <v>CF58-D2-C</v>
      </c>
      <c r="B3903" s="29" t="s">
        <v>359</v>
      </c>
      <c r="C3903" s="17">
        <v>5</v>
      </c>
      <c r="D3903" s="18"/>
      <c r="E3903" s="17" t="s">
        <v>332</v>
      </c>
      <c r="F3903" s="17"/>
      <c r="G3903" s="18"/>
      <c r="H3903" s="18"/>
    </row>
    <row r="3904" spans="1:8" ht="13.2">
      <c r="A3904" s="15" t="s">
        <v>416</v>
      </c>
      <c r="B3904" s="34" t="s">
        <v>359</v>
      </c>
      <c r="C3904" s="31">
        <v>5</v>
      </c>
      <c r="D3904" s="18"/>
      <c r="E3904" s="17" t="s">
        <v>332</v>
      </c>
      <c r="F3904" s="17"/>
      <c r="G3904" s="18"/>
      <c r="H3904" s="18"/>
    </row>
    <row r="3905" spans="1:8" ht="13.2">
      <c r="A3905" s="15" t="s">
        <v>417</v>
      </c>
      <c r="B3905" s="30" t="s">
        <v>359</v>
      </c>
      <c r="C3905" s="24">
        <v>5</v>
      </c>
      <c r="D3905" s="18"/>
      <c r="E3905" s="17" t="s">
        <v>332</v>
      </c>
      <c r="F3905" s="17"/>
      <c r="G3905" s="18"/>
      <c r="H3905" s="18"/>
    </row>
    <row r="3906" spans="1:8" ht="13.2">
      <c r="A3906" s="15" t="s">
        <v>418</v>
      </c>
      <c r="B3906" s="30" t="s">
        <v>359</v>
      </c>
      <c r="C3906" s="24">
        <v>5</v>
      </c>
      <c r="D3906" s="18"/>
      <c r="E3906" s="17" t="s">
        <v>332</v>
      </c>
      <c r="F3906" s="17"/>
      <c r="G3906" s="18"/>
      <c r="H3906" s="18"/>
    </row>
    <row r="3907" spans="1:8" ht="13.2">
      <c r="A3907" s="15" t="s">
        <v>419</v>
      </c>
      <c r="B3907" s="16" t="s">
        <v>420</v>
      </c>
      <c r="C3907" s="17">
        <v>5</v>
      </c>
      <c r="D3907" s="18"/>
      <c r="E3907" s="17" t="s">
        <v>332</v>
      </c>
      <c r="F3907" s="17"/>
      <c r="G3907" s="18"/>
      <c r="H3907" s="18"/>
    </row>
    <row r="3908" spans="1:8" ht="13.2">
      <c r="A3908" s="19" t="str">
        <f>HYPERLINK("http://codeforces.com/contest/336/problem/C","CF336-D2-C")</f>
        <v>CF336-D2-C</v>
      </c>
      <c r="B3908" s="18" t="s">
        <v>398</v>
      </c>
      <c r="C3908" s="17">
        <v>5</v>
      </c>
      <c r="D3908" s="18"/>
      <c r="E3908" s="17" t="s">
        <v>332</v>
      </c>
      <c r="F3908" s="17"/>
      <c r="G3908" s="18"/>
      <c r="H3908" s="18"/>
    </row>
    <row r="3909" spans="1:8" ht="13.2">
      <c r="A3909" s="15" t="s">
        <v>421</v>
      </c>
      <c r="B3909" s="15" t="s">
        <v>422</v>
      </c>
      <c r="C3909" s="17">
        <v>5</v>
      </c>
      <c r="D3909" s="18"/>
      <c r="E3909" s="17" t="s">
        <v>332</v>
      </c>
      <c r="F3909" s="17"/>
      <c r="G3909" s="18"/>
      <c r="H3909" s="18"/>
    </row>
    <row r="3910" spans="1:8" ht="13.2">
      <c r="A3910" s="15" t="s">
        <v>423</v>
      </c>
      <c r="B3910" s="29" t="s">
        <v>384</v>
      </c>
      <c r="C3910" s="17">
        <v>5</v>
      </c>
      <c r="D3910" s="18"/>
      <c r="E3910" s="24" t="s">
        <v>332</v>
      </c>
      <c r="F3910" s="17"/>
      <c r="G3910" s="18"/>
      <c r="H3910" s="18"/>
    </row>
    <row r="3911" spans="1:8" ht="13.2">
      <c r="A3911" s="15" t="s">
        <v>424</v>
      </c>
      <c r="B3911" s="29" t="s">
        <v>425</v>
      </c>
      <c r="C3911" s="31">
        <v>5</v>
      </c>
      <c r="D3911" s="18"/>
      <c r="E3911" s="24" t="s">
        <v>332</v>
      </c>
      <c r="F3911" s="17"/>
      <c r="G3911" s="18"/>
      <c r="H3911" s="18"/>
    </row>
    <row r="3912" spans="1:8" ht="13.2">
      <c r="A3912" s="15" t="s">
        <v>426</v>
      </c>
      <c r="B3912" s="28" t="s">
        <v>427</v>
      </c>
      <c r="C3912" s="24">
        <v>5</v>
      </c>
      <c r="D3912" s="18"/>
      <c r="E3912" s="17" t="s">
        <v>332</v>
      </c>
      <c r="F3912" s="17"/>
      <c r="G3912" s="18"/>
      <c r="H3912" s="18"/>
    </row>
    <row r="3913" spans="1:8" ht="13.2">
      <c r="A3913" s="15" t="s">
        <v>428</v>
      </c>
      <c r="B3913" s="29" t="s">
        <v>429</v>
      </c>
      <c r="C3913" s="31">
        <v>5</v>
      </c>
      <c r="D3913" s="18"/>
      <c r="E3913" s="24" t="s">
        <v>332</v>
      </c>
      <c r="F3913" s="17"/>
      <c r="G3913" s="18"/>
      <c r="H3913" s="18"/>
    </row>
    <row r="3914" spans="1:8" ht="13.2">
      <c r="A3914" s="19" t="str">
        <f>HYPERLINK("http://codeforces.com/contest/426/problem/C","CF426-D2-C")</f>
        <v>CF426-D2-C</v>
      </c>
      <c r="B3914" s="29" t="s">
        <v>430</v>
      </c>
      <c r="C3914" s="17">
        <v>5</v>
      </c>
      <c r="D3914" s="18"/>
      <c r="E3914" s="17" t="s">
        <v>332</v>
      </c>
      <c r="F3914" s="17"/>
      <c r="G3914" s="18"/>
      <c r="H3914" s="18"/>
    </row>
    <row r="3915" spans="1:8" ht="13.2">
      <c r="A3915" s="15" t="s">
        <v>1759</v>
      </c>
      <c r="B3915" s="28" t="s">
        <v>1760</v>
      </c>
      <c r="C3915" s="24">
        <v>5</v>
      </c>
      <c r="D3915" s="18"/>
      <c r="E3915" s="17" t="s">
        <v>1751</v>
      </c>
      <c r="F3915" s="17"/>
      <c r="G3915" s="18"/>
      <c r="H3915" s="18"/>
    </row>
    <row r="3916" spans="1:8" ht="13.2">
      <c r="A3916" s="15" t="s">
        <v>1761</v>
      </c>
      <c r="B3916" s="28" t="s">
        <v>1762</v>
      </c>
      <c r="C3916" s="24">
        <v>5</v>
      </c>
      <c r="D3916" s="18"/>
      <c r="E3916" s="17" t="s">
        <v>1751</v>
      </c>
      <c r="F3916" s="17"/>
      <c r="G3916" s="18"/>
      <c r="H3916" s="18"/>
    </row>
    <row r="3917" spans="1:8" ht="13.2">
      <c r="A3917" s="19" t="str">
        <f>HYPERLINK("http://codeforces.com/contest/38/problem/F","CF38-D12-F")</f>
        <v>CF38-D12-F</v>
      </c>
      <c r="B3917" s="29" t="s">
        <v>1763</v>
      </c>
      <c r="C3917" s="17">
        <v>5</v>
      </c>
      <c r="D3917" s="18"/>
      <c r="E3917" s="17" t="s">
        <v>1751</v>
      </c>
      <c r="F3917" s="17"/>
      <c r="G3917" s="18"/>
      <c r="H3917" s="18"/>
    </row>
    <row r="3918" spans="1:8" ht="13.2">
      <c r="A3918" s="15" t="s">
        <v>1784</v>
      </c>
      <c r="B3918" s="38" t="s">
        <v>1777</v>
      </c>
      <c r="C3918" s="17">
        <v>5</v>
      </c>
      <c r="D3918" s="18"/>
      <c r="E3918" s="17" t="s">
        <v>1768</v>
      </c>
      <c r="F3918" s="17"/>
      <c r="G3918" s="18"/>
      <c r="H3918" s="18"/>
    </row>
    <row r="3919" spans="1:8" ht="13.2">
      <c r="A3919" s="15" t="s">
        <v>1785</v>
      </c>
      <c r="B3919" s="29" t="s">
        <v>1786</v>
      </c>
      <c r="C3919" s="24">
        <v>5</v>
      </c>
      <c r="D3919" s="18"/>
      <c r="E3919" s="17" t="s">
        <v>1768</v>
      </c>
      <c r="F3919" s="17"/>
      <c r="G3919" s="18"/>
      <c r="H3919" s="18"/>
    </row>
    <row r="3920" spans="1:8" ht="13.2">
      <c r="A3920" s="15" t="s">
        <v>1787</v>
      </c>
      <c r="B3920" s="28" t="s">
        <v>1788</v>
      </c>
      <c r="C3920" s="24">
        <v>5</v>
      </c>
      <c r="D3920" s="18"/>
      <c r="E3920" s="17" t="s">
        <v>1768</v>
      </c>
      <c r="F3920" s="17"/>
      <c r="G3920" s="18"/>
      <c r="H3920" s="18"/>
    </row>
    <row r="3921" spans="1:8" ht="13.2">
      <c r="A3921" s="19" t="str">
        <f>HYPERLINK("http://codeforces.com/contest/192/problem/C","CF192-D2-C")</f>
        <v>CF192-D2-C</v>
      </c>
      <c r="B3921" s="15" t="s">
        <v>1797</v>
      </c>
      <c r="C3921" s="17">
        <v>5</v>
      </c>
      <c r="D3921" s="18"/>
      <c r="E3921" s="17" t="s">
        <v>1793</v>
      </c>
      <c r="F3921" s="17"/>
      <c r="G3921" s="18"/>
      <c r="H3921" s="18"/>
    </row>
    <row r="3922" spans="1:8" ht="13.2">
      <c r="A3922" s="15" t="s">
        <v>1814</v>
      </c>
      <c r="B3922" s="20" t="s">
        <v>1815</v>
      </c>
      <c r="C3922" s="17">
        <v>5</v>
      </c>
      <c r="D3922" s="18"/>
      <c r="E3922" s="17" t="s">
        <v>1793</v>
      </c>
      <c r="F3922" s="17"/>
      <c r="G3922" s="18"/>
      <c r="H3922" s="18"/>
    </row>
    <row r="3923" spans="1:8" ht="13.2">
      <c r="A3923" s="19" t="str">
        <f>HYPERLINK("http://codeforces.com/gym/101055/problem/E","CF101055-gym-E")</f>
        <v>CF101055-gym-E</v>
      </c>
      <c r="B3923" s="29" t="s">
        <v>1818</v>
      </c>
      <c r="C3923" s="17">
        <v>5</v>
      </c>
      <c r="D3923" s="18"/>
      <c r="E3923" s="17" t="s">
        <v>1819</v>
      </c>
      <c r="F3923" s="17"/>
      <c r="G3923" s="18"/>
      <c r="H3923" s="18"/>
    </row>
    <row r="3924" spans="1:8" ht="13.2">
      <c r="A3924" s="15" t="s">
        <v>1869</v>
      </c>
      <c r="B3924" s="28" t="s">
        <v>1818</v>
      </c>
      <c r="C3924" s="24">
        <v>5</v>
      </c>
      <c r="D3924" s="18"/>
      <c r="E3924" s="17" t="s">
        <v>1819</v>
      </c>
      <c r="F3924" s="17"/>
      <c r="G3924" s="18"/>
      <c r="H3924" s="18"/>
    </row>
    <row r="3925" spans="1:8" ht="13.2">
      <c r="A3925" s="15" t="s">
        <v>1870</v>
      </c>
      <c r="B3925" s="35" t="s">
        <v>1818</v>
      </c>
      <c r="C3925" s="40">
        <v>5</v>
      </c>
      <c r="D3925" s="18"/>
      <c r="E3925" s="17" t="s">
        <v>1819</v>
      </c>
      <c r="F3925" s="17"/>
      <c r="G3925" s="18"/>
      <c r="H3925" s="18"/>
    </row>
    <row r="3926" spans="1:8" ht="13.2">
      <c r="A3926" s="15" t="s">
        <v>1871</v>
      </c>
      <c r="B3926" s="30" t="s">
        <v>1818</v>
      </c>
      <c r="C3926" s="24">
        <v>5</v>
      </c>
      <c r="D3926" s="18"/>
      <c r="E3926" s="17" t="s">
        <v>1819</v>
      </c>
      <c r="F3926" s="17"/>
      <c r="G3926" s="18"/>
      <c r="H3926" s="18"/>
    </row>
    <row r="3927" spans="1:8" ht="13.2">
      <c r="A3927" s="15" t="s">
        <v>1872</v>
      </c>
      <c r="B3927" s="18" t="s">
        <v>1818</v>
      </c>
      <c r="C3927" s="31">
        <v>5</v>
      </c>
      <c r="D3927" s="18"/>
      <c r="E3927" s="17" t="s">
        <v>1819</v>
      </c>
      <c r="F3927" s="17"/>
      <c r="G3927" s="18"/>
      <c r="H3927" s="18"/>
    </row>
    <row r="3928" spans="1:8" ht="13.2">
      <c r="A3928" s="15" t="s">
        <v>1873</v>
      </c>
      <c r="B3928" s="30" t="s">
        <v>1818</v>
      </c>
      <c r="C3928" s="24">
        <v>5</v>
      </c>
      <c r="D3928" s="18"/>
      <c r="E3928" s="17" t="s">
        <v>1819</v>
      </c>
      <c r="F3928" s="17"/>
      <c r="G3928" s="18"/>
      <c r="H3928" s="18"/>
    </row>
    <row r="3929" spans="1:8" ht="13.2">
      <c r="A3929" s="19" t="str">
        <f>HYPERLINK("http://acm.tju.edu.cn/toj/showp1189.html","TJU 1189")</f>
        <v>TJU 1189</v>
      </c>
      <c r="B3929" s="29" t="s">
        <v>1818</v>
      </c>
      <c r="C3929" s="17">
        <v>5</v>
      </c>
      <c r="D3929" s="18"/>
      <c r="E3929" s="17" t="s">
        <v>1819</v>
      </c>
      <c r="F3929" s="17"/>
      <c r="G3929" s="18"/>
      <c r="H3929" s="18"/>
    </row>
    <row r="3930" spans="1:8" ht="13.2">
      <c r="A3930" s="15" t="s">
        <v>1874</v>
      </c>
      <c r="B3930" s="28" t="s">
        <v>1818</v>
      </c>
      <c r="C3930" s="17">
        <v>5</v>
      </c>
      <c r="D3930" s="18"/>
      <c r="E3930" s="17" t="s">
        <v>1819</v>
      </c>
      <c r="F3930" s="17"/>
      <c r="G3930" s="18"/>
      <c r="H3930" s="18"/>
    </row>
    <row r="3931" spans="1:8" ht="13.2">
      <c r="A3931" s="15" t="s">
        <v>1875</v>
      </c>
      <c r="B3931" s="29" t="s">
        <v>1818</v>
      </c>
      <c r="C3931" s="17">
        <v>5</v>
      </c>
      <c r="D3931" s="18"/>
      <c r="E3931" s="17" t="s">
        <v>1819</v>
      </c>
      <c r="F3931" s="17"/>
      <c r="G3931" s="18"/>
      <c r="H3931" s="18"/>
    </row>
    <row r="3932" spans="1:8" ht="13.2">
      <c r="A3932" s="15" t="s">
        <v>1876</v>
      </c>
      <c r="B3932" s="28" t="s">
        <v>1877</v>
      </c>
      <c r="C3932" s="17">
        <v>5</v>
      </c>
      <c r="D3932" s="18"/>
      <c r="E3932" s="17" t="s">
        <v>1819</v>
      </c>
      <c r="F3932" s="17"/>
      <c r="G3932" s="18"/>
      <c r="H3932" s="18"/>
    </row>
    <row r="3933" spans="1:8" ht="13.2">
      <c r="A3933" s="15" t="s">
        <v>1878</v>
      </c>
      <c r="B3933" s="16" t="s">
        <v>1861</v>
      </c>
      <c r="C3933" s="31">
        <v>5</v>
      </c>
      <c r="D3933" s="18"/>
      <c r="E3933" s="17" t="s">
        <v>1819</v>
      </c>
      <c r="F3933" s="17"/>
      <c r="G3933" s="18"/>
      <c r="H3933" s="18"/>
    </row>
    <row r="3934" spans="1:8" ht="13.2">
      <c r="A3934" s="15" t="s">
        <v>1879</v>
      </c>
      <c r="B3934" s="29" t="s">
        <v>1880</v>
      </c>
      <c r="C3934" s="17">
        <v>5</v>
      </c>
      <c r="D3934" s="26" t="str">
        <f>HYPERLINK("https://github.com/AmrMaghraby/Competitve-Programming/blob/master/UVA/UVA%2010944.cpp","Sol")</f>
        <v>Sol</v>
      </c>
      <c r="E3934" s="17" t="s">
        <v>1819</v>
      </c>
      <c r="F3934" s="17"/>
      <c r="G3934" s="18"/>
      <c r="H3934" s="18"/>
    </row>
    <row r="3935" spans="1:8" ht="13.2">
      <c r="A3935" s="19" t="str">
        <f>HYPERLINK("http://codeforces.com/problemset/gymProblem/100531/K","CF100531-gym-K")</f>
        <v>CF100531-gym-K</v>
      </c>
      <c r="B3935" s="29" t="s">
        <v>1913</v>
      </c>
      <c r="C3935" s="17">
        <v>5</v>
      </c>
      <c r="D3935" s="18"/>
      <c r="E3935" s="17" t="s">
        <v>1909</v>
      </c>
      <c r="F3935" s="17"/>
      <c r="G3935" s="18"/>
      <c r="H3935" s="18"/>
    </row>
    <row r="3936" spans="1:8" ht="13.2">
      <c r="A3936" s="19" t="str">
        <f>HYPERLINK("http://codeforces.com/contest/991/problem/E","CF991-D2-E")</f>
        <v>CF991-D2-E</v>
      </c>
      <c r="B3936" s="15" t="s">
        <v>1913</v>
      </c>
      <c r="C3936" s="17">
        <v>5</v>
      </c>
      <c r="D3936" s="18"/>
      <c r="E3936" s="17" t="s">
        <v>1909</v>
      </c>
      <c r="F3936" s="17"/>
      <c r="G3936" s="18"/>
      <c r="H3936" s="18"/>
    </row>
    <row r="3937" spans="1:8" ht="13.2">
      <c r="A3937" s="15" t="s">
        <v>1968</v>
      </c>
      <c r="B3937" s="30" t="s">
        <v>1913</v>
      </c>
      <c r="C3937" s="17">
        <v>5</v>
      </c>
      <c r="D3937" s="18"/>
      <c r="E3937" s="17" t="s">
        <v>1909</v>
      </c>
      <c r="F3937" s="17"/>
      <c r="G3937" s="18"/>
      <c r="H3937" s="18"/>
    </row>
    <row r="3938" spans="1:8" ht="13.2">
      <c r="A3938" s="15" t="s">
        <v>1969</v>
      </c>
      <c r="B3938" s="29" t="s">
        <v>1913</v>
      </c>
      <c r="C3938" s="17">
        <v>5</v>
      </c>
      <c r="D3938" s="18"/>
      <c r="E3938" s="17" t="s">
        <v>1909</v>
      </c>
      <c r="F3938" s="17"/>
      <c r="G3938" s="18"/>
      <c r="H3938" s="18"/>
    </row>
    <row r="3939" spans="1:8" ht="13.2">
      <c r="A3939" s="15" t="s">
        <v>1970</v>
      </c>
      <c r="B3939" s="29" t="s">
        <v>1913</v>
      </c>
      <c r="C3939" s="17">
        <v>5</v>
      </c>
      <c r="D3939" s="18"/>
      <c r="E3939" s="17" t="s">
        <v>1909</v>
      </c>
      <c r="F3939" s="17"/>
      <c r="G3939" s="18"/>
      <c r="H3939" s="18"/>
    </row>
    <row r="3940" spans="1:8" ht="13.2">
      <c r="A3940" s="15" t="s">
        <v>1971</v>
      </c>
      <c r="B3940" s="30" t="s">
        <v>1972</v>
      </c>
      <c r="C3940" s="24">
        <v>5</v>
      </c>
      <c r="D3940" s="18"/>
      <c r="E3940" s="17" t="s">
        <v>1909</v>
      </c>
      <c r="F3940" s="17"/>
      <c r="G3940" s="18"/>
      <c r="H3940" s="18"/>
    </row>
    <row r="3941" spans="1:8" ht="13.2">
      <c r="A3941" s="19" t="str">
        <f>HYPERLINK("https://www.hackerrank.com/challenges/volleyball-match","HACKR volleyball-match")</f>
        <v>HACKR volleyball-match</v>
      </c>
      <c r="B3941" s="29" t="s">
        <v>1908</v>
      </c>
      <c r="C3941" s="33">
        <v>5</v>
      </c>
      <c r="D3941" s="18"/>
      <c r="E3941" s="17" t="s">
        <v>1909</v>
      </c>
      <c r="F3941" s="17"/>
      <c r="G3941" s="18"/>
      <c r="H3941" s="18"/>
    </row>
    <row r="3942" spans="1:8" ht="13.2">
      <c r="A3942" s="15" t="s">
        <v>1973</v>
      </c>
      <c r="B3942" s="28" t="s">
        <v>1939</v>
      </c>
      <c r="C3942" s="17">
        <v>5</v>
      </c>
      <c r="D3942" s="18"/>
      <c r="E3942" s="17" t="s">
        <v>1909</v>
      </c>
      <c r="F3942" s="17"/>
      <c r="G3942" s="18"/>
      <c r="H3942" s="18"/>
    </row>
    <row r="3943" spans="1:8" ht="13.2">
      <c r="A3943" s="19" t="str">
        <f>HYPERLINK("http://codeforces.com/contest/731/problem/E","CF731-D2-E")</f>
        <v>CF731-D2-E</v>
      </c>
      <c r="B3943" s="18" t="s">
        <v>2004</v>
      </c>
      <c r="C3943" s="17">
        <v>5</v>
      </c>
      <c r="D3943" s="18"/>
      <c r="E3943" s="17" t="s">
        <v>1989</v>
      </c>
      <c r="F3943" s="17"/>
      <c r="G3943" s="18"/>
      <c r="H3943" s="18"/>
    </row>
    <row r="3944" spans="1:8" ht="13.2">
      <c r="A3944" s="15" t="s">
        <v>2005</v>
      </c>
      <c r="B3944" s="29" t="s">
        <v>2004</v>
      </c>
      <c r="C3944" s="24">
        <v>5</v>
      </c>
      <c r="D3944" s="18"/>
      <c r="E3944" s="17" t="s">
        <v>1989</v>
      </c>
      <c r="F3944" s="17"/>
      <c r="G3944" s="18"/>
      <c r="H3944" s="18"/>
    </row>
    <row r="3945" spans="1:8" ht="13.2">
      <c r="A3945" s="15" t="s">
        <v>2006</v>
      </c>
      <c r="B3945" s="28" t="s">
        <v>2004</v>
      </c>
      <c r="C3945" s="17">
        <v>5</v>
      </c>
      <c r="D3945" s="18"/>
      <c r="E3945" s="17" t="s">
        <v>1989</v>
      </c>
      <c r="F3945" s="17"/>
      <c r="G3945" s="18"/>
      <c r="H3945" s="18"/>
    </row>
    <row r="3946" spans="1:8" ht="13.2">
      <c r="A3946" s="19" t="str">
        <f>HYPERLINK("http://codeforces.com/contest/63/problem/E","CF63-D2-E")</f>
        <v>CF63-D2-E</v>
      </c>
      <c r="B3946" s="18" t="s">
        <v>2007</v>
      </c>
      <c r="C3946" s="17">
        <v>5</v>
      </c>
      <c r="D3946" s="18"/>
      <c r="E3946" s="17" t="s">
        <v>1989</v>
      </c>
      <c r="F3946" s="17"/>
      <c r="G3946" s="18"/>
      <c r="H3946" s="18"/>
    </row>
    <row r="3947" spans="1:8" ht="13.2">
      <c r="A3947" s="19" t="str">
        <f>HYPERLINK("http://codeforces.com/contest/917/problem/B","CF917-D1-B")</f>
        <v>CF917-D1-B</v>
      </c>
      <c r="B3947" s="20" t="s">
        <v>2008</v>
      </c>
      <c r="C3947" s="17">
        <v>5</v>
      </c>
      <c r="D3947" s="18"/>
      <c r="E3947" s="17" t="s">
        <v>1989</v>
      </c>
      <c r="F3947" s="17"/>
      <c r="G3947" s="18"/>
      <c r="H3947" s="18"/>
    </row>
    <row r="3948" spans="1:8" ht="13.2">
      <c r="A3948" s="15" t="s">
        <v>2062</v>
      </c>
      <c r="B3948" s="30" t="s">
        <v>2025</v>
      </c>
      <c r="C3948" s="24">
        <v>5</v>
      </c>
      <c r="D3948" s="18"/>
      <c r="E3948" s="17" t="s">
        <v>2026</v>
      </c>
      <c r="F3948" s="17"/>
      <c r="G3948" s="18"/>
      <c r="H3948" s="18"/>
    </row>
    <row r="3949" spans="1:8" ht="13.2">
      <c r="A3949" s="15" t="s">
        <v>2063</v>
      </c>
      <c r="B3949" s="29" t="s">
        <v>2025</v>
      </c>
      <c r="C3949" s="24">
        <v>5</v>
      </c>
      <c r="D3949" s="18"/>
      <c r="E3949" s="17" t="s">
        <v>2026</v>
      </c>
      <c r="F3949" s="17"/>
      <c r="G3949" s="18"/>
      <c r="H3949" s="18"/>
    </row>
    <row r="3950" spans="1:8" ht="13.2">
      <c r="A3950" s="19" t="str">
        <f>HYPERLINK("https://agc002.contest.atcoder.jp/tasks/agc002_b","AtCoder002-AGC-B")</f>
        <v>AtCoder002-AGC-B</v>
      </c>
      <c r="B3950" s="15" t="s">
        <v>502</v>
      </c>
      <c r="C3950" s="17">
        <v>5</v>
      </c>
      <c r="D3950" s="18"/>
      <c r="E3950" s="17" t="s">
        <v>503</v>
      </c>
      <c r="F3950" s="17"/>
      <c r="G3950" s="18"/>
      <c r="H3950" s="18"/>
    </row>
    <row r="3951" spans="1:8" ht="13.2">
      <c r="A3951" s="15" t="s">
        <v>538</v>
      </c>
      <c r="B3951" s="28" t="s">
        <v>502</v>
      </c>
      <c r="C3951" s="24">
        <v>5</v>
      </c>
      <c r="D3951" s="18"/>
      <c r="E3951" s="17" t="s">
        <v>503</v>
      </c>
      <c r="F3951" s="17"/>
      <c r="G3951" s="18"/>
      <c r="H3951" s="18"/>
    </row>
    <row r="3952" spans="1:8" ht="13.2">
      <c r="A3952" s="15" t="s">
        <v>539</v>
      </c>
      <c r="B3952" s="16" t="s">
        <v>540</v>
      </c>
      <c r="C3952" s="17">
        <v>5</v>
      </c>
      <c r="D3952" s="18"/>
      <c r="E3952" s="17" t="s">
        <v>503</v>
      </c>
      <c r="F3952" s="17"/>
      <c r="G3952" s="18"/>
      <c r="H3952" s="18"/>
    </row>
    <row r="3953" spans="1:8" ht="13.2">
      <c r="A3953" s="15" t="s">
        <v>541</v>
      </c>
      <c r="B3953" s="28" t="s">
        <v>542</v>
      </c>
      <c r="C3953" s="24">
        <v>5</v>
      </c>
      <c r="D3953" s="18"/>
      <c r="E3953" s="17" t="s">
        <v>503</v>
      </c>
      <c r="F3953" s="17"/>
      <c r="G3953" s="18"/>
      <c r="H3953" s="18"/>
    </row>
    <row r="3954" spans="1:8" ht="13.2">
      <c r="A3954" s="19" t="str">
        <f>HYPERLINK("https://codeforces.com/contest/1265/problem/E","CF1265-D2-E")</f>
        <v>CF1265-D2-E</v>
      </c>
      <c r="B3954" s="15" t="s">
        <v>2073</v>
      </c>
      <c r="C3954" s="17">
        <v>5</v>
      </c>
      <c r="D3954" s="18"/>
      <c r="E3954" s="17" t="s">
        <v>2074</v>
      </c>
      <c r="F3954" s="17"/>
      <c r="G3954" s="18"/>
      <c r="H3954" s="18"/>
    </row>
    <row r="3955" spans="1:8" ht="13.2">
      <c r="A3955" s="15" t="s">
        <v>2101</v>
      </c>
      <c r="B3955" s="28" t="s">
        <v>2073</v>
      </c>
      <c r="C3955" s="17">
        <v>5</v>
      </c>
      <c r="D3955" s="26" t="str">
        <f>HYPERLINK("https://ideone.com/kc7LDA","Sol")</f>
        <v>Sol</v>
      </c>
      <c r="E3955" s="17" t="s">
        <v>2074</v>
      </c>
      <c r="F3955" s="17"/>
      <c r="G3955" s="18"/>
      <c r="H3955" s="18"/>
    </row>
    <row r="3956" spans="1:8" ht="13.2">
      <c r="A3956" s="15" t="s">
        <v>2102</v>
      </c>
      <c r="B3956" s="34" t="s">
        <v>2103</v>
      </c>
      <c r="C3956" s="33">
        <v>5</v>
      </c>
      <c r="D3956" s="26" t="str">
        <f>HYPERLINK("https://github.com/arvindr9/CompetitiveProgramming/blob/master/TopCoder/SRM184-D1-500.cpp","Sol")</f>
        <v>Sol</v>
      </c>
      <c r="E3956" s="17" t="s">
        <v>2074</v>
      </c>
      <c r="F3956" s="17"/>
      <c r="G3956" s="18"/>
      <c r="H3956" s="18"/>
    </row>
    <row r="3957" spans="1:8" ht="13.2">
      <c r="A3957" s="15" t="s">
        <v>2104</v>
      </c>
      <c r="B3957" s="29" t="s">
        <v>2105</v>
      </c>
      <c r="C3957" s="40">
        <v>5</v>
      </c>
      <c r="D3957" s="18"/>
      <c r="E3957" s="17" t="s">
        <v>2074</v>
      </c>
      <c r="F3957" s="17"/>
      <c r="G3957" s="18"/>
      <c r="H3957" s="18"/>
    </row>
    <row r="3958" spans="1:8" ht="13.2">
      <c r="A3958" s="15" t="s">
        <v>2138</v>
      </c>
      <c r="B3958" s="30" t="s">
        <v>2112</v>
      </c>
      <c r="C3958" s="24">
        <v>5</v>
      </c>
      <c r="D3958" s="26" t="str">
        <f>HYPERLINK("https://github.com/yazanKabbany/CompetitiveProgramming/blob/master/UVA/UVA%2012245.cpp","Sol")</f>
        <v>Sol</v>
      </c>
      <c r="E3958" s="17" t="s">
        <v>2113</v>
      </c>
      <c r="F3958" s="17"/>
      <c r="G3958" s="18"/>
      <c r="H3958" s="18"/>
    </row>
    <row r="3959" spans="1:8" ht="13.2">
      <c r="A3959" s="15" t="s">
        <v>2139</v>
      </c>
      <c r="B3959" s="29" t="s">
        <v>2140</v>
      </c>
      <c r="C3959" s="33">
        <v>5</v>
      </c>
      <c r="D3959" s="18"/>
      <c r="E3959" s="24" t="s">
        <v>2113</v>
      </c>
      <c r="F3959" s="17"/>
      <c r="G3959" s="18"/>
      <c r="H3959" s="18"/>
    </row>
    <row r="3960" spans="1:8" ht="13.2">
      <c r="A3960" s="15" t="s">
        <v>2141</v>
      </c>
      <c r="B3960" s="30" t="s">
        <v>2142</v>
      </c>
      <c r="C3960" s="17">
        <v>5</v>
      </c>
      <c r="D3960" s="26" t="str">
        <f>HYPERLINK("https://github.com/AhmedRamadanAbdElghany/CompetitiveProgramming/blob/master/Spoj/GCJ1C09C.cpp","Sol")</f>
        <v>Sol</v>
      </c>
      <c r="E3960" s="17" t="s">
        <v>2113</v>
      </c>
      <c r="F3960" s="17"/>
      <c r="G3960" s="18"/>
      <c r="H3960" s="18"/>
    </row>
    <row r="3961" spans="1:8" ht="13.2">
      <c r="A3961" s="15" t="s">
        <v>2143</v>
      </c>
      <c r="B3961" s="29" t="s">
        <v>2144</v>
      </c>
      <c r="C3961" s="17">
        <v>5</v>
      </c>
      <c r="D3961" s="26" t="str">
        <f>HYPERLINK("https://github.com/MichaelMounir12/CompetitiveProgramming/blob/6968e76a38d600c4a9f0f385050be2100e7f0f9f/UVA/UVA_10688.cpp","Sol")</f>
        <v>Sol</v>
      </c>
      <c r="E3961" s="17" t="s">
        <v>2113</v>
      </c>
      <c r="F3961" s="17"/>
      <c r="G3961" s="18"/>
      <c r="H3961" s="18"/>
    </row>
    <row r="3962" spans="1:8" ht="13.2">
      <c r="A3962" s="19" t="str">
        <f>HYPERLINK("http://codeforces.com/gym/100883/problem/h?mobile=true","CF100883-GYM-C")</f>
        <v>CF100883-GYM-C</v>
      </c>
      <c r="B3962" s="30" t="s">
        <v>2163</v>
      </c>
      <c r="C3962" s="54">
        <v>5</v>
      </c>
      <c r="D3962" s="26" t="str">
        <f>HYPERLINK("https://github.com/aviroop123/CompetitiveProgramming/blob/master/CodeForces/CF100883-GYM-C.cpp","Sol")</f>
        <v>Sol</v>
      </c>
      <c r="E3962" s="17" t="s">
        <v>2153</v>
      </c>
      <c r="F3962" s="17"/>
      <c r="G3962" s="18"/>
      <c r="H3962" s="18"/>
    </row>
    <row r="3963" spans="1:8" ht="13.2">
      <c r="A3963" s="19" t="str">
        <f>HYPERLINK("http://codeforces.com/problemset/gymProblem/101498/F","CF10149-GYM-F")</f>
        <v>CF10149-GYM-F</v>
      </c>
      <c r="B3963" s="15" t="s">
        <v>2163</v>
      </c>
      <c r="C3963" s="17">
        <v>5</v>
      </c>
      <c r="D3963" s="26" t="str">
        <f>HYPERLINK("https://github.com/goswami-rahul/competitive-coding/blob/master/CompetitiveProgramming/codeforces/CF10149-GYM-F.cpp","Sol")</f>
        <v>Sol</v>
      </c>
      <c r="E3963" s="17" t="s">
        <v>2153</v>
      </c>
      <c r="F3963" s="17"/>
      <c r="G3963" s="18"/>
      <c r="H3963" s="18"/>
    </row>
    <row r="3964" spans="1:8" ht="13.2">
      <c r="A3964" s="19" t="str">
        <f>HYPERLINK("http://codeforces.com/gym/101492/problem/E","CF101492-GYM-E")</f>
        <v>CF101492-GYM-E</v>
      </c>
      <c r="B3964" s="18" t="s">
        <v>2163</v>
      </c>
      <c r="C3964" s="40">
        <v>5</v>
      </c>
      <c r="D3964" s="26" t="str">
        <f>HYPERLINK("https://github.com/Mahmoud3ali/CompetitiveProgramming/blob/master/CodeForces/CF101492-GYM-E.cpp","Sol")</f>
        <v>Sol</v>
      </c>
      <c r="E3964" s="17" t="s">
        <v>2153</v>
      </c>
      <c r="F3964" s="17"/>
      <c r="G3964" s="18"/>
      <c r="H3964" s="18"/>
    </row>
    <row r="3965" spans="1:8" ht="13.2">
      <c r="A3965" s="19" t="str">
        <f>HYPERLINK("http://codeforces.com/contest/215/problem/D","CF215-D2-D")</f>
        <v>CF215-D2-D</v>
      </c>
      <c r="B3965" s="18" t="s">
        <v>2163</v>
      </c>
      <c r="C3965" s="17">
        <v>5</v>
      </c>
      <c r="D3965" s="18"/>
      <c r="E3965" s="17" t="s">
        <v>2153</v>
      </c>
      <c r="F3965" s="17"/>
      <c r="G3965" s="18"/>
      <c r="H3965" s="18"/>
    </row>
    <row r="3966" spans="1:8" ht="13.2">
      <c r="A3966" s="19" t="str">
        <f>HYPERLINK("http://codeforces.com/contest/738/problem/E","CF738-D2-E")</f>
        <v>CF738-D2-E</v>
      </c>
      <c r="B3966" s="29" t="s">
        <v>2163</v>
      </c>
      <c r="C3966" s="17">
        <v>5</v>
      </c>
      <c r="D3966" s="18"/>
      <c r="E3966" s="17" t="s">
        <v>2153</v>
      </c>
      <c r="F3966" s="17"/>
      <c r="G3966" s="18"/>
      <c r="H3966" s="18"/>
    </row>
    <row r="3967" spans="1:8" ht="13.2">
      <c r="A3967" s="19" t="str">
        <f>HYPERLINK("http://codeforces.com/contest/898/problem/E","CF898-D2-E")</f>
        <v>CF898-D2-E</v>
      </c>
      <c r="B3967" s="18" t="s">
        <v>2163</v>
      </c>
      <c r="C3967" s="17">
        <v>5</v>
      </c>
      <c r="D3967" s="18"/>
      <c r="E3967" s="17" t="s">
        <v>2153</v>
      </c>
      <c r="F3967" s="17"/>
      <c r="G3967" s="18"/>
      <c r="H3967" s="18"/>
    </row>
    <row r="3968" spans="1:8" ht="13.2">
      <c r="A3968" s="19" t="str">
        <f>HYPERLINK("http://codeforces.com/contest/950/problem/C","CF950-D2-C")</f>
        <v>CF950-D2-C</v>
      </c>
      <c r="B3968" s="18" t="s">
        <v>2163</v>
      </c>
      <c r="C3968" s="17">
        <v>5</v>
      </c>
      <c r="D3968" s="18"/>
      <c r="E3968" s="17" t="s">
        <v>2153</v>
      </c>
      <c r="F3968" s="17"/>
      <c r="G3968" s="18"/>
      <c r="H3968" s="18"/>
    </row>
    <row r="3969" spans="1:8" ht="13.2">
      <c r="A3969" s="19" t="str">
        <f>HYPERLINK("http://codeforces.com/contest/978/problem/G","CF978-D3-G")</f>
        <v>CF978-D3-G</v>
      </c>
      <c r="B3969" s="20" t="s">
        <v>2163</v>
      </c>
      <c r="C3969" s="21">
        <v>5</v>
      </c>
      <c r="D3969" s="18"/>
      <c r="E3969" s="17" t="s">
        <v>2153</v>
      </c>
      <c r="F3969" s="17"/>
      <c r="G3969" s="18"/>
      <c r="H3969" s="18"/>
    </row>
    <row r="3970" spans="1:8" ht="13.2">
      <c r="A3970" s="19" t="str">
        <f>HYPERLINK("https://csacademy.com/contest/round-34/task/minimize-max-diff/","CSA34-D")</f>
        <v>CSA34-D</v>
      </c>
      <c r="B3970" s="18" t="s">
        <v>2163</v>
      </c>
      <c r="C3970" s="17">
        <v>5</v>
      </c>
      <c r="D3970" s="18"/>
      <c r="E3970" s="17" t="s">
        <v>2153</v>
      </c>
      <c r="F3970" s="17"/>
      <c r="G3970" s="18"/>
      <c r="H3970" s="18"/>
    </row>
    <row r="3971" spans="1:8" ht="13.2">
      <c r="A3971" s="15" t="s">
        <v>2304</v>
      </c>
      <c r="B3971" s="30" t="s">
        <v>2163</v>
      </c>
      <c r="C3971" s="40">
        <v>5</v>
      </c>
      <c r="D3971" s="18"/>
      <c r="E3971" s="17" t="s">
        <v>2153</v>
      </c>
      <c r="F3971" s="17"/>
      <c r="G3971" s="18"/>
      <c r="H3971" s="18"/>
    </row>
    <row r="3972" spans="1:8" ht="13.2">
      <c r="A3972" s="15" t="s">
        <v>2305</v>
      </c>
      <c r="B3972" s="15" t="s">
        <v>2163</v>
      </c>
      <c r="C3972" s="17">
        <v>5</v>
      </c>
      <c r="D3972" s="18"/>
      <c r="E3972" s="17" t="s">
        <v>2153</v>
      </c>
      <c r="F3972" s="17"/>
      <c r="G3972" s="18"/>
      <c r="H3972" s="18"/>
    </row>
    <row r="3973" spans="1:8" ht="13.2">
      <c r="A3973" s="15" t="s">
        <v>2306</v>
      </c>
      <c r="B3973" s="18" t="s">
        <v>2163</v>
      </c>
      <c r="C3973" s="17">
        <v>5</v>
      </c>
      <c r="D3973" s="26" t="str">
        <f>HYPERLINK("https://github.com/AliOsm/CompetitiveProgramming/blob/master/Timus/1515.%20Cashmaster.cpp","Sol")</f>
        <v>Sol</v>
      </c>
      <c r="E3973" s="17" t="s">
        <v>2153</v>
      </c>
      <c r="F3973" s="17"/>
      <c r="G3973" s="18"/>
      <c r="H3973" s="18"/>
    </row>
    <row r="3974" spans="1:8" ht="13.2">
      <c r="A3974" s="19" t="str">
        <f>HYPERLINK("http://codeforces.com/contest/131/problem/E","CF131-D2-E")</f>
        <v>CF131-D2-E</v>
      </c>
      <c r="B3974" s="29" t="s">
        <v>2157</v>
      </c>
      <c r="C3974" s="17">
        <v>5</v>
      </c>
      <c r="D3974" s="18"/>
      <c r="E3974" s="17" t="s">
        <v>2153</v>
      </c>
      <c r="F3974" s="17"/>
      <c r="G3974" s="18"/>
      <c r="H3974" s="18"/>
    </row>
    <row r="3975" spans="1:8" ht="13.2">
      <c r="A3975" s="19" t="str">
        <f>HYPERLINK("http://codeforces.com/contest/551/problem/C","CF551-D2-C")</f>
        <v>CF551-D2-C</v>
      </c>
      <c r="B3975" s="29" t="s">
        <v>2157</v>
      </c>
      <c r="C3975" s="24">
        <v>5</v>
      </c>
      <c r="D3975" s="18"/>
      <c r="E3975" s="17" t="s">
        <v>2153</v>
      </c>
      <c r="F3975" s="17"/>
      <c r="G3975" s="18"/>
      <c r="H3975" s="18"/>
    </row>
    <row r="3976" spans="1:8" ht="13.2">
      <c r="A3976" s="19" t="str">
        <f>HYPERLINK("http://codeforces.com/contest/286/problem/C","CF286-D1-C")</f>
        <v>CF286-D1-C</v>
      </c>
      <c r="B3976" s="29" t="s">
        <v>2169</v>
      </c>
      <c r="C3976" s="17">
        <v>5</v>
      </c>
      <c r="D3976" s="18"/>
      <c r="E3976" s="17" t="s">
        <v>2153</v>
      </c>
      <c r="F3976" s="17"/>
      <c r="G3976" s="18"/>
      <c r="H3976" s="18"/>
    </row>
    <row r="3977" spans="1:8" ht="13.2">
      <c r="A3977" s="19" t="str">
        <f>HYPERLINK("https://uva.onlinejudge.org/index.php?option=com_onlinejudge&amp;Itemid=8&amp;page=show_problem&amp;problem=4470","UVA 1595")</f>
        <v>UVA 1595</v>
      </c>
      <c r="B3977" s="18" t="s">
        <v>2169</v>
      </c>
      <c r="C3977" s="17">
        <v>5</v>
      </c>
      <c r="D3977" s="18"/>
      <c r="E3977" s="17" t="s">
        <v>2153</v>
      </c>
      <c r="F3977" s="17"/>
      <c r="G3977" s="18"/>
      <c r="H3977" s="18"/>
    </row>
    <row r="3978" spans="1:8" ht="13.2">
      <c r="A3978" s="15" t="s">
        <v>2307</v>
      </c>
      <c r="B3978" s="30" t="s">
        <v>2181</v>
      </c>
      <c r="C3978" s="17">
        <v>5</v>
      </c>
      <c r="D3978" s="18"/>
      <c r="E3978" s="17" t="s">
        <v>2153</v>
      </c>
      <c r="F3978" s="17"/>
      <c r="G3978" s="18"/>
      <c r="H3978" s="18"/>
    </row>
    <row r="3979" spans="1:8" ht="13.2">
      <c r="A3979" s="19" t="str">
        <f>HYPERLINK("http://codeforces.com/contest/358/problem/C","CF358-D2-C")</f>
        <v>CF358-D2-C</v>
      </c>
      <c r="B3979" s="29" t="s">
        <v>2225</v>
      </c>
      <c r="C3979" s="17">
        <v>5</v>
      </c>
      <c r="D3979" s="18"/>
      <c r="E3979" s="17" t="s">
        <v>2153</v>
      </c>
      <c r="F3979" s="17"/>
      <c r="G3979" s="18"/>
      <c r="H3979" s="18"/>
    </row>
    <row r="3980" spans="1:8" ht="13.2">
      <c r="A3980" s="19" t="str">
        <f>HYPERLINK("http://codeforces.com/contest/917/problem/A","CF917-D1-A")</f>
        <v>CF917-D1-A</v>
      </c>
      <c r="B3980" s="20" t="s">
        <v>2225</v>
      </c>
      <c r="C3980" s="17">
        <v>5</v>
      </c>
      <c r="D3980" s="18"/>
      <c r="E3980" s="17" t="s">
        <v>2153</v>
      </c>
      <c r="F3980" s="17"/>
      <c r="G3980" s="18"/>
      <c r="H3980" s="18"/>
    </row>
    <row r="3981" spans="1:8" ht="13.2">
      <c r="A3981" s="19" t="str">
        <f>HYPERLINK("http://codeforces.com/contest/1062/problem/C", "CF1062-D2-C")</f>
        <v>CF1062-D2-C</v>
      </c>
      <c r="B3981" s="20" t="s">
        <v>2200</v>
      </c>
      <c r="C3981" s="21">
        <v>5</v>
      </c>
      <c r="D3981" s="18"/>
      <c r="E3981" s="17" t="s">
        <v>2153</v>
      </c>
      <c r="F3981" s="17"/>
      <c r="G3981" s="18"/>
      <c r="H3981" s="18"/>
    </row>
    <row r="3982" spans="1:8" ht="13.2">
      <c r="A3982" s="19" t="str">
        <f>HYPERLINK("http://codeforces.com/contest/476/problem/D","CF476-D2-D")</f>
        <v>CF476-D2-D</v>
      </c>
      <c r="B3982" s="18" t="s">
        <v>2200</v>
      </c>
      <c r="C3982" s="17">
        <v>5</v>
      </c>
      <c r="D3982" s="18"/>
      <c r="E3982" s="17" t="s">
        <v>2153</v>
      </c>
      <c r="F3982" s="17"/>
      <c r="G3982" s="18"/>
      <c r="H3982" s="18"/>
    </row>
    <row r="3983" spans="1:8" ht="13.2">
      <c r="A3983" s="15" t="s">
        <v>2308</v>
      </c>
      <c r="B3983" s="34" t="s">
        <v>2200</v>
      </c>
      <c r="C3983" s="31">
        <v>5</v>
      </c>
      <c r="D3983" s="18"/>
      <c r="E3983" s="17" t="s">
        <v>2153</v>
      </c>
      <c r="F3983" s="17"/>
      <c r="G3983" s="18"/>
      <c r="H3983" s="18"/>
    </row>
    <row r="3984" spans="1:8" ht="13.2">
      <c r="A3984" s="15" t="s">
        <v>2309</v>
      </c>
      <c r="B3984" s="29" t="s">
        <v>2200</v>
      </c>
      <c r="C3984" s="17">
        <v>5</v>
      </c>
      <c r="D3984" s="26" t="str">
        <f>HYPERLINK("https://github.com/AliOsm/CompetitiveProgramming/blob/master/UVA/13032%20-%20Marbles%20in%20Jars.cpp","Sol to read")</f>
        <v>Sol to read</v>
      </c>
      <c r="E3984" s="17" t="s">
        <v>2153</v>
      </c>
      <c r="F3984" s="17"/>
      <c r="G3984" s="18"/>
      <c r="H3984" s="18"/>
    </row>
    <row r="3985" spans="1:8" ht="13.2">
      <c r="A3985" s="15" t="s">
        <v>2310</v>
      </c>
      <c r="B3985" s="16" t="s">
        <v>2311</v>
      </c>
      <c r="C3985" s="17">
        <v>5</v>
      </c>
      <c r="D3985" s="18"/>
      <c r="E3985" s="17" t="s">
        <v>2153</v>
      </c>
      <c r="F3985" s="17"/>
      <c r="G3985" s="18"/>
      <c r="H3985" s="18"/>
    </row>
    <row r="3986" spans="1:8" ht="13.2">
      <c r="A3986" s="19" t="str">
        <f>HYPERLINK("http://codeforces.com/contest/546/problem/D","CF546-D2-D")</f>
        <v>CF546-D2-D</v>
      </c>
      <c r="B3986" s="18" t="s">
        <v>2245</v>
      </c>
      <c r="C3986" s="17">
        <v>5</v>
      </c>
      <c r="D3986" s="18"/>
      <c r="E3986" s="17" t="s">
        <v>2153</v>
      </c>
      <c r="F3986" s="17"/>
      <c r="G3986" s="18"/>
      <c r="H3986" s="18"/>
    </row>
    <row r="3987" spans="1:8" ht="13.2">
      <c r="A3987" s="15" t="s">
        <v>2312</v>
      </c>
      <c r="B3987" s="30" t="s">
        <v>2313</v>
      </c>
      <c r="C3987" s="17">
        <v>5</v>
      </c>
      <c r="D3987" s="18"/>
      <c r="E3987" s="17" t="s">
        <v>2153</v>
      </c>
      <c r="F3987" s="17"/>
      <c r="G3987" s="18"/>
      <c r="H3987" s="18"/>
    </row>
    <row r="3988" spans="1:8" ht="13.2">
      <c r="A3988" s="15" t="s">
        <v>2314</v>
      </c>
      <c r="B3988" s="34" t="s">
        <v>2315</v>
      </c>
      <c r="C3988" s="31">
        <v>5</v>
      </c>
      <c r="D3988" s="18"/>
      <c r="E3988" s="17" t="s">
        <v>2153</v>
      </c>
      <c r="F3988" s="17"/>
      <c r="G3988" s="18"/>
      <c r="H3988" s="18"/>
    </row>
    <row r="3989" spans="1:8" ht="13.2">
      <c r="A3989" s="19" t="str">
        <f>HYPERLINK("http://codeforces.com/contest/732/problem/E","CF732-D2-E")</f>
        <v>CF732-D2-E</v>
      </c>
      <c r="B3989" s="29" t="s">
        <v>2316</v>
      </c>
      <c r="C3989" s="31">
        <v>5</v>
      </c>
      <c r="D3989" s="18"/>
      <c r="E3989" s="17" t="s">
        <v>2153</v>
      </c>
      <c r="F3989" s="17"/>
      <c r="G3989" s="18"/>
      <c r="H3989" s="18"/>
    </row>
    <row r="3990" spans="1:8" ht="13.2">
      <c r="A3990" s="19" t="str">
        <f>HYPERLINK("https://agc003.contest.atcoder.jp/tasks/agc003_c","AtCoder003-AGC-C")</f>
        <v>AtCoder003-AGC-C</v>
      </c>
      <c r="B3990" s="15" t="s">
        <v>2248</v>
      </c>
      <c r="C3990" s="17">
        <v>5</v>
      </c>
      <c r="D3990" s="18"/>
      <c r="E3990" s="17" t="s">
        <v>2153</v>
      </c>
      <c r="F3990" s="17"/>
      <c r="G3990" s="18"/>
      <c r="H3990" s="18"/>
    </row>
    <row r="3991" spans="1:8" ht="13.2">
      <c r="A3991" s="19" t="str">
        <f>HYPERLINK("http://codeforces.com/contest/779/problem/C","CF779-D2-C")</f>
        <v>CF779-D2-C</v>
      </c>
      <c r="B3991" s="18" t="s">
        <v>2248</v>
      </c>
      <c r="C3991" s="17">
        <v>5</v>
      </c>
      <c r="D3991" s="18"/>
      <c r="E3991" s="17" t="s">
        <v>2153</v>
      </c>
      <c r="F3991" s="17"/>
      <c r="G3991" s="18"/>
      <c r="H3991" s="18"/>
    </row>
    <row r="3992" spans="1:8" ht="13.2">
      <c r="A3992" s="15" t="s">
        <v>2317</v>
      </c>
      <c r="B3992" s="35" t="s">
        <v>2248</v>
      </c>
      <c r="C3992" s="17">
        <v>5</v>
      </c>
      <c r="D3992" s="18"/>
      <c r="E3992" s="17" t="s">
        <v>2153</v>
      </c>
      <c r="F3992" s="17"/>
      <c r="G3992" s="18"/>
      <c r="H3992" s="18"/>
    </row>
    <row r="3993" spans="1:8" ht="13.2">
      <c r="A3993" s="15" t="s">
        <v>2318</v>
      </c>
      <c r="B3993" s="29" t="s">
        <v>2248</v>
      </c>
      <c r="C3993" s="17">
        <v>5</v>
      </c>
      <c r="D3993" s="18"/>
      <c r="E3993" s="24" t="s">
        <v>2153</v>
      </c>
      <c r="F3993" s="17"/>
      <c r="G3993" s="18"/>
      <c r="H3993" s="18"/>
    </row>
    <row r="3994" spans="1:8" ht="13.2">
      <c r="A3994" s="15" t="s">
        <v>2319</v>
      </c>
      <c r="B3994" s="30" t="s">
        <v>2248</v>
      </c>
      <c r="C3994" s="17">
        <v>5</v>
      </c>
      <c r="D3994" s="18"/>
      <c r="E3994" s="17" t="s">
        <v>2153</v>
      </c>
      <c r="F3994" s="17"/>
      <c r="G3994" s="18"/>
      <c r="H3994" s="18"/>
    </row>
    <row r="3995" spans="1:8" ht="13.2">
      <c r="A3995" s="15" t="s">
        <v>2320</v>
      </c>
      <c r="B3995" s="30" t="s">
        <v>2248</v>
      </c>
      <c r="C3995" s="17">
        <v>5</v>
      </c>
      <c r="D3995" s="18"/>
      <c r="E3995" s="17" t="s">
        <v>2153</v>
      </c>
      <c r="F3995" s="17"/>
      <c r="G3995" s="18"/>
      <c r="H3995" s="18"/>
    </row>
    <row r="3996" spans="1:8" ht="13.2">
      <c r="A3996" s="19" t="str">
        <f>HYPERLINK("http://codeforces.com/contest/222/problem/D","CF222-D2-D")</f>
        <v>CF222-D2-D</v>
      </c>
      <c r="B3996" s="18" t="s">
        <v>2321</v>
      </c>
      <c r="C3996" s="17">
        <v>5</v>
      </c>
      <c r="D3996" s="18"/>
      <c r="E3996" s="17" t="s">
        <v>2153</v>
      </c>
      <c r="F3996" s="17"/>
      <c r="G3996" s="18"/>
      <c r="H3996" s="18"/>
    </row>
    <row r="3997" spans="1:8" ht="13.2">
      <c r="A3997" s="19" t="str">
        <f>HYPERLINK("http://codeforces.com/contest/529/problem/B","CF529-D1-B")</f>
        <v>CF529-D1-B</v>
      </c>
      <c r="B3997" s="29" t="s">
        <v>2322</v>
      </c>
      <c r="C3997" s="31">
        <v>5</v>
      </c>
      <c r="D3997" s="18"/>
      <c r="E3997" s="17" t="s">
        <v>2153</v>
      </c>
      <c r="F3997" s="17"/>
      <c r="G3997" s="18"/>
      <c r="H3997" s="18"/>
    </row>
    <row r="3998" spans="1:8" ht="13.2">
      <c r="A3998" s="19" t="str">
        <f>HYPERLINK("http://codeforces.com/contest/797/problem/C","CF797-D12-C")</f>
        <v>CF797-D12-C</v>
      </c>
      <c r="B3998" s="18" t="s">
        <v>2323</v>
      </c>
      <c r="C3998" s="17">
        <v>5</v>
      </c>
      <c r="D3998" s="18"/>
      <c r="E3998" s="17" t="s">
        <v>2153</v>
      </c>
      <c r="F3998" s="17"/>
      <c r="G3998" s="18"/>
      <c r="H3998" s="18"/>
    </row>
    <row r="3999" spans="1:8" ht="13.2">
      <c r="A3999" s="15" t="s">
        <v>2324</v>
      </c>
      <c r="B3999" s="29" t="s">
        <v>2325</v>
      </c>
      <c r="C3999" s="17">
        <v>5</v>
      </c>
      <c r="D3999" s="18"/>
      <c r="E3999" s="24" t="s">
        <v>2153</v>
      </c>
      <c r="F3999" s="17"/>
      <c r="G3999" s="18"/>
      <c r="H3999" s="18"/>
    </row>
    <row r="4000" spans="1:8" ht="13.2">
      <c r="A4000" s="19" t="str">
        <f>HYPERLINK("https://csacademy.com/contest/round-63/task/graph-game/","CSA63-D")</f>
        <v>CSA63-D</v>
      </c>
      <c r="B4000" s="15" t="s">
        <v>2400</v>
      </c>
      <c r="C4000" s="31">
        <v>5</v>
      </c>
      <c r="D4000" s="18"/>
      <c r="E4000" s="17" t="s">
        <v>2394</v>
      </c>
      <c r="F4000" s="17"/>
      <c r="G4000" s="18"/>
      <c r="H4000" s="18"/>
    </row>
    <row r="4001" spans="1:8" ht="13.2">
      <c r="A4001" s="19" t="str">
        <f>HYPERLINK("http://codeforces.com/contest/594/problem/A","CF594-D1-A")</f>
        <v>CF594-D1-A</v>
      </c>
      <c r="B4001" s="29" t="s">
        <v>2415</v>
      </c>
      <c r="C4001" s="17">
        <v>5</v>
      </c>
      <c r="D4001" s="18"/>
      <c r="E4001" s="17" t="s">
        <v>2394</v>
      </c>
      <c r="F4001" s="17"/>
      <c r="G4001" s="18"/>
      <c r="H4001" s="18"/>
    </row>
    <row r="4002" spans="1:8" ht="13.2">
      <c r="A4002" s="15" t="s">
        <v>2698</v>
      </c>
      <c r="B4002" s="28" t="s">
        <v>2509</v>
      </c>
      <c r="C4002" s="24">
        <v>5</v>
      </c>
      <c r="D4002" s="18"/>
      <c r="E4002" s="17" t="s">
        <v>2510</v>
      </c>
      <c r="F4002" s="17"/>
      <c r="G4002" s="18"/>
      <c r="H4002" s="18"/>
    </row>
    <row r="4003" spans="1:8" ht="13.2">
      <c r="A4003" s="15" t="s">
        <v>2699</v>
      </c>
      <c r="B4003" s="29" t="s">
        <v>2509</v>
      </c>
      <c r="C4003" s="33">
        <v>5</v>
      </c>
      <c r="D4003" s="26" t="str">
        <f>HYPERLINK("https://github.com/mostafa-saad/MyCompetitiveProgramming/blob/master/UVA/UVA_1643.txt","Sol")</f>
        <v>Sol</v>
      </c>
      <c r="E4003" s="17" t="s">
        <v>2510</v>
      </c>
      <c r="F4003" s="17"/>
      <c r="G4003" s="18"/>
      <c r="H4003" s="18"/>
    </row>
    <row r="4004" spans="1:8" ht="13.2">
      <c r="A4004" s="19" t="str">
        <f>HYPERLINK("http://codeforces.com/gym/101726/problem/F","CF101726-GYM-F")</f>
        <v>CF101726-GYM-F</v>
      </c>
      <c r="B4004" s="15" t="s">
        <v>2561</v>
      </c>
      <c r="C4004" s="17">
        <v>5</v>
      </c>
      <c r="D4004" s="26" t="str">
        <f>HYPERLINK("https://github.com/tanmoy13/CompetitveProgramming/blob/master/Online-Judge-Solutions/CodeForces/CF101726-GYM-F.cpp","Sol")</f>
        <v>Sol</v>
      </c>
      <c r="E4004" s="17" t="s">
        <v>2510</v>
      </c>
      <c r="F4004" s="17"/>
      <c r="G4004" s="18"/>
      <c r="H4004" s="18"/>
    </row>
    <row r="4005" spans="1:8" ht="13.2">
      <c r="A4005" s="15" t="s">
        <v>2700</v>
      </c>
      <c r="B4005" s="15" t="s">
        <v>2701</v>
      </c>
      <c r="C4005" s="24">
        <v>5</v>
      </c>
      <c r="D4005" s="26" t="str">
        <f>HYPERLINK("https://github.com/MeGaCrazy/CompetitiveProgramming/blob/73811c5ecf7d479c97b30edbb3a4f89ed10e88b6/UVA/UVA_10678.cpp","Sol")</f>
        <v>Sol</v>
      </c>
      <c r="E4005" s="17" t="s">
        <v>2510</v>
      </c>
      <c r="F4005" s="17"/>
      <c r="G4005" s="18"/>
      <c r="H4005" s="18"/>
    </row>
    <row r="4006" spans="1:8" ht="13.2">
      <c r="A4006" s="19" t="str">
        <f>HYPERLINK("http://codeforces.com/contest/598/problem/C","CF598-D12-C")</f>
        <v>CF598-D12-C</v>
      </c>
      <c r="B4006" s="23" t="s">
        <v>2702</v>
      </c>
      <c r="C4006" s="17">
        <v>5</v>
      </c>
      <c r="D4006" s="18"/>
      <c r="E4006" s="17" t="s">
        <v>2510</v>
      </c>
      <c r="F4006" s="17"/>
      <c r="G4006" s="18"/>
      <c r="H4006" s="18"/>
    </row>
    <row r="4007" spans="1:8" ht="13.2">
      <c r="A4007" s="15" t="s">
        <v>2703</v>
      </c>
      <c r="B4007" s="34" t="s">
        <v>2528</v>
      </c>
      <c r="C4007" s="31">
        <v>5</v>
      </c>
      <c r="D4007" s="18"/>
      <c r="E4007" s="17" t="s">
        <v>2510</v>
      </c>
      <c r="F4007" s="17"/>
      <c r="G4007" s="18"/>
      <c r="H4007" s="18"/>
    </row>
    <row r="4008" spans="1:8" ht="13.2">
      <c r="A4008" s="19" t="str">
        <f>HYPERLINK("http://codeforces.com/contest/404/problem/B","CF404-D2-B")</f>
        <v>CF404-D2-B</v>
      </c>
      <c r="B4008" s="15" t="s">
        <v>2704</v>
      </c>
      <c r="C4008" s="24">
        <v>5</v>
      </c>
      <c r="D4008" s="18"/>
      <c r="E4008" s="17" t="s">
        <v>2510</v>
      </c>
      <c r="F4008" s="17"/>
      <c r="G4008" s="18"/>
      <c r="H4008" s="18"/>
    </row>
    <row r="4009" spans="1:8" ht="13.2">
      <c r="A4009" s="15" t="s">
        <v>2705</v>
      </c>
      <c r="B4009" s="29" t="s">
        <v>2706</v>
      </c>
      <c r="C4009" s="17">
        <v>5</v>
      </c>
      <c r="D4009" s="18"/>
      <c r="E4009" s="17" t="s">
        <v>2510</v>
      </c>
      <c r="F4009" s="17"/>
      <c r="G4009" s="18"/>
      <c r="H4009" s="18"/>
    </row>
    <row r="4010" spans="1:8" ht="13.2">
      <c r="A4010" s="15" t="s">
        <v>2707</v>
      </c>
      <c r="B4010" s="30" t="s">
        <v>2708</v>
      </c>
      <c r="C4010" s="24">
        <v>5</v>
      </c>
      <c r="D4010" s="26" t="str">
        <f>HYPERLINK("https://github.com/MedoN11/CompetitiveProgramming/blob/master/TopCoder/SRM280-D1-500.java","Sol")</f>
        <v>Sol</v>
      </c>
      <c r="E4010" s="24" t="s">
        <v>2510</v>
      </c>
      <c r="F4010" s="17"/>
      <c r="G4010" s="18"/>
      <c r="H4010" s="18"/>
    </row>
    <row r="4011" spans="1:8" ht="13.2">
      <c r="A4011" s="15" t="s">
        <v>2709</v>
      </c>
      <c r="B4011" s="18" t="s">
        <v>2710</v>
      </c>
      <c r="C4011" s="17">
        <v>5</v>
      </c>
      <c r="D4011" s="18"/>
      <c r="E4011" s="17" t="s">
        <v>2510</v>
      </c>
      <c r="F4011" s="17"/>
      <c r="G4011" s="18"/>
      <c r="H4011" s="18"/>
    </row>
    <row r="4012" spans="1:8" ht="13.2">
      <c r="A4012" s="15" t="s">
        <v>2848</v>
      </c>
      <c r="B4012" s="28" t="s">
        <v>2849</v>
      </c>
      <c r="C4012" s="24">
        <v>5</v>
      </c>
      <c r="D4012" s="18"/>
      <c r="E4012" s="24" t="s">
        <v>2798</v>
      </c>
      <c r="F4012" s="17"/>
      <c r="G4012" s="18"/>
      <c r="H4012" s="18"/>
    </row>
    <row r="4013" spans="1:8" ht="13.2">
      <c r="A4013" s="15" t="s">
        <v>2850</v>
      </c>
      <c r="B4013" s="30" t="s">
        <v>2851</v>
      </c>
      <c r="C4013" s="17">
        <v>5</v>
      </c>
      <c r="D4013" s="18"/>
      <c r="E4013" s="24" t="s">
        <v>2798</v>
      </c>
      <c r="F4013" s="17"/>
      <c r="G4013" s="18"/>
      <c r="H4013" s="18"/>
    </row>
    <row r="4014" spans="1:8" ht="13.2">
      <c r="A4014" s="19" t="str">
        <f>HYPERLINK("http://codeforces.com/contest/731/problem/D","CF731-D2-D")</f>
        <v>CF731-D2-D</v>
      </c>
      <c r="B4014" s="29" t="s">
        <v>587</v>
      </c>
      <c r="C4014" s="24">
        <v>5</v>
      </c>
      <c r="D4014" s="18"/>
      <c r="E4014" s="17" t="s">
        <v>575</v>
      </c>
      <c r="F4014" s="17"/>
      <c r="G4014" s="18"/>
      <c r="H4014" s="18"/>
    </row>
    <row r="4015" spans="1:8" ht="13.2">
      <c r="A4015" s="19" t="str">
        <f>HYPERLINK("http://codeforces.com/problemset/problem/522/D","CF522-D2-D")</f>
        <v>CF522-D2-D</v>
      </c>
      <c r="B4015" s="15" t="s">
        <v>633</v>
      </c>
      <c r="C4015" s="17">
        <v>5</v>
      </c>
      <c r="D4015" s="18"/>
      <c r="E4015" s="17" t="s">
        <v>575</v>
      </c>
      <c r="F4015" s="17"/>
      <c r="G4015" s="18"/>
      <c r="H4015" s="18"/>
    </row>
    <row r="4016" spans="1:8" ht="13.2">
      <c r="A4016" s="15" t="s">
        <v>634</v>
      </c>
      <c r="B4016" s="16" t="s">
        <v>635</v>
      </c>
      <c r="C4016" s="17">
        <v>5</v>
      </c>
      <c r="D4016" s="26" t="str">
        <f>HYPERLINK("https://github.com/AliOsm/CompetitiveProgramming/blob/master/UVA/12207%20-%20That%20is%20Your%20Queue.cpp","Sol")</f>
        <v>Sol</v>
      </c>
      <c r="E4016" s="17" t="s">
        <v>575</v>
      </c>
      <c r="F4016" s="17"/>
      <c r="G4016" s="18"/>
      <c r="H4016" s="18"/>
    </row>
    <row r="4017" spans="1:8" ht="13.2">
      <c r="A4017" s="19" t="str">
        <f>HYPERLINK("https://csacademy.com/contest/round-84/task/manhattan-center/","CSA84-D")</f>
        <v>CSA84-D</v>
      </c>
      <c r="B4017" s="20" t="s">
        <v>636</v>
      </c>
      <c r="C4017" s="21">
        <v>5</v>
      </c>
      <c r="D4017" s="18"/>
      <c r="E4017" s="17" t="s">
        <v>575</v>
      </c>
      <c r="F4017" s="17"/>
      <c r="G4017" s="18"/>
      <c r="H4017" s="18"/>
    </row>
    <row r="4018" spans="1:8" ht="13.2">
      <c r="A4018" s="19" t="str">
        <f>HYPERLINK("https://agc005.contest.atcoder.jp/tasks/agc005_b","AtCoder005-AGC-B")</f>
        <v>AtCoder005-AGC-B</v>
      </c>
      <c r="B4018" s="15" t="s">
        <v>628</v>
      </c>
      <c r="C4018" s="17">
        <v>5</v>
      </c>
      <c r="D4018" s="18"/>
      <c r="E4018" s="17" t="s">
        <v>575</v>
      </c>
      <c r="F4018" s="17"/>
      <c r="G4018" s="18"/>
      <c r="H4018" s="18"/>
    </row>
    <row r="4019" spans="1:8" ht="13.2">
      <c r="A4019" s="15" t="s">
        <v>3021</v>
      </c>
      <c r="B4019" s="29" t="s">
        <v>3022</v>
      </c>
      <c r="C4019" s="24">
        <v>5</v>
      </c>
      <c r="D4019" s="18"/>
      <c r="E4019" s="17" t="s">
        <v>2948</v>
      </c>
      <c r="F4019" s="17"/>
      <c r="G4019" s="18"/>
      <c r="H4019" s="18"/>
    </row>
    <row r="4020" spans="1:8" ht="13.2">
      <c r="A4020" s="19" t="str">
        <f>HYPERLINK("http://codeforces.com/gym/101484/problem/E","CF101484-GYM-E")</f>
        <v>CF101484-GYM-E</v>
      </c>
      <c r="B4020" s="15" t="s">
        <v>3107</v>
      </c>
      <c r="C4020" s="17">
        <v>5</v>
      </c>
      <c r="D4020" s="26" t="str">
        <f>HYPERLINK("https://github.com/mostafa-saad/MyCompetitiveProgramming/blob/master/Codeforces/CF101484-GYM-E.txt","Sol")</f>
        <v>Sol</v>
      </c>
      <c r="E4020" s="17" t="s">
        <v>3065</v>
      </c>
      <c r="F4020" s="17"/>
      <c r="G4020" s="18"/>
      <c r="H4020" s="18"/>
    </row>
    <row r="4021" spans="1:8" ht="13.2">
      <c r="A4021" s="15" t="s">
        <v>3108</v>
      </c>
      <c r="B4021" s="29" t="s">
        <v>3109</v>
      </c>
      <c r="C4021" s="24">
        <v>5</v>
      </c>
      <c r="D4021" s="18"/>
      <c r="E4021" s="17" t="s">
        <v>3065</v>
      </c>
      <c r="F4021" s="17"/>
      <c r="G4021" s="18"/>
      <c r="H4021" s="18"/>
    </row>
    <row r="4022" spans="1:8" ht="13.2">
      <c r="A4022" s="15" t="s">
        <v>3110</v>
      </c>
      <c r="B4022" s="30" t="s">
        <v>3111</v>
      </c>
      <c r="C4022" s="17">
        <v>5</v>
      </c>
      <c r="D4022" s="18"/>
      <c r="E4022" s="17" t="s">
        <v>3065</v>
      </c>
      <c r="F4022" s="17"/>
      <c r="G4022" s="18"/>
      <c r="H4022" s="18"/>
    </row>
    <row r="4023" spans="1:8" ht="13.2">
      <c r="A4023" s="15" t="s">
        <v>3112</v>
      </c>
      <c r="B4023" s="30" t="s">
        <v>3113</v>
      </c>
      <c r="C4023" s="24">
        <v>5</v>
      </c>
      <c r="D4023" s="26" t="str">
        <f>HYPERLINK("https://github.com/MeGaCrazy/CompetitiveProgramming/blob/263085312d6acc5da8fb2a9f7c1df298d1e4c121/UVA/UVA_11168.cpp","Sol")</f>
        <v>Sol</v>
      </c>
      <c r="E4023" s="17" t="s">
        <v>3065</v>
      </c>
      <c r="F4023" s="17"/>
      <c r="G4023" s="18"/>
      <c r="H4023" s="18"/>
    </row>
    <row r="4024" spans="1:8" ht="13.2">
      <c r="A4024" s="15" t="s">
        <v>3114</v>
      </c>
      <c r="B4024" s="30" t="s">
        <v>3115</v>
      </c>
      <c r="C4024" s="24">
        <v>5</v>
      </c>
      <c r="D4024" s="18"/>
      <c r="E4024" s="17" t="s">
        <v>3065</v>
      </c>
      <c r="F4024" s="17"/>
      <c r="G4024" s="18"/>
      <c r="H4024" s="18"/>
    </row>
    <row r="4025" spans="1:8" ht="13.2">
      <c r="A4025" s="15" t="s">
        <v>3116</v>
      </c>
      <c r="B4025" s="30" t="s">
        <v>3117</v>
      </c>
      <c r="C4025" s="24">
        <v>5</v>
      </c>
      <c r="D4025" s="18"/>
      <c r="E4025" s="17" t="s">
        <v>3065</v>
      </c>
      <c r="F4025" s="17"/>
      <c r="G4025" s="18"/>
      <c r="H4025" s="18"/>
    </row>
    <row r="4026" spans="1:8" ht="13.2">
      <c r="A4026" s="15" t="s">
        <v>3118</v>
      </c>
      <c r="B4026" s="30" t="s">
        <v>3119</v>
      </c>
      <c r="C4026" s="24">
        <v>5</v>
      </c>
      <c r="D4026" s="18"/>
      <c r="E4026" s="17" t="s">
        <v>3065</v>
      </c>
      <c r="F4026" s="17"/>
      <c r="G4026" s="18"/>
      <c r="H4026" s="18"/>
    </row>
    <row r="4027" spans="1:8" ht="13.2">
      <c r="A4027" s="15" t="s">
        <v>3120</v>
      </c>
      <c r="B4027" s="30" t="s">
        <v>3121</v>
      </c>
      <c r="C4027" s="24">
        <v>5</v>
      </c>
      <c r="D4027" s="18"/>
      <c r="E4027" s="17" t="s">
        <v>3065</v>
      </c>
      <c r="F4027" s="17"/>
      <c r="G4027" s="18"/>
      <c r="H4027" s="18"/>
    </row>
    <row r="4028" spans="1:8" ht="13.2">
      <c r="A4028" s="19" t="str">
        <f>HYPERLINK("http://codeforces.com/contest/430/problem/C","CF430-D2-C")</f>
        <v>CF430-D2-C</v>
      </c>
      <c r="B4028" s="29" t="s">
        <v>3331</v>
      </c>
      <c r="C4028" s="17">
        <v>5</v>
      </c>
      <c r="D4028" s="18"/>
      <c r="E4028" s="17" t="s">
        <v>3257</v>
      </c>
      <c r="F4028" s="17"/>
      <c r="G4028" s="18"/>
      <c r="H4028" s="18"/>
    </row>
    <row r="4029" spans="1:8" ht="13.2">
      <c r="A4029" s="19" t="str">
        <f>HYPERLINK("http://codeforces.com/contest/741/problem/C","CF741-D1-C")</f>
        <v>CF741-D1-C</v>
      </c>
      <c r="B4029" s="37" t="s">
        <v>3322</v>
      </c>
      <c r="C4029" s="24">
        <v>5</v>
      </c>
      <c r="D4029" s="18"/>
      <c r="E4029" s="17" t="s">
        <v>3257</v>
      </c>
      <c r="F4029" s="17"/>
      <c r="G4029" s="18"/>
      <c r="H4029" s="18"/>
    </row>
    <row r="4030" spans="1:8" ht="13.2">
      <c r="A4030" s="15" t="s">
        <v>3403</v>
      </c>
      <c r="B4030" s="28" t="s">
        <v>3404</v>
      </c>
      <c r="C4030" s="24">
        <v>5</v>
      </c>
      <c r="D4030" s="18"/>
      <c r="E4030" s="24" t="s">
        <v>3257</v>
      </c>
      <c r="F4030" s="17"/>
      <c r="G4030" s="18"/>
      <c r="H4030" s="18"/>
    </row>
    <row r="4031" spans="1:8" ht="13.2">
      <c r="A4031" s="19" t="str">
        <f>HYPERLINK("https://www.facebook.com/hackercup/problem/988017871357549/","FbHkrCup 18-R2-A")</f>
        <v>FbHkrCup 18-R2-A</v>
      </c>
      <c r="B4031" s="20" t="s">
        <v>3398</v>
      </c>
      <c r="C4031" s="21">
        <v>5</v>
      </c>
      <c r="D4031" s="18"/>
      <c r="E4031" s="17" t="s">
        <v>3257</v>
      </c>
      <c r="F4031" s="17"/>
      <c r="G4031" s="18"/>
      <c r="H4031" s="18"/>
    </row>
    <row r="4032" spans="1:8" ht="13.2">
      <c r="A4032" s="19" t="str">
        <f>HYPERLINK("http://codeforces.com/contest/363/problem/D","CF363-D2-D")</f>
        <v>CF363-D2-D</v>
      </c>
      <c r="B4032" s="29" t="s">
        <v>3405</v>
      </c>
      <c r="C4032" s="17">
        <v>5</v>
      </c>
      <c r="D4032" s="18"/>
      <c r="E4032" s="17" t="s">
        <v>3257</v>
      </c>
      <c r="F4032" s="17"/>
      <c r="G4032" s="18"/>
      <c r="H4032" s="18"/>
    </row>
    <row r="4033" spans="1:8" ht="13.2">
      <c r="A4033" s="15" t="s">
        <v>3406</v>
      </c>
      <c r="B4033" s="29" t="s">
        <v>3407</v>
      </c>
      <c r="C4033" s="17">
        <v>5</v>
      </c>
      <c r="D4033" s="18"/>
      <c r="E4033" s="24" t="s">
        <v>3257</v>
      </c>
      <c r="F4033" s="17"/>
      <c r="G4033" s="18"/>
      <c r="H4033" s="18"/>
    </row>
    <row r="4034" spans="1:8" ht="13.2">
      <c r="A4034" s="19" t="str">
        <f>HYPERLINK("https://codeforces.com/contest/1277/problem/E","CF1277-D2-E")</f>
        <v>CF1277-D2-E</v>
      </c>
      <c r="B4034" s="20" t="s">
        <v>3277</v>
      </c>
      <c r="C4034" s="21">
        <v>5</v>
      </c>
      <c r="D4034" s="18"/>
      <c r="E4034" s="17" t="s">
        <v>3257</v>
      </c>
      <c r="F4034" s="17"/>
      <c r="G4034" s="18"/>
      <c r="H4034" s="18"/>
    </row>
    <row r="4035" spans="1:8" ht="13.2">
      <c r="A4035" s="15" t="s">
        <v>3408</v>
      </c>
      <c r="B4035" s="29" t="s">
        <v>3409</v>
      </c>
      <c r="C4035" s="17">
        <v>5</v>
      </c>
      <c r="D4035" s="18"/>
      <c r="E4035" s="24" t="s">
        <v>3257</v>
      </c>
      <c r="F4035" s="17"/>
      <c r="G4035" s="18"/>
      <c r="H4035" s="18"/>
    </row>
    <row r="4036" spans="1:8" ht="13.2">
      <c r="A4036" s="15" t="s">
        <v>3410</v>
      </c>
      <c r="B4036" s="30" t="s">
        <v>3391</v>
      </c>
      <c r="C4036" s="40">
        <v>5</v>
      </c>
      <c r="D4036" s="18"/>
      <c r="E4036" s="17" t="s">
        <v>3257</v>
      </c>
      <c r="F4036" s="17"/>
      <c r="G4036" s="18"/>
      <c r="H4036" s="18"/>
    </row>
    <row r="4037" spans="1:8" ht="13.2">
      <c r="A4037" s="15" t="s">
        <v>3411</v>
      </c>
      <c r="B4037" s="30" t="s">
        <v>3412</v>
      </c>
      <c r="C4037" s="24">
        <v>5</v>
      </c>
      <c r="D4037" s="18"/>
      <c r="E4037" s="17" t="s">
        <v>3257</v>
      </c>
      <c r="F4037" s="17"/>
      <c r="G4037" s="18"/>
      <c r="H4037" s="18"/>
    </row>
    <row r="4038" spans="1:8" ht="13.2">
      <c r="A4038" s="15" t="s">
        <v>3566</v>
      </c>
      <c r="B4038" s="34" t="s">
        <v>3466</v>
      </c>
      <c r="C4038" s="31">
        <v>5</v>
      </c>
      <c r="D4038" s="18"/>
      <c r="E4038" s="17" t="s">
        <v>3467</v>
      </c>
      <c r="F4038" s="17"/>
      <c r="G4038" s="18"/>
      <c r="H4038" s="18"/>
    </row>
    <row r="4039" spans="1:8" ht="13.2">
      <c r="A4039" s="15" t="s">
        <v>3567</v>
      </c>
      <c r="B4039" s="34" t="s">
        <v>3466</v>
      </c>
      <c r="C4039" s="31">
        <v>5</v>
      </c>
      <c r="D4039" s="18"/>
      <c r="E4039" s="17" t="s">
        <v>3467</v>
      </c>
      <c r="F4039" s="17"/>
      <c r="G4039" s="18"/>
      <c r="H4039" s="18"/>
    </row>
    <row r="4040" spans="1:8" ht="13.2">
      <c r="A4040" s="15" t="s">
        <v>3568</v>
      </c>
      <c r="B4040" s="30" t="s">
        <v>3466</v>
      </c>
      <c r="C4040" s="40">
        <v>5</v>
      </c>
      <c r="D4040" s="18"/>
      <c r="E4040" s="17" t="s">
        <v>3467</v>
      </c>
      <c r="F4040" s="17"/>
      <c r="G4040" s="18"/>
      <c r="H4040" s="18"/>
    </row>
    <row r="4041" spans="1:8" ht="13.2">
      <c r="A4041" s="15" t="s">
        <v>3569</v>
      </c>
      <c r="B4041" s="30" t="s">
        <v>3466</v>
      </c>
      <c r="C4041" s="40">
        <v>5</v>
      </c>
      <c r="D4041" s="18"/>
      <c r="E4041" s="17" t="s">
        <v>3467</v>
      </c>
      <c r="F4041" s="17"/>
      <c r="G4041" s="18"/>
      <c r="H4041" s="18"/>
    </row>
    <row r="4042" spans="1:8" ht="13.2">
      <c r="A4042" s="15" t="s">
        <v>3570</v>
      </c>
      <c r="B4042" s="28" t="s">
        <v>3466</v>
      </c>
      <c r="C4042" s="24">
        <v>5</v>
      </c>
      <c r="D4042" s="18"/>
      <c r="E4042" s="17" t="s">
        <v>3467</v>
      </c>
      <c r="F4042" s="17"/>
      <c r="G4042" s="18"/>
      <c r="H4042" s="18"/>
    </row>
    <row r="4043" spans="1:8" ht="13.2">
      <c r="A4043" s="15" t="s">
        <v>3571</v>
      </c>
      <c r="B4043" s="28" t="s">
        <v>3466</v>
      </c>
      <c r="C4043" s="24">
        <v>5</v>
      </c>
      <c r="D4043" s="18"/>
      <c r="E4043" s="17" t="s">
        <v>3467</v>
      </c>
      <c r="F4043" s="17"/>
      <c r="G4043" s="18"/>
      <c r="H4043" s="18"/>
    </row>
    <row r="4044" spans="1:8" ht="13.2">
      <c r="A4044" s="19" t="str">
        <f>HYPERLINK("http://www.spoj.com/problems/MLASERP/","SPOJ MLASERP")</f>
        <v>SPOJ MLASERP</v>
      </c>
      <c r="B4044" s="28" t="s">
        <v>3572</v>
      </c>
      <c r="C4044" s="17">
        <v>5</v>
      </c>
      <c r="D4044" s="26" t="str">
        <f>HYPERLINK("https://github.com/cacophonix/SPOJ/blob/master/MLASERP.cpp","Sol")</f>
        <v>Sol</v>
      </c>
      <c r="E4044" s="17" t="s">
        <v>3467</v>
      </c>
      <c r="F4044" s="17"/>
      <c r="G4044" s="18"/>
      <c r="H4044" s="18"/>
    </row>
    <row r="4045" spans="1:8" ht="13.2">
      <c r="A4045" s="15" t="s">
        <v>3573</v>
      </c>
      <c r="B4045" s="30" t="s">
        <v>3574</v>
      </c>
      <c r="C4045" s="17">
        <v>5</v>
      </c>
      <c r="D4045" s="18"/>
      <c r="E4045" s="17" t="s">
        <v>3467</v>
      </c>
      <c r="F4045" s="17"/>
      <c r="G4045" s="18"/>
      <c r="H4045" s="18"/>
    </row>
    <row r="4046" spans="1:8" ht="13.2">
      <c r="A4046" s="19" t="str">
        <f>HYPERLINK("http://codeforces.com/problemset/problem/667/D","CF667-D2-D")</f>
        <v>CF667-D2-D</v>
      </c>
      <c r="B4046" s="18" t="s">
        <v>3575</v>
      </c>
      <c r="C4046" s="17">
        <v>5</v>
      </c>
      <c r="D4046" s="18"/>
      <c r="E4046" s="17" t="s">
        <v>3467</v>
      </c>
      <c r="F4046" s="17"/>
      <c r="G4046" s="18"/>
      <c r="H4046" s="18"/>
    </row>
    <row r="4047" spans="1:8" ht="13.2">
      <c r="A4047" s="15" t="s">
        <v>3576</v>
      </c>
      <c r="B4047" s="30" t="s">
        <v>3577</v>
      </c>
      <c r="C4047" s="24">
        <v>5</v>
      </c>
      <c r="D4047" s="18"/>
      <c r="E4047" s="17" t="s">
        <v>3467</v>
      </c>
      <c r="F4047" s="17"/>
      <c r="G4047" s="18"/>
      <c r="H4047" s="18"/>
    </row>
    <row r="4048" spans="1:8" ht="13.2">
      <c r="A4048" s="15" t="s">
        <v>3578</v>
      </c>
      <c r="B4048" s="34" t="s">
        <v>3579</v>
      </c>
      <c r="C4048" s="17">
        <v>5</v>
      </c>
      <c r="D4048" s="18"/>
      <c r="E4048" s="17" t="s">
        <v>3467</v>
      </c>
      <c r="F4048" s="17"/>
      <c r="G4048" s="18"/>
      <c r="H4048" s="18"/>
    </row>
    <row r="4049" spans="1:8" ht="13.2">
      <c r="A4049" s="15" t="s">
        <v>3580</v>
      </c>
      <c r="B4049" s="28" t="s">
        <v>3581</v>
      </c>
      <c r="C4049" s="24">
        <v>5</v>
      </c>
      <c r="D4049" s="18"/>
      <c r="E4049" s="17" t="s">
        <v>3467</v>
      </c>
      <c r="F4049" s="17"/>
      <c r="G4049" s="18"/>
      <c r="H4049" s="18"/>
    </row>
    <row r="4050" spans="1:8" ht="13.2">
      <c r="A4050" s="19" t="str">
        <f>HYPERLINK("http://codeforces.com/contest/954/problem/D","CF954-D2-D")</f>
        <v>CF954-D2-D</v>
      </c>
      <c r="B4050" s="20" t="s">
        <v>3582</v>
      </c>
      <c r="C4050" s="17">
        <v>5</v>
      </c>
      <c r="D4050" s="18"/>
      <c r="E4050" s="17" t="s">
        <v>3467</v>
      </c>
      <c r="F4050" s="17"/>
      <c r="G4050" s="18"/>
      <c r="H4050" s="18"/>
    </row>
    <row r="4051" spans="1:8" ht="13.2">
      <c r="A4051" s="19" t="str">
        <f>HYPERLINK("http://www.spoj.com/problems/ANARC08A/","SPOJ ANARC08A")</f>
        <v>SPOJ ANARC08A</v>
      </c>
      <c r="B4051" s="29" t="s">
        <v>3583</v>
      </c>
      <c r="C4051" s="17">
        <v>5</v>
      </c>
      <c r="D4051" s="26" t="str">
        <f>HYPERLINK("https://github.com/mostafa-saad/MyCompetitiveProgramming/blob/master/SPOJ/SPOJ_ANARC08A.txt","Sol")</f>
        <v>Sol</v>
      </c>
      <c r="E4051" s="17" t="s">
        <v>3467</v>
      </c>
      <c r="F4051" s="17"/>
      <c r="G4051" s="18"/>
      <c r="H4051" s="18"/>
    </row>
    <row r="4052" spans="1:8" ht="13.2">
      <c r="A4052" s="15" t="s">
        <v>3639</v>
      </c>
      <c r="B4052" s="28" t="s">
        <v>3635</v>
      </c>
      <c r="C4052" s="24">
        <v>5</v>
      </c>
      <c r="D4052" s="18"/>
      <c r="E4052" s="17" t="s">
        <v>3633</v>
      </c>
      <c r="F4052" s="17"/>
      <c r="G4052" s="18"/>
      <c r="H4052" s="18"/>
    </row>
    <row r="4053" spans="1:8" ht="13.2">
      <c r="A4053" s="15" t="s">
        <v>690</v>
      </c>
      <c r="B4053" s="28" t="s">
        <v>657</v>
      </c>
      <c r="C4053" s="24">
        <v>5</v>
      </c>
      <c r="D4053" s="18"/>
      <c r="E4053" s="17" t="s">
        <v>655</v>
      </c>
      <c r="F4053" s="17"/>
      <c r="G4053" s="18"/>
      <c r="H4053" s="18"/>
    </row>
    <row r="4054" spans="1:8" ht="13.2">
      <c r="A4054" s="15" t="s">
        <v>691</v>
      </c>
      <c r="B4054" s="29" t="s">
        <v>692</v>
      </c>
      <c r="C4054" s="17">
        <v>5</v>
      </c>
      <c r="D4054" s="18"/>
      <c r="E4054" s="24" t="s">
        <v>655</v>
      </c>
      <c r="F4054" s="17"/>
      <c r="G4054" s="18"/>
      <c r="H4054" s="18"/>
    </row>
    <row r="4055" spans="1:8" ht="13.2">
      <c r="A4055" s="15" t="s">
        <v>693</v>
      </c>
      <c r="B4055" s="15" t="s">
        <v>694</v>
      </c>
      <c r="C4055" s="17">
        <v>5</v>
      </c>
      <c r="D4055" s="18"/>
      <c r="E4055" s="17" t="s">
        <v>655</v>
      </c>
      <c r="F4055" s="17"/>
      <c r="G4055" s="18"/>
      <c r="H4055" s="18"/>
    </row>
    <row r="4056" spans="1:8" ht="13.2">
      <c r="A4056" s="15" t="s">
        <v>695</v>
      </c>
      <c r="B4056" s="30" t="s">
        <v>696</v>
      </c>
      <c r="C4056" s="17">
        <v>5</v>
      </c>
      <c r="D4056" s="18"/>
      <c r="E4056" s="17" t="s">
        <v>655</v>
      </c>
      <c r="F4056" s="17"/>
      <c r="G4056" s="18"/>
      <c r="H4056" s="18"/>
    </row>
    <row r="4057" spans="1:8" ht="13.2">
      <c r="A4057" s="19" t="str">
        <f>HYPERLINK("http://codeforces.com/problemset/gymProblem/101064/G","CF101064-GYM-G")</f>
        <v>CF101064-GYM-G</v>
      </c>
      <c r="B4057" s="29" t="s">
        <v>3649</v>
      </c>
      <c r="C4057" s="17">
        <v>5</v>
      </c>
      <c r="D4057" s="18"/>
      <c r="E4057" s="17" t="s">
        <v>3650</v>
      </c>
      <c r="F4057" s="17"/>
      <c r="G4057" s="18"/>
      <c r="H4057" s="18"/>
    </row>
    <row r="4058" spans="1:8" ht="13.2">
      <c r="A4058" s="19" t="str">
        <f>HYPERLINK("http://codeforces.com/contest/263/problem/D","CF263-D2-D")</f>
        <v>CF263-D2-D</v>
      </c>
      <c r="B4058" s="29" t="s">
        <v>3649</v>
      </c>
      <c r="C4058" s="17">
        <v>5</v>
      </c>
      <c r="D4058" s="18"/>
      <c r="E4058" s="17" t="s">
        <v>3650</v>
      </c>
      <c r="F4058" s="17"/>
      <c r="G4058" s="18"/>
      <c r="H4058" s="18"/>
    </row>
    <row r="4059" spans="1:8" ht="13.2">
      <c r="A4059" s="19" t="str">
        <f>HYPERLINK("http://www.spoj.com/problems/CDOWN/","SPOJ CDOWN")</f>
        <v>SPOJ CDOWN</v>
      </c>
      <c r="B4059" s="18" t="s">
        <v>3649</v>
      </c>
      <c r="C4059" s="17">
        <v>5</v>
      </c>
      <c r="D4059" s="18"/>
      <c r="E4059" s="17" t="s">
        <v>3650</v>
      </c>
      <c r="F4059" s="17"/>
      <c r="G4059" s="18"/>
      <c r="H4059" s="18"/>
    </row>
    <row r="4060" spans="1:8" ht="13.2">
      <c r="A4060" s="15" t="s">
        <v>3742</v>
      </c>
      <c r="B4060" s="28" t="s">
        <v>3743</v>
      </c>
      <c r="C4060" s="31">
        <v>5</v>
      </c>
      <c r="D4060" s="18"/>
      <c r="E4060" s="17" t="s">
        <v>3650</v>
      </c>
      <c r="F4060" s="17"/>
      <c r="G4060" s="18"/>
      <c r="H4060" s="18"/>
    </row>
    <row r="4061" spans="1:8" ht="13.2">
      <c r="A4061" s="19" t="str">
        <f>HYPERLINK("http://codeforces.com/contest/219/problem/D","CF219-D2-D")</f>
        <v>CF219-D2-D</v>
      </c>
      <c r="B4061" s="29" t="s">
        <v>3744</v>
      </c>
      <c r="C4061" s="17">
        <v>5</v>
      </c>
      <c r="D4061" s="18"/>
      <c r="E4061" s="17" t="s">
        <v>3650</v>
      </c>
      <c r="F4061" s="17"/>
      <c r="G4061" s="18"/>
      <c r="H4061" s="18"/>
    </row>
    <row r="4062" spans="1:8" ht="13.2">
      <c r="A4062" s="19" t="str">
        <f>HYPERLINK("http://codeforces.com/gym/101484/problem/F","CF101484-GYM-F")</f>
        <v>CF101484-GYM-F</v>
      </c>
      <c r="B4062" s="15" t="s">
        <v>3745</v>
      </c>
      <c r="C4062" s="31">
        <v>5</v>
      </c>
      <c r="D4062" s="26" t="str">
        <f>HYPERLINK("https://github.com/HosamEissa/Competitive-programming-/blob/master/Codeforces/CF101484-GYM-F.cpp","Sol")</f>
        <v>Sol</v>
      </c>
      <c r="E4062" s="17" t="s">
        <v>3650</v>
      </c>
      <c r="F4062" s="17"/>
      <c r="G4062" s="18"/>
      <c r="H4062" s="18"/>
    </row>
    <row r="4063" spans="1:8" ht="13.2">
      <c r="A4063" s="19" t="str">
        <f>HYPERLINK("http://codeforces.com/contest/939/problem/D","CF939-D2-D")</f>
        <v>CF939-D2-D</v>
      </c>
      <c r="B4063" s="20" t="s">
        <v>3746</v>
      </c>
      <c r="C4063" s="17">
        <v>5</v>
      </c>
      <c r="D4063" s="18"/>
      <c r="E4063" s="17" t="s">
        <v>3650</v>
      </c>
      <c r="F4063" s="17"/>
      <c r="G4063" s="18"/>
      <c r="H4063" s="18"/>
    </row>
    <row r="4064" spans="1:8" ht="13.2">
      <c r="A4064" s="19" t="str">
        <f>HYPERLINK("https://codeforces.com/contest/1282/problem/E","CF1282-D2-E")</f>
        <v>CF1282-D2-E</v>
      </c>
      <c r="B4064" s="20" t="s">
        <v>3747</v>
      </c>
      <c r="C4064" s="21">
        <v>5</v>
      </c>
      <c r="D4064" s="18"/>
      <c r="E4064" s="17" t="s">
        <v>3650</v>
      </c>
      <c r="F4064" s="17"/>
      <c r="G4064" s="18"/>
      <c r="H4064" s="18"/>
    </row>
    <row r="4065" spans="1:8" ht="13.2">
      <c r="A4065" s="19" t="str">
        <f>HYPERLINK("http://codeforces.com/gym/100959","CF100959-gym-I")</f>
        <v>CF100959-gym-I</v>
      </c>
      <c r="B4065" s="29" t="s">
        <v>3791</v>
      </c>
      <c r="C4065" s="31">
        <v>5</v>
      </c>
      <c r="D4065" s="18"/>
      <c r="E4065" s="17" t="s">
        <v>3784</v>
      </c>
      <c r="F4065" s="17"/>
      <c r="G4065" s="18"/>
      <c r="H4065" s="18"/>
    </row>
    <row r="4066" spans="1:8" ht="13.2">
      <c r="A4066" s="19" t="str">
        <f>HYPERLINK("http://codeforces.com/contest/450/problem/D","CF450-D2-D")</f>
        <v>CF450-D2-D</v>
      </c>
      <c r="B4066" s="55" t="s">
        <v>3791</v>
      </c>
      <c r="C4066" s="17">
        <v>5</v>
      </c>
      <c r="D4066" s="18"/>
      <c r="E4066" s="17" t="s">
        <v>3784</v>
      </c>
      <c r="F4066" s="17"/>
      <c r="G4066" s="18"/>
      <c r="H4066" s="18"/>
    </row>
    <row r="4067" spans="1:8" ht="13.2">
      <c r="A4067" s="15" t="s">
        <v>3844</v>
      </c>
      <c r="B4067" s="29" t="s">
        <v>3791</v>
      </c>
      <c r="C4067" s="17">
        <v>5</v>
      </c>
      <c r="D4067" s="26" t="str">
        <f>HYPERLINK("https://github.com/Maverick10/Competitive-Programming/blob/master/Solutions/UVa/UVa%20-%2010758.cpp","Sol")</f>
        <v>Sol</v>
      </c>
      <c r="E4067" s="17" t="s">
        <v>3784</v>
      </c>
      <c r="F4067" s="17"/>
      <c r="G4067" s="18"/>
      <c r="H4067" s="18"/>
    </row>
    <row r="4068" spans="1:8" ht="13.2">
      <c r="A4068" s="15" t="s">
        <v>3845</v>
      </c>
      <c r="B4068" s="30" t="s">
        <v>3791</v>
      </c>
      <c r="C4068" s="24">
        <v>5</v>
      </c>
      <c r="D4068" s="18"/>
      <c r="E4068" s="17" t="s">
        <v>3784</v>
      </c>
      <c r="F4068" s="17"/>
      <c r="G4068" s="18"/>
      <c r="H4068" s="18"/>
    </row>
    <row r="4069" spans="1:8" ht="13.2">
      <c r="A4069" s="15" t="s">
        <v>3846</v>
      </c>
      <c r="B4069" s="38" t="s">
        <v>3791</v>
      </c>
      <c r="C4069" s="17">
        <v>5</v>
      </c>
      <c r="D4069" s="18"/>
      <c r="E4069" s="17" t="s">
        <v>3784</v>
      </c>
      <c r="F4069" s="17"/>
      <c r="G4069" s="18"/>
      <c r="H4069" s="18"/>
    </row>
    <row r="4070" spans="1:8" ht="13.2">
      <c r="A4070" s="15" t="s">
        <v>3847</v>
      </c>
      <c r="B4070" s="28" t="s">
        <v>3797</v>
      </c>
      <c r="C4070" s="24">
        <v>5</v>
      </c>
      <c r="D4070" s="18"/>
      <c r="E4070" s="24" t="s">
        <v>3784</v>
      </c>
      <c r="F4070" s="17"/>
      <c r="G4070" s="18"/>
      <c r="H4070" s="18"/>
    </row>
    <row r="4071" spans="1:8" ht="13.2">
      <c r="A4071" s="15" t="s">
        <v>3848</v>
      </c>
      <c r="B4071" s="28" t="s">
        <v>3849</v>
      </c>
      <c r="C4071" s="24">
        <v>5</v>
      </c>
      <c r="D4071" s="26" t="str">
        <f>HYPERLINK("https://www.youtube.com/watch?v=MR5APvYis-o&amp;feature=youtu.be","Video Sol")</f>
        <v>Video Sol</v>
      </c>
      <c r="E4071" s="17" t="s">
        <v>3784</v>
      </c>
      <c r="F4071" s="17"/>
      <c r="G4071" s="18"/>
      <c r="H4071" s="18"/>
    </row>
    <row r="4072" spans="1:8" ht="13.2">
      <c r="A4072" s="15" t="s">
        <v>3850</v>
      </c>
      <c r="B4072" s="28" t="s">
        <v>3806</v>
      </c>
      <c r="C4072" s="24">
        <v>5</v>
      </c>
      <c r="D4072" s="26" t="str">
        <f>HYPERLINK("https://github.com/Maverick10/Competitive-Programming/blob/master/Solutions/UVa/UVa%20-%2012144.cpp","Sol")</f>
        <v>Sol</v>
      </c>
      <c r="E4072" s="17" t="s">
        <v>3784</v>
      </c>
      <c r="F4072" s="17"/>
      <c r="G4072" s="18"/>
      <c r="H4072" s="18"/>
    </row>
    <row r="4073" spans="1:8" ht="13.2">
      <c r="A4073" s="19" t="str">
        <f>HYPERLINK("http://codeforces.com/problemset/problem/938/D","CF938-D12-D")</f>
        <v>CF938-D12-D</v>
      </c>
      <c r="B4073" s="15" t="s">
        <v>3851</v>
      </c>
      <c r="C4073" s="17">
        <v>5</v>
      </c>
      <c r="D4073" s="18"/>
      <c r="E4073" s="17" t="s">
        <v>3784</v>
      </c>
      <c r="F4073" s="17"/>
      <c r="G4073" s="18"/>
      <c r="H4073" s="18"/>
    </row>
    <row r="4074" spans="1:8" ht="13.2">
      <c r="A4074" s="19" t="str">
        <f>HYPERLINK("http://codeforces.com/contest/507/problem/E","CF507-D2-E")</f>
        <v>CF507-D2-E</v>
      </c>
      <c r="B4074" s="29" t="s">
        <v>3852</v>
      </c>
      <c r="C4074" s="31">
        <v>5</v>
      </c>
      <c r="D4074" s="18"/>
      <c r="E4074" s="17" t="s">
        <v>3784</v>
      </c>
      <c r="F4074" s="17"/>
      <c r="G4074" s="18"/>
      <c r="H4074" s="18"/>
    </row>
    <row r="4075" spans="1:8" ht="13.2">
      <c r="A4075" s="19" t="str">
        <f>HYPERLINK("http://arc064.contest.atcoder.jp/tasks/arc064_c","AtCoder064-ARC-C")</f>
        <v>AtCoder064-ARC-C</v>
      </c>
      <c r="B4075" s="29" t="s">
        <v>3853</v>
      </c>
      <c r="C4075" s="17">
        <v>5</v>
      </c>
      <c r="D4075" s="18"/>
      <c r="E4075" s="17" t="s">
        <v>3784</v>
      </c>
      <c r="F4075" s="17"/>
      <c r="G4075" s="18"/>
      <c r="H4075" s="18"/>
    </row>
    <row r="4076" spans="1:8" ht="13.2">
      <c r="A4076" s="19" t="str">
        <f>HYPERLINK("https://atcoder.jp/contests/abc120/tasks/abc120_d","AtCoder120-ABC-D")</f>
        <v>AtCoder120-ABC-D</v>
      </c>
      <c r="B4076" s="20" t="s">
        <v>3886</v>
      </c>
      <c r="C4076" s="21">
        <v>5</v>
      </c>
      <c r="D4076" s="18"/>
      <c r="E4076" s="17" t="s">
        <v>3883</v>
      </c>
      <c r="F4076" s="17"/>
      <c r="G4076" s="18"/>
      <c r="H4076" s="18"/>
    </row>
    <row r="4077" spans="1:8" ht="13.2">
      <c r="A4077" s="19" t="str">
        <f>HYPERLINK("http://codeforces.com/problemset/gymProblem/100923/H","CF100923-gym-H")</f>
        <v>CF100923-gym-H</v>
      </c>
      <c r="B4077" s="15" t="s">
        <v>3886</v>
      </c>
      <c r="C4077" s="31">
        <v>5</v>
      </c>
      <c r="D4077" s="26" t="str">
        <f>HYPERLINK("https://ideone.com/q7qCpK","Sol")</f>
        <v>Sol</v>
      </c>
      <c r="E4077" s="17" t="s">
        <v>3883</v>
      </c>
      <c r="F4077" s="17"/>
      <c r="G4077" s="18"/>
      <c r="H4077" s="18"/>
    </row>
    <row r="4078" spans="1:8" ht="13.2">
      <c r="A4078" s="15" t="s">
        <v>3931</v>
      </c>
      <c r="B4078" s="18" t="s">
        <v>3886</v>
      </c>
      <c r="C4078" s="31">
        <v>5</v>
      </c>
      <c r="D4078" s="18"/>
      <c r="E4078" s="17" t="s">
        <v>3883</v>
      </c>
      <c r="F4078" s="17"/>
      <c r="G4078" s="18"/>
      <c r="H4078" s="18"/>
    </row>
    <row r="4079" spans="1:8" ht="13.2">
      <c r="A4079" s="19" t="str">
        <f>HYPERLINK("http://codeforces.com/gym/100570/problem/D ","CF100570-GYM-D")</f>
        <v>CF100570-GYM-D</v>
      </c>
      <c r="B4079" s="28" t="s">
        <v>3932</v>
      </c>
      <c r="C4079" s="24">
        <v>5</v>
      </c>
      <c r="D4079" s="26" t="str">
        <f>HYPERLINK("https://github.com/HeartBlue/CompetitiveProgramming/blob/master/Codeforces/CF100570-GYM-D%20TROY%20Query.cpp","Sl")</f>
        <v>Sl</v>
      </c>
      <c r="E4079" s="17" t="s">
        <v>3883</v>
      </c>
      <c r="F4079" s="17"/>
      <c r="G4079" s="18"/>
      <c r="H4079" s="18"/>
    </row>
    <row r="4080" spans="1:8" ht="13.2">
      <c r="A4080" s="15" t="s">
        <v>3933</v>
      </c>
      <c r="B4080" s="28" t="s">
        <v>3934</v>
      </c>
      <c r="C4080" s="31">
        <v>5</v>
      </c>
      <c r="D4080" s="26" t="str">
        <f>HYPERLINK("https://github.com/AliOsm/CompetitiveProgramming/blob/master/SPOJ/RELINETS%20-%20Reliable%20Nets.cpp","Sol")</f>
        <v>Sol</v>
      </c>
      <c r="E4080" s="17" t="s">
        <v>3883</v>
      </c>
      <c r="F4080" s="17"/>
      <c r="G4080" s="18"/>
      <c r="H4080" s="18"/>
    </row>
    <row r="4081" spans="1:8" ht="13.2">
      <c r="A4081" s="15" t="s">
        <v>3983</v>
      </c>
      <c r="B4081" s="29" t="s">
        <v>3961</v>
      </c>
      <c r="C4081" s="24">
        <v>5</v>
      </c>
      <c r="D4081" s="18"/>
      <c r="E4081" s="17" t="s">
        <v>3955</v>
      </c>
      <c r="F4081" s="17"/>
      <c r="G4081" s="18"/>
      <c r="H4081" s="18"/>
    </row>
    <row r="4082" spans="1:8" ht="13.2">
      <c r="A4082" s="15" t="s">
        <v>3984</v>
      </c>
      <c r="B4082" s="29" t="s">
        <v>3961</v>
      </c>
      <c r="C4082" s="24">
        <v>5</v>
      </c>
      <c r="D4082" s="18"/>
      <c r="E4082" s="17" t="s">
        <v>3955</v>
      </c>
      <c r="F4082" s="17"/>
      <c r="G4082" s="18"/>
      <c r="H4082" s="18"/>
    </row>
    <row r="4083" spans="1:8" ht="13.2">
      <c r="A4083" s="15" t="s">
        <v>3985</v>
      </c>
      <c r="B4083" s="29" t="s">
        <v>3986</v>
      </c>
      <c r="C4083" s="24">
        <v>5</v>
      </c>
      <c r="D4083" s="18"/>
      <c r="E4083" s="17" t="s">
        <v>3955</v>
      </c>
      <c r="F4083" s="17"/>
      <c r="G4083" s="18"/>
      <c r="H4083" s="18"/>
    </row>
    <row r="4084" spans="1:8" ht="13.2">
      <c r="A4084" s="19" t="str">
        <f>HYPERLINK("http://codeforces.com/contest/301/problem/B?mobile=false","CF301-D1-B")</f>
        <v>CF301-D1-B</v>
      </c>
      <c r="B4084" s="20" t="s">
        <v>4006</v>
      </c>
      <c r="C4084" s="17">
        <v>5</v>
      </c>
      <c r="D4084" s="18"/>
      <c r="E4084" s="17" t="s">
        <v>3998</v>
      </c>
      <c r="F4084" s="17"/>
      <c r="G4084" s="18"/>
      <c r="H4084" s="18"/>
    </row>
    <row r="4085" spans="1:8" ht="13.2">
      <c r="A4085" s="15" t="s">
        <v>4019</v>
      </c>
      <c r="B4085" s="29" t="s">
        <v>4006</v>
      </c>
      <c r="C4085" s="24">
        <v>5</v>
      </c>
      <c r="D4085" s="18"/>
      <c r="E4085" s="17" t="s">
        <v>3998</v>
      </c>
      <c r="F4085" s="17"/>
      <c r="G4085" s="18"/>
      <c r="H4085" s="18"/>
    </row>
    <row r="4086" spans="1:8" ht="13.2">
      <c r="A4086" s="15" t="s">
        <v>4020</v>
      </c>
      <c r="B4086" s="29" t="s">
        <v>4006</v>
      </c>
      <c r="C4086" s="17">
        <v>5</v>
      </c>
      <c r="D4086" s="26" t="str">
        <f>HYPERLINK("https://github.com/ahmedcpbl/CompetitiveProgramming/blob/master/UVA/1198.cpp","Sol")</f>
        <v>Sol</v>
      </c>
      <c r="E4086" s="17" t="s">
        <v>3998</v>
      </c>
      <c r="F4086" s="17"/>
      <c r="G4086" s="18"/>
      <c r="H4086" s="18"/>
    </row>
    <row r="4087" spans="1:8" ht="13.2">
      <c r="A4087" s="15" t="s">
        <v>4021</v>
      </c>
      <c r="B4087" s="28" t="s">
        <v>4022</v>
      </c>
      <c r="C4087" s="24">
        <v>5</v>
      </c>
      <c r="D4087" s="18"/>
      <c r="E4087" s="17" t="s">
        <v>3998</v>
      </c>
      <c r="F4087" s="17"/>
      <c r="G4087" s="18"/>
      <c r="H4087" s="18"/>
    </row>
    <row r="4088" spans="1:8" ht="13.2">
      <c r="A4088" s="15" t="s">
        <v>4023</v>
      </c>
      <c r="B4088" s="35" t="s">
        <v>4024</v>
      </c>
      <c r="C4088" s="17">
        <v>5</v>
      </c>
      <c r="D4088" s="18"/>
      <c r="E4088" s="17" t="s">
        <v>3998</v>
      </c>
      <c r="F4088" s="17"/>
      <c r="G4088" s="18"/>
      <c r="H4088" s="18"/>
    </row>
    <row r="4089" spans="1:8" ht="13.2">
      <c r="A4089" s="15" t="s">
        <v>4025</v>
      </c>
      <c r="B4089" s="16" t="s">
        <v>4026</v>
      </c>
      <c r="C4089" s="17">
        <v>5</v>
      </c>
      <c r="D4089" s="18"/>
      <c r="E4089" s="17" t="s">
        <v>3998</v>
      </c>
      <c r="F4089" s="17"/>
      <c r="G4089" s="18"/>
      <c r="H4089" s="18"/>
    </row>
    <row r="4090" spans="1:8" ht="13.2">
      <c r="A4090" s="15" t="s">
        <v>4027</v>
      </c>
      <c r="B4090" s="30" t="s">
        <v>4028</v>
      </c>
      <c r="C4090" s="24">
        <v>5</v>
      </c>
      <c r="D4090" s="18"/>
      <c r="E4090" s="17" t="s">
        <v>3998</v>
      </c>
      <c r="F4090" s="17"/>
      <c r="G4090" s="18"/>
      <c r="H4090" s="18"/>
    </row>
    <row r="4091" spans="1:8" ht="13.2">
      <c r="A4091" s="19" t="str">
        <f>HYPERLINK("http://codeforces.com/contest/546/problem/E","CF302-D2-E")</f>
        <v>CF302-D2-E</v>
      </c>
      <c r="B4091" s="15" t="s">
        <v>4059</v>
      </c>
      <c r="C4091" s="17">
        <v>5</v>
      </c>
      <c r="D4091" s="18"/>
      <c r="E4091" s="17" t="s">
        <v>4060</v>
      </c>
      <c r="F4091" s="17"/>
      <c r="G4091" s="18"/>
      <c r="H4091" s="18"/>
    </row>
    <row r="4092" spans="1:8" ht="13.2">
      <c r="A4092" s="15" t="s">
        <v>4125</v>
      </c>
      <c r="B4092" s="39" t="s">
        <v>4059</v>
      </c>
      <c r="C4092" s="24">
        <v>5</v>
      </c>
      <c r="D4092" s="18"/>
      <c r="E4092" s="17" t="s">
        <v>4060</v>
      </c>
      <c r="F4092" s="17"/>
      <c r="G4092" s="18"/>
      <c r="H4092" s="18"/>
    </row>
    <row r="4093" spans="1:8" ht="13.2">
      <c r="A4093" s="15" t="s">
        <v>4126</v>
      </c>
      <c r="B4093" s="39" t="s">
        <v>4059</v>
      </c>
      <c r="C4093" s="24">
        <v>5</v>
      </c>
      <c r="D4093" s="26" t="str">
        <f>HYPERLINK("https://ideone.com/gvetG2","Sol")</f>
        <v>Sol</v>
      </c>
      <c r="E4093" s="17" t="s">
        <v>4060</v>
      </c>
      <c r="F4093" s="17"/>
      <c r="G4093" s="18"/>
      <c r="H4093" s="18"/>
    </row>
    <row r="4094" spans="1:8" ht="13.2">
      <c r="A4094" s="15" t="s">
        <v>4127</v>
      </c>
      <c r="B4094" s="39" t="s">
        <v>4128</v>
      </c>
      <c r="C4094" s="17">
        <v>5</v>
      </c>
      <c r="D4094" s="18"/>
      <c r="E4094" s="17" t="s">
        <v>4060</v>
      </c>
      <c r="F4094" s="17"/>
      <c r="G4094" s="18"/>
      <c r="H4094" s="18"/>
    </row>
    <row r="4095" spans="1:8" ht="13.2">
      <c r="A4095" s="19" t="str">
        <f>HYPERLINK("http://codeforces.com/gym/101845/problem/F","CF101845-GYM-F")</f>
        <v>CF101845-GYM-F</v>
      </c>
      <c r="B4095" s="20" t="s">
        <v>4129</v>
      </c>
      <c r="C4095" s="24">
        <v>5</v>
      </c>
      <c r="D4095" s="26" t="str">
        <f>HYPERLINK("https://github.com/magdy-hasan/competitive-programming/blob/983dc6255dce4f556eba3139f1ea985905559403/Codeforces/CF101845-GYM-F.cpp","Sol")</f>
        <v>Sol</v>
      </c>
      <c r="E4095" s="17" t="s">
        <v>4060</v>
      </c>
      <c r="F4095" s="17"/>
      <c r="G4095" s="18"/>
      <c r="H4095" s="18"/>
    </row>
    <row r="4096" spans="1:8" ht="13.2">
      <c r="A4096" s="15" t="s">
        <v>4130</v>
      </c>
      <c r="B4096" s="30" t="s">
        <v>4131</v>
      </c>
      <c r="C4096" s="17">
        <v>5</v>
      </c>
      <c r="D4096" s="18"/>
      <c r="E4096" s="17" t="s">
        <v>4060</v>
      </c>
      <c r="F4096" s="17"/>
      <c r="G4096" s="18"/>
      <c r="H4096" s="18"/>
    </row>
    <row r="4097" spans="1:8" ht="13.2">
      <c r="A4097" s="15" t="s">
        <v>4211</v>
      </c>
      <c r="B4097" s="28" t="s">
        <v>4149</v>
      </c>
      <c r="C4097" s="17">
        <v>5</v>
      </c>
      <c r="D4097" s="18"/>
      <c r="E4097" s="17" t="s">
        <v>4144</v>
      </c>
      <c r="F4097" s="17"/>
      <c r="G4097" s="18"/>
      <c r="H4097" s="18"/>
    </row>
    <row r="4098" spans="1:8" ht="13.2">
      <c r="A4098" s="19" t="str">
        <f>HYPERLINK("https://uva.onlinejudge.org/index.php?option=onlinejudge&amp;page=show_problem&amp;problem=694","UVA 753")</f>
        <v>UVA 753</v>
      </c>
      <c r="B4098" s="29" t="s">
        <v>4149</v>
      </c>
      <c r="C4098" s="17">
        <v>5</v>
      </c>
      <c r="D4098" s="26" t="str">
        <f>HYPERLINK("https://github.com/mostafa-saad/MyCompetitiveProgramming/blob/master/UVA/UVA_753.txt","Sol")</f>
        <v>Sol</v>
      </c>
      <c r="E4098" s="17" t="s">
        <v>4144</v>
      </c>
      <c r="F4098" s="17"/>
      <c r="G4098" s="18"/>
      <c r="H4098" s="18"/>
    </row>
    <row r="4099" spans="1:8" ht="13.2">
      <c r="A4099" s="15" t="s">
        <v>4212</v>
      </c>
      <c r="B4099" s="18" t="s">
        <v>4213</v>
      </c>
      <c r="C4099" s="17">
        <v>5</v>
      </c>
      <c r="D4099" s="26" t="str">
        <f>HYPERLINK("http://ideone.com/bXUDTg","Sol. Don't just greedy it")</f>
        <v>Sol. Don't just greedy it</v>
      </c>
      <c r="E4099" s="17" t="s">
        <v>4144</v>
      </c>
      <c r="F4099" s="17"/>
      <c r="G4099" s="18"/>
      <c r="H4099" s="18"/>
    </row>
    <row r="4100" spans="1:8" ht="13.2">
      <c r="A4100" s="15" t="s">
        <v>4214</v>
      </c>
      <c r="B4100" s="39" t="s">
        <v>4215</v>
      </c>
      <c r="C4100" s="17">
        <v>5</v>
      </c>
      <c r="D4100" s="18"/>
      <c r="E4100" s="17" t="s">
        <v>4144</v>
      </c>
      <c r="F4100" s="17"/>
      <c r="G4100" s="18"/>
      <c r="H4100" s="18"/>
    </row>
    <row r="4101" spans="1:8" ht="13.2">
      <c r="A4101" s="15" t="s">
        <v>4263</v>
      </c>
      <c r="B4101" s="30" t="s">
        <v>4245</v>
      </c>
      <c r="C4101" s="31">
        <v>5</v>
      </c>
      <c r="D4101" s="18"/>
      <c r="E4101" s="17" t="s">
        <v>4238</v>
      </c>
      <c r="F4101" s="17"/>
      <c r="G4101" s="18"/>
      <c r="H4101" s="18"/>
    </row>
    <row r="4102" spans="1:8" ht="13.2">
      <c r="A4102" s="15" t="s">
        <v>4264</v>
      </c>
      <c r="B4102" s="30" t="s">
        <v>4265</v>
      </c>
      <c r="C4102" s="24">
        <v>5</v>
      </c>
      <c r="D4102" s="18"/>
      <c r="E4102" s="17" t="s">
        <v>4238</v>
      </c>
      <c r="F4102" s="17"/>
      <c r="G4102" s="18"/>
      <c r="H4102" s="18"/>
    </row>
    <row r="4103" spans="1:8" ht="13.2">
      <c r="A4103" s="15" t="s">
        <v>4266</v>
      </c>
      <c r="B4103" s="18" t="s">
        <v>4267</v>
      </c>
      <c r="C4103" s="17">
        <v>5</v>
      </c>
      <c r="D4103" s="26" t="str">
        <f>HYPERLINK("https://github.com/TheRealImaginary/CompetitiveProgramming/blob/master/PKU/PKU_3422_KakasMatrixTravels.java","Sol")</f>
        <v>Sol</v>
      </c>
      <c r="E4103" s="17" t="s">
        <v>4238</v>
      </c>
      <c r="F4103" s="17"/>
      <c r="G4103" s="18"/>
      <c r="H4103" s="18"/>
    </row>
    <row r="4104" spans="1:8" ht="13.2">
      <c r="A4104" s="15" t="s">
        <v>734</v>
      </c>
      <c r="B4104" s="28" t="s">
        <v>735</v>
      </c>
      <c r="C4104" s="24">
        <v>5</v>
      </c>
      <c r="D4104" s="18"/>
      <c r="E4104" s="17" t="s">
        <v>719</v>
      </c>
      <c r="F4104" s="17"/>
      <c r="G4104" s="18"/>
      <c r="H4104" s="18"/>
    </row>
    <row r="4105" spans="1:8" ht="13.2">
      <c r="A4105" s="15" t="s">
        <v>736</v>
      </c>
      <c r="B4105" s="18" t="s">
        <v>737</v>
      </c>
      <c r="C4105" s="17">
        <v>5</v>
      </c>
      <c r="D4105" s="26" t="str">
        <f>HYPERLINK("https://github.com/AliOsm/CompetitiveProgramming/blob/master/ZOJ/1097%20-%20Code%20the%20Tree.cpp","Sol")</f>
        <v>Sol</v>
      </c>
      <c r="E4105" s="17" t="s">
        <v>719</v>
      </c>
      <c r="F4105" s="17"/>
      <c r="G4105" s="18"/>
      <c r="H4105" s="18"/>
    </row>
    <row r="4106" spans="1:8" ht="13.2">
      <c r="A4106" s="15" t="s">
        <v>4323</v>
      </c>
      <c r="B4106" s="28" t="s">
        <v>4279</v>
      </c>
      <c r="C4106" s="24">
        <v>5</v>
      </c>
      <c r="D4106" s="26" t="str">
        <f>HYPERLINK("https://github.com/Huvok/CompetitiveProgramming/blob/master/SPOJ/NITTROAD.cpp", "Sol")</f>
        <v>Sol</v>
      </c>
      <c r="E4106" s="17" t="s">
        <v>4275</v>
      </c>
      <c r="F4106" s="17"/>
      <c r="G4106" s="18"/>
      <c r="H4106" s="18"/>
    </row>
    <row r="4107" spans="1:8" ht="13.2">
      <c r="A4107" s="15" t="s">
        <v>4324</v>
      </c>
      <c r="B4107" s="29" t="s">
        <v>4279</v>
      </c>
      <c r="C4107" s="33">
        <v>5</v>
      </c>
      <c r="D4107" s="18"/>
      <c r="E4107" s="24" t="s">
        <v>4275</v>
      </c>
      <c r="F4107" s="17"/>
      <c r="G4107" s="18"/>
      <c r="H4107" s="18"/>
    </row>
    <row r="4108" spans="1:8" ht="13.2">
      <c r="A4108" s="19" t="str">
        <f>HYPERLINK("https://icpcarchive.ecs.baylor.edu/index.php?option=onlinejudge&amp;page=show_problem&amp;problem=2327","LIVEARCHIVE 4326")</f>
        <v>LIVEARCHIVE 4326</v>
      </c>
      <c r="B4108" s="29" t="s">
        <v>4325</v>
      </c>
      <c r="C4108" s="17">
        <v>5</v>
      </c>
      <c r="D4108" s="18"/>
      <c r="E4108" s="17" t="s">
        <v>4275</v>
      </c>
      <c r="F4108" s="17"/>
      <c r="G4108" s="18"/>
      <c r="H4108" s="18"/>
    </row>
    <row r="4109" spans="1:8" ht="13.2">
      <c r="A4109" s="19" t="str">
        <f>HYPERLINK("http://codeforces.com/contest/959/problem/E","CF959-D2-E")</f>
        <v>CF959-D2-E</v>
      </c>
      <c r="B4109" s="20" t="s">
        <v>4319</v>
      </c>
      <c r="C4109" s="17">
        <v>5</v>
      </c>
      <c r="D4109" s="18"/>
      <c r="E4109" s="17" t="s">
        <v>4275</v>
      </c>
      <c r="F4109" s="17"/>
      <c r="G4109" s="18"/>
      <c r="H4109" s="18"/>
    </row>
    <row r="4110" spans="1:8" ht="13.2">
      <c r="A4110" s="15" t="s">
        <v>4364</v>
      </c>
      <c r="B4110" s="29" t="s">
        <v>4365</v>
      </c>
      <c r="C4110" s="24">
        <v>5</v>
      </c>
      <c r="D4110" s="18"/>
      <c r="E4110" s="17" t="s">
        <v>4344</v>
      </c>
      <c r="F4110" s="17"/>
      <c r="G4110" s="18"/>
      <c r="H4110" s="18"/>
    </row>
    <row r="4111" spans="1:8" ht="13.2">
      <c r="A4111" s="19" t="str">
        <f>HYPERLINK("https://icpcarchive.ecs.baylor.edu/index.php?option=com_onlinejudge&amp;Itemid=8&amp;page=show_problem&amp;problem=2186","LIVEARCHIVE 4185")</f>
        <v>LIVEARCHIVE 4185</v>
      </c>
      <c r="B4111" s="18" t="s">
        <v>4385</v>
      </c>
      <c r="C4111" s="17">
        <v>5</v>
      </c>
      <c r="D4111" s="26" t="str">
        <f>HYPERLINK("https://github.com/3agwa/CompetitiveProgramming/blob/master/LiveArchive/LIVEARCHIVE%204185.cpp","Sol")</f>
        <v>Sol</v>
      </c>
      <c r="E4111" s="17" t="s">
        <v>4379</v>
      </c>
      <c r="F4111" s="17"/>
      <c r="G4111" s="18"/>
      <c r="H4111" s="18"/>
    </row>
    <row r="4112" spans="1:8" ht="13.2">
      <c r="A4112" s="19" t="str">
        <f>HYPERLINK("http://codeforces.com/contest/228/problem/E","CF228-D2-E")</f>
        <v>CF228-D2-E</v>
      </c>
      <c r="B4112" s="29" t="s">
        <v>4405</v>
      </c>
      <c r="C4112" s="17">
        <v>5</v>
      </c>
      <c r="D4112" s="18"/>
      <c r="E4112" s="17" t="s">
        <v>4379</v>
      </c>
      <c r="F4112" s="17"/>
      <c r="G4112" s="18"/>
      <c r="H4112" s="18"/>
    </row>
    <row r="4113" spans="1:8" ht="13.2">
      <c r="A4113" s="15" t="s">
        <v>4507</v>
      </c>
      <c r="B4113" s="28" t="s">
        <v>4508</v>
      </c>
      <c r="C4113" s="24">
        <v>5</v>
      </c>
      <c r="D4113" s="18"/>
      <c r="E4113" s="17" t="s">
        <v>4504</v>
      </c>
      <c r="F4113" s="17"/>
      <c r="G4113" s="18"/>
      <c r="H4113" s="18"/>
    </row>
    <row r="4114" spans="1:8" ht="13.2">
      <c r="A4114" s="19" t="str">
        <f>HYPERLINK("https://beta.atcoder.jp/contests/agc028/tasks/agc028_a", "AtCoder028-AGC-A")</f>
        <v>AtCoder028-AGC-A</v>
      </c>
      <c r="B4114" s="20" t="s">
        <v>4530</v>
      </c>
      <c r="C4114" s="21">
        <v>5</v>
      </c>
      <c r="D4114" s="18"/>
      <c r="E4114" s="17" t="s">
        <v>4531</v>
      </c>
      <c r="F4114" s="17"/>
      <c r="G4114" s="18"/>
      <c r="H4114" s="18"/>
    </row>
    <row r="4115" spans="1:8" ht="13.2">
      <c r="A4115" s="19" t="str">
        <f>HYPERLINK("http://codeforces.com/contest/1029/problem/D","CF1029-D3-D")</f>
        <v>CF1029-D3-D</v>
      </c>
      <c r="B4115" s="20" t="s">
        <v>4530</v>
      </c>
      <c r="C4115" s="17">
        <v>5</v>
      </c>
      <c r="D4115" s="18"/>
      <c r="E4115" s="17" t="s">
        <v>4531</v>
      </c>
      <c r="F4115" s="17"/>
      <c r="G4115" s="18"/>
      <c r="H4115" s="18"/>
    </row>
    <row r="4116" spans="1:8" ht="13.2">
      <c r="A4116" s="19" t="str">
        <f>HYPERLINK("http://codeforces.com/contest/199/problem/C","CF199-D2-C")</f>
        <v>CF199-D2-C</v>
      </c>
      <c r="B4116" s="29" t="s">
        <v>4530</v>
      </c>
      <c r="C4116" s="17">
        <v>5</v>
      </c>
      <c r="D4116" s="18"/>
      <c r="E4116" s="17" t="s">
        <v>4531</v>
      </c>
      <c r="F4116" s="17"/>
      <c r="G4116" s="18"/>
      <c r="H4116" s="18"/>
    </row>
    <row r="4117" spans="1:8" ht="13.2">
      <c r="A4117" s="19" t="str">
        <f>HYPERLINK("http://codeforces.com/contest/520/problem/C","CF520-D2-C")</f>
        <v>CF520-D2-C</v>
      </c>
      <c r="B4117" s="29" t="s">
        <v>4530</v>
      </c>
      <c r="C4117" s="17">
        <v>5</v>
      </c>
      <c r="D4117" s="18"/>
      <c r="E4117" s="17" t="s">
        <v>4531</v>
      </c>
      <c r="F4117" s="17"/>
      <c r="G4117" s="18"/>
      <c r="H4117" s="18"/>
    </row>
    <row r="4118" spans="1:8" ht="13.2">
      <c r="A4118" s="19" t="str">
        <f>HYPERLINK("http://codeforces.com/contest/676/problem/E","CF676-D2-E")</f>
        <v>CF676-D2-E</v>
      </c>
      <c r="B4118" s="15" t="s">
        <v>4530</v>
      </c>
      <c r="C4118" s="24">
        <v>5</v>
      </c>
      <c r="D4118" s="18"/>
      <c r="E4118" s="17" t="s">
        <v>4531</v>
      </c>
      <c r="F4118" s="17"/>
      <c r="G4118" s="18"/>
      <c r="H4118" s="18"/>
    </row>
    <row r="4119" spans="1:8" ht="13.2">
      <c r="A4119" s="19" t="str">
        <f>HYPERLINK("http://codeforces.com/contest/803/problem/C","CF803-D12-C")</f>
        <v>CF803-D12-C</v>
      </c>
      <c r="B4119" s="18" t="s">
        <v>4530</v>
      </c>
      <c r="C4119" s="17">
        <v>5</v>
      </c>
      <c r="D4119" s="18"/>
      <c r="E4119" s="17" t="s">
        <v>4531</v>
      </c>
      <c r="F4119" s="17"/>
      <c r="G4119" s="18"/>
      <c r="H4119" s="18"/>
    </row>
    <row r="4120" spans="1:8" ht="13.2">
      <c r="A4120" s="19" t="str">
        <f>HYPERLINK("http://codeforces.com/contest/957/problem/C","CF957-D2-C")</f>
        <v>CF957-D2-C</v>
      </c>
      <c r="B4120" s="18" t="s">
        <v>4530</v>
      </c>
      <c r="C4120" s="17">
        <v>5</v>
      </c>
      <c r="D4120" s="18"/>
      <c r="E4120" s="17" t="s">
        <v>4531</v>
      </c>
      <c r="F4120" s="17"/>
      <c r="G4120" s="18"/>
      <c r="H4120" s="18"/>
    </row>
    <row r="4121" spans="1:8" ht="13.2">
      <c r="A4121" s="19" t="str">
        <f>HYPERLINK("https://www.codechef.com/problems/PRMDIV", "CODECHEF PRMDIV")</f>
        <v>CODECHEF PRMDIV</v>
      </c>
      <c r="B4121" s="20" t="s">
        <v>4530</v>
      </c>
      <c r="C4121" s="21">
        <v>5</v>
      </c>
      <c r="D4121" s="18"/>
      <c r="E4121" s="17" t="s">
        <v>4531</v>
      </c>
      <c r="F4121" s="17"/>
      <c r="G4121" s="18"/>
      <c r="H4121" s="18"/>
    </row>
    <row r="4122" spans="1:8" ht="13.2">
      <c r="A4122" s="15" t="s">
        <v>4672</v>
      </c>
      <c r="B4122" s="34" t="s">
        <v>4530</v>
      </c>
      <c r="C4122" s="17">
        <v>5</v>
      </c>
      <c r="D4122" s="18"/>
      <c r="E4122" s="17" t="s">
        <v>4531</v>
      </c>
      <c r="F4122" s="17"/>
      <c r="G4122" s="18"/>
      <c r="H4122" s="18"/>
    </row>
    <row r="4123" spans="1:8" ht="13.2">
      <c r="A4123" s="15" t="s">
        <v>4673</v>
      </c>
      <c r="B4123" s="29" t="s">
        <v>4530</v>
      </c>
      <c r="C4123" s="31">
        <v>5</v>
      </c>
      <c r="D4123" s="18"/>
      <c r="E4123" s="24" t="s">
        <v>4531</v>
      </c>
      <c r="F4123" s="17"/>
      <c r="G4123" s="18"/>
      <c r="H4123" s="18"/>
    </row>
    <row r="4124" spans="1:8" ht="13.2">
      <c r="A4124" s="15" t="s">
        <v>4674</v>
      </c>
      <c r="B4124" s="28" t="s">
        <v>4530</v>
      </c>
      <c r="C4124" s="24">
        <v>5</v>
      </c>
      <c r="D4124" s="18"/>
      <c r="E4124" s="17" t="s">
        <v>4531</v>
      </c>
      <c r="F4124" s="17"/>
      <c r="G4124" s="18"/>
      <c r="H4124" s="18"/>
    </row>
    <row r="4125" spans="1:8" ht="13.2">
      <c r="A4125" s="15" t="s">
        <v>4675</v>
      </c>
      <c r="B4125" s="29" t="s">
        <v>4530</v>
      </c>
      <c r="C4125" s="17">
        <v>5</v>
      </c>
      <c r="D4125" s="18"/>
      <c r="E4125" s="17" t="s">
        <v>4531</v>
      </c>
      <c r="F4125" s="17"/>
      <c r="G4125" s="18"/>
      <c r="H4125" s="18"/>
    </row>
    <row r="4126" spans="1:8" ht="13.2">
      <c r="A4126" s="19" t="str">
        <f>HYPERLINK("https://uva.onlinejudge.org/index.php?option=com_onlinejudge&amp;Itemid=8&amp;page=show_problem&amp;problem=62","UVA 126")</f>
        <v>UVA 126</v>
      </c>
      <c r="B4126" s="29" t="s">
        <v>4530</v>
      </c>
      <c r="C4126" s="17">
        <v>5</v>
      </c>
      <c r="D4126" s="26" t="str">
        <f>HYPERLINK("https://github.com/abdullaAshraf/Problem-Solving/blob/master/UVA/126.cpp","Sol")</f>
        <v>Sol</v>
      </c>
      <c r="E4126" s="17" t="s">
        <v>4531</v>
      </c>
      <c r="F4126" s="17"/>
      <c r="G4126" s="18"/>
      <c r="H4126" s="18"/>
    </row>
    <row r="4127" spans="1:8" ht="13.2">
      <c r="A4127" s="15" t="s">
        <v>4676</v>
      </c>
      <c r="B4127" s="29" t="s">
        <v>4677</v>
      </c>
      <c r="C4127" s="17">
        <v>5</v>
      </c>
      <c r="D4127" s="26" t="str">
        <f>HYPERLINK("https://github.com/morris821028/UVa/blob/master/volume005/545%20-%20Heads.cpp","Sol")</f>
        <v>Sol</v>
      </c>
      <c r="E4127" s="17" t="s">
        <v>4531</v>
      </c>
      <c r="F4127" s="17"/>
      <c r="G4127" s="18"/>
      <c r="H4127" s="18"/>
    </row>
    <row r="4128" spans="1:8" ht="13.2">
      <c r="A4128" s="15" t="s">
        <v>4678</v>
      </c>
      <c r="B4128" s="18" t="s">
        <v>4679</v>
      </c>
      <c r="C4128" s="31">
        <v>5</v>
      </c>
      <c r="D4128" s="18"/>
      <c r="E4128" s="17" t="s">
        <v>4531</v>
      </c>
      <c r="F4128" s="17"/>
      <c r="G4128" s="18"/>
      <c r="H4128" s="18"/>
    </row>
    <row r="4129" spans="1:8" ht="13.2">
      <c r="A4129" s="19" t="str">
        <f>HYPERLINK("http://codeforces.com/contest/895/problem/D","CF895-D2-D")</f>
        <v>CF895-D2-D</v>
      </c>
      <c r="B4129" s="18" t="s">
        <v>4680</v>
      </c>
      <c r="C4129" s="17">
        <v>5</v>
      </c>
      <c r="D4129" s="18"/>
      <c r="E4129" s="17" t="s">
        <v>4531</v>
      </c>
      <c r="F4129" s="17"/>
      <c r="G4129" s="18"/>
      <c r="H4129" s="18"/>
    </row>
    <row r="4130" spans="1:8" ht="13.2">
      <c r="A4130" s="19" t="str">
        <f>HYPERLINK("http://codeforces.com/contest/892/problem/D","CF892-D2-D")</f>
        <v>CF892-D2-D</v>
      </c>
      <c r="B4130" s="18" t="s">
        <v>4681</v>
      </c>
      <c r="C4130" s="17">
        <v>5</v>
      </c>
      <c r="D4130" s="18"/>
      <c r="E4130" s="17" t="s">
        <v>4531</v>
      </c>
      <c r="F4130" s="17"/>
      <c r="G4130" s="18"/>
      <c r="H4130" s="18"/>
    </row>
    <row r="4131" spans="1:8" ht="13.2">
      <c r="A4131" s="15" t="s">
        <v>4682</v>
      </c>
      <c r="B4131" s="18" t="s">
        <v>4683</v>
      </c>
      <c r="C4131" s="17">
        <v>5</v>
      </c>
      <c r="D4131" s="26" t="str">
        <f>HYPERLINK("https://ideone.com/Rgvbck","Sol")</f>
        <v>Sol</v>
      </c>
      <c r="E4131" s="17" t="s">
        <v>4531</v>
      </c>
      <c r="F4131" s="17"/>
      <c r="G4131" s="18"/>
      <c r="H4131" s="18"/>
    </row>
    <row r="4132" spans="1:8" ht="13.2">
      <c r="A4132" s="15" t="s">
        <v>4684</v>
      </c>
      <c r="B4132" s="28" t="s">
        <v>4562</v>
      </c>
      <c r="C4132" s="24">
        <v>5</v>
      </c>
      <c r="D4132" s="26" t="str">
        <f>HYPERLINK("https://github.com/ryuzmukhametov/CompetitiveProgramming/blob/master/uva/UVA%2010442.cpp", "Sol")</f>
        <v>Sol</v>
      </c>
      <c r="E4132" s="17" t="s">
        <v>4531</v>
      </c>
      <c r="F4132" s="17"/>
      <c r="G4132" s="18"/>
      <c r="H4132" s="18"/>
    </row>
    <row r="4133" spans="1:8" ht="13.2">
      <c r="A4133" s="19" t="str">
        <f>HYPERLINK("http://codeforces.com/contest/1062/problem/B", "CF1062-D2-B")</f>
        <v>CF1062-D2-B</v>
      </c>
      <c r="B4133" s="20" t="s">
        <v>4564</v>
      </c>
      <c r="C4133" s="21">
        <v>5</v>
      </c>
      <c r="D4133" s="18"/>
      <c r="E4133" s="17" t="s">
        <v>4531</v>
      </c>
      <c r="F4133" s="17"/>
      <c r="G4133" s="18"/>
      <c r="H4133" s="18"/>
    </row>
    <row r="4134" spans="1:8" ht="13.2">
      <c r="A4134" s="19" t="str">
        <f>HYPERLINK("https://csacademy.com/contest/round-63/task/find-remainder/","CSA63-C")</f>
        <v>CSA63-C</v>
      </c>
      <c r="B4134" s="15" t="s">
        <v>4564</v>
      </c>
      <c r="C4134" s="17">
        <v>5</v>
      </c>
      <c r="D4134" s="18"/>
      <c r="E4134" s="17" t="s">
        <v>4531</v>
      </c>
      <c r="F4134" s="17"/>
      <c r="G4134" s="18"/>
      <c r="H4134" s="18"/>
    </row>
    <row r="4135" spans="1:8" ht="13.2">
      <c r="A4135" s="15" t="s">
        <v>4685</v>
      </c>
      <c r="B4135" s="48" t="s">
        <v>4564</v>
      </c>
      <c r="C4135" s="17">
        <v>5</v>
      </c>
      <c r="D4135" s="18"/>
      <c r="E4135" s="17" t="s">
        <v>4531</v>
      </c>
      <c r="F4135" s="17"/>
      <c r="G4135" s="18"/>
      <c r="H4135" s="18"/>
    </row>
    <row r="4136" spans="1:8" ht="13.2">
      <c r="A4136" s="19" t="str">
        <f>HYPERLINK("http://codeforces.com/gym/101102/problem/J","CF101102-gym-J")</f>
        <v>CF101102-gym-J</v>
      </c>
      <c r="B4136" s="15" t="s">
        <v>4686</v>
      </c>
      <c r="C4136" s="17">
        <v>5</v>
      </c>
      <c r="D4136" s="26" t="str">
        <f>HYPERLINK("https://github.com/Mahmoud3ali/CompetitiveProgramming/blob/master/CodeForces/CF101102-GYM-J.cpp","Sol")</f>
        <v>Sol</v>
      </c>
      <c r="E4136" s="17" t="s">
        <v>4531</v>
      </c>
      <c r="F4136" s="17"/>
      <c r="G4136" s="18"/>
      <c r="H4136" s="18"/>
    </row>
    <row r="4137" spans="1:8" ht="13.2">
      <c r="A4137" s="19" t="str">
        <f>HYPERLINK("https://atcoder.jp/contests/abc134/tasks/abc134_f","AtCoder134-ABC-F")</f>
        <v>AtCoder134-ABC-F</v>
      </c>
      <c r="B4137" s="15" t="s">
        <v>4687</v>
      </c>
      <c r="C4137" s="17">
        <v>5</v>
      </c>
      <c r="D4137" s="18"/>
      <c r="E4137" s="17" t="s">
        <v>4531</v>
      </c>
      <c r="F4137" s="17"/>
      <c r="G4137" s="18"/>
      <c r="H4137" s="18"/>
    </row>
    <row r="4138" spans="1:8" ht="13.2">
      <c r="A4138" s="15" t="s">
        <v>4688</v>
      </c>
      <c r="B4138" s="34" t="s">
        <v>4577</v>
      </c>
      <c r="C4138" s="17">
        <v>5</v>
      </c>
      <c r="D4138" s="26" t="str">
        <f>HYPERLINK("https://github.com/MedoN11/CompetitiveProgramming/blob/master/TopCoder/SRM552-D2-500.java","Sol")</f>
        <v>Sol</v>
      </c>
      <c r="E4138" s="17" t="s">
        <v>4531</v>
      </c>
      <c r="F4138" s="17"/>
      <c r="G4138" s="18"/>
      <c r="H4138" s="18"/>
    </row>
    <row r="4139" spans="1:8" ht="13.2">
      <c r="A4139" s="19" t="str">
        <f>HYPERLINK("http://agc016.contest.atcoder.jp/tasks/agc016_b","AtCoder016-AGC-B")</f>
        <v>AtCoder016-AGC-B</v>
      </c>
      <c r="B4139" s="18" t="s">
        <v>4689</v>
      </c>
      <c r="C4139" s="17">
        <v>5</v>
      </c>
      <c r="D4139" s="18"/>
      <c r="E4139" s="17" t="s">
        <v>4531</v>
      </c>
      <c r="F4139" s="17"/>
      <c r="G4139" s="18"/>
      <c r="H4139" s="18"/>
    </row>
    <row r="4140" spans="1:8" ht="13.2">
      <c r="A4140" s="15" t="s">
        <v>4690</v>
      </c>
      <c r="B4140" s="28" t="s">
        <v>4691</v>
      </c>
      <c r="C4140" s="17">
        <v>5</v>
      </c>
      <c r="D4140" s="18"/>
      <c r="E4140" s="17" t="s">
        <v>4531</v>
      </c>
      <c r="F4140" s="17"/>
      <c r="G4140" s="18"/>
      <c r="H4140" s="18"/>
    </row>
    <row r="4141" spans="1:8" ht="13.2">
      <c r="A4141" s="15" t="s">
        <v>4692</v>
      </c>
      <c r="B4141" s="28" t="s">
        <v>4693</v>
      </c>
      <c r="C4141" s="17">
        <v>5</v>
      </c>
      <c r="D4141" s="18"/>
      <c r="E4141" s="17" t="s">
        <v>4531</v>
      </c>
      <c r="F4141" s="17"/>
      <c r="G4141" s="18"/>
      <c r="H4141" s="18"/>
    </row>
    <row r="4142" spans="1:8" ht="13.2">
      <c r="A4142" s="15" t="s">
        <v>4694</v>
      </c>
      <c r="B4142" s="34" t="s">
        <v>4541</v>
      </c>
      <c r="C4142" s="17">
        <v>5</v>
      </c>
      <c r="D4142" s="18"/>
      <c r="E4142" s="17" t="s">
        <v>4531</v>
      </c>
      <c r="F4142" s="17"/>
      <c r="G4142" s="18"/>
      <c r="H4142" s="18"/>
    </row>
    <row r="4143" spans="1:8" ht="13.2">
      <c r="A4143" s="19" t="str">
        <f>HYPERLINK("http://codeforces.com/contest/195/problem/D","CF195-D2-D")</f>
        <v>CF195-D2-D</v>
      </c>
      <c r="B4143" s="29" t="s">
        <v>4695</v>
      </c>
      <c r="C4143" s="17">
        <v>5</v>
      </c>
      <c r="D4143" s="18"/>
      <c r="E4143" s="17" t="s">
        <v>4531</v>
      </c>
      <c r="F4143" s="17"/>
      <c r="G4143" s="18"/>
      <c r="H4143" s="18"/>
    </row>
    <row r="4144" spans="1:8" ht="13.2">
      <c r="A4144" s="15" t="s">
        <v>780</v>
      </c>
      <c r="B4144" s="41" t="s">
        <v>781</v>
      </c>
      <c r="C4144" s="17">
        <v>5</v>
      </c>
      <c r="D4144" s="18"/>
      <c r="E4144" s="17" t="s">
        <v>741</v>
      </c>
      <c r="F4144" s="17"/>
      <c r="G4144" s="18"/>
      <c r="H4144" s="18"/>
    </row>
    <row r="4145" spans="1:8" ht="13.2">
      <c r="A4145" s="19" t="str">
        <f>HYPERLINK("http://codeforces.com/contest/862/problem/D","CF862-D2-D")</f>
        <v>CF862-D2-D</v>
      </c>
      <c r="B4145" s="18" t="s">
        <v>782</v>
      </c>
      <c r="C4145" s="33">
        <v>5</v>
      </c>
      <c r="D4145" s="18"/>
      <c r="E4145" s="17" t="s">
        <v>741</v>
      </c>
      <c r="F4145" s="17"/>
      <c r="G4145" s="18"/>
      <c r="H4145" s="18"/>
    </row>
    <row r="4146" spans="1:8" ht="13.2">
      <c r="A4146" s="15" t="s">
        <v>783</v>
      </c>
      <c r="B4146" s="30" t="s">
        <v>784</v>
      </c>
      <c r="C4146" s="24">
        <v>5</v>
      </c>
      <c r="D4146" s="18"/>
      <c r="E4146" s="17" t="s">
        <v>741</v>
      </c>
      <c r="F4146" s="17"/>
      <c r="G4146" s="18"/>
      <c r="H4146" s="18"/>
    </row>
    <row r="4147" spans="1:8" ht="13.2">
      <c r="A4147" s="15" t="s">
        <v>4792</v>
      </c>
      <c r="B4147" s="30" t="s">
        <v>4779</v>
      </c>
      <c r="C4147" s="24">
        <v>5</v>
      </c>
      <c r="D4147" s="18"/>
      <c r="E4147" s="17" t="s">
        <v>4778</v>
      </c>
      <c r="F4147" s="17"/>
      <c r="G4147" s="18"/>
      <c r="H4147" s="18"/>
    </row>
    <row r="4148" spans="1:8" ht="13.2">
      <c r="A4148" s="15" t="s">
        <v>4793</v>
      </c>
      <c r="B4148" s="30" t="s">
        <v>4779</v>
      </c>
      <c r="C4148" s="24">
        <v>5</v>
      </c>
      <c r="D4148" s="18"/>
      <c r="E4148" s="17" t="s">
        <v>4778</v>
      </c>
      <c r="F4148" s="17"/>
      <c r="G4148" s="18"/>
      <c r="H4148" s="18"/>
    </row>
    <row r="4149" spans="1:8" ht="13.2">
      <c r="A4149" s="15" t="s">
        <v>4794</v>
      </c>
      <c r="B4149" s="29" t="s">
        <v>4795</v>
      </c>
      <c r="C4149" s="17">
        <v>5</v>
      </c>
      <c r="D4149" s="18"/>
      <c r="E4149" s="17" t="s">
        <v>4778</v>
      </c>
      <c r="F4149" s="17"/>
      <c r="G4149" s="18"/>
      <c r="H4149" s="18"/>
    </row>
    <row r="4150" spans="1:8" ht="13.2">
      <c r="A4150" s="15" t="s">
        <v>4843</v>
      </c>
      <c r="B4150" s="30" t="s">
        <v>4844</v>
      </c>
      <c r="C4150" s="24">
        <v>5</v>
      </c>
      <c r="D4150" s="18"/>
      <c r="E4150" s="17" t="s">
        <v>4809</v>
      </c>
      <c r="F4150" s="17"/>
      <c r="G4150" s="18"/>
      <c r="H4150" s="18"/>
    </row>
    <row r="4151" spans="1:8" ht="13.2">
      <c r="A4151" s="19" t="str">
        <f>HYPERLINK("http://codeforces.com/contest/236/problem/C","CF236-D2-C")</f>
        <v>CF236-D2-C</v>
      </c>
      <c r="B4151" s="29" t="s">
        <v>4812</v>
      </c>
      <c r="C4151" s="17">
        <v>5</v>
      </c>
      <c r="D4151" s="18"/>
      <c r="E4151" s="17" t="s">
        <v>4809</v>
      </c>
      <c r="F4151" s="17"/>
      <c r="G4151" s="18"/>
      <c r="H4151" s="18"/>
    </row>
    <row r="4152" spans="1:8" ht="13.2">
      <c r="A4152" s="15" t="s">
        <v>4845</v>
      </c>
      <c r="B4152" s="16" t="s">
        <v>4846</v>
      </c>
      <c r="C4152" s="31">
        <v>5</v>
      </c>
      <c r="D4152" s="18"/>
      <c r="E4152" s="17" t="s">
        <v>4809</v>
      </c>
      <c r="F4152" s="17"/>
      <c r="G4152" s="18"/>
      <c r="H4152" s="18"/>
    </row>
    <row r="4153" spans="1:8" ht="13.2">
      <c r="A4153" s="15" t="s">
        <v>4847</v>
      </c>
      <c r="B4153" s="30" t="s">
        <v>4848</v>
      </c>
      <c r="C4153" s="24">
        <v>5</v>
      </c>
      <c r="D4153" s="26" t="str">
        <f>HYPERLINK("https://pastebin.com/1s937M7e","Sol")</f>
        <v>Sol</v>
      </c>
      <c r="E4153" s="17" t="s">
        <v>4809</v>
      </c>
      <c r="F4153" s="17"/>
      <c r="G4153" s="18"/>
      <c r="H4153" s="18"/>
    </row>
    <row r="4154" spans="1:8" ht="13.2">
      <c r="A4154" s="15" t="s">
        <v>4849</v>
      </c>
      <c r="B4154" s="34" t="s">
        <v>4850</v>
      </c>
      <c r="C4154" s="17">
        <v>5</v>
      </c>
      <c r="D4154" s="18"/>
      <c r="E4154" s="17" t="s">
        <v>4809</v>
      </c>
      <c r="F4154" s="17"/>
      <c r="G4154" s="18"/>
      <c r="H4154" s="18"/>
    </row>
    <row r="4155" spans="1:8" ht="13.2">
      <c r="A4155" s="19" t="str">
        <f>HYPERLINK("https://uva.onlinejudge.org/index.php?option=onlinejudge&amp;page=show_problem&amp;problem=2096","UVA 11155")</f>
        <v>UVA 11155</v>
      </c>
      <c r="B4155" s="29" t="s">
        <v>4866</v>
      </c>
      <c r="C4155" s="17">
        <v>5</v>
      </c>
      <c r="D4155" s="18"/>
      <c r="E4155" s="17" t="s">
        <v>4867</v>
      </c>
      <c r="F4155" s="17"/>
      <c r="G4155" s="18"/>
      <c r="H4155" s="18"/>
    </row>
    <row r="4156" spans="1:8" ht="13.2">
      <c r="A4156" s="15" t="s">
        <v>4880</v>
      </c>
      <c r="B4156" s="29" t="s">
        <v>4881</v>
      </c>
      <c r="C4156" s="17">
        <v>5</v>
      </c>
      <c r="D4156" s="18"/>
      <c r="E4156" s="17" t="s">
        <v>4875</v>
      </c>
      <c r="F4156" s="17"/>
      <c r="G4156" s="18"/>
      <c r="H4156" s="18"/>
    </row>
    <row r="4157" spans="1:8" ht="13.2">
      <c r="A4157" s="15" t="s">
        <v>4917</v>
      </c>
      <c r="B4157" s="30" t="s">
        <v>4918</v>
      </c>
      <c r="C4157" s="24">
        <v>5</v>
      </c>
      <c r="D4157" s="18"/>
      <c r="E4157" s="17" t="s">
        <v>4893</v>
      </c>
      <c r="F4157" s="17"/>
      <c r="G4157" s="18"/>
      <c r="H4157" s="18"/>
    </row>
    <row r="4158" spans="1:8" ht="13.2">
      <c r="A4158" s="19" t="str">
        <f>HYPERLINK("https://www.hackerrank.com/challenges/jim-and-the-challenge","HACKR jim-and-the-challenge")</f>
        <v>HACKR jim-and-the-challenge</v>
      </c>
      <c r="B4158" s="29" t="s">
        <v>4919</v>
      </c>
      <c r="C4158" s="17">
        <v>5</v>
      </c>
      <c r="D4158" s="18"/>
      <c r="E4158" s="17" t="s">
        <v>4893</v>
      </c>
      <c r="F4158" s="17"/>
      <c r="G4158" s="18"/>
      <c r="H4158" s="18"/>
    </row>
    <row r="4159" spans="1:8" ht="13.2">
      <c r="A4159" s="15" t="s">
        <v>4920</v>
      </c>
      <c r="B4159" s="30" t="s">
        <v>4921</v>
      </c>
      <c r="C4159" s="24">
        <v>5</v>
      </c>
      <c r="D4159" s="18"/>
      <c r="E4159" s="17" t="s">
        <v>4893</v>
      </c>
      <c r="F4159" s="17"/>
      <c r="G4159" s="18"/>
      <c r="H4159" s="18"/>
    </row>
    <row r="4160" spans="1:8" ht="13.2">
      <c r="A4160" s="15" t="s">
        <v>4948</v>
      </c>
      <c r="B4160" s="38" t="s">
        <v>4949</v>
      </c>
      <c r="C4160" s="17">
        <v>5</v>
      </c>
      <c r="D4160" s="18"/>
      <c r="E4160" s="17" t="s">
        <v>4950</v>
      </c>
      <c r="F4160" s="17"/>
      <c r="G4160" s="18"/>
      <c r="H4160" s="18"/>
    </row>
    <row r="4161" spans="1:8" ht="13.2">
      <c r="A4161" s="15" t="s">
        <v>4951</v>
      </c>
      <c r="B4161" s="38" t="s">
        <v>4952</v>
      </c>
      <c r="C4161" s="24">
        <v>5</v>
      </c>
      <c r="D4161" s="26" t="str">
        <f>HYPERLINK("https://github.com/sggutier/CompetitiveProgramming/blob/master/PKU/3191.cpp","Sol")</f>
        <v>Sol</v>
      </c>
      <c r="E4161" s="17" t="s">
        <v>4950</v>
      </c>
      <c r="F4161" s="17"/>
      <c r="G4161" s="18"/>
      <c r="H4161" s="18"/>
    </row>
    <row r="4162" spans="1:8" ht="13.2">
      <c r="A4162" s="19" t="str">
        <f>HYPERLINK("http://codeforces.com/contest/810/problem/C","CF810-D2-C")</f>
        <v>CF810-D2-C</v>
      </c>
      <c r="B4162" s="29" t="s">
        <v>4964</v>
      </c>
      <c r="C4162" s="17">
        <v>5</v>
      </c>
      <c r="D4162" s="18"/>
      <c r="E4162" s="17" t="s">
        <v>4958</v>
      </c>
      <c r="F4162" s="17"/>
      <c r="G4162" s="18"/>
      <c r="H4162" s="18"/>
    </row>
    <row r="4163" spans="1:8" ht="13.2">
      <c r="A4163" s="19" t="str">
        <f>HYPERLINK("https://www.hackerrank.com/contests/hourrank-25/challenges/maximum-palindromes","HACKR maximum-palindromes")</f>
        <v>HACKR maximum-palindromes</v>
      </c>
      <c r="B4163" s="15" t="s">
        <v>4964</v>
      </c>
      <c r="C4163" s="17">
        <v>5</v>
      </c>
      <c r="D4163" s="18"/>
      <c r="E4163" s="17" t="s">
        <v>4958</v>
      </c>
      <c r="F4163" s="17"/>
      <c r="G4163" s="18"/>
      <c r="H4163" s="18"/>
    </row>
    <row r="4164" spans="1:8" ht="13.2">
      <c r="A4164" s="15" t="s">
        <v>5014</v>
      </c>
      <c r="B4164" s="16" t="s">
        <v>5015</v>
      </c>
      <c r="C4164" s="17">
        <v>5</v>
      </c>
      <c r="D4164" s="18"/>
      <c r="E4164" s="17" t="s">
        <v>4958</v>
      </c>
      <c r="F4164" s="17"/>
      <c r="G4164" s="18"/>
      <c r="H4164" s="18"/>
    </row>
    <row r="4165" spans="1:8" ht="13.2">
      <c r="A4165" s="15" t="s">
        <v>5016</v>
      </c>
      <c r="B4165" s="34" t="s">
        <v>4983</v>
      </c>
      <c r="C4165" s="31">
        <v>5</v>
      </c>
      <c r="D4165" s="18"/>
      <c r="E4165" s="17" t="s">
        <v>4958</v>
      </c>
      <c r="F4165" s="17"/>
      <c r="G4165" s="18"/>
      <c r="H4165" s="18"/>
    </row>
    <row r="4166" spans="1:8" ht="13.2">
      <c r="A4166" s="19" t="str">
        <f>HYPERLINK("http://codeforces.com/contest/110/problem/E","CF110-D2-E")</f>
        <v>CF110-D2-E</v>
      </c>
      <c r="B4166" s="29" t="s">
        <v>4965</v>
      </c>
      <c r="C4166" s="17">
        <v>5</v>
      </c>
      <c r="D4166" s="18"/>
      <c r="E4166" s="17" t="s">
        <v>4958</v>
      </c>
      <c r="F4166" s="17"/>
      <c r="G4166" s="18"/>
      <c r="H4166" s="18"/>
    </row>
    <row r="4167" spans="1:8" ht="13.2">
      <c r="A4167" s="15" t="s">
        <v>5017</v>
      </c>
      <c r="B4167" s="28" t="s">
        <v>5018</v>
      </c>
      <c r="C4167" s="24">
        <v>5</v>
      </c>
      <c r="D4167" s="18"/>
      <c r="E4167" s="17" t="s">
        <v>4958</v>
      </c>
      <c r="F4167" s="17"/>
      <c r="G4167" s="18"/>
      <c r="H4167" s="18"/>
    </row>
    <row r="4168" spans="1:8" ht="13.2">
      <c r="A4168" s="15" t="s">
        <v>5019</v>
      </c>
      <c r="B4168" s="16" t="s">
        <v>5020</v>
      </c>
      <c r="C4168" s="17">
        <v>5</v>
      </c>
      <c r="D4168" s="26" t="str">
        <f>HYPERLINK("https://github.com/osamahatem/CompetitiveProgramming/blob/master/UVA/11525%20-%20Permutation.cpp","Sol")</f>
        <v>Sol</v>
      </c>
      <c r="E4168" s="17" t="s">
        <v>4958</v>
      </c>
      <c r="F4168" s="17"/>
      <c r="G4168" s="18"/>
      <c r="H4168" s="18"/>
    </row>
    <row r="4169" spans="1:8" ht="13.2">
      <c r="A4169" s="15" t="s">
        <v>5021</v>
      </c>
      <c r="B4169" s="48" t="s">
        <v>5022</v>
      </c>
      <c r="C4169" s="31">
        <v>5</v>
      </c>
      <c r="D4169" s="18"/>
      <c r="E4169" s="17" t="s">
        <v>4958</v>
      </c>
      <c r="F4169" s="17"/>
      <c r="G4169" s="18"/>
      <c r="H4169" s="18"/>
    </row>
    <row r="4170" spans="1:8" ht="13.2">
      <c r="A4170" s="15" t="s">
        <v>5023</v>
      </c>
      <c r="B4170" s="34" t="s">
        <v>5024</v>
      </c>
      <c r="C4170" s="17">
        <v>5</v>
      </c>
      <c r="D4170" s="18"/>
      <c r="E4170" s="17" t="s">
        <v>4958</v>
      </c>
      <c r="F4170" s="17"/>
      <c r="G4170" s="18"/>
      <c r="H4170" s="18"/>
    </row>
    <row r="4171" spans="1:8" ht="13.2">
      <c r="A4171" s="15" t="s">
        <v>5067</v>
      </c>
      <c r="B4171" s="28" t="s">
        <v>5068</v>
      </c>
      <c r="C4171" s="31">
        <v>5</v>
      </c>
      <c r="D4171" s="18" t="s">
        <v>5069</v>
      </c>
      <c r="E4171" s="17" t="s">
        <v>5043</v>
      </c>
      <c r="F4171" s="17"/>
      <c r="G4171" s="18"/>
      <c r="H4171" s="18"/>
    </row>
    <row r="4172" spans="1:8" ht="13.2">
      <c r="A4172" s="15" t="s">
        <v>5102</v>
      </c>
      <c r="B4172" s="29" t="s">
        <v>5103</v>
      </c>
      <c r="C4172" s="17">
        <v>5</v>
      </c>
      <c r="D4172" s="18"/>
      <c r="E4172" s="17" t="s">
        <v>5075</v>
      </c>
      <c r="F4172" s="17"/>
      <c r="G4172" s="18"/>
      <c r="H4172" s="18"/>
    </row>
    <row r="4173" spans="1:8" ht="13.2">
      <c r="A4173" s="19" t="str">
        <f>HYPERLINK("https://uva.onlinejudge.org/index.php?option=onlinejudge&amp;page=show_problem&amp;problem=2322","UVA 11347")</f>
        <v>UVA 11347</v>
      </c>
      <c r="B4173" s="29" t="s">
        <v>5104</v>
      </c>
      <c r="C4173" s="17">
        <v>5</v>
      </c>
      <c r="D4173" s="18"/>
      <c r="E4173" s="17" t="s">
        <v>5075</v>
      </c>
      <c r="F4173" s="17"/>
      <c r="G4173" s="18"/>
      <c r="H4173" s="18"/>
    </row>
    <row r="4174" spans="1:8" ht="13.2">
      <c r="A4174" s="15" t="s">
        <v>5105</v>
      </c>
      <c r="B4174" s="29" t="s">
        <v>5106</v>
      </c>
      <c r="C4174" s="17">
        <v>5</v>
      </c>
      <c r="D4174" s="26" t="str">
        <f>HYPERLINK("https://github.com/mostafa-saad/MyCompetitiveProgramming/blob/master/UVA/UVA_12154.txt","Sol")</f>
        <v>Sol</v>
      </c>
      <c r="E4174" s="17" t="s">
        <v>5075</v>
      </c>
      <c r="F4174" s="17"/>
      <c r="G4174" s="18"/>
      <c r="H4174" s="18"/>
    </row>
    <row r="4175" spans="1:8" ht="13.2">
      <c r="A4175" s="15" t="s">
        <v>5107</v>
      </c>
      <c r="B4175" s="30" t="s">
        <v>5108</v>
      </c>
      <c r="C4175" s="17">
        <v>5</v>
      </c>
      <c r="D4175" s="18"/>
      <c r="E4175" s="17" t="s">
        <v>5075</v>
      </c>
      <c r="F4175" s="17"/>
      <c r="G4175" s="18"/>
      <c r="H4175" s="18"/>
    </row>
    <row r="4176" spans="1:8" ht="13.2">
      <c r="A4176" s="19" t="str">
        <f>HYPERLINK("codeforces.com/gym/100753","CF100753-gym-F")</f>
        <v>CF100753-gym-F</v>
      </c>
      <c r="B4176" s="30" t="s">
        <v>5074</v>
      </c>
      <c r="C4176" s="17">
        <v>5</v>
      </c>
      <c r="D4176" s="26" t="str">
        <f>HYPERLINK("http://codeforces.com/blog/entry/22929","See")</f>
        <v>See</v>
      </c>
      <c r="E4176" s="17" t="s">
        <v>5075</v>
      </c>
      <c r="F4176" s="17"/>
      <c r="G4176" s="18"/>
      <c r="H4176" s="18"/>
    </row>
    <row r="4177" spans="1:8" ht="13.2">
      <c r="A4177" s="15" t="s">
        <v>5159</v>
      </c>
      <c r="B4177" s="30" t="s">
        <v>5160</v>
      </c>
      <c r="C4177" s="24">
        <v>5</v>
      </c>
      <c r="D4177" s="18"/>
      <c r="E4177" s="17" t="s">
        <v>5134</v>
      </c>
      <c r="F4177" s="17"/>
      <c r="G4177" s="18"/>
      <c r="H4177" s="18"/>
    </row>
    <row r="4178" spans="1:8" ht="13.2">
      <c r="A4178" s="15" t="s">
        <v>5205</v>
      </c>
      <c r="B4178" s="18" t="s">
        <v>5206</v>
      </c>
      <c r="C4178" s="17">
        <v>5</v>
      </c>
      <c r="D4178" s="18"/>
      <c r="E4178" s="17" t="s">
        <v>5168</v>
      </c>
      <c r="F4178" s="17"/>
      <c r="G4178" s="18"/>
      <c r="H4178" s="18"/>
    </row>
    <row r="4179" spans="1:8" ht="13.2">
      <c r="A4179" s="15" t="s">
        <v>5207</v>
      </c>
      <c r="B4179" s="28" t="s">
        <v>5208</v>
      </c>
      <c r="C4179" s="24">
        <v>5</v>
      </c>
      <c r="D4179" s="18"/>
      <c r="E4179" s="17" t="s">
        <v>5168</v>
      </c>
      <c r="F4179" s="17"/>
      <c r="G4179" s="18"/>
      <c r="H4179" s="18"/>
    </row>
    <row r="4180" spans="1:8" ht="13.2">
      <c r="A4180" s="15" t="s">
        <v>5209</v>
      </c>
      <c r="B4180" s="28" t="s">
        <v>5210</v>
      </c>
      <c r="C4180" s="24">
        <v>5</v>
      </c>
      <c r="D4180" s="26" t="str">
        <f>HYPERLINK("https://github.com/thackerhelik/UVA/blob/master/10859.cpp","Sol")</f>
        <v>Sol</v>
      </c>
      <c r="E4180" s="24" t="s">
        <v>5168</v>
      </c>
      <c r="F4180" s="17"/>
      <c r="G4180" s="18"/>
      <c r="H4180" s="18"/>
    </row>
    <row r="4181" spans="1:8" ht="13.2">
      <c r="A4181" s="19" t="str">
        <f>HYPERLINK("http://codeforces.com/contest/344/problem/E","CF344-D2-E")</f>
        <v>CF344-D2-E</v>
      </c>
      <c r="B4181" s="29" t="s">
        <v>814</v>
      </c>
      <c r="C4181" s="17">
        <v>5</v>
      </c>
      <c r="D4181" s="18"/>
      <c r="E4181" s="17" t="s">
        <v>805</v>
      </c>
      <c r="F4181" s="17"/>
      <c r="G4181" s="18"/>
      <c r="H4181" s="18"/>
    </row>
    <row r="4182" spans="1:8" ht="13.2">
      <c r="A4182" s="19" t="str">
        <f>HYPERLINK("http://codeforces.com/contest/616/problem/D","CF616-D2-D")</f>
        <v>CF616-D2-D</v>
      </c>
      <c r="B4182" s="15" t="s">
        <v>814</v>
      </c>
      <c r="C4182" s="17">
        <v>5</v>
      </c>
      <c r="D4182" s="18"/>
      <c r="E4182" s="17" t="s">
        <v>805</v>
      </c>
      <c r="F4182" s="17"/>
      <c r="G4182" s="18"/>
      <c r="H4182" s="18"/>
    </row>
    <row r="4183" spans="1:8" ht="13.2">
      <c r="A4183" s="15" t="s">
        <v>867</v>
      </c>
      <c r="B4183" s="30" t="s">
        <v>814</v>
      </c>
      <c r="C4183" s="24">
        <v>5</v>
      </c>
      <c r="D4183" s="18"/>
      <c r="E4183" s="17" t="s">
        <v>805</v>
      </c>
      <c r="F4183" s="17"/>
      <c r="G4183" s="18"/>
      <c r="H4183" s="18"/>
    </row>
    <row r="4184" spans="1:8" ht="13.2">
      <c r="A4184" s="15" t="s">
        <v>868</v>
      </c>
      <c r="B4184" s="29" t="s">
        <v>814</v>
      </c>
      <c r="C4184" s="17">
        <v>5</v>
      </c>
      <c r="D4184" s="26" t="str">
        <f>HYPERLINK("https://github.com/Ownography/CP/blob/master/UVA%2013177","Sol")</f>
        <v>Sol</v>
      </c>
      <c r="E4184" s="17" t="s">
        <v>805</v>
      </c>
      <c r="F4184" s="17"/>
      <c r="G4184" s="18"/>
      <c r="H4184" s="18"/>
    </row>
    <row r="4185" spans="1:8" ht="13.2">
      <c r="A4185" s="15" t="s">
        <v>869</v>
      </c>
      <c r="B4185" s="18" t="s">
        <v>870</v>
      </c>
      <c r="C4185" s="17">
        <v>5</v>
      </c>
      <c r="D4185" s="18"/>
      <c r="E4185" s="17" t="s">
        <v>805</v>
      </c>
      <c r="F4185" s="17"/>
      <c r="G4185" s="18"/>
      <c r="H4185" s="18"/>
    </row>
    <row r="4186" spans="1:8" ht="13.2">
      <c r="A4186" s="19" t="str">
        <f>HYPERLINK("http://codeforces.com/contest/725/problem/D","CF725-D12-D")</f>
        <v>CF725-D12-D</v>
      </c>
      <c r="B4186" s="18" t="s">
        <v>871</v>
      </c>
      <c r="C4186" s="40">
        <v>5</v>
      </c>
      <c r="D4186" s="18"/>
      <c r="E4186" s="17" t="s">
        <v>805</v>
      </c>
      <c r="F4186" s="17"/>
      <c r="G4186" s="18"/>
      <c r="H4186" s="18"/>
    </row>
    <row r="4187" spans="1:8" ht="13.2">
      <c r="A4187" s="19" t="str">
        <f>HYPERLINK("https://www.codechef.com/COOK96A/problems/CHGCDG","CODECHEF CHGCDG")</f>
        <v>CODECHEF CHGCDG</v>
      </c>
      <c r="B4187" s="23" t="s">
        <v>872</v>
      </c>
      <c r="C4187" s="17">
        <v>5</v>
      </c>
      <c r="D4187" s="18"/>
      <c r="E4187" s="17" t="s">
        <v>805</v>
      </c>
      <c r="F4187" s="17"/>
      <c r="G4187" s="18"/>
      <c r="H4187" s="18"/>
    </row>
    <row r="4188" spans="1:8" ht="13.2">
      <c r="A4188" s="19" t="str">
        <f>HYPERLINK("https://www.codechef.com/problems/BANDMATR","CODECHEF BANDMATR")</f>
        <v>CODECHEF BANDMATR</v>
      </c>
      <c r="B4188" s="18" t="s">
        <v>848</v>
      </c>
      <c r="C4188" s="17">
        <v>5</v>
      </c>
      <c r="D4188" s="18"/>
      <c r="E4188" s="17" t="s">
        <v>805</v>
      </c>
      <c r="F4188" s="17"/>
      <c r="G4188" s="18"/>
      <c r="H4188" s="18"/>
    </row>
    <row r="4189" spans="1:8" ht="13.2">
      <c r="A4189" s="15" t="s">
        <v>873</v>
      </c>
      <c r="B4189" s="16" t="s">
        <v>848</v>
      </c>
      <c r="C4189" s="17">
        <v>5</v>
      </c>
      <c r="D4189" s="18"/>
      <c r="E4189" s="17" t="s">
        <v>805</v>
      </c>
      <c r="F4189" s="17"/>
      <c r="G4189" s="18"/>
      <c r="H4189" s="18"/>
    </row>
    <row r="4190" spans="1:8" ht="13.2">
      <c r="A4190" s="15" t="s">
        <v>874</v>
      </c>
      <c r="B4190" s="41" t="s">
        <v>848</v>
      </c>
      <c r="C4190" s="17">
        <v>5</v>
      </c>
      <c r="D4190" s="18"/>
      <c r="E4190" s="17" t="s">
        <v>805</v>
      </c>
      <c r="F4190" s="17"/>
      <c r="G4190" s="18"/>
      <c r="H4190" s="18"/>
    </row>
    <row r="4191" spans="1:8" ht="13.2">
      <c r="A4191" s="15" t="s">
        <v>875</v>
      </c>
      <c r="B4191" s="20" t="s">
        <v>876</v>
      </c>
      <c r="C4191" s="17">
        <v>5</v>
      </c>
      <c r="D4191" s="26" t="str">
        <f>HYPERLINK("https://github.com/timpostuvan/CompetitiveProgramming/blob/master/CSAcademy/CSA79-C.cpp","SolToMe")</f>
        <v>SolToMe</v>
      </c>
      <c r="E4191" s="17" t="s">
        <v>805</v>
      </c>
      <c r="F4191" s="17"/>
      <c r="G4191" s="18"/>
      <c r="H4191" s="18"/>
    </row>
    <row r="4192" spans="1:8" ht="13.2">
      <c r="A4192" s="15" t="s">
        <v>877</v>
      </c>
      <c r="B4192" s="34" t="s">
        <v>818</v>
      </c>
      <c r="C4192" s="31">
        <v>5</v>
      </c>
      <c r="D4192" s="18"/>
      <c r="E4192" s="17" t="s">
        <v>805</v>
      </c>
      <c r="F4192" s="17"/>
      <c r="G4192" s="18"/>
      <c r="H4192" s="18"/>
    </row>
    <row r="4193" spans="1:8" ht="13.2">
      <c r="A4193" s="15" t="s">
        <v>878</v>
      </c>
      <c r="B4193" s="16" t="s">
        <v>818</v>
      </c>
      <c r="C4193" s="17">
        <v>5</v>
      </c>
      <c r="D4193" s="18"/>
      <c r="E4193" s="17" t="s">
        <v>805</v>
      </c>
      <c r="F4193" s="17"/>
      <c r="G4193" s="18"/>
      <c r="H4193" s="18"/>
    </row>
    <row r="4194" spans="1:8" ht="13.2">
      <c r="A4194" s="15" t="s">
        <v>879</v>
      </c>
      <c r="B4194" s="29" t="s">
        <v>880</v>
      </c>
      <c r="C4194" s="31">
        <v>5</v>
      </c>
      <c r="D4194" s="18"/>
      <c r="E4194" s="17" t="s">
        <v>805</v>
      </c>
      <c r="F4194" s="17"/>
      <c r="G4194" s="18"/>
      <c r="H4194" s="18"/>
    </row>
    <row r="4195" spans="1:8" ht="13.2">
      <c r="A4195" s="19" t="str">
        <f>HYPERLINK("http://codeforces.com/contest/913/problem/D","CF913-D12-D")</f>
        <v>CF913-D12-D</v>
      </c>
      <c r="B4195" s="20" t="s">
        <v>881</v>
      </c>
      <c r="C4195" s="17">
        <v>5</v>
      </c>
      <c r="D4195" s="18"/>
      <c r="E4195" s="17" t="s">
        <v>805</v>
      </c>
      <c r="F4195" s="17"/>
      <c r="G4195" s="18"/>
      <c r="H4195" s="18"/>
    </row>
    <row r="4196" spans="1:8" ht="13.2">
      <c r="A4196" s="15" t="s">
        <v>5339</v>
      </c>
      <c r="B4196" s="29" t="s">
        <v>5309</v>
      </c>
      <c r="C4196" s="33">
        <v>5</v>
      </c>
      <c r="D4196" s="18"/>
      <c r="E4196" s="17" t="s">
        <v>5310</v>
      </c>
      <c r="F4196" s="17"/>
      <c r="G4196" s="18"/>
      <c r="H4196" s="18"/>
    </row>
    <row r="4197" spans="1:8" ht="13.2">
      <c r="A4197" s="15" t="s">
        <v>5340</v>
      </c>
      <c r="B4197" s="30" t="s">
        <v>5341</v>
      </c>
      <c r="C4197" s="17">
        <v>5</v>
      </c>
      <c r="D4197" s="18"/>
      <c r="E4197" s="17" t="s">
        <v>5310</v>
      </c>
      <c r="F4197" s="17"/>
      <c r="G4197" s="18"/>
      <c r="H4197" s="18"/>
    </row>
    <row r="4198" spans="1:8" ht="13.2">
      <c r="A4198" s="15" t="s">
        <v>5342</v>
      </c>
      <c r="B4198" s="30" t="s">
        <v>5343</v>
      </c>
      <c r="C4198" s="24">
        <v>5</v>
      </c>
      <c r="D4198" s="18"/>
      <c r="E4198" s="17" t="s">
        <v>5310</v>
      </c>
      <c r="F4198" s="17"/>
      <c r="G4198" s="18"/>
      <c r="H4198" s="18"/>
    </row>
    <row r="4199" spans="1:8" ht="13.2">
      <c r="A4199" s="19" t="str">
        <f>HYPERLINK("http://codeforces.com/gym/100187/problem/B","CF100187-gym-B")</f>
        <v>CF100187-gym-B</v>
      </c>
      <c r="B4199" s="29" t="s">
        <v>5349</v>
      </c>
      <c r="C4199" s="17">
        <v>5</v>
      </c>
      <c r="D4199" s="18"/>
      <c r="E4199" s="17" t="s">
        <v>5346</v>
      </c>
      <c r="F4199" s="17"/>
      <c r="G4199" s="18"/>
      <c r="H4199" s="18"/>
    </row>
    <row r="4200" spans="1:8" ht="13.2">
      <c r="A4200" s="19" t="str">
        <f>HYPERLINK("http://codeforces.com/contest/453/problem/A","CF453-D1-A")</f>
        <v>CF453-D1-A</v>
      </c>
      <c r="B4200" s="15" t="s">
        <v>5349</v>
      </c>
      <c r="C4200" s="17">
        <v>5</v>
      </c>
      <c r="D4200" s="18"/>
      <c r="E4200" s="17" t="s">
        <v>5346</v>
      </c>
      <c r="F4200" s="17"/>
      <c r="G4200" s="18"/>
      <c r="H4200" s="18"/>
    </row>
    <row r="4201" spans="1:8" ht="13.2">
      <c r="A4201" s="19" t="str">
        <f>HYPERLINK("http://codeforces.com/contest/105/problem/B","CF105-D12-B")</f>
        <v>CF105-D12-B</v>
      </c>
      <c r="B4201" s="18" t="s">
        <v>5395</v>
      </c>
      <c r="C4201" s="17">
        <v>5</v>
      </c>
      <c r="D4201" s="18"/>
      <c r="E4201" s="17" t="s">
        <v>5346</v>
      </c>
      <c r="F4201" s="17"/>
      <c r="G4201" s="18"/>
      <c r="H4201" s="18"/>
    </row>
    <row r="4202" spans="1:8" ht="13.2">
      <c r="A4202" s="19" t="str">
        <f>HYPERLINK("http://codeforces.com/contest/626/problem/D","CF626-D12-D")</f>
        <v>CF626-D12-D</v>
      </c>
      <c r="B4202" s="29" t="s">
        <v>5375</v>
      </c>
      <c r="C4202" s="17">
        <v>5</v>
      </c>
      <c r="D4202" s="18"/>
      <c r="E4202" s="17" t="s">
        <v>5346</v>
      </c>
      <c r="F4202" s="17"/>
      <c r="G4202" s="18"/>
      <c r="H4202" s="18"/>
    </row>
    <row r="4203" spans="1:8" ht="13.2">
      <c r="A4203" s="15" t="s">
        <v>5457</v>
      </c>
      <c r="B4203" s="30" t="s">
        <v>5424</v>
      </c>
      <c r="C4203" s="24">
        <v>5</v>
      </c>
      <c r="D4203" s="18"/>
      <c r="E4203" s="17" t="s">
        <v>5414</v>
      </c>
      <c r="F4203" s="17"/>
      <c r="G4203" s="18"/>
      <c r="H4203" s="18"/>
    </row>
    <row r="4204" spans="1:8" ht="13.2">
      <c r="A4204" s="15" t="s">
        <v>5458</v>
      </c>
      <c r="B4204" s="18" t="s">
        <v>5459</v>
      </c>
      <c r="C4204" s="17">
        <v>5</v>
      </c>
      <c r="D4204" s="18"/>
      <c r="E4204" s="17" t="s">
        <v>5414</v>
      </c>
      <c r="F4204" s="17"/>
      <c r="G4204" s="18"/>
      <c r="H4204" s="18"/>
    </row>
    <row r="4205" spans="1:8" ht="13.2">
      <c r="A4205" s="15" t="s">
        <v>5504</v>
      </c>
      <c r="B4205" s="18" t="s">
        <v>5500</v>
      </c>
      <c r="C4205" s="24">
        <v>5</v>
      </c>
      <c r="D4205" s="26" t="str">
        <f>HYPERLINK("https://github.com/mostafa-saad/MyCompetitiveProgramming/blob/master/UVA/UVA_10090.txt/","Sol")</f>
        <v>Sol</v>
      </c>
      <c r="E4205" s="17" t="s">
        <v>5501</v>
      </c>
      <c r="F4205" s="17"/>
      <c r="G4205" s="18"/>
      <c r="H4205" s="18"/>
    </row>
    <row r="4206" spans="1:8" ht="13.2">
      <c r="A4206" s="15" t="s">
        <v>5505</v>
      </c>
      <c r="B4206" s="56" t="s">
        <v>5506</v>
      </c>
      <c r="C4206" s="57">
        <v>5</v>
      </c>
      <c r="D4206" s="18"/>
      <c r="E4206" s="59" t="s">
        <v>5501</v>
      </c>
      <c r="F4206" s="17"/>
      <c r="G4206" s="18"/>
      <c r="H4206" s="18"/>
    </row>
    <row r="4207" spans="1:8" ht="13.2">
      <c r="A4207" s="19" t="str">
        <f>HYPERLINK("http://codeforces.com/contest/327/problem/C","CF327-D2-C")</f>
        <v>CF327-D2-C</v>
      </c>
      <c r="B4207" s="29" t="s">
        <v>5540</v>
      </c>
      <c r="C4207" s="31">
        <v>5</v>
      </c>
      <c r="D4207" s="18"/>
      <c r="E4207" s="17" t="s">
        <v>5524</v>
      </c>
      <c r="F4207" s="17"/>
      <c r="G4207" s="18"/>
      <c r="H4207" s="18"/>
    </row>
    <row r="4208" spans="1:8" ht="13.2">
      <c r="A4208" s="19" t="str">
        <f>HYPERLINK("http://codeforces.com/contest/300/problem/C","CF300-D2-C")</f>
        <v>CF300-D2-C</v>
      </c>
      <c r="B4208" s="29" t="s">
        <v>5565</v>
      </c>
      <c r="C4208" s="17">
        <v>5</v>
      </c>
      <c r="D4208" s="18"/>
      <c r="E4208" s="17" t="s">
        <v>5524</v>
      </c>
      <c r="F4208" s="17"/>
      <c r="G4208" s="18"/>
      <c r="H4208" s="18"/>
    </row>
    <row r="4209" spans="1:8" ht="13.2">
      <c r="A4209" s="19" t="str">
        <f>HYPERLINK("https://www.hackerrank.com/challenges/choose-and-calculate","HACKR choose-and-calculate")</f>
        <v>HACKR choose-and-calculate</v>
      </c>
      <c r="B4209" s="29" t="s">
        <v>5566</v>
      </c>
      <c r="C4209" s="17">
        <v>5</v>
      </c>
      <c r="D4209" s="18"/>
      <c r="E4209" s="17" t="s">
        <v>5524</v>
      </c>
      <c r="F4209" s="17"/>
      <c r="G4209" s="18"/>
      <c r="H4209" s="18"/>
    </row>
    <row r="4210" spans="1:8" ht="13.2">
      <c r="A4210" s="15" t="s">
        <v>5567</v>
      </c>
      <c r="B4210" s="30" t="s">
        <v>5568</v>
      </c>
      <c r="C4210" s="24">
        <v>5</v>
      </c>
      <c r="D4210" s="26" t="str">
        <f>HYPERLINK("https://github.com/Andres-Unt/problem_solving/blob/master/TopCoder/SRM467-D1-500.cpp","Sol")</f>
        <v>Sol</v>
      </c>
      <c r="E4210" s="17" t="s">
        <v>5524</v>
      </c>
      <c r="F4210" s="17"/>
      <c r="G4210" s="18"/>
      <c r="H4210" s="18"/>
    </row>
    <row r="4211" spans="1:8" ht="13.2">
      <c r="A4211" s="15" t="s">
        <v>5569</v>
      </c>
      <c r="B4211" s="28" t="s">
        <v>5570</v>
      </c>
      <c r="C4211" s="17">
        <v>5</v>
      </c>
      <c r="D4211" s="18"/>
      <c r="E4211" s="17" t="s">
        <v>5524</v>
      </c>
      <c r="F4211" s="17"/>
      <c r="G4211" s="18"/>
      <c r="H4211" s="18"/>
    </row>
    <row r="4212" spans="1:8" ht="13.2">
      <c r="A4212" s="15" t="s">
        <v>5605</v>
      </c>
      <c r="B4212" s="15" t="s">
        <v>5596</v>
      </c>
      <c r="C4212" s="17">
        <v>5</v>
      </c>
      <c r="D4212" s="26" t="str">
        <f>HYPERLINK("https://www.quora.com/What-is-the-algorithm-behind-the-LCM-Sum-problem-on-SPOJ","Sol")</f>
        <v>Sol</v>
      </c>
      <c r="E4212" s="17" t="s">
        <v>5575</v>
      </c>
      <c r="F4212" s="17"/>
      <c r="G4212" s="18"/>
      <c r="H4212" s="18"/>
    </row>
    <row r="4213" spans="1:8" ht="13.2">
      <c r="A4213" s="15" t="s">
        <v>5606</v>
      </c>
      <c r="B4213" s="43" t="s">
        <v>5596</v>
      </c>
      <c r="C4213" s="24">
        <v>5</v>
      </c>
      <c r="D4213" s="18"/>
      <c r="E4213" s="17" t="s">
        <v>5575</v>
      </c>
      <c r="F4213" s="17"/>
      <c r="G4213" s="18"/>
      <c r="H4213" s="18"/>
    </row>
    <row r="4214" spans="1:8" ht="13.2">
      <c r="A4214" s="19" t="str">
        <f>HYPERLINK("http://codeforces.com/contest/1009/problem/D","CF1009-D2-D")</f>
        <v>CF1009-D2-D</v>
      </c>
      <c r="B4214" s="20" t="s">
        <v>5607</v>
      </c>
      <c r="C4214" s="21">
        <v>5</v>
      </c>
      <c r="D4214" s="18"/>
      <c r="E4214" s="17" t="s">
        <v>5575</v>
      </c>
      <c r="F4214" s="17"/>
      <c r="G4214" s="18"/>
      <c r="H4214" s="18"/>
    </row>
    <row r="4215" spans="1:8" ht="13.2">
      <c r="A4215" s="15" t="s">
        <v>5608</v>
      </c>
      <c r="B4215" s="28" t="s">
        <v>5609</v>
      </c>
      <c r="C4215" s="24">
        <v>5</v>
      </c>
      <c r="D4215" s="26" t="str">
        <f>HYPERLINK("https://github.com/sggutier/CompetitiveProgramming/blob/master/UVa/11424.cpp","Sol")</f>
        <v>Sol</v>
      </c>
      <c r="E4215" s="17" t="s">
        <v>5575</v>
      </c>
      <c r="F4215" s="17"/>
      <c r="G4215" s="18"/>
      <c r="H4215" s="18"/>
    </row>
    <row r="4216" spans="1:8" ht="13.2">
      <c r="A4216" s="19" t="str">
        <f>HYPERLINK("https://www.codechef.com/problems/EXGCD","CODECHEF EXGCD")</f>
        <v>CODECHEF EXGCD</v>
      </c>
      <c r="B4216" s="15" t="s">
        <v>5620</v>
      </c>
      <c r="C4216" s="17">
        <v>5</v>
      </c>
      <c r="D4216" s="18"/>
      <c r="E4216" s="17" t="s">
        <v>5616</v>
      </c>
      <c r="F4216" s="17"/>
      <c r="G4216" s="18"/>
      <c r="H4216" s="18"/>
    </row>
    <row r="4217" spans="1:8" ht="13.2">
      <c r="A4217" s="19" t="str">
        <f>HYPERLINK("http://codeforces.com/contest/189/problem/C","CF189-D2-C")</f>
        <v>CF189-D2-C</v>
      </c>
      <c r="B4217" s="29" t="s">
        <v>124</v>
      </c>
      <c r="C4217" s="17">
        <v>4.5</v>
      </c>
      <c r="D4217" s="26" t="str">
        <f>HYPERLINK("https://github.com/MedoN11/CompetitiveProgramming/blob/master/CodeForces/CF189-D1-C.cpp","Sol")</f>
        <v>Sol</v>
      </c>
      <c r="E4217" s="17" t="s">
        <v>125</v>
      </c>
      <c r="F4217" s="17" t="s">
        <v>255</v>
      </c>
      <c r="G4217" s="18"/>
      <c r="H4217" s="18"/>
    </row>
    <row r="4218" spans="1:8" ht="13.2">
      <c r="A4218" s="15" t="s">
        <v>431</v>
      </c>
      <c r="B4218" s="34" t="s">
        <v>389</v>
      </c>
      <c r="C4218" s="33">
        <v>4.5</v>
      </c>
      <c r="D4218" s="18"/>
      <c r="E4218" s="17" t="s">
        <v>332</v>
      </c>
      <c r="F4218" s="17" t="s">
        <v>255</v>
      </c>
      <c r="G4218" s="18"/>
      <c r="H4218" s="18"/>
    </row>
    <row r="4219" spans="1:8" ht="13.2">
      <c r="A4219" s="15" t="s">
        <v>2106</v>
      </c>
      <c r="B4219" s="29" t="s">
        <v>2073</v>
      </c>
      <c r="C4219" s="24">
        <v>4.5</v>
      </c>
      <c r="D4219" s="18"/>
      <c r="E4219" s="17" t="s">
        <v>2074</v>
      </c>
      <c r="F4219" s="17" t="s">
        <v>255</v>
      </c>
      <c r="G4219" s="18"/>
      <c r="H4219" s="18"/>
    </row>
    <row r="4220" spans="1:8" ht="13.2">
      <c r="A4220" s="15" t="s">
        <v>2145</v>
      </c>
      <c r="B4220" s="29" t="s">
        <v>2112</v>
      </c>
      <c r="C4220" s="24">
        <v>4.5</v>
      </c>
      <c r="D4220" s="18"/>
      <c r="E4220" s="24" t="s">
        <v>2113</v>
      </c>
      <c r="F4220" s="17" t="s">
        <v>255</v>
      </c>
      <c r="G4220" s="18"/>
      <c r="H4220" s="18"/>
    </row>
    <row r="4221" spans="1:8" ht="13.2">
      <c r="A4221" s="15" t="s">
        <v>5109</v>
      </c>
      <c r="B4221" s="18" t="s">
        <v>5110</v>
      </c>
      <c r="C4221" s="17">
        <v>4.5</v>
      </c>
      <c r="D4221" s="26" t="str">
        <f>HYPERLINK("https://github.com/MohamedNabil97/CompetitiveProgramming/blob/master/Timus/1854.cpp","Sol")</f>
        <v>Sol</v>
      </c>
      <c r="E4221" s="17" t="s">
        <v>5075</v>
      </c>
      <c r="F4221" s="17" t="s">
        <v>255</v>
      </c>
      <c r="G4221" s="18"/>
      <c r="H4221" s="18"/>
    </row>
    <row r="4222" spans="1:8" ht="13.2">
      <c r="A4222" s="15" t="s">
        <v>5522</v>
      </c>
      <c r="B4222" s="29" t="s">
        <v>5515</v>
      </c>
      <c r="C4222" s="24">
        <v>4.5</v>
      </c>
      <c r="D4222" s="18"/>
      <c r="E4222" s="17" t="s">
        <v>5512</v>
      </c>
      <c r="F4222" s="17" t="s">
        <v>255</v>
      </c>
      <c r="G4222" s="18"/>
      <c r="H4222" s="18"/>
    </row>
    <row r="4223" spans="1:8" ht="13.2">
      <c r="A4223" s="19" t="str">
        <f>HYPERLINK("http://agc019.contest.atcoder.jp/tasks/agc019_b","AtCoder019-AGC-B")</f>
        <v>AtCoder019-AGC-B</v>
      </c>
      <c r="B4223" s="15" t="s">
        <v>124</v>
      </c>
      <c r="C4223" s="24">
        <v>4.5</v>
      </c>
      <c r="D4223" s="26" t="str">
        <f>HYPERLINK("https://github.com/MedoN11/CompetitiveProgramming/blob/master/Atcoder/ATCODER-AGC-019-B.cpp","Sol")</f>
        <v>Sol</v>
      </c>
      <c r="E4223" s="17" t="s">
        <v>125</v>
      </c>
      <c r="F4223" s="17" t="s">
        <v>229</v>
      </c>
      <c r="G4223" s="18"/>
      <c r="H4223" s="18"/>
    </row>
    <row r="4224" spans="1:8" ht="13.2">
      <c r="A4224" s="15" t="s">
        <v>256</v>
      </c>
      <c r="B4224" s="15" t="s">
        <v>257</v>
      </c>
      <c r="C4224" s="24">
        <v>4.5</v>
      </c>
      <c r="D4224" s="26" t="str">
        <f>HYPERLINK("https://github.com/OmarKharouba/CompetitiveProgramming/blob/master/Timus/Timus_1689.java?fref=gc&amp;dti=160725894286891","Sol")</f>
        <v>Sol</v>
      </c>
      <c r="E4224" s="17" t="s">
        <v>125</v>
      </c>
      <c r="F4224" s="17" t="s">
        <v>229</v>
      </c>
      <c r="G4224" s="18"/>
      <c r="H4224" s="18"/>
    </row>
    <row r="4225" spans="1:8" ht="13.2">
      <c r="A4225" s="15" t="s">
        <v>1203</v>
      </c>
      <c r="B4225" s="18" t="s">
        <v>1204</v>
      </c>
      <c r="C4225" s="17">
        <v>4.5</v>
      </c>
      <c r="D4225" s="26" t="str">
        <f>HYPERLINK("https://github.com/aabdelzaher/Competitive-Programming/blob/master/PKU/PKU1823.java","Sol")</f>
        <v>Sol</v>
      </c>
      <c r="E4225" s="17" t="s">
        <v>1018</v>
      </c>
      <c r="F4225" s="17" t="s">
        <v>229</v>
      </c>
      <c r="G4225" s="18"/>
      <c r="H4225" s="18"/>
    </row>
    <row r="4226" spans="1:8" ht="13.2">
      <c r="A4226" s="19" t="str">
        <f>HYPERLINK("http://codeforces.com/contest/557/problem/C","CF557-D2-C")</f>
        <v>CF557-D2-C</v>
      </c>
      <c r="B4226" s="29" t="s">
        <v>360</v>
      </c>
      <c r="C4226" s="17">
        <v>4.5</v>
      </c>
      <c r="D4226" s="18"/>
      <c r="E4226" s="17" t="s">
        <v>332</v>
      </c>
      <c r="F4226" s="17" t="s">
        <v>229</v>
      </c>
      <c r="G4226" s="18"/>
      <c r="H4226" s="18"/>
    </row>
    <row r="4227" spans="1:8" ht="13.2">
      <c r="A4227" s="15" t="s">
        <v>432</v>
      </c>
      <c r="B4227" s="35" t="s">
        <v>433</v>
      </c>
      <c r="C4227" s="24">
        <v>4.5</v>
      </c>
      <c r="D4227" s="18"/>
      <c r="E4227" s="17" t="s">
        <v>332</v>
      </c>
      <c r="F4227" s="17" t="s">
        <v>229</v>
      </c>
      <c r="G4227" s="18"/>
      <c r="H4227" s="18"/>
    </row>
    <row r="4228" spans="1:8" ht="13.2">
      <c r="A4228" s="15" t="s">
        <v>3023</v>
      </c>
      <c r="B4228" s="30" t="s">
        <v>2956</v>
      </c>
      <c r="C4228" s="24">
        <v>4.5</v>
      </c>
      <c r="D4228" s="26" t="str">
        <f>HYPERLINK("https://github.com/MeGaCrazy/CompetitiveProgramming/blob/aa9f393f5c9392dcb701cf469f207ad28cca29bf/UVA/UVA_10585.cpp","Sl")</f>
        <v>Sl</v>
      </c>
      <c r="E4228" s="17" t="s">
        <v>2948</v>
      </c>
      <c r="F4228" s="17" t="s">
        <v>229</v>
      </c>
      <c r="G4228" s="18"/>
      <c r="H4228" s="18"/>
    </row>
    <row r="4229" spans="1:8" ht="13.2">
      <c r="A4229" s="15" t="s">
        <v>3136</v>
      </c>
      <c r="B4229" s="28" t="s">
        <v>3137</v>
      </c>
      <c r="C4229" s="24">
        <v>4.5</v>
      </c>
      <c r="D4229" s="26" t="str">
        <f>HYPERLINK("https://github.com/MeGaCrazy/CompetitiveProgramming/blob/8b73df41b564d85111013c8906f695b8420cd7d5/UVA/UVA_1641.cpp","Sol")</f>
        <v>Sol</v>
      </c>
      <c r="E4229" s="17" t="s">
        <v>3130</v>
      </c>
      <c r="F4229" s="17" t="s">
        <v>229</v>
      </c>
      <c r="G4229" s="18"/>
      <c r="H4229" s="18"/>
    </row>
    <row r="4230" spans="1:8" ht="13.2">
      <c r="A4230" s="19" t="str">
        <f>HYPERLINK("http://codeforces.com/contest/242/problem/C","CF242-D2-C")</f>
        <v>CF242-D2-C</v>
      </c>
      <c r="B4230" s="29" t="s">
        <v>3466</v>
      </c>
      <c r="C4230" s="17">
        <v>4.5</v>
      </c>
      <c r="D4230" s="18"/>
      <c r="E4230" s="17" t="s">
        <v>3467</v>
      </c>
      <c r="F4230" s="17" t="s">
        <v>229</v>
      </c>
      <c r="G4230" s="18"/>
      <c r="H4230" s="18"/>
    </row>
    <row r="4231" spans="1:8" ht="13.2">
      <c r="A4231" s="19" t="str">
        <f>HYPERLINK("http://www.spoj.com/problems/MELE3/","SPOJ MELE3")</f>
        <v>SPOJ MELE3</v>
      </c>
      <c r="B4231" s="29" t="s">
        <v>3791</v>
      </c>
      <c r="C4231" s="17">
        <v>4.5</v>
      </c>
      <c r="D4231" s="26" t="str">
        <f>HYPERLINK("https://github.com/VAMPIER000001/CompetitiveProgramming/blob/a5d714fa4de45e50f87306d421ec6c3c02026f76/Spoj/SPOJ%20MELE3.Cpp","Sol")</f>
        <v>Sol</v>
      </c>
      <c r="E4231" s="17" t="s">
        <v>3784</v>
      </c>
      <c r="F4231" s="17" t="s">
        <v>229</v>
      </c>
      <c r="G4231" s="18"/>
      <c r="H4231" s="18"/>
    </row>
    <row r="4232" spans="1:8" ht="13.2">
      <c r="A4232" s="19" t="str">
        <f>HYPERLINK("http://codeforces.com/contest/501/problem/C","CF501-D2-C")</f>
        <v>CF501-D2-C</v>
      </c>
      <c r="B4232" s="29" t="s">
        <v>6230</v>
      </c>
      <c r="C4232" s="24">
        <v>4.5</v>
      </c>
      <c r="D4232" s="18"/>
      <c r="E4232" s="17" t="s">
        <v>6205</v>
      </c>
      <c r="F4232" s="17" t="s">
        <v>306</v>
      </c>
      <c r="G4232" s="18"/>
      <c r="H4232" s="18"/>
    </row>
    <row r="4233" spans="1:8" ht="13.2">
      <c r="A4233" s="15" t="s">
        <v>637</v>
      </c>
      <c r="B4233" s="34" t="s">
        <v>638</v>
      </c>
      <c r="C4233" s="24">
        <v>4.5</v>
      </c>
      <c r="D4233" s="18"/>
      <c r="E4233" s="17" t="s">
        <v>575</v>
      </c>
      <c r="F4233" s="17" t="s">
        <v>306</v>
      </c>
      <c r="G4233" s="18"/>
      <c r="H4233" s="18"/>
    </row>
    <row r="4234" spans="1:8" ht="13.2">
      <c r="A4234" s="15" t="s">
        <v>5909</v>
      </c>
      <c r="B4234" s="15" t="s">
        <v>5910</v>
      </c>
      <c r="C4234" s="17">
        <v>4.5</v>
      </c>
      <c r="D4234" s="18"/>
      <c r="E4234" s="17" t="s">
        <v>5874</v>
      </c>
      <c r="F4234" s="17" t="s">
        <v>154</v>
      </c>
      <c r="G4234" s="18"/>
      <c r="H4234" s="18"/>
    </row>
    <row r="4235" spans="1:8" ht="13.2">
      <c r="A4235" s="19" t="str">
        <f>HYPERLINK("https://icpcarchive.ecs.baylor.edu/index.php?option=com_onlinejudge&amp;Itemid=8&amp;page=show_problem&amp;problem=936","LIVEARCHIVE 2935")</f>
        <v>LIVEARCHIVE 2935</v>
      </c>
      <c r="B4235" s="29" t="s">
        <v>6200</v>
      </c>
      <c r="C4235" s="17">
        <v>4.5</v>
      </c>
      <c r="D4235" s="26" t="str">
        <f>HYPERLINK("https://github.com/mostafa-saad/MyCompetitiveProgramming/blob/master/LiveArchive/LiveArchive_2935.txt","Sol")</f>
        <v>Sol</v>
      </c>
      <c r="E4235" s="17" t="s">
        <v>6194</v>
      </c>
      <c r="F4235" s="17" t="s">
        <v>154</v>
      </c>
      <c r="G4235" s="18"/>
      <c r="H4235" s="18"/>
    </row>
    <row r="4236" spans="1:8" ht="13.2">
      <c r="A4236" s="19" t="str">
        <f>HYPERLINK("http://www.spoj.com/problems/HISTOGRA/","SPOJ HISTOGRA")</f>
        <v>SPOJ HISTOGRA</v>
      </c>
      <c r="B4236" s="29" t="s">
        <v>1012</v>
      </c>
      <c r="C4236" s="17">
        <v>4.5</v>
      </c>
      <c r="D4236" s="26" t="str">
        <f>HYPERLINK("https://github.com/mostafa-saad/MyCompetitiveProgramming/blob/master/SPOJ/SPOJ_HISTOGRA.txt","Sol. Don't implement as ad-hoc/greedy/Pure STL. Use a data structure.")</f>
        <v>Sol. Don't implement as ad-hoc/greedy/Pure STL. Use a data structure.</v>
      </c>
      <c r="E4236" s="17" t="s">
        <v>997</v>
      </c>
      <c r="F4236" s="17" t="s">
        <v>154</v>
      </c>
      <c r="G4236" s="18"/>
      <c r="H4236" s="18"/>
    </row>
    <row r="4237" spans="1:8" ht="13.2">
      <c r="A4237" s="15" t="s">
        <v>1616</v>
      </c>
      <c r="B4237" s="15" t="s">
        <v>1348</v>
      </c>
      <c r="C4237" s="17">
        <v>4.5</v>
      </c>
      <c r="D4237" s="18"/>
      <c r="E4237" s="17" t="s">
        <v>1337</v>
      </c>
      <c r="F4237" s="17" t="s">
        <v>154</v>
      </c>
      <c r="G4237" s="18"/>
      <c r="H4237" s="18"/>
    </row>
    <row r="4238" spans="1:8" ht="13.2">
      <c r="A4238" s="15" t="s">
        <v>2423</v>
      </c>
      <c r="B4238" s="15" t="s">
        <v>2419</v>
      </c>
      <c r="C4238" s="17">
        <v>4.5</v>
      </c>
      <c r="D4238" s="18"/>
      <c r="E4238" s="17" t="s">
        <v>2394</v>
      </c>
      <c r="F4238" s="17" t="s">
        <v>154</v>
      </c>
      <c r="G4238" s="18"/>
      <c r="H4238" s="18"/>
    </row>
    <row r="4239" spans="1:8" ht="13.2">
      <c r="A4239" s="15" t="s">
        <v>2711</v>
      </c>
      <c r="B4239" s="15" t="s">
        <v>2509</v>
      </c>
      <c r="C4239" s="17">
        <v>4.5</v>
      </c>
      <c r="D4239" s="18"/>
      <c r="E4239" s="17" t="s">
        <v>2510</v>
      </c>
      <c r="F4239" s="17" t="s">
        <v>154</v>
      </c>
      <c r="G4239" s="18"/>
      <c r="H4239" s="18"/>
    </row>
    <row r="4240" spans="1:8" ht="13.2">
      <c r="A4240" s="19" t="str">
        <f>HYPERLINK("https://uva.onlinejudge.org/index.php?option=com_onlinejudge&amp;Itemid=8&amp;page=show_problem&amp;problem=475","UVA 534")</f>
        <v>UVA 534</v>
      </c>
      <c r="B4240" s="29" t="s">
        <v>4029</v>
      </c>
      <c r="C4240" s="17">
        <v>4.5</v>
      </c>
      <c r="D4240" s="26" t="str">
        <f>HYPERLINK("https://github.com/ilyesG/Competitive-Programming/blob/master/UVA/UVA%20534.cpp","Sol")</f>
        <v>Sol</v>
      </c>
      <c r="E4240" s="17" t="s">
        <v>3998</v>
      </c>
      <c r="F4240" s="17" t="s">
        <v>154</v>
      </c>
      <c r="G4240" s="18"/>
      <c r="H4240" s="18"/>
    </row>
    <row r="4241" spans="1:8" ht="13.2">
      <c r="A4241" s="15" t="s">
        <v>4132</v>
      </c>
      <c r="B4241" s="30" t="s">
        <v>4059</v>
      </c>
      <c r="C4241" s="31">
        <v>4.5</v>
      </c>
      <c r="D4241" s="18"/>
      <c r="E4241" s="17" t="s">
        <v>4060</v>
      </c>
      <c r="F4241" s="17" t="s">
        <v>154</v>
      </c>
      <c r="G4241" s="18"/>
      <c r="H4241" s="18"/>
    </row>
    <row r="4242" spans="1:8" ht="13.2">
      <c r="A4242" s="15" t="s">
        <v>4696</v>
      </c>
      <c r="B4242" s="15" t="s">
        <v>4697</v>
      </c>
      <c r="C4242" s="17">
        <v>4.5</v>
      </c>
      <c r="D4242" s="18"/>
      <c r="E4242" s="17" t="s">
        <v>4531</v>
      </c>
      <c r="F4242" s="17" t="s">
        <v>154</v>
      </c>
      <c r="G4242" s="18"/>
      <c r="H4242" s="18"/>
    </row>
    <row r="4243" spans="1:8" ht="13.2">
      <c r="A4243" s="19" t="str">
        <f>HYPERLINK("https://codeforces.com/contest/1186/problem/C","CF1186-D2-C")</f>
        <v>CF1186-D2-C</v>
      </c>
      <c r="B4243" s="15" t="s">
        <v>4698</v>
      </c>
      <c r="C4243" s="17">
        <v>4.5</v>
      </c>
      <c r="D4243" s="18"/>
      <c r="E4243" s="17" t="s">
        <v>4531</v>
      </c>
      <c r="F4243" s="17" t="s">
        <v>154</v>
      </c>
      <c r="G4243" s="18"/>
      <c r="H4243" s="18"/>
    </row>
    <row r="4244" spans="1:8" ht="13.2">
      <c r="A4244" s="19" t="str">
        <f>HYPERLINK("https://codeforces.com/contest/1138/problem/C","CF1138-D2-C")</f>
        <v>CF1138-D2-C</v>
      </c>
      <c r="B4244" s="20" t="s">
        <v>865</v>
      </c>
      <c r="C4244" s="17">
        <v>4.5</v>
      </c>
      <c r="D4244" s="18"/>
      <c r="E4244" s="17" t="s">
        <v>805</v>
      </c>
      <c r="F4244" s="17" t="s">
        <v>154</v>
      </c>
      <c r="G4244" s="18"/>
      <c r="H4244" s="18"/>
    </row>
    <row r="4245" spans="1:8" ht="13.2">
      <c r="A4245" s="15" t="s">
        <v>3201</v>
      </c>
      <c r="B4245" s="28" t="s">
        <v>3202</v>
      </c>
      <c r="C4245" s="33">
        <v>4.5</v>
      </c>
      <c r="D4245" s="26" t="str">
        <f>HYPERLINK("https://github.com/mostafa-saad/MyCompetitiveProgramming/blob/master/PKU/PKU_1177.txt","Sol")</f>
        <v>Sol</v>
      </c>
      <c r="E4245" s="17" t="s">
        <v>3140</v>
      </c>
      <c r="F4245" s="17" t="s">
        <v>1164</v>
      </c>
      <c r="G4245" s="18"/>
      <c r="H4245" s="18"/>
    </row>
    <row r="4246" spans="1:8" ht="13.2">
      <c r="A4246" s="19" t="str">
        <f>HYPERLINK("https://atcoder.jp/contests/agc006/tasks/agc006_b","Atcoder006-AGC-B")</f>
        <v>Atcoder006-AGC-B</v>
      </c>
      <c r="B4246" s="20" t="s">
        <v>124</v>
      </c>
      <c r="C4246" s="21">
        <v>4.5</v>
      </c>
      <c r="D4246" s="18"/>
      <c r="E4246" s="17" t="s">
        <v>125</v>
      </c>
      <c r="F4246" s="17" t="s">
        <v>139</v>
      </c>
      <c r="G4246" s="18"/>
      <c r="H4246" s="18"/>
    </row>
    <row r="4247" spans="1:8" ht="13.2">
      <c r="A4247" s="19" t="str">
        <f>HYPERLINK("https://www.codechef.com/JUNE19A/problems/LENTMO","Codechef LENTMO")</f>
        <v>Codechef LENTMO</v>
      </c>
      <c r="B4247" s="20" t="s">
        <v>258</v>
      </c>
      <c r="C4247" s="21">
        <v>4.5</v>
      </c>
      <c r="D4247" s="18"/>
      <c r="E4247" s="17" t="s">
        <v>125</v>
      </c>
      <c r="F4247" s="17" t="s">
        <v>139</v>
      </c>
      <c r="G4247" s="18"/>
      <c r="H4247" s="18"/>
    </row>
    <row r="4248" spans="1:8" ht="13.2">
      <c r="A4248" s="15" t="s">
        <v>259</v>
      </c>
      <c r="B4248" s="15" t="s">
        <v>260</v>
      </c>
      <c r="C4248" s="17">
        <v>4.5</v>
      </c>
      <c r="D4248" s="26" t="str">
        <f>HYPERLINK("https://github.com/ahmedsamir221/CompetitiveProgramming/blob/master/SPOJ/SPOJ%20KOMPICI.cpp","Sol")</f>
        <v>Sol</v>
      </c>
      <c r="E4248" s="17" t="s">
        <v>125</v>
      </c>
      <c r="F4248" s="17" t="s">
        <v>139</v>
      </c>
      <c r="G4248" s="18"/>
      <c r="H4248" s="18"/>
    </row>
    <row r="4249" spans="1:8" ht="13.2">
      <c r="A4249" s="19" t="str">
        <f>HYPERLINK("https://codeforces.com/contest/1148/problem/C","CF1148-D12-C")</f>
        <v>CF1148-D12-C</v>
      </c>
      <c r="B4249" s="20" t="s">
        <v>213</v>
      </c>
      <c r="C4249" s="17">
        <v>4.5</v>
      </c>
      <c r="D4249" s="18"/>
      <c r="E4249" s="17" t="s">
        <v>125</v>
      </c>
      <c r="F4249" s="17" t="s">
        <v>139</v>
      </c>
      <c r="G4249" s="18"/>
      <c r="H4249" s="18"/>
    </row>
    <row r="4250" spans="1:8" ht="13.2">
      <c r="A4250" s="19" t="str">
        <f>HYPERLINK("http://codeforces.com/contest/37/problem/C","CF37-D12-C")</f>
        <v>CF37-D12-C</v>
      </c>
      <c r="B4250" s="15" t="s">
        <v>5642</v>
      </c>
      <c r="C4250" s="17">
        <v>4.5</v>
      </c>
      <c r="D4250" s="18"/>
      <c r="E4250" s="17" t="s">
        <v>5643</v>
      </c>
      <c r="F4250" s="17" t="s">
        <v>139</v>
      </c>
      <c r="G4250" s="18"/>
      <c r="H4250" s="18"/>
    </row>
    <row r="4251" spans="1:8" ht="13.2">
      <c r="A4251" s="19" t="str">
        <f>HYPERLINK("https://uva.onlinejudge.org/index.php?option=com_onlinejudge&amp;Itemid=8&amp;page=show_problem&amp;problem=3971","UVA 12526")</f>
        <v>UVA 12526</v>
      </c>
      <c r="B4251" s="29" t="s">
        <v>5642</v>
      </c>
      <c r="C4251" s="17">
        <v>4.5</v>
      </c>
      <c r="D4251" s="18"/>
      <c r="E4251" s="17" t="s">
        <v>5643</v>
      </c>
      <c r="F4251" s="17" t="s">
        <v>139</v>
      </c>
      <c r="G4251" s="18"/>
      <c r="H4251" s="18"/>
    </row>
    <row r="4252" spans="1:8" ht="13.2">
      <c r="A4252" s="19" t="str">
        <f>HYPERLINK("https://uva.onlinejudge.org/index.php?option=com_onlinejudge&amp;Itemid=8&amp;page=show_problem&amp;problem=4331","UVA 1556")</f>
        <v>UVA 1556</v>
      </c>
      <c r="B4252" s="29" t="s">
        <v>5693</v>
      </c>
      <c r="C4252" s="17">
        <v>4.5</v>
      </c>
      <c r="D4252" s="18"/>
      <c r="E4252" s="17" t="s">
        <v>5643</v>
      </c>
      <c r="F4252" s="17" t="s">
        <v>139</v>
      </c>
      <c r="G4252" s="18"/>
      <c r="H4252" s="18"/>
    </row>
    <row r="4253" spans="1:8" ht="13.2">
      <c r="A4253" s="19" t="str">
        <f>HYPERLINK("http://www.spoj.com/problems/PERIOD/","SPOJ PERIOD")</f>
        <v>SPOJ PERIOD</v>
      </c>
      <c r="B4253" s="29" t="s">
        <v>5737</v>
      </c>
      <c r="C4253" s="17">
        <v>4.5</v>
      </c>
      <c r="D4253" s="26" t="str">
        <f>HYPERLINK("http://web.stanford.edu/class/cs97si/suffix-array.pdf","Please do using 2 string processing algorithms. See Problem 10 in Stanford guide")</f>
        <v>Please do using 2 string processing algorithms. See Problem 10 in Stanford guide</v>
      </c>
      <c r="E4253" s="17" t="s">
        <v>5702</v>
      </c>
      <c r="F4253" s="17" t="s">
        <v>139</v>
      </c>
      <c r="G4253" s="18"/>
      <c r="H4253" s="18"/>
    </row>
    <row r="4254" spans="1:8" ht="13.2">
      <c r="A4254" s="19" t="str">
        <f>HYPERLINK("http://codeforces.com/contest/525/problem/E","CF525-D2-E")</f>
        <v>CF525-D2-E</v>
      </c>
      <c r="B4254" s="18" t="s">
        <v>988</v>
      </c>
      <c r="C4254" s="17">
        <v>4.5</v>
      </c>
      <c r="D4254" s="18"/>
      <c r="E4254" s="17" t="s">
        <v>951</v>
      </c>
      <c r="F4254" s="17" t="s">
        <v>139</v>
      </c>
      <c r="G4254" s="18"/>
      <c r="H4254" s="18"/>
    </row>
    <row r="4255" spans="1:8" ht="13.2">
      <c r="A4255" s="15" t="s">
        <v>6063</v>
      </c>
      <c r="B4255" s="15" t="s">
        <v>6054</v>
      </c>
      <c r="C4255" s="17">
        <v>4.5</v>
      </c>
      <c r="D4255" s="18"/>
      <c r="E4255" s="17" t="s">
        <v>6040</v>
      </c>
      <c r="F4255" s="17" t="s">
        <v>139</v>
      </c>
      <c r="G4255" s="18"/>
      <c r="H4255" s="18"/>
    </row>
    <row r="4256" spans="1:8" ht="13.2">
      <c r="A4256" s="15" t="s">
        <v>6141</v>
      </c>
      <c r="B4256" s="15" t="s">
        <v>6122</v>
      </c>
      <c r="C4256" s="17">
        <v>4.5</v>
      </c>
      <c r="D4256" s="26" t="str">
        <f>HYPERLINK("https://github.com/adarshkr532/CompetitiveProgramming/blob/master/SPOJ/KOPC12H.cpp", "Sol")</f>
        <v>Sol</v>
      </c>
      <c r="E4256" s="17" t="s">
        <v>6118</v>
      </c>
      <c r="F4256" s="17" t="s">
        <v>139</v>
      </c>
      <c r="G4256" s="18"/>
      <c r="H4256" s="18"/>
    </row>
    <row r="4257" spans="1:8" ht="13.2">
      <c r="A4257" s="19" t="str">
        <f>HYPERLINK("https://uva.onlinejudge.org/index.php?option=onlinejudge&amp;page=show_problem&amp;problem=1421","UVA 10480")</f>
        <v>UVA 10480</v>
      </c>
      <c r="B4257" s="29" t="s">
        <v>6271</v>
      </c>
      <c r="C4257" s="17">
        <v>4.5</v>
      </c>
      <c r="D4257" s="26" t="str">
        <f>HYPERLINK("https://github.com/abdullaAshraf/Problem-Solving/blob/master/UVA/10480.cpp","Sol")</f>
        <v>Sol</v>
      </c>
      <c r="E4257" s="17" t="s">
        <v>6246</v>
      </c>
      <c r="F4257" s="17" t="s">
        <v>139</v>
      </c>
      <c r="G4257" s="18"/>
      <c r="H4257" s="18"/>
    </row>
    <row r="4258" spans="1:8" ht="13.2">
      <c r="A4258" s="19" t="str">
        <f>HYPERLINK("http://codeforces.com/contest/621/problem/C","CF621-D2-C")</f>
        <v>CF621-D2-C</v>
      </c>
      <c r="B4258" s="29" t="s">
        <v>6276</v>
      </c>
      <c r="C4258" s="17">
        <v>4.5</v>
      </c>
      <c r="D4258" s="18"/>
      <c r="E4258" s="17" t="s">
        <v>6275</v>
      </c>
      <c r="F4258" s="17" t="s">
        <v>139</v>
      </c>
      <c r="G4258" s="18"/>
      <c r="H4258" s="18"/>
    </row>
    <row r="4259" spans="1:8" ht="13.2">
      <c r="A4259" s="19" t="str">
        <f>HYPERLINK("http://codeforces.com/contest/443/problem/D","CF443-D2-D")</f>
        <v>CF443-D2-D</v>
      </c>
      <c r="B4259" s="29" t="s">
        <v>6302</v>
      </c>
      <c r="C4259" s="17">
        <v>4.5</v>
      </c>
      <c r="D4259" s="26" t="str">
        <f>HYPERLINK("http://codeforces.com/contest/443/submission/27060632","Sol")</f>
        <v>Sol</v>
      </c>
      <c r="E4259" s="17" t="s">
        <v>6275</v>
      </c>
      <c r="F4259" s="17" t="s">
        <v>139</v>
      </c>
      <c r="G4259" s="18"/>
      <c r="H4259" s="18"/>
    </row>
    <row r="4260" spans="1:8" ht="13.2">
      <c r="A4260" s="19" t="str">
        <f>HYPERLINK("http://www.spoj.com/problems/KGSS/","SPOJ KGSS")</f>
        <v>SPOJ KGSS</v>
      </c>
      <c r="B4260" s="29" t="s">
        <v>1205</v>
      </c>
      <c r="C4260" s="17">
        <v>4.5</v>
      </c>
      <c r="D4260" s="18"/>
      <c r="E4260" s="17" t="s">
        <v>1018</v>
      </c>
      <c r="F4260" s="17" t="s">
        <v>139</v>
      </c>
      <c r="G4260" s="18"/>
      <c r="H4260" s="18"/>
    </row>
    <row r="4261" spans="1:8" ht="13.2">
      <c r="A4261" s="15" t="s">
        <v>1617</v>
      </c>
      <c r="B4261" s="15" t="s">
        <v>1348</v>
      </c>
      <c r="C4261" s="17">
        <v>4.5</v>
      </c>
      <c r="D4261" s="26" t="str">
        <f>HYPERLINK("https://github.com/ahmedsamir221/CompetitiveProgramming/blob/master/SPOJ/SPOJ%20NAIVELOK.cpp","Sol")</f>
        <v>Sol</v>
      </c>
      <c r="E4261" s="17" t="s">
        <v>1337</v>
      </c>
      <c r="F4261" s="17" t="s">
        <v>139</v>
      </c>
      <c r="G4261" s="18"/>
      <c r="H4261" s="18"/>
    </row>
    <row r="4262" spans="1:8" ht="13.2">
      <c r="A4262" s="19" t="str">
        <f>HYPERLINK("http://codeforces.com/contest/1036/problem/C","CF1036-D2-C")</f>
        <v>CF1036-D2-C</v>
      </c>
      <c r="B4262" s="20" t="s">
        <v>434</v>
      </c>
      <c r="C4262" s="21">
        <v>4.5</v>
      </c>
      <c r="D4262" s="18"/>
      <c r="E4262" s="17" t="s">
        <v>332</v>
      </c>
      <c r="F4262" s="17" t="s">
        <v>139</v>
      </c>
      <c r="G4262" s="18"/>
      <c r="H4262" s="18"/>
    </row>
    <row r="4263" spans="1:8" ht="13.2">
      <c r="A4263" s="19" t="str">
        <f>HYPERLINK("http://codeforces.com/contest/63/problem/C","CF63-D2-C")</f>
        <v>CF63-D2-C</v>
      </c>
      <c r="B4263" s="29" t="s">
        <v>435</v>
      </c>
      <c r="C4263" s="17">
        <v>4.5</v>
      </c>
      <c r="D4263" s="26" t="str">
        <f>HYPERLINK("https://github.com/ilyesG/Competitive-Programming/blob/master/CodeForces/CF63-D2-C.cpp","Sol")</f>
        <v>Sol</v>
      </c>
      <c r="E4263" s="17" t="s">
        <v>332</v>
      </c>
      <c r="F4263" s="17" t="s">
        <v>139</v>
      </c>
      <c r="G4263" s="18"/>
      <c r="H4263" s="18"/>
    </row>
    <row r="4264" spans="1:8" ht="13.2">
      <c r="A4264" s="19" t="str">
        <f>HYPERLINK("http://codeforces.com/contest/667/problem/C","CF667-D2-C")</f>
        <v>CF667-D2-C</v>
      </c>
      <c r="B4264" s="29" t="s">
        <v>1816</v>
      </c>
      <c r="C4264" s="17">
        <v>4.5</v>
      </c>
      <c r="D4264" s="18"/>
      <c r="E4264" s="17" t="s">
        <v>1793</v>
      </c>
      <c r="F4264" s="17" t="s">
        <v>139</v>
      </c>
      <c r="G4264" s="18"/>
      <c r="H4264" s="18"/>
    </row>
    <row r="4265" spans="1:8" ht="13.2">
      <c r="A4265" s="19" t="str">
        <f>HYPERLINK("https://codeforces.com/contest/1084/problem/C","CF1084-D2-C")</f>
        <v>CF1084-D2-C</v>
      </c>
      <c r="B4265" s="20" t="s">
        <v>1913</v>
      </c>
      <c r="C4265" s="17">
        <v>4.5</v>
      </c>
      <c r="D4265" s="18"/>
      <c r="E4265" s="17" t="s">
        <v>1909</v>
      </c>
      <c r="F4265" s="17" t="s">
        <v>139</v>
      </c>
      <c r="G4265" s="18"/>
      <c r="H4265" s="18"/>
    </row>
    <row r="4266" spans="1:8" ht="13.2">
      <c r="A4266" s="15" t="s">
        <v>1974</v>
      </c>
      <c r="B4266" s="29" t="s">
        <v>1913</v>
      </c>
      <c r="C4266" s="17">
        <v>4.5</v>
      </c>
      <c r="D4266" s="18"/>
      <c r="E4266" s="17" t="s">
        <v>1909</v>
      </c>
      <c r="F4266" s="17" t="s">
        <v>139</v>
      </c>
      <c r="G4266" s="18"/>
      <c r="H4266" s="18"/>
    </row>
    <row r="4267" spans="1:8" ht="13.2">
      <c r="A4267" s="19" t="str">
        <f>HYPERLINK("http://codeforces.com/contest/148/problem/D","CF148-D2-D")</f>
        <v>CF148-D2-D</v>
      </c>
      <c r="B4267" s="29" t="s">
        <v>2009</v>
      </c>
      <c r="C4267" s="17">
        <v>4.5</v>
      </c>
      <c r="D4267" s="18"/>
      <c r="E4267" s="17" t="s">
        <v>1989</v>
      </c>
      <c r="F4267" s="17" t="s">
        <v>139</v>
      </c>
      <c r="G4267" s="18"/>
      <c r="H4267" s="18"/>
    </row>
    <row r="4268" spans="1:8" ht="13.2">
      <c r="A4268" s="19" t="str">
        <f>HYPERLINK("https://uva.onlinejudge.org/index.php?option=onlinejudge&amp;page=show_problem&amp;problem=483","UVA 542")</f>
        <v>UVA 542</v>
      </c>
      <c r="B4268" s="29" t="s">
        <v>2064</v>
      </c>
      <c r="C4268" s="17">
        <v>4.5</v>
      </c>
      <c r="D4268" s="26" t="str">
        <f>HYPERLINK("https://github.com/mostafa-saad/MyCompetitiveProgramming/blob/master/UVA/UVA_542.txt","Sol")</f>
        <v>Sol</v>
      </c>
      <c r="E4268" s="17" t="s">
        <v>2026</v>
      </c>
      <c r="F4268" s="17" t="s">
        <v>139</v>
      </c>
      <c r="G4268" s="18"/>
      <c r="H4268" s="18"/>
    </row>
    <row r="4269" spans="1:8" ht="13.2">
      <c r="A4269" s="19" t="str">
        <f>HYPERLINK("https://uva.onlinejudge.org/index.php?option=com_onlinejudge&amp;Itemid=8&amp;page=show_problem&amp;problem=2853","UVA 11753")</f>
        <v>UVA 11753</v>
      </c>
      <c r="B4269" s="29" t="s">
        <v>2146</v>
      </c>
      <c r="C4269" s="17">
        <v>4.5</v>
      </c>
      <c r="D4269" s="18"/>
      <c r="E4269" s="17" t="s">
        <v>2113</v>
      </c>
      <c r="F4269" s="17" t="s">
        <v>139</v>
      </c>
      <c r="G4269" s="18"/>
      <c r="H4269" s="18"/>
    </row>
    <row r="4270" spans="1:8" ht="13.2">
      <c r="A4270" s="19" t="str">
        <f>HYPERLINK("https://codeforces.com/contest/1087/problem/D","CF1087-D2-D")</f>
        <v>CF1087-D2-D</v>
      </c>
      <c r="B4270" s="15" t="s">
        <v>2163</v>
      </c>
      <c r="C4270" s="17">
        <v>4.5</v>
      </c>
      <c r="D4270" s="18"/>
      <c r="E4270" s="17" t="s">
        <v>2153</v>
      </c>
      <c r="F4270" s="17" t="s">
        <v>139</v>
      </c>
      <c r="G4270" s="18"/>
      <c r="H4270" s="18"/>
    </row>
    <row r="4271" spans="1:8" ht="13.2">
      <c r="A4271" s="15" t="s">
        <v>2326</v>
      </c>
      <c r="B4271" s="29" t="s">
        <v>2327</v>
      </c>
      <c r="C4271" s="24">
        <v>4.5</v>
      </c>
      <c r="D4271" s="26" t="str">
        <f>HYPERLINK("https://github.com/thackerhelik/ZOJ/blob/master/1200.cpp","Sol")</f>
        <v>Sol</v>
      </c>
      <c r="E4271" s="17" t="s">
        <v>2153</v>
      </c>
      <c r="F4271" s="17" t="s">
        <v>139</v>
      </c>
      <c r="G4271" s="18"/>
      <c r="H4271" s="18"/>
    </row>
    <row r="4272" spans="1:8" ht="13.2">
      <c r="A4272" s="15" t="s">
        <v>2328</v>
      </c>
      <c r="B4272" s="25" t="s">
        <v>2329</v>
      </c>
      <c r="C4272" s="17">
        <v>4.5</v>
      </c>
      <c r="D4272" s="18"/>
      <c r="E4272" s="17" t="s">
        <v>2153</v>
      </c>
      <c r="F4272" s="17" t="s">
        <v>139</v>
      </c>
      <c r="G4272" s="18"/>
      <c r="H4272" s="18"/>
    </row>
    <row r="4273" spans="1:8" ht="13.2">
      <c r="A4273" s="15" t="s">
        <v>2424</v>
      </c>
      <c r="B4273" s="15" t="s">
        <v>2425</v>
      </c>
      <c r="C4273" s="17">
        <v>4.5</v>
      </c>
      <c r="D4273" s="18"/>
      <c r="E4273" s="17" t="s">
        <v>2394</v>
      </c>
      <c r="F4273" s="17" t="s">
        <v>139</v>
      </c>
      <c r="G4273" s="18"/>
      <c r="H4273" s="18"/>
    </row>
    <row r="4274" spans="1:8" ht="13.2">
      <c r="A4274" s="15" t="s">
        <v>2426</v>
      </c>
      <c r="B4274" s="15" t="s">
        <v>2427</v>
      </c>
      <c r="C4274" s="17">
        <v>4.5</v>
      </c>
      <c r="D4274" s="18"/>
      <c r="E4274" s="17" t="s">
        <v>2394</v>
      </c>
      <c r="F4274" s="17" t="s">
        <v>139</v>
      </c>
      <c r="G4274" s="18"/>
      <c r="H4274" s="18"/>
    </row>
    <row r="4275" spans="1:8" ht="13.2">
      <c r="A4275" s="19" t="str">
        <f>HYPERLINK("https://www.hackerrank.com/challenges/a-circle-and-a-square","HACKR a-circle-and-a-square")</f>
        <v>HACKR a-circle-and-a-square</v>
      </c>
      <c r="B4275" s="29" t="s">
        <v>2712</v>
      </c>
      <c r="C4275" s="33">
        <v>4.5</v>
      </c>
      <c r="D4275" s="18"/>
      <c r="E4275" s="17" t="s">
        <v>2510</v>
      </c>
      <c r="F4275" s="17" t="s">
        <v>139</v>
      </c>
      <c r="G4275" s="18"/>
      <c r="H4275" s="18"/>
    </row>
    <row r="4276" spans="1:8" ht="13.2">
      <c r="A4276" s="19" t="str">
        <f>HYPERLINK("http://codeforces.com/contest/659/problem/D","CF659-D2-D")</f>
        <v>CF659-D2-D</v>
      </c>
      <c r="B4276" s="29" t="s">
        <v>2713</v>
      </c>
      <c r="C4276" s="17">
        <v>4.5</v>
      </c>
      <c r="D4276" s="18"/>
      <c r="E4276" s="17" t="s">
        <v>2510</v>
      </c>
      <c r="F4276" s="17" t="s">
        <v>139</v>
      </c>
      <c r="G4276" s="18"/>
      <c r="H4276" s="18"/>
    </row>
    <row r="4277" spans="1:8" ht="13.2">
      <c r="A4277" s="19" t="str">
        <f>HYPERLINK("https://codeforces.com/contest/284/problem/C","CF284-D2-C")</f>
        <v>CF284-D2-C</v>
      </c>
      <c r="B4277" s="23" t="s">
        <v>587</v>
      </c>
      <c r="C4277" s="17">
        <v>4.5</v>
      </c>
      <c r="D4277" s="18"/>
      <c r="E4277" s="17" t="s">
        <v>575</v>
      </c>
      <c r="F4277" s="17" t="s">
        <v>139</v>
      </c>
      <c r="G4277" s="18"/>
      <c r="H4277" s="18"/>
    </row>
    <row r="4278" spans="1:8" ht="13.2">
      <c r="A4278" s="15" t="s">
        <v>3024</v>
      </c>
      <c r="B4278" s="29" t="s">
        <v>3025</v>
      </c>
      <c r="C4278" s="17">
        <v>4.5</v>
      </c>
      <c r="D4278" s="26" t="str">
        <f>HYPERLINK("https://github.com/mostafa-saad/MyCompetitiveProgramming/blob/master/UVA/UVA_881.txt","Sol")</f>
        <v>Sol</v>
      </c>
      <c r="E4278" s="17" t="s">
        <v>2948</v>
      </c>
      <c r="F4278" s="17" t="s">
        <v>139</v>
      </c>
      <c r="G4278" s="18"/>
      <c r="H4278" s="18"/>
    </row>
    <row r="4279" spans="1:8" ht="13.2">
      <c r="A4279" s="19" t="str">
        <f>HYPERLINK("https://codeforces.com/contest/1237/problem/C2","CF1237-D12-C2")</f>
        <v>CF1237-D12-C2</v>
      </c>
      <c r="B4279" s="15" t="s">
        <v>3246</v>
      </c>
      <c r="C4279" s="17">
        <v>4.5</v>
      </c>
      <c r="D4279" s="18"/>
      <c r="E4279" s="17" t="s">
        <v>3214</v>
      </c>
      <c r="F4279" s="17" t="s">
        <v>139</v>
      </c>
      <c r="G4279" s="18"/>
      <c r="H4279" s="18"/>
    </row>
    <row r="4280" spans="1:8" ht="13.2">
      <c r="A4280" s="19" t="str">
        <f>HYPERLINK("https://uva.onlinejudge.org/index.php?option=onlinejudge&amp;page=show_problem&amp;problem=1400","UVA 10459")</f>
        <v>UVA 10459</v>
      </c>
      <c r="B4280" s="29" t="s">
        <v>3635</v>
      </c>
      <c r="C4280" s="17">
        <v>4.5</v>
      </c>
      <c r="D4280" s="26" t="str">
        <f>HYPERLINK("https://github.com/VAMPIER000001/CompetitiveProgramming/blob/master/UVA/V-104/UVA%2010459.Cpp","Sol")</f>
        <v>Sol</v>
      </c>
      <c r="E4280" s="17" t="s">
        <v>3633</v>
      </c>
      <c r="F4280" s="17" t="s">
        <v>139</v>
      </c>
      <c r="G4280" s="18"/>
      <c r="H4280" s="18"/>
    </row>
    <row r="4281" spans="1:8" ht="13.2">
      <c r="A4281" s="15" t="s">
        <v>697</v>
      </c>
      <c r="B4281" s="15" t="s">
        <v>657</v>
      </c>
      <c r="C4281" s="17">
        <v>4.5</v>
      </c>
      <c r="D4281" s="26" t="str">
        <f>HYPERLINK("https://github.com/A7medgamal/CompetitiveProgramming/blob/master/LiveArchive/6585.cpp","Sol")</f>
        <v>Sol</v>
      </c>
      <c r="E4281" s="17" t="s">
        <v>655</v>
      </c>
      <c r="F4281" s="17" t="s">
        <v>139</v>
      </c>
      <c r="G4281" s="18"/>
      <c r="H4281" s="18"/>
    </row>
    <row r="4282" spans="1:8" ht="13.2">
      <c r="A4282" s="15" t="s">
        <v>698</v>
      </c>
      <c r="B4282" s="15" t="s">
        <v>657</v>
      </c>
      <c r="C4282" s="17">
        <v>4.5</v>
      </c>
      <c r="D4282" s="26" t="str">
        <f>HYPERLINK("https://github.com/ahmedsamir221/CompetitiveProgramming/blob/master/SPOJ/SPOJ%20MYQ8.cpp","Sol")</f>
        <v>Sol</v>
      </c>
      <c r="E4282" s="17" t="s">
        <v>655</v>
      </c>
      <c r="F4282" s="17" t="s">
        <v>139</v>
      </c>
      <c r="G4282" s="18"/>
      <c r="H4282" s="18"/>
    </row>
    <row r="4283" spans="1:8" ht="13.2">
      <c r="A4283" s="19" t="str">
        <f>HYPERLINK("http://www.spoj.com/problems/ROADS/en/","SPOJ ROADS")</f>
        <v>SPOJ ROADS</v>
      </c>
      <c r="B4283" s="29" t="s">
        <v>3797</v>
      </c>
      <c r="C4283" s="17">
        <v>4.5</v>
      </c>
      <c r="D4283" s="26" t="str">
        <f>HYPERLINK("https://github.com/mostafa-saad/MyCompetitiveProgramming/blob/master/SPOJ/SPOJ_ROADS.txt","Sol")</f>
        <v>Sol</v>
      </c>
      <c r="E4283" s="17" t="s">
        <v>3784</v>
      </c>
      <c r="F4283" s="17" t="s">
        <v>139</v>
      </c>
      <c r="G4283" s="18"/>
      <c r="H4283" s="18"/>
    </row>
    <row r="4284" spans="1:8" ht="13.2">
      <c r="A4284" s="15" t="s">
        <v>3935</v>
      </c>
      <c r="B4284" s="29" t="s">
        <v>3886</v>
      </c>
      <c r="C4284" s="17">
        <v>4.5</v>
      </c>
      <c r="D4284" s="26" t="str">
        <f>HYPERLINK("https://github.com/VAMPIER000001/CompetitiveProgramming/blob/master/UVA/V-119/UVA%2011987.Cpp","Sol")</f>
        <v>Sol</v>
      </c>
      <c r="E4284" s="17" t="s">
        <v>3883</v>
      </c>
      <c r="F4284" s="17" t="s">
        <v>139</v>
      </c>
      <c r="G4284" s="18"/>
      <c r="H4284" s="18"/>
    </row>
    <row r="4285" spans="1:8" ht="13.2">
      <c r="A4285" s="19" t="str">
        <f>HYPERLINK("https://uva.onlinejudge.org/index.php?option=com_onlinejudge&amp;Itemid=8&amp;page=show_problem&amp;problem=1033","UVA 10092")</f>
        <v>UVA 10092</v>
      </c>
      <c r="B4285" s="29" t="s">
        <v>4133</v>
      </c>
      <c r="C4285" s="17">
        <v>4.5</v>
      </c>
      <c r="D4285" s="18"/>
      <c r="E4285" s="17" t="s">
        <v>4060</v>
      </c>
      <c r="F4285" s="17" t="s">
        <v>139</v>
      </c>
      <c r="G4285" s="18"/>
      <c r="H4285" s="18"/>
    </row>
    <row r="4286" spans="1:8" ht="13.2">
      <c r="A4286" s="15" t="s">
        <v>4216</v>
      </c>
      <c r="B4286" s="15" t="s">
        <v>4217</v>
      </c>
      <c r="C4286" s="17">
        <v>4.5</v>
      </c>
      <c r="D4286" s="26" t="str">
        <f>HYPERLINK("https://github.com/shashank0107/CompetitiveProgramming/blob/master/SPOJ/NITT4.cpp", "Sol")</f>
        <v>Sol</v>
      </c>
      <c r="E4286" s="17" t="s">
        <v>4144</v>
      </c>
      <c r="F4286" s="17" t="s">
        <v>139</v>
      </c>
      <c r="G4286" s="18"/>
      <c r="H4286" s="18"/>
    </row>
    <row r="4287" spans="1:8" ht="13.2">
      <c r="A4287" s="19" t="str">
        <f>HYPERLINK("https://codeforces.com/contest/1093/problem/C","CF1093-D12-C")</f>
        <v>CF1093-D12-C</v>
      </c>
      <c r="B4287" s="20" t="s">
        <v>4530</v>
      </c>
      <c r="C4287" s="17">
        <v>4.5</v>
      </c>
      <c r="D4287" s="18"/>
      <c r="E4287" s="17" t="s">
        <v>4531</v>
      </c>
      <c r="F4287" s="17" t="s">
        <v>139</v>
      </c>
      <c r="G4287" s="18"/>
      <c r="H4287" s="18"/>
    </row>
    <row r="4288" spans="1:8" ht="13.2">
      <c r="A4288" s="15" t="s">
        <v>4699</v>
      </c>
      <c r="B4288" s="37" t="s">
        <v>4564</v>
      </c>
      <c r="C4288" s="17">
        <v>4.5</v>
      </c>
      <c r="D4288" s="18"/>
      <c r="E4288" s="17" t="s">
        <v>4531</v>
      </c>
      <c r="F4288" s="17" t="s">
        <v>139</v>
      </c>
      <c r="G4288" s="18"/>
      <c r="H4288" s="18"/>
    </row>
    <row r="4289" spans="1:8" ht="13.2">
      <c r="A4289" s="15" t="s">
        <v>4700</v>
      </c>
      <c r="B4289" s="37" t="s">
        <v>4564</v>
      </c>
      <c r="C4289" s="17">
        <v>4.5</v>
      </c>
      <c r="D4289" s="18"/>
      <c r="E4289" s="17" t="s">
        <v>4531</v>
      </c>
      <c r="F4289" s="17" t="s">
        <v>139</v>
      </c>
      <c r="G4289" s="18"/>
      <c r="H4289" s="18"/>
    </row>
    <row r="4290" spans="1:8" ht="13.2">
      <c r="A4290" s="19" t="str">
        <f>HYPERLINK("https://uva.onlinejudge.org/index.php?option=com_onlinejudge&amp;Itemid=8&amp;page=show_problem&amp;problem=89","UVA 153")</f>
        <v>UVA 153</v>
      </c>
      <c r="B4290" s="29" t="s">
        <v>4757</v>
      </c>
      <c r="C4290" s="17">
        <v>4.5</v>
      </c>
      <c r="D4290" s="26" t="str">
        <f>HYPERLINK("https://github.com/ahmedcpbl/CompetitiveProgramming/blob/master/UVA/153.cpp","Sol")</f>
        <v>Sol</v>
      </c>
      <c r="E4290" s="17" t="s">
        <v>4751</v>
      </c>
      <c r="F4290" s="17" t="s">
        <v>139</v>
      </c>
      <c r="G4290" s="18"/>
      <c r="H4290" s="18"/>
    </row>
    <row r="4291" spans="1:8" ht="13.2">
      <c r="A4291" s="19" t="str">
        <f>HYPERLINK("https://codeforces.com/contest/1091/problem/C","CF1091-D12-C")</f>
        <v>CF1091-D12-C</v>
      </c>
      <c r="B4291" s="37" t="s">
        <v>4851</v>
      </c>
      <c r="C4291" s="17">
        <v>4.5</v>
      </c>
      <c r="D4291" s="18"/>
      <c r="E4291" s="17" t="s">
        <v>4809</v>
      </c>
      <c r="F4291" s="17" t="s">
        <v>139</v>
      </c>
      <c r="G4291" s="18"/>
      <c r="H4291" s="18"/>
    </row>
    <row r="4292" spans="1:8" ht="13.2">
      <c r="A4292" s="19" t="str">
        <f>HYPERLINK("http://codeforces.com/contest/592/problem/C","CF592-D2-C")</f>
        <v>CF592-D2-C</v>
      </c>
      <c r="B4292" s="29" t="s">
        <v>4852</v>
      </c>
      <c r="C4292" s="17">
        <v>4.5</v>
      </c>
      <c r="D4292" s="18"/>
      <c r="E4292" s="17" t="s">
        <v>4809</v>
      </c>
      <c r="F4292" s="17" t="s">
        <v>139</v>
      </c>
      <c r="G4292" s="18"/>
      <c r="H4292" s="18"/>
    </row>
    <row r="4293" spans="1:8" ht="13.2">
      <c r="A4293" s="19" t="str">
        <f>HYPERLINK("http://codeforces.com/contest/227/problem/C","CF227-D2-C")</f>
        <v>CF227-D2-C</v>
      </c>
      <c r="B4293" s="29" t="s">
        <v>4922</v>
      </c>
      <c r="C4293" s="17">
        <v>4.5</v>
      </c>
      <c r="D4293" s="18"/>
      <c r="E4293" s="17" t="s">
        <v>4893</v>
      </c>
      <c r="F4293" s="17" t="s">
        <v>139</v>
      </c>
      <c r="G4293" s="18"/>
      <c r="H4293" s="18"/>
    </row>
    <row r="4294" spans="1:8" ht="13.2">
      <c r="A4294" s="15" t="s">
        <v>5025</v>
      </c>
      <c r="B4294" s="29" t="s">
        <v>5026</v>
      </c>
      <c r="C4294" s="17">
        <v>4.5</v>
      </c>
      <c r="D4294" s="18"/>
      <c r="E4294" s="17" t="s">
        <v>4958</v>
      </c>
      <c r="F4294" s="17" t="s">
        <v>139</v>
      </c>
      <c r="G4294" s="18"/>
      <c r="H4294" s="18"/>
    </row>
    <row r="4295" spans="1:8" ht="13.2">
      <c r="A4295" s="19" t="str">
        <f>HYPERLINK("http://codeforces.com/contest/1047/problem/C","CF1047-D2-C")</f>
        <v>CF1047-D2-C</v>
      </c>
      <c r="B4295" s="15" t="s">
        <v>5085</v>
      </c>
      <c r="C4295" s="17">
        <v>4.5</v>
      </c>
      <c r="D4295" s="18"/>
      <c r="E4295" s="17" t="s">
        <v>5075</v>
      </c>
      <c r="F4295" s="17" t="s">
        <v>139</v>
      </c>
      <c r="G4295" s="18"/>
      <c r="H4295" s="18"/>
    </row>
    <row r="4296" spans="1:8" ht="13.2">
      <c r="A4296" s="15" t="s">
        <v>5111</v>
      </c>
      <c r="B4296" s="15" t="s">
        <v>5085</v>
      </c>
      <c r="C4296" s="17">
        <v>4.5</v>
      </c>
      <c r="D4296" s="18"/>
      <c r="E4296" s="17" t="s">
        <v>5075</v>
      </c>
      <c r="F4296" s="17" t="s">
        <v>139</v>
      </c>
      <c r="G4296" s="18"/>
      <c r="H4296" s="18"/>
    </row>
    <row r="4297" spans="1:8" ht="13.2">
      <c r="A4297" s="15" t="s">
        <v>5112</v>
      </c>
      <c r="B4297" s="15" t="s">
        <v>5113</v>
      </c>
      <c r="C4297" s="17">
        <v>4.5</v>
      </c>
      <c r="D4297" s="18"/>
      <c r="E4297" s="17" t="s">
        <v>5075</v>
      </c>
      <c r="F4297" s="17" t="s">
        <v>139</v>
      </c>
      <c r="G4297" s="18"/>
      <c r="H4297" s="18"/>
    </row>
    <row r="4298" spans="1:8" ht="13.2">
      <c r="A4298" s="15" t="s">
        <v>5291</v>
      </c>
      <c r="B4298" s="15" t="s">
        <v>5248</v>
      </c>
      <c r="C4298" s="17">
        <v>4.5</v>
      </c>
      <c r="D4298" s="18"/>
      <c r="E4298" s="17" t="s">
        <v>5246</v>
      </c>
      <c r="F4298" s="17" t="s">
        <v>139</v>
      </c>
      <c r="G4298" s="18"/>
      <c r="H4298" s="18"/>
    </row>
    <row r="4299" spans="1:8" ht="13.2">
      <c r="A4299" s="19" t="str">
        <f>HYPERLINK("http://codeforces.com/contest/108/problem/D","CF108-D2-D")</f>
        <v>CF108-D2-D</v>
      </c>
      <c r="B4299" s="15" t="s">
        <v>5375</v>
      </c>
      <c r="C4299" s="17">
        <v>4.5</v>
      </c>
      <c r="D4299" s="18"/>
      <c r="E4299" s="17" t="s">
        <v>5346</v>
      </c>
      <c r="F4299" s="17" t="s">
        <v>139</v>
      </c>
      <c r="G4299" s="18"/>
      <c r="H4299" s="18"/>
    </row>
    <row r="4300" spans="1:8" ht="13.2">
      <c r="A4300" s="15" t="s">
        <v>5396</v>
      </c>
      <c r="B4300" s="15" t="s">
        <v>5397</v>
      </c>
      <c r="C4300" s="17">
        <v>4.5</v>
      </c>
      <c r="D4300" s="18"/>
      <c r="E4300" s="17" t="s">
        <v>5346</v>
      </c>
      <c r="F4300" s="17" t="s">
        <v>139</v>
      </c>
      <c r="G4300" s="18"/>
      <c r="H4300" s="18"/>
    </row>
    <row r="4301" spans="1:8" ht="13.2">
      <c r="A4301" s="15" t="s">
        <v>5460</v>
      </c>
      <c r="B4301" s="37" t="s">
        <v>5416</v>
      </c>
      <c r="C4301" s="17">
        <v>4.5</v>
      </c>
      <c r="D4301" s="18"/>
      <c r="E4301" s="17" t="s">
        <v>5414</v>
      </c>
      <c r="F4301" s="17" t="s">
        <v>139</v>
      </c>
      <c r="G4301" s="18"/>
      <c r="H4301" s="18"/>
    </row>
    <row r="4302" spans="1:8" ht="13.2">
      <c r="A4302" s="19" t="str">
        <f>HYPERLINK("http://codeforces.com/contest/569/problem/C","CF569-D2-C")</f>
        <v>CF569-D2-C</v>
      </c>
      <c r="B4302" s="29" t="s">
        <v>5461</v>
      </c>
      <c r="C4302" s="17">
        <v>4.5</v>
      </c>
      <c r="D4302" s="18"/>
      <c r="E4302" s="17" t="s">
        <v>5414</v>
      </c>
      <c r="F4302" s="17" t="s">
        <v>139</v>
      </c>
      <c r="G4302" s="18"/>
      <c r="H4302" s="18"/>
    </row>
    <row r="4303" spans="1:8" ht="13.2">
      <c r="A4303" s="15" t="s">
        <v>5462</v>
      </c>
      <c r="B4303" s="15" t="s">
        <v>5463</v>
      </c>
      <c r="C4303" s="17">
        <v>4.5</v>
      </c>
      <c r="D4303" s="18"/>
      <c r="E4303" s="17" t="s">
        <v>5414</v>
      </c>
      <c r="F4303" s="17" t="s">
        <v>139</v>
      </c>
      <c r="G4303" s="18"/>
      <c r="H4303" s="18"/>
    </row>
    <row r="4304" spans="1:8" ht="13.2">
      <c r="A4304" s="15" t="s">
        <v>261</v>
      </c>
      <c r="B4304" s="29" t="s">
        <v>262</v>
      </c>
      <c r="C4304" s="24">
        <v>4.5</v>
      </c>
      <c r="D4304" s="18"/>
      <c r="E4304" s="17" t="s">
        <v>125</v>
      </c>
      <c r="F4304" s="17" t="s">
        <v>227</v>
      </c>
      <c r="G4304" s="18"/>
      <c r="H4304" s="18"/>
    </row>
    <row r="4305" spans="1:8" ht="13.2">
      <c r="A4305" s="19" t="str">
        <f>HYPERLINK("http://codeforces.com/contest/194/problem/C","CF194-D2-C")</f>
        <v>CF194-D2-C</v>
      </c>
      <c r="B4305" s="29" t="s">
        <v>3748</v>
      </c>
      <c r="C4305" s="17">
        <v>4.5</v>
      </c>
      <c r="D4305" s="18"/>
      <c r="E4305" s="17" t="s">
        <v>3650</v>
      </c>
      <c r="F4305" s="17" t="s">
        <v>227</v>
      </c>
      <c r="G4305" s="18"/>
      <c r="H4305" s="18"/>
    </row>
    <row r="4306" spans="1:8" ht="13.2">
      <c r="A4306" s="15" t="s">
        <v>263</v>
      </c>
      <c r="B4306" s="29" t="s">
        <v>264</v>
      </c>
      <c r="C4306" s="24">
        <v>4.5</v>
      </c>
      <c r="D4306" s="18"/>
      <c r="E4306" s="17" t="s">
        <v>125</v>
      </c>
      <c r="F4306" s="17" t="s">
        <v>201</v>
      </c>
      <c r="G4306" s="18"/>
      <c r="H4306" s="18"/>
    </row>
    <row r="4307" spans="1:8" ht="13.2">
      <c r="A4307" s="15" t="s">
        <v>265</v>
      </c>
      <c r="B4307" s="29" t="s">
        <v>266</v>
      </c>
      <c r="C4307" s="24">
        <v>4.5</v>
      </c>
      <c r="D4307" s="18"/>
      <c r="E4307" s="17" t="s">
        <v>125</v>
      </c>
      <c r="F4307" s="17" t="s">
        <v>201</v>
      </c>
      <c r="G4307" s="18"/>
      <c r="H4307" s="18"/>
    </row>
    <row r="4308" spans="1:8" ht="13.2">
      <c r="A4308" s="19" t="str">
        <f>HYPERLINK("http://www.spoj.com/problems/DICT/","SPOJ DICT")</f>
        <v>SPOJ DICT</v>
      </c>
      <c r="B4308" s="29" t="s">
        <v>5642</v>
      </c>
      <c r="C4308" s="17">
        <v>4.5</v>
      </c>
      <c r="D4308" s="18"/>
      <c r="E4308" s="17" t="s">
        <v>5643</v>
      </c>
      <c r="F4308" s="17" t="s">
        <v>201</v>
      </c>
      <c r="G4308" s="18"/>
      <c r="H4308" s="18"/>
    </row>
    <row r="4309" spans="1:8" ht="13.2">
      <c r="A4309" s="19" t="str">
        <f>HYPERLINK("http://codeforces.com/contest/581/problem/D","CF581-D2-D")</f>
        <v>CF581-D2-D</v>
      </c>
      <c r="B4309" s="29" t="s">
        <v>5961</v>
      </c>
      <c r="C4309" s="17">
        <v>4.5</v>
      </c>
      <c r="D4309" s="18"/>
      <c r="E4309" s="17" t="s">
        <v>5958</v>
      </c>
      <c r="F4309" s="17" t="s">
        <v>201</v>
      </c>
      <c r="G4309" s="18"/>
      <c r="H4309" s="18"/>
    </row>
    <row r="4310" spans="1:8" ht="13.2">
      <c r="A4310" s="15" t="s">
        <v>5998</v>
      </c>
      <c r="B4310" s="29" t="s">
        <v>5999</v>
      </c>
      <c r="C4310" s="24">
        <v>4.5</v>
      </c>
      <c r="D4310" s="26" t="str">
        <f>HYPERLINK("https://ideone.com/QCHUj4","Sol")</f>
        <v>Sol</v>
      </c>
      <c r="E4310" s="17" t="s">
        <v>5958</v>
      </c>
      <c r="F4310" s="17" t="s">
        <v>201</v>
      </c>
      <c r="G4310" s="18"/>
      <c r="H4310" s="18"/>
    </row>
    <row r="4311" spans="1:8" ht="13.2">
      <c r="A4311" s="19" t="str">
        <f>HYPERLINK("http://codeforces.com/contest/507/problem/C","CF507-D2-C")</f>
        <v>CF507-D2-C</v>
      </c>
      <c r="B4311" s="29" t="s">
        <v>5992</v>
      </c>
      <c r="C4311" s="17">
        <v>4.5</v>
      </c>
      <c r="D4311" s="18"/>
      <c r="E4311" s="17" t="s">
        <v>5958</v>
      </c>
      <c r="F4311" s="17" t="s">
        <v>201</v>
      </c>
      <c r="G4311" s="18"/>
      <c r="H4311" s="18"/>
    </row>
    <row r="4312" spans="1:8" ht="13.2">
      <c r="A4312" s="19" t="str">
        <f>HYPERLINK("https://uva.onlinejudge.org/index.php?option=onlinejudge&amp;page=show_problem&amp;problem=2399","UVA 11404")</f>
        <v>UVA 11404</v>
      </c>
      <c r="B4312" s="29" t="s">
        <v>6074</v>
      </c>
      <c r="C4312" s="17">
        <v>4.5</v>
      </c>
      <c r="D4312" s="26" t="str">
        <f>HYPERLINK("https://github.com/rezwan4029/UVA-CODES/blob/master/11404%20-%20Palindromic%20Subsequence.cpp","Sol")</f>
        <v>Sol</v>
      </c>
      <c r="E4312" s="17" t="s">
        <v>6075</v>
      </c>
      <c r="F4312" s="17" t="s">
        <v>201</v>
      </c>
      <c r="G4312" s="18"/>
      <c r="H4312" s="18"/>
    </row>
    <row r="4313" spans="1:8" ht="13.2">
      <c r="A4313" s="19" t="str">
        <f>HYPERLINK("https://uva.onlinejudge.org/index.php?option=com_onlinejudge&amp;Itemid=8&amp;page=show_problem&amp;problem=603","UVA 662")</f>
        <v>UVA 662</v>
      </c>
      <c r="B4313" s="29" t="s">
        <v>6074</v>
      </c>
      <c r="C4313" s="17">
        <v>4.5</v>
      </c>
      <c r="D4313" s="18"/>
      <c r="E4313" s="17" t="s">
        <v>6075</v>
      </c>
      <c r="F4313" s="17" t="s">
        <v>201</v>
      </c>
      <c r="G4313" s="18"/>
      <c r="H4313" s="18"/>
    </row>
    <row r="4314" spans="1:8" ht="13.2">
      <c r="A4314" s="19" t="str">
        <f>HYPERLINK("http://www.spoj.com/problems/CITY2/","SPOJ CITY2")</f>
        <v>SPOJ CITY2</v>
      </c>
      <c r="B4314" s="29" t="s">
        <v>1206</v>
      </c>
      <c r="C4314" s="17">
        <v>4.5</v>
      </c>
      <c r="D4314" s="26" t="str">
        <f>HYPERLINK("https://github.com/mostafa-saad/MyCompetitiveProgramming/blob/master/SPOJ/SPOJ_CITY2.txt","Sol")</f>
        <v>Sol</v>
      </c>
      <c r="E4314" s="17" t="s">
        <v>1018</v>
      </c>
      <c r="F4314" s="17" t="s">
        <v>201</v>
      </c>
      <c r="G4314" s="18"/>
      <c r="H4314" s="18"/>
    </row>
    <row r="4315" spans="1:8" ht="13.2">
      <c r="A4315" s="19" t="str">
        <f>HYPERLINK("http://www.spoj.com/problems/HELPR2D2","SPOJ HELPR2D2")</f>
        <v>SPOJ HELPR2D2</v>
      </c>
      <c r="B4315" s="29" t="s">
        <v>1207</v>
      </c>
      <c r="C4315" s="17">
        <v>4.5</v>
      </c>
      <c r="D4315" s="18"/>
      <c r="E4315" s="17" t="s">
        <v>1018</v>
      </c>
      <c r="F4315" s="17" t="s">
        <v>201</v>
      </c>
      <c r="G4315" s="18"/>
      <c r="H4315" s="18"/>
    </row>
    <row r="4316" spans="1:8" ht="13.2">
      <c r="A4316" s="19" t="str">
        <f>HYPERLINK("https://codeforces.com/problemset/problem/514/C", "CF514-D2-C")</f>
        <v>CF514-D2-C</v>
      </c>
      <c r="B4316" s="15" t="s">
        <v>6509</v>
      </c>
      <c r="C4316" s="17">
        <v>4.5</v>
      </c>
      <c r="D4316" s="18"/>
      <c r="E4316" s="17" t="s">
        <v>6505</v>
      </c>
      <c r="F4316" s="17" t="s">
        <v>201</v>
      </c>
      <c r="G4316" s="18"/>
      <c r="H4316" s="18"/>
    </row>
    <row r="4317" spans="1:8" ht="13.2">
      <c r="A4317" s="19" t="str">
        <f>HYPERLINK("http://codeforces.com/contest/474/problem/D","CF474-D2-D")</f>
        <v>CF474-D2-D</v>
      </c>
      <c r="B4317" s="29" t="s">
        <v>1913</v>
      </c>
      <c r="C4317" s="17">
        <v>4.5</v>
      </c>
      <c r="D4317" s="18"/>
      <c r="E4317" s="17" t="s">
        <v>1909</v>
      </c>
      <c r="F4317" s="17" t="s">
        <v>201</v>
      </c>
      <c r="G4317" s="18"/>
      <c r="H4317" s="18"/>
    </row>
    <row r="4318" spans="1:8" ht="13.2">
      <c r="A4318" s="19" t="str">
        <f>HYPERLINK("http://codeforces.com/contest/540/problem/D","CF540-D2-D")</f>
        <v>CF540-D2-D</v>
      </c>
      <c r="B4318" s="29" t="s">
        <v>2025</v>
      </c>
      <c r="C4318" s="17">
        <v>4.5</v>
      </c>
      <c r="D4318" s="18"/>
      <c r="E4318" s="17" t="s">
        <v>2026</v>
      </c>
      <c r="F4318" s="17" t="s">
        <v>201</v>
      </c>
      <c r="G4318" s="18"/>
      <c r="H4318" s="18"/>
    </row>
    <row r="4319" spans="1:8" ht="13.2">
      <c r="A4319" s="15" t="s">
        <v>2065</v>
      </c>
      <c r="B4319" s="29" t="s">
        <v>2025</v>
      </c>
      <c r="C4319" s="17">
        <v>4.5</v>
      </c>
      <c r="D4319" s="18"/>
      <c r="E4319" s="17" t="s">
        <v>2026</v>
      </c>
      <c r="F4319" s="17" t="s">
        <v>201</v>
      </c>
      <c r="G4319" s="18"/>
      <c r="H4319" s="18"/>
    </row>
    <row r="4320" spans="1:8" ht="13.2">
      <c r="A4320" s="15" t="s">
        <v>2066</v>
      </c>
      <c r="B4320" s="29" t="s">
        <v>2067</v>
      </c>
      <c r="C4320" s="17">
        <v>4.5</v>
      </c>
      <c r="D4320" s="26" t="str">
        <f>HYPERLINK("https://github.com/AliOsm/CompetitiveProgramming/blob/master/UVA/10759%20-%20Dice%20Throwing.cpp","Sol")</f>
        <v>Sol</v>
      </c>
      <c r="E4320" s="17" t="s">
        <v>2026</v>
      </c>
      <c r="F4320" s="17" t="s">
        <v>201</v>
      </c>
      <c r="G4320" s="18"/>
      <c r="H4320" s="18"/>
    </row>
    <row r="4321" spans="1:8" ht="13.2">
      <c r="A4321" s="19" t="str">
        <f>HYPERLINK("http://codeforces.com/contest/729/problem/D","CF729-D12-D")</f>
        <v>CF729-D12-D</v>
      </c>
      <c r="B4321" s="29" t="s">
        <v>2330</v>
      </c>
      <c r="C4321" s="24">
        <v>4.5</v>
      </c>
      <c r="D4321" s="18"/>
      <c r="E4321" s="17" t="s">
        <v>2153</v>
      </c>
      <c r="F4321" s="17" t="s">
        <v>201</v>
      </c>
      <c r="G4321" s="18"/>
      <c r="H4321" s="18"/>
    </row>
    <row r="4322" spans="1:8" ht="13.2">
      <c r="A4322" s="19" t="str">
        <f>HYPERLINK("http://codeforces.com/contest/519/problem/D","CF519-D2-D")</f>
        <v>CF519-D2-D</v>
      </c>
      <c r="B4322" s="29" t="s">
        <v>2331</v>
      </c>
      <c r="C4322" s="17">
        <v>4.5</v>
      </c>
      <c r="D4322" s="18"/>
      <c r="E4322" s="17" t="s">
        <v>2153</v>
      </c>
      <c r="F4322" s="17" t="s">
        <v>201</v>
      </c>
      <c r="G4322" s="18"/>
      <c r="H4322" s="18"/>
    </row>
    <row r="4323" spans="1:8" ht="13.2">
      <c r="A4323" s="19" t="str">
        <f>HYPERLINK("http://codeforces.com/contest/486/problem/C","CF486-D2-C")</f>
        <v>CF486-D2-C</v>
      </c>
      <c r="B4323" s="29" t="s">
        <v>2332</v>
      </c>
      <c r="C4323" s="17">
        <v>4.5</v>
      </c>
      <c r="D4323" s="18"/>
      <c r="E4323" s="17" t="s">
        <v>2153</v>
      </c>
      <c r="F4323" s="17" t="s">
        <v>201</v>
      </c>
      <c r="G4323" s="18"/>
      <c r="H4323" s="18"/>
    </row>
    <row r="4324" spans="1:8" ht="13.2">
      <c r="A4324" s="15" t="s">
        <v>2333</v>
      </c>
      <c r="B4324" s="29" t="s">
        <v>2334</v>
      </c>
      <c r="C4324" s="31">
        <v>4.5</v>
      </c>
      <c r="D4324" s="18"/>
      <c r="E4324" s="17" t="s">
        <v>2153</v>
      </c>
      <c r="F4324" s="17" t="s">
        <v>201</v>
      </c>
      <c r="G4324" s="18"/>
      <c r="H4324" s="18"/>
    </row>
    <row r="4325" spans="1:8" ht="13.2">
      <c r="A4325" s="15" t="s">
        <v>2335</v>
      </c>
      <c r="B4325" s="25" t="s">
        <v>2336</v>
      </c>
      <c r="C4325" s="17">
        <v>4.5</v>
      </c>
      <c r="D4325" s="26" t="str">
        <f>HYPERLINK("https://github.com/ahmedsamir221/CompetitiveProgramming/blob/master/SPOJ/SPOJ%20KAOS.cpp","Sol")</f>
        <v>Sol</v>
      </c>
      <c r="E4325" s="17" t="s">
        <v>2153</v>
      </c>
      <c r="F4325" s="17" t="s">
        <v>201</v>
      </c>
      <c r="G4325" s="18"/>
      <c r="H4325" s="18"/>
    </row>
    <row r="4326" spans="1:8" ht="13.2">
      <c r="A4326" s="19" t="str">
        <f>HYPERLINK("https://codeforces.com/contest/1191/problem/D","CF1191-D2-D")</f>
        <v>CF1191-D2-D</v>
      </c>
      <c r="B4326" s="20" t="s">
        <v>2400</v>
      </c>
      <c r="C4326" s="17">
        <v>4.5</v>
      </c>
      <c r="D4326" s="18"/>
      <c r="E4326" s="17" t="s">
        <v>2394</v>
      </c>
      <c r="F4326" s="17" t="s">
        <v>201</v>
      </c>
      <c r="G4326" s="18"/>
      <c r="H4326" s="18"/>
    </row>
    <row r="4327" spans="1:8" ht="13.2">
      <c r="A4327" s="19" t="str">
        <f>HYPERLINK("http://codeforces.com/contest/707/problem/C","CF707-D2-C")</f>
        <v>CF707-D2-C</v>
      </c>
      <c r="B4327" s="29" t="s">
        <v>2714</v>
      </c>
      <c r="C4327" s="17">
        <v>4.5</v>
      </c>
      <c r="D4327" s="18"/>
      <c r="E4327" s="17" t="s">
        <v>2510</v>
      </c>
      <c r="F4327" s="17" t="s">
        <v>201</v>
      </c>
      <c r="G4327" s="18"/>
      <c r="H4327" s="18"/>
    </row>
    <row r="4328" spans="1:8" ht="13.2">
      <c r="A4328" s="15" t="s">
        <v>2912</v>
      </c>
      <c r="B4328" s="29" t="s">
        <v>2913</v>
      </c>
      <c r="C4328" s="17">
        <v>4.5</v>
      </c>
      <c r="D4328" s="26" t="str">
        <f>HYPERLINK("https://github.com/mostafa-saad/MyCompetitiveProgramming/blob/master/UVA/UVA_10514.txt","Sol")</f>
        <v>Sol</v>
      </c>
      <c r="E4328" s="17" t="s">
        <v>2865</v>
      </c>
      <c r="F4328" s="17" t="s">
        <v>201</v>
      </c>
      <c r="G4328" s="18"/>
      <c r="H4328" s="18"/>
    </row>
    <row r="4329" spans="1:8" ht="13.2">
      <c r="A4329" s="15" t="s">
        <v>3026</v>
      </c>
      <c r="B4329" s="29" t="s">
        <v>3027</v>
      </c>
      <c r="C4329" s="17">
        <v>4.5</v>
      </c>
      <c r="D4329" s="26" t="str">
        <f>HYPERLINK("https://github.com/AbdelrahmanRamadan/competitive-programming/blob/master/Timus/1599-Winding-Number.cpp","Sol")</f>
        <v>Sol</v>
      </c>
      <c r="E4329" s="17" t="s">
        <v>2948</v>
      </c>
      <c r="F4329" s="17" t="s">
        <v>201</v>
      </c>
      <c r="G4329" s="18"/>
      <c r="H4329" s="18"/>
    </row>
    <row r="4330" spans="1:8" ht="13.2">
      <c r="A4330" s="15" t="s">
        <v>3203</v>
      </c>
      <c r="B4330" s="28" t="s">
        <v>3204</v>
      </c>
      <c r="C4330" s="24">
        <v>4.5</v>
      </c>
      <c r="D4330" s="26" t="str">
        <f>HYPERLINK("https://github.com/mostafa-saad/MyCompetitiveProgramming/blob/master/SPOJ/SPOJ_CEPC08B.txt","Sol")</f>
        <v>Sol</v>
      </c>
      <c r="E4330" s="17" t="s">
        <v>3140</v>
      </c>
      <c r="F4330" s="17" t="s">
        <v>201</v>
      </c>
      <c r="G4330" s="18"/>
      <c r="H4330" s="18"/>
    </row>
    <row r="4331" spans="1:8" ht="13.2">
      <c r="A4331" s="15" t="s">
        <v>3413</v>
      </c>
      <c r="B4331" s="28" t="s">
        <v>3414</v>
      </c>
      <c r="C4331" s="24">
        <v>4.5</v>
      </c>
      <c r="D4331" s="18"/>
      <c r="E4331" s="24" t="s">
        <v>3257</v>
      </c>
      <c r="F4331" s="17" t="s">
        <v>201</v>
      </c>
      <c r="G4331" s="18"/>
      <c r="H4331" s="18"/>
    </row>
    <row r="4332" spans="1:8" ht="13.2">
      <c r="A4332" s="19" t="str">
        <f>HYPERLINK("http://www.spoj.com/problems/CERC07K/","SPOJ CERC07K")</f>
        <v>SPOJ CERC07K</v>
      </c>
      <c r="B4332" s="29" t="s">
        <v>3584</v>
      </c>
      <c r="C4332" s="17">
        <v>4.5</v>
      </c>
      <c r="D4332" s="18"/>
      <c r="E4332" s="17" t="s">
        <v>3467</v>
      </c>
      <c r="F4332" s="17" t="s">
        <v>201</v>
      </c>
      <c r="G4332" s="18"/>
      <c r="H4332" s="18"/>
    </row>
    <row r="4333" spans="1:8" ht="13.2">
      <c r="A4333" s="19" t="str">
        <f>HYPERLINK("http://codeforces.com/contest/676/problem/D","CF676-D2-D")</f>
        <v>CF676-D2-D</v>
      </c>
      <c r="B4333" s="29" t="s">
        <v>3488</v>
      </c>
      <c r="C4333" s="17">
        <v>4.5</v>
      </c>
      <c r="D4333" s="18"/>
      <c r="E4333" s="17" t="s">
        <v>3467</v>
      </c>
      <c r="F4333" s="17" t="s">
        <v>201</v>
      </c>
      <c r="G4333" s="18"/>
      <c r="H4333" s="18"/>
    </row>
    <row r="4334" spans="1:8" ht="13.2">
      <c r="A4334" s="15" t="s">
        <v>3749</v>
      </c>
      <c r="B4334" s="30" t="s">
        <v>3649</v>
      </c>
      <c r="C4334" s="17">
        <v>4.5</v>
      </c>
      <c r="D4334" s="18"/>
      <c r="E4334" s="17" t="s">
        <v>3650</v>
      </c>
      <c r="F4334" s="17" t="s">
        <v>201</v>
      </c>
      <c r="G4334" s="18"/>
      <c r="H4334" s="18"/>
    </row>
    <row r="4335" spans="1:8" ht="13.2">
      <c r="A4335" s="19" t="str">
        <f>HYPERLINK("http://codeforces.com/contest/144/problem/D","CF144-D2-D")</f>
        <v>CF144-D2-D</v>
      </c>
      <c r="B4335" s="15" t="s">
        <v>3791</v>
      </c>
      <c r="C4335" s="17">
        <v>4.5</v>
      </c>
      <c r="D4335" s="18"/>
      <c r="E4335" s="17" t="s">
        <v>3784</v>
      </c>
      <c r="F4335" s="17" t="s">
        <v>201</v>
      </c>
      <c r="G4335" s="18"/>
      <c r="H4335" s="18"/>
    </row>
    <row r="4336" spans="1:8" ht="13.2">
      <c r="A4336" s="19" t="str">
        <f>HYPERLINK("https://uva.onlinejudge.org/index.php?option=onlinejudge&amp;page=show_problem&amp;problem=1757","UVA 10816")</f>
        <v>UVA 10816</v>
      </c>
      <c r="B4336" s="29" t="s">
        <v>4030</v>
      </c>
      <c r="C4336" s="17">
        <v>4.5</v>
      </c>
      <c r="D4336" s="26" t="str">
        <f>HYPERLINK("https://github.com/VAMPIER000001/CompetitiveProgramming/blob/master/UVA/V-108/UVA%2010816.Cpp","Sol")</f>
        <v>Sol</v>
      </c>
      <c r="E4336" s="17" t="s">
        <v>3998</v>
      </c>
      <c r="F4336" s="17" t="s">
        <v>201</v>
      </c>
      <c r="G4336" s="18"/>
      <c r="H4336" s="18"/>
    </row>
    <row r="4337" spans="1:8" ht="13.2">
      <c r="A4337" s="15" t="s">
        <v>4134</v>
      </c>
      <c r="B4337" s="39" t="s">
        <v>4135</v>
      </c>
      <c r="C4337" s="24">
        <v>4.5</v>
      </c>
      <c r="D4337" s="26" t="str">
        <f>HYPERLINK("https://github.com/3agwa/CompetitiveProgramming/blob/master/SPOJ/SPOJ%20FASTFLOW.cpp","Sol")</f>
        <v>Sol</v>
      </c>
      <c r="E4337" s="17" t="s">
        <v>4060</v>
      </c>
      <c r="F4337" s="17" t="s">
        <v>201</v>
      </c>
      <c r="G4337" s="18"/>
      <c r="H4337" s="18"/>
    </row>
    <row r="4338" spans="1:8" ht="13.2">
      <c r="A4338" s="19" t="str">
        <f>HYPERLINK("https://uva.onlinejudge.org/index.php?option=com_onlinejudge&amp;Itemid=8&amp;page=show_problem&amp;problem=966","UVA 10025")</f>
        <v>UVA 10025</v>
      </c>
      <c r="B4338" s="29" t="s">
        <v>4637</v>
      </c>
      <c r="C4338" s="17">
        <v>4.5</v>
      </c>
      <c r="D4338" s="18"/>
      <c r="E4338" s="17" t="s">
        <v>4531</v>
      </c>
      <c r="F4338" s="17" t="s">
        <v>201</v>
      </c>
      <c r="G4338" s="18"/>
      <c r="H4338" s="18"/>
    </row>
    <row r="4339" spans="1:8" ht="13.2">
      <c r="A4339" s="19" t="str">
        <f>HYPERLINK("http://codeforces.com/contest/844/problem/D","CF844-D2-D")</f>
        <v>CF844-D2-D</v>
      </c>
      <c r="B4339" s="15" t="s">
        <v>4701</v>
      </c>
      <c r="C4339" s="17">
        <v>4.5</v>
      </c>
      <c r="D4339" s="18"/>
      <c r="E4339" s="17" t="s">
        <v>4531</v>
      </c>
      <c r="F4339" s="17" t="s">
        <v>201</v>
      </c>
      <c r="G4339" s="18"/>
      <c r="H4339" s="18"/>
    </row>
    <row r="4340" spans="1:8" ht="13.2">
      <c r="A4340" s="15" t="s">
        <v>4853</v>
      </c>
      <c r="B4340" s="15" t="s">
        <v>4808</v>
      </c>
      <c r="C4340" s="21">
        <v>4.5</v>
      </c>
      <c r="D4340" s="18"/>
      <c r="E4340" s="17" t="s">
        <v>4809</v>
      </c>
      <c r="F4340" s="17" t="s">
        <v>201</v>
      </c>
      <c r="G4340" s="18"/>
      <c r="H4340" s="18"/>
    </row>
    <row r="4341" spans="1:8" ht="13.2">
      <c r="A4341" s="19" t="str">
        <f>HYPERLINK("http://codeforces.com/contest/222/problem/E","CF222-D2-E")</f>
        <v>CF222-D2-E</v>
      </c>
      <c r="B4341" s="18" t="s">
        <v>5292</v>
      </c>
      <c r="C4341" s="17">
        <v>4.5</v>
      </c>
      <c r="D4341" s="18"/>
      <c r="E4341" s="17" t="s">
        <v>5246</v>
      </c>
      <c r="F4341" s="17" t="s">
        <v>201</v>
      </c>
      <c r="G4341" s="18"/>
      <c r="H4341" s="18"/>
    </row>
    <row r="4342" spans="1:8" ht="13.2">
      <c r="A4342" s="19" t="str">
        <f>HYPERLINK("http://codeforces.com/contest/381/problem/C","CF381-D2-C")</f>
        <v>CF381-D2-C</v>
      </c>
      <c r="B4342" s="29" t="s">
        <v>849</v>
      </c>
      <c r="C4342" s="17">
        <v>4.5</v>
      </c>
      <c r="D4342" s="18"/>
      <c r="E4342" s="17" t="s">
        <v>805</v>
      </c>
      <c r="F4342" s="17" t="s">
        <v>201</v>
      </c>
      <c r="G4342" s="18"/>
      <c r="H4342" s="18"/>
    </row>
    <row r="4343" spans="1:8" ht="13.2">
      <c r="A4343" s="19" t="str">
        <f>HYPERLINK("http://www.spoj.com/problems/DICTSUB/","SPOJ DICTSUB")</f>
        <v>SPOJ DICTSUB</v>
      </c>
      <c r="B4343" s="29" t="s">
        <v>882</v>
      </c>
      <c r="C4343" s="17">
        <v>4.5</v>
      </c>
      <c r="D4343" s="26" t="str">
        <f>HYPERLINK("https://github.com/VAMPIER000001/CompetitiveProgramming/blob/master/Spoj/SPOJ%20DICTSUB.Cpp","Sol")</f>
        <v>Sol</v>
      </c>
      <c r="E4343" s="17" t="s">
        <v>805</v>
      </c>
      <c r="F4343" s="17" t="s">
        <v>201</v>
      </c>
      <c r="G4343" s="18"/>
      <c r="H4343" s="18"/>
    </row>
    <row r="4344" spans="1:8" ht="13.2">
      <c r="A4344" s="15" t="s">
        <v>5398</v>
      </c>
      <c r="B4344" s="29" t="s">
        <v>5349</v>
      </c>
      <c r="C4344" s="24">
        <v>4.5</v>
      </c>
      <c r="D4344" s="26" t="str">
        <f>HYPERLINK("https://github.com/AhmedElsisy/CompetitiveProgramming/blob/master/UVA/UVA%201239.cpp","Sol")</f>
        <v>Sol</v>
      </c>
      <c r="E4344" s="17" t="s">
        <v>5346</v>
      </c>
      <c r="F4344" s="17" t="s">
        <v>201</v>
      </c>
      <c r="G4344" s="18"/>
      <c r="H4344" s="18"/>
    </row>
    <row r="4345" spans="1:8" ht="13.2">
      <c r="A4345" s="19" t="str">
        <f>HYPERLINK("http://codeforces.com/gym/101864/problem/A","CF101864-GYM-A")</f>
        <v>CF101864-GYM-A</v>
      </c>
      <c r="B4345" s="29" t="s">
        <v>5399</v>
      </c>
      <c r="C4345" s="17">
        <v>4.5</v>
      </c>
      <c r="D4345" s="26" t="str">
        <f>HYPERLINK("https://github.com/SpeedOfMagic/CompetitiveProgramming/blob/master/CodeforcesGym/CF101864-GYM-A.cpp","Sol")</f>
        <v>Sol</v>
      </c>
      <c r="E4345" s="17" t="s">
        <v>5346</v>
      </c>
      <c r="F4345" s="17" t="s">
        <v>201</v>
      </c>
      <c r="G4345" s="18"/>
      <c r="H4345" s="18"/>
    </row>
    <row r="4346" spans="1:8" ht="13.2">
      <c r="A4346" s="19" t="str">
        <f>HYPERLINK("https://uva.onlinejudge.org/index.php?option=onlinejudge&amp;page=show_problem&amp;problem=1425","UVA 10484")</f>
        <v>UVA 10484</v>
      </c>
      <c r="B4346" s="29" t="s">
        <v>5416</v>
      </c>
      <c r="C4346" s="17">
        <v>4.5</v>
      </c>
      <c r="D4346" s="18"/>
      <c r="E4346" s="17" t="s">
        <v>5414</v>
      </c>
      <c r="F4346" s="17" t="s">
        <v>201</v>
      </c>
      <c r="G4346" s="18"/>
      <c r="H4346" s="18"/>
    </row>
    <row r="4347" spans="1:8" ht="13.2">
      <c r="A4347" s="19" t="str">
        <f>HYPERLINK("http://codeforces.com/contest/71/problem/D","CF71-D2-D")</f>
        <v>CF71-D2-D</v>
      </c>
      <c r="B4347" s="29" t="s">
        <v>341</v>
      </c>
      <c r="C4347" s="17">
        <v>4.5</v>
      </c>
      <c r="D4347" s="18"/>
      <c r="E4347" s="17" t="s">
        <v>332</v>
      </c>
      <c r="F4347" s="17" t="s">
        <v>436</v>
      </c>
      <c r="G4347" s="18"/>
      <c r="H4347" s="18"/>
    </row>
    <row r="4348" spans="1:8" ht="13.2">
      <c r="A4348" s="19" t="str">
        <f>HYPERLINK("https://uva.onlinejudge.org/index.php?option=com_onlinejudge&amp;Itemid=8&amp;page=show_problem&amp;problem=1541","UVA 10600")</f>
        <v>UVA 10600</v>
      </c>
      <c r="B4348" s="29" t="s">
        <v>4326</v>
      </c>
      <c r="C4348" s="17">
        <v>4.5</v>
      </c>
      <c r="D4348" s="26" t="str">
        <f>HYPERLINK("https://github.com/ilyesG/Competitive-Programming/blob/master/UVA/UVA%2010600.cpp","Sol")</f>
        <v>Sol</v>
      </c>
      <c r="E4348" s="17" t="s">
        <v>4275</v>
      </c>
      <c r="F4348" s="17" t="s">
        <v>436</v>
      </c>
      <c r="G4348" s="18"/>
      <c r="H4348" s="18"/>
    </row>
    <row r="4349" spans="1:8" ht="13.2">
      <c r="A4349" s="19" t="str">
        <f>HYPERLINK("http://codeforces.com/contest/157/problem/D","CF157-D2-D")</f>
        <v>CF157-D2-D</v>
      </c>
      <c r="B4349" s="29" t="s">
        <v>124</v>
      </c>
      <c r="C4349" s="17">
        <v>4.5</v>
      </c>
      <c r="D4349" s="18"/>
      <c r="E4349" s="17" t="s">
        <v>125</v>
      </c>
      <c r="F4349" s="17" t="s">
        <v>242</v>
      </c>
      <c r="G4349" s="18"/>
      <c r="H4349" s="18"/>
    </row>
    <row r="4350" spans="1:8" ht="13.2">
      <c r="A4350" s="19" t="str">
        <f>HYPERLINK("http://codeforces.com/contest/1042/problem/C","CF1042-D2-C")</f>
        <v>CF1042-D2-C</v>
      </c>
      <c r="B4350" s="20" t="s">
        <v>267</v>
      </c>
      <c r="C4350" s="21">
        <v>4.5</v>
      </c>
      <c r="D4350" s="18"/>
      <c r="E4350" s="17" t="s">
        <v>125</v>
      </c>
      <c r="F4350" s="17" t="s">
        <v>242</v>
      </c>
      <c r="G4350" s="18"/>
      <c r="H4350" s="18"/>
    </row>
    <row r="4351" spans="1:8" ht="13.2">
      <c r="A4351" s="19" t="str">
        <f>HYPERLINK("http://codeforces.com/contest/808/problem/D","CF808-D12-D")</f>
        <v>CF808-D12-D</v>
      </c>
      <c r="B4351" s="29" t="s">
        <v>268</v>
      </c>
      <c r="C4351" s="17">
        <v>4.5</v>
      </c>
      <c r="D4351" s="18"/>
      <c r="E4351" s="17" t="s">
        <v>125</v>
      </c>
      <c r="F4351" s="17" t="s">
        <v>242</v>
      </c>
      <c r="G4351" s="18"/>
      <c r="H4351" s="18"/>
    </row>
    <row r="4352" spans="1:8" ht="13.2">
      <c r="A4352" s="19" t="str">
        <f>HYPERLINK("http://codeforces.com/contest/276/problem/D","CF276-D2-D")</f>
        <v>CF276-D2-D</v>
      </c>
      <c r="B4352" s="29" t="s">
        <v>6142</v>
      </c>
      <c r="C4352" s="17">
        <v>4.5</v>
      </c>
      <c r="D4352" s="18" t="s">
        <v>6143</v>
      </c>
      <c r="E4352" s="17" t="s">
        <v>6118</v>
      </c>
      <c r="F4352" s="17" t="s">
        <v>242</v>
      </c>
      <c r="G4352" s="18"/>
      <c r="H4352" s="18"/>
    </row>
    <row r="4353" spans="1:8" ht="13.2">
      <c r="A4353" s="19" t="str">
        <f>HYPERLINK("http://codeforces.com/contest/454/problem/C","CF454-D2-C")</f>
        <v>CF454-D2-C</v>
      </c>
      <c r="B4353" s="29" t="s">
        <v>6303</v>
      </c>
      <c r="C4353" s="17">
        <v>4.5</v>
      </c>
      <c r="D4353" s="18"/>
      <c r="E4353" s="17" t="s">
        <v>6275</v>
      </c>
      <c r="F4353" s="17" t="s">
        <v>242</v>
      </c>
      <c r="G4353" s="18"/>
      <c r="H4353" s="18"/>
    </row>
    <row r="4354" spans="1:8" ht="13.2">
      <c r="A4354" s="19" t="str">
        <f>HYPERLINK("http://www.spoj.com/problems/LITE/","SPOJ LITE")</f>
        <v>SPOJ LITE</v>
      </c>
      <c r="B4354" s="29" t="s">
        <v>1208</v>
      </c>
      <c r="C4354" s="17">
        <v>4.5</v>
      </c>
      <c r="D4354" s="18"/>
      <c r="E4354" s="17" t="s">
        <v>1018</v>
      </c>
      <c r="F4354" s="17" t="s">
        <v>242</v>
      </c>
      <c r="G4354" s="18"/>
      <c r="H4354" s="18"/>
    </row>
    <row r="4355" spans="1:8" ht="13.2">
      <c r="A4355" s="19" t="str">
        <f>HYPERLINK("http://codeforces.com/contest/706/problem/C","CF706-D2-C")</f>
        <v>CF706-D2-C</v>
      </c>
      <c r="B4355" s="29" t="s">
        <v>1348</v>
      </c>
      <c r="C4355" s="17">
        <v>4.5</v>
      </c>
      <c r="D4355" s="18"/>
      <c r="E4355" s="17" t="s">
        <v>1337</v>
      </c>
      <c r="F4355" s="17" t="s">
        <v>242</v>
      </c>
      <c r="G4355" s="18"/>
      <c r="H4355" s="18"/>
    </row>
    <row r="4356" spans="1:8" ht="13.2">
      <c r="A4356" s="19" t="str">
        <f>HYPERLINK("https://www.facebook.com/hackercup/problem/1632703893518337/", "FbHkrCup 18-RQ-A")</f>
        <v>FbHkrCup 18-RQ-A</v>
      </c>
      <c r="B4356" s="20" t="s">
        <v>1348</v>
      </c>
      <c r="C4356" s="21">
        <v>4.5</v>
      </c>
      <c r="D4356" s="26" t="str">
        <f>HYPERLINK("https://github.com/SpeedOfMagic/CompetitiveProgramming/blob/master/FbHkrCup/FbHkrCup%2018-Tourist.cpp","ACC")</f>
        <v>ACC</v>
      </c>
      <c r="E4356" s="17" t="s">
        <v>1337</v>
      </c>
      <c r="F4356" s="17" t="s">
        <v>242</v>
      </c>
      <c r="G4356" s="18"/>
      <c r="H4356" s="18"/>
    </row>
    <row r="4357" spans="1:8" ht="13.2">
      <c r="A4357" s="19" t="str">
        <f>HYPERLINK("http://codeforces.com/contest/430/problem/D","CF430-D2-D")</f>
        <v>CF430-D2-D</v>
      </c>
      <c r="B4357" s="29" t="s">
        <v>1618</v>
      </c>
      <c r="C4357" s="17">
        <v>4.5</v>
      </c>
      <c r="D4357" s="18"/>
      <c r="E4357" s="17" t="s">
        <v>1337</v>
      </c>
      <c r="F4357" s="17" t="s">
        <v>242</v>
      </c>
      <c r="G4357" s="18"/>
      <c r="H4357" s="18"/>
    </row>
    <row r="4358" spans="1:8" ht="13.2">
      <c r="A4358" s="19" t="str">
        <f>HYPERLINK("http://codeforces.com/contest/365/problem/C","CF365-D2-C")</f>
        <v>CF365-D2-C</v>
      </c>
      <c r="B4358" s="29" t="s">
        <v>389</v>
      </c>
      <c r="C4358" s="17">
        <v>4.5</v>
      </c>
      <c r="D4358" s="18"/>
      <c r="E4358" s="17" t="s">
        <v>332</v>
      </c>
      <c r="F4358" s="17" t="s">
        <v>242</v>
      </c>
      <c r="G4358" s="18"/>
      <c r="H4358" s="18"/>
    </row>
    <row r="4359" spans="1:8" ht="13.2">
      <c r="A4359" s="15" t="s">
        <v>2068</v>
      </c>
      <c r="B4359" s="29" t="s">
        <v>2069</v>
      </c>
      <c r="C4359" s="24">
        <v>4.5</v>
      </c>
      <c r="D4359" s="26" t="str">
        <f>HYPERLINK("https://github.com/mostafa-saad/MyCompetitiveProgramming/blob/master/PKU/PKU_3071.txt","Sol")</f>
        <v>Sol</v>
      </c>
      <c r="E4359" s="17" t="s">
        <v>2026</v>
      </c>
      <c r="F4359" s="17" t="s">
        <v>242</v>
      </c>
      <c r="G4359" s="18"/>
      <c r="H4359" s="18"/>
    </row>
    <row r="4360" spans="1:8" ht="13.2">
      <c r="A4360" s="19" t="str">
        <f>HYPERLINK("http://codeforces.com/contest/584/problem/C","CF584-D2-C")</f>
        <v>CF584-D2-C</v>
      </c>
      <c r="B4360" s="29" t="s">
        <v>2337</v>
      </c>
      <c r="C4360" s="17">
        <v>4.5</v>
      </c>
      <c r="D4360" s="18"/>
      <c r="E4360" s="17" t="s">
        <v>2153</v>
      </c>
      <c r="F4360" s="17" t="s">
        <v>242</v>
      </c>
      <c r="G4360" s="18"/>
      <c r="H4360" s="18"/>
    </row>
    <row r="4361" spans="1:8" ht="13.2">
      <c r="A4361" s="19" t="str">
        <f>HYPERLINK("http://codeforces.com/contest/735/problem/C","CF735-D2-C")</f>
        <v>CF735-D2-C</v>
      </c>
      <c r="B4361" s="29" t="s">
        <v>2338</v>
      </c>
      <c r="C4361" s="17">
        <v>4.5</v>
      </c>
      <c r="D4361" s="18"/>
      <c r="E4361" s="17" t="s">
        <v>2153</v>
      </c>
      <c r="F4361" s="17" t="s">
        <v>242</v>
      </c>
      <c r="G4361" s="18"/>
      <c r="H4361" s="18"/>
    </row>
    <row r="4362" spans="1:8" ht="13.2">
      <c r="A4362" s="19" t="str">
        <f>HYPERLINK("http://www.spoj.com/problems/PIR/","SPOJ PIR")</f>
        <v>SPOJ PIR</v>
      </c>
      <c r="B4362" s="29" t="s">
        <v>2715</v>
      </c>
      <c r="C4362" s="17">
        <v>4.5</v>
      </c>
      <c r="D4362" s="26" t="str">
        <f>HYPERLINK("https://github.com/mostafa-saad/MyCompetitiveProgramming/blob/master/SPOJ/SPOJ_PIR.txt","Sol")</f>
        <v>Sol</v>
      </c>
      <c r="E4362" s="17" t="s">
        <v>2510</v>
      </c>
      <c r="F4362" s="17" t="s">
        <v>242</v>
      </c>
      <c r="G4362" s="18"/>
      <c r="H4362" s="18"/>
    </row>
    <row r="4363" spans="1:8" ht="13.2">
      <c r="A4363" s="15" t="s">
        <v>3028</v>
      </c>
      <c r="B4363" s="29" t="s">
        <v>3029</v>
      </c>
      <c r="C4363" s="17">
        <v>4.5</v>
      </c>
      <c r="D4363" s="26" t="str">
        <f>HYPERLINK("https://github.com/mostafa-saad/MyCompetitiveProgramming/blob/master/LiveArchive/LiveArchive_5108.txt","Sol")</f>
        <v>Sol</v>
      </c>
      <c r="E4363" s="17" t="s">
        <v>2948</v>
      </c>
      <c r="F4363" s="17" t="s">
        <v>242</v>
      </c>
      <c r="G4363" s="18"/>
      <c r="H4363" s="18"/>
    </row>
    <row r="4364" spans="1:8" ht="13.2">
      <c r="A4364" s="19" t="str">
        <f>HYPERLINK("acm.tju.edu.cn/toj/showp1011.html","TJU 1011")</f>
        <v>TJU 1011</v>
      </c>
      <c r="B4364" s="29" t="s">
        <v>3129</v>
      </c>
      <c r="C4364" s="17">
        <v>4.5</v>
      </c>
      <c r="D4364" s="26" t="str">
        <f>HYPERLINK("https://github.com/MedoN11/CompetitiveProgramming/blob/master/TJU/1011.cpp","Sol")</f>
        <v>Sol</v>
      </c>
      <c r="E4364" s="17" t="s">
        <v>3130</v>
      </c>
      <c r="F4364" s="17" t="s">
        <v>242</v>
      </c>
      <c r="G4364" s="18"/>
      <c r="H4364" s="18"/>
    </row>
    <row r="4365" spans="1:8" ht="13.2">
      <c r="A4365" s="19" t="str">
        <f>HYPERLINK("http://codeforces.com/contest/1000/problem/C","CF1000-D12-C")</f>
        <v>CF1000-D12-C</v>
      </c>
      <c r="B4365" s="15" t="s">
        <v>3139</v>
      </c>
      <c r="C4365" s="17">
        <v>4.5</v>
      </c>
      <c r="D4365" s="18"/>
      <c r="E4365" s="17" t="s">
        <v>3140</v>
      </c>
      <c r="F4365" s="17" t="s">
        <v>242</v>
      </c>
      <c r="G4365" s="18"/>
      <c r="H4365" s="18"/>
    </row>
    <row r="4366" spans="1:8" ht="13.2">
      <c r="A4366" s="19" t="str">
        <f>HYPERLINK("http://www.spoj.com/problems/QUEEN/","SPOJ QUEEN")</f>
        <v>SPOJ QUEEN</v>
      </c>
      <c r="B4366" s="29" t="s">
        <v>3466</v>
      </c>
      <c r="C4366" s="17">
        <v>4.5</v>
      </c>
      <c r="D4366" s="18"/>
      <c r="E4366" s="17" t="s">
        <v>3467</v>
      </c>
      <c r="F4366" s="17" t="s">
        <v>242</v>
      </c>
      <c r="G4366" s="18"/>
      <c r="H4366" s="18"/>
    </row>
    <row r="4367" spans="1:8" ht="13.2">
      <c r="A4367" s="19" t="str">
        <f>HYPERLINK("http://codeforces.com/contest/378/problem/C","CF378-D2-C")</f>
        <v>CF378-D2-C</v>
      </c>
      <c r="B4367" s="29" t="s">
        <v>3750</v>
      </c>
      <c r="C4367" s="17">
        <v>4.5</v>
      </c>
      <c r="D4367" s="18"/>
      <c r="E4367" s="17" t="s">
        <v>3650</v>
      </c>
      <c r="F4367" s="17" t="s">
        <v>242</v>
      </c>
      <c r="G4367" s="18"/>
      <c r="H4367" s="18"/>
    </row>
    <row r="4368" spans="1:8" ht="13.2">
      <c r="A4368" s="19" t="str">
        <f>HYPERLINK("https://uva.onlinejudge.org/index.php?option=onlinejudge&amp;page=show_problem&amp;problem=1054","UVA 10113")</f>
        <v>UVA 10113</v>
      </c>
      <c r="B4368" s="29" t="s">
        <v>3682</v>
      </c>
      <c r="C4368" s="17">
        <v>4.5</v>
      </c>
      <c r="D4368" s="18"/>
      <c r="E4368" s="17" t="s">
        <v>3650</v>
      </c>
      <c r="F4368" s="17" t="s">
        <v>242</v>
      </c>
      <c r="G4368" s="18"/>
      <c r="H4368" s="18"/>
    </row>
    <row r="4369" spans="1:8" ht="13.2">
      <c r="A4369" s="15" t="s">
        <v>3854</v>
      </c>
      <c r="B4369" s="30" t="s">
        <v>3855</v>
      </c>
      <c r="C4369" s="31">
        <v>4.5</v>
      </c>
      <c r="D4369" s="18"/>
      <c r="E4369" s="17" t="s">
        <v>3784</v>
      </c>
      <c r="F4369" s="17" t="s">
        <v>242</v>
      </c>
      <c r="G4369" s="18"/>
      <c r="H4369" s="18"/>
    </row>
    <row r="4370" spans="1:8" ht="13.2">
      <c r="A4370" s="19" t="str">
        <f>HYPERLINK("https://uva.onlinejudge.org/index.php?option=onlinejudge&amp;page=show_problem&amp;problem=2499","UVA 11504")</f>
        <v>UVA 11504</v>
      </c>
      <c r="B4370" s="29" t="s">
        <v>4366</v>
      </c>
      <c r="C4370" s="17">
        <v>4.5</v>
      </c>
      <c r="D4370" s="26" t="str">
        <f>HYPERLINK("https://github.com/mostafa-saad/MyCompetitiveProgramming/blob/master/UVA/UVA_11504.txt","Sol")</f>
        <v>Sol</v>
      </c>
      <c r="E4370" s="17" t="s">
        <v>4344</v>
      </c>
      <c r="F4370" s="17" t="s">
        <v>242</v>
      </c>
      <c r="G4370" s="18"/>
      <c r="H4370" s="18"/>
    </row>
    <row r="4371" spans="1:8" ht="13.2">
      <c r="A4371" s="15" t="s">
        <v>5293</v>
      </c>
      <c r="B4371" s="18" t="s">
        <v>5294</v>
      </c>
      <c r="C4371" s="33">
        <v>4.5</v>
      </c>
      <c r="D4371" s="26" t="str">
        <f>HYPERLINK("https://github.com/mostafa-saad/MyCompetitiveProgramming/blob/master/SPOJ/SPOJ_SUMSUMS.txt","Sol.")</f>
        <v>Sol.</v>
      </c>
      <c r="E4371" s="17" t="s">
        <v>5246</v>
      </c>
      <c r="F4371" s="17" t="s">
        <v>242</v>
      </c>
      <c r="G4371" s="18"/>
      <c r="H4371" s="18"/>
    </row>
    <row r="4372" spans="1:8" ht="13.2">
      <c r="A4372" s="19" t="str">
        <f>HYPERLINK("http://codeforces.com/contest/732/problem/D","CF732-D2-D")</f>
        <v>CF732-D2-D</v>
      </c>
      <c r="B4372" s="29" t="s">
        <v>814</v>
      </c>
      <c r="C4372" s="17">
        <v>4.5</v>
      </c>
      <c r="D4372" s="18"/>
      <c r="E4372" s="17" t="s">
        <v>805</v>
      </c>
      <c r="F4372" s="17" t="s">
        <v>242</v>
      </c>
      <c r="G4372" s="18"/>
      <c r="H4372" s="18"/>
    </row>
    <row r="4373" spans="1:8" ht="13.2">
      <c r="A4373" s="19" t="str">
        <f>HYPERLINK("http://codeforces.com/contest/237/problem/C","CF237-D2-C")</f>
        <v>CF237-D2-C</v>
      </c>
      <c r="B4373" s="18" t="s">
        <v>883</v>
      </c>
      <c r="C4373" s="17">
        <v>4.5</v>
      </c>
      <c r="D4373" s="18"/>
      <c r="E4373" s="17" t="s">
        <v>805</v>
      </c>
      <c r="F4373" s="17" t="s">
        <v>242</v>
      </c>
      <c r="G4373" s="18"/>
      <c r="H4373" s="18"/>
    </row>
    <row r="4374" spans="1:8" ht="13.2">
      <c r="A4374" s="15" t="s">
        <v>884</v>
      </c>
      <c r="B4374" s="29" t="s">
        <v>885</v>
      </c>
      <c r="C4374" s="24">
        <v>4.5</v>
      </c>
      <c r="D4374" s="18"/>
      <c r="E4374" s="17" t="s">
        <v>805</v>
      </c>
      <c r="F4374" s="17" t="s">
        <v>242</v>
      </c>
      <c r="G4374" s="18"/>
      <c r="H4374" s="18"/>
    </row>
    <row r="4375" spans="1:8" ht="13.2">
      <c r="A4375" s="15" t="s">
        <v>5464</v>
      </c>
      <c r="B4375" s="30" t="s">
        <v>5422</v>
      </c>
      <c r="C4375" s="24">
        <v>4.5</v>
      </c>
      <c r="D4375" s="18"/>
      <c r="E4375" s="17" t="s">
        <v>5414</v>
      </c>
      <c r="F4375" s="17" t="s">
        <v>242</v>
      </c>
      <c r="G4375" s="18"/>
      <c r="H4375" s="18"/>
    </row>
    <row r="4376" spans="1:8" ht="13.2">
      <c r="A4376" s="19" t="str">
        <f>HYPERLINK("https://agc005.contest.atcoder.jp/tasks/agc005_a","AtCoder005-AGC-A")</f>
        <v>AtCoder005-AGC-A</v>
      </c>
      <c r="B4376" s="15" t="s">
        <v>124</v>
      </c>
      <c r="C4376" s="17">
        <v>4.5</v>
      </c>
      <c r="D4376" s="18"/>
      <c r="E4376" s="17" t="s">
        <v>125</v>
      </c>
      <c r="F4376" s="17"/>
      <c r="G4376" s="18"/>
      <c r="H4376" s="18"/>
    </row>
    <row r="4377" spans="1:8" ht="13.2">
      <c r="A4377" s="19" t="str">
        <f>HYPERLINK("http://codeforces.com/contest/298/problem/D","CF298-D2-D")</f>
        <v>CF298-D2-D</v>
      </c>
      <c r="B4377" s="29" t="s">
        <v>124</v>
      </c>
      <c r="C4377" s="17">
        <v>4.5</v>
      </c>
      <c r="D4377" s="18"/>
      <c r="E4377" s="17" t="s">
        <v>125</v>
      </c>
      <c r="F4377" s="17"/>
      <c r="G4377" s="18"/>
      <c r="H4377" s="18"/>
    </row>
    <row r="4378" spans="1:8" ht="13.2">
      <c r="A4378" s="19" t="str">
        <f>HYPERLINK("http://codeforces.com/contest/353/problem/D","CF353-D2-D")</f>
        <v>CF353-D2-D</v>
      </c>
      <c r="B4378" s="29" t="s">
        <v>124</v>
      </c>
      <c r="C4378" s="17">
        <v>4.5</v>
      </c>
      <c r="D4378" s="18"/>
      <c r="E4378" s="17" t="s">
        <v>125</v>
      </c>
      <c r="F4378" s="17"/>
      <c r="G4378" s="18"/>
      <c r="H4378" s="18"/>
    </row>
    <row r="4379" spans="1:8" ht="13.2">
      <c r="A4379" s="19" t="str">
        <f>HYPERLINK("http://codeforces.com/contest/124/problem/C","CF124-D2-C")</f>
        <v>CF124-D2-C</v>
      </c>
      <c r="B4379" s="29" t="s">
        <v>138</v>
      </c>
      <c r="C4379" s="17">
        <v>4.5</v>
      </c>
      <c r="D4379" s="18"/>
      <c r="E4379" s="17" t="s">
        <v>125</v>
      </c>
      <c r="F4379" s="17"/>
      <c r="G4379" s="18"/>
      <c r="H4379" s="18"/>
    </row>
    <row r="4380" spans="1:8" ht="13.2">
      <c r="A4380" s="19" t="str">
        <f>HYPERLINK("http://codeforces.com/contest/493/problem/D","CF493-D2-D")</f>
        <v>CF493-D2-D</v>
      </c>
      <c r="B4380" s="29" t="s">
        <v>138</v>
      </c>
      <c r="C4380" s="17">
        <v>4.5</v>
      </c>
      <c r="D4380" s="18"/>
      <c r="E4380" s="17" t="s">
        <v>125</v>
      </c>
      <c r="F4380" s="17"/>
      <c r="G4380" s="18"/>
      <c r="H4380" s="18"/>
    </row>
    <row r="4381" spans="1:8" ht="13.2">
      <c r="A4381" s="15" t="s">
        <v>269</v>
      </c>
      <c r="B4381" s="18" t="s">
        <v>270</v>
      </c>
      <c r="C4381" s="24">
        <v>4.5</v>
      </c>
      <c r="D4381" s="26" t="str">
        <f>HYPERLINK("https://ideone.com/wPylKR","Sol")</f>
        <v>Sol</v>
      </c>
      <c r="E4381" s="17" t="s">
        <v>125</v>
      </c>
      <c r="F4381" s="17"/>
      <c r="G4381" s="18"/>
      <c r="H4381" s="18"/>
    </row>
    <row r="4382" spans="1:8" ht="13.2">
      <c r="A4382" s="15" t="s">
        <v>271</v>
      </c>
      <c r="B4382" s="29" t="s">
        <v>245</v>
      </c>
      <c r="C4382" s="17">
        <v>4.5</v>
      </c>
      <c r="D4382" s="26" t="str">
        <f>HYPERLINK("https://github.com/arvindr9/CompetitiveProgramming/blob/master/UVA/UVA%201726.cpp","Sol")</f>
        <v>Sol</v>
      </c>
      <c r="E4382" s="17" t="s">
        <v>125</v>
      </c>
      <c r="F4382" s="17"/>
      <c r="G4382" s="18"/>
      <c r="H4382" s="18"/>
    </row>
    <row r="4383" spans="1:8" ht="13.2">
      <c r="A4383" s="19" t="str">
        <f>HYPERLINK("http://codeforces.com/contest/195/problem/C","CF195-D2-C")</f>
        <v>CF195-D2-C</v>
      </c>
      <c r="B4383" s="29" t="s">
        <v>272</v>
      </c>
      <c r="C4383" s="17">
        <v>4.5</v>
      </c>
      <c r="D4383" s="18"/>
      <c r="E4383" s="17" t="s">
        <v>125</v>
      </c>
      <c r="F4383" s="17"/>
      <c r="G4383" s="18"/>
      <c r="H4383" s="18"/>
    </row>
    <row r="4384" spans="1:8" ht="13.2">
      <c r="A4384" s="19" t="str">
        <f>HYPERLINK("http://codeforces.com/contest/59/problem/C","CF59-D2-C")</f>
        <v>CF59-D2-C</v>
      </c>
      <c r="B4384" s="29" t="s">
        <v>272</v>
      </c>
      <c r="C4384" s="17">
        <v>4.5</v>
      </c>
      <c r="D4384" s="18"/>
      <c r="E4384" s="17" t="s">
        <v>125</v>
      </c>
      <c r="F4384" s="17"/>
      <c r="G4384" s="18"/>
      <c r="H4384" s="18"/>
    </row>
    <row r="4385" spans="1:8" ht="13.2">
      <c r="A4385" s="15" t="s">
        <v>273</v>
      </c>
      <c r="B4385" s="35" t="s">
        <v>274</v>
      </c>
      <c r="C4385" s="24">
        <v>4.5</v>
      </c>
      <c r="D4385" s="18"/>
      <c r="E4385" s="17" t="s">
        <v>125</v>
      </c>
      <c r="F4385" s="17"/>
      <c r="G4385" s="18"/>
      <c r="H4385" s="18"/>
    </row>
    <row r="4386" spans="1:8" ht="13.2">
      <c r="A4386" s="15" t="s">
        <v>5738</v>
      </c>
      <c r="B4386" s="28" t="s">
        <v>5739</v>
      </c>
      <c r="C4386" s="24">
        <v>4.5</v>
      </c>
      <c r="D4386" s="18" t="s">
        <v>5740</v>
      </c>
      <c r="E4386" s="17" t="s">
        <v>5702</v>
      </c>
      <c r="F4386" s="17"/>
      <c r="G4386" s="18"/>
      <c r="H4386" s="18"/>
    </row>
    <row r="4387" spans="1:8" ht="13.2">
      <c r="A4387" s="15" t="s">
        <v>5741</v>
      </c>
      <c r="B4387" s="28" t="s">
        <v>5742</v>
      </c>
      <c r="C4387" s="24">
        <v>4.5</v>
      </c>
      <c r="D4387" s="18"/>
      <c r="E4387" s="17" t="s">
        <v>5702</v>
      </c>
      <c r="F4387" s="17"/>
      <c r="G4387" s="18"/>
      <c r="H4387" s="18"/>
    </row>
    <row r="4388" spans="1:8" ht="13.2">
      <c r="A4388" s="19" t="str">
        <f>HYPERLINK("http://codeforces.com/contest/435/problem/C","CF435-D2-C")</f>
        <v>CF435-D2-C</v>
      </c>
      <c r="B4388" s="18" t="s">
        <v>5961</v>
      </c>
      <c r="C4388" s="17">
        <v>4.5</v>
      </c>
      <c r="D4388" s="18"/>
      <c r="E4388" s="17" t="s">
        <v>5958</v>
      </c>
      <c r="F4388" s="17"/>
      <c r="G4388" s="18"/>
      <c r="H4388" s="18"/>
    </row>
    <row r="4389" spans="1:8" ht="13.2">
      <c r="A4389" s="19" t="str">
        <f>HYPERLINK("http://codeforces.com/contest/586/problem/C","CF586-D2-C")</f>
        <v>CF586-D2-C</v>
      </c>
      <c r="B4389" s="29" t="s">
        <v>5961</v>
      </c>
      <c r="C4389" s="17">
        <v>4.5</v>
      </c>
      <c r="D4389" s="18"/>
      <c r="E4389" s="17" t="s">
        <v>5958</v>
      </c>
      <c r="F4389" s="17"/>
      <c r="G4389" s="18"/>
      <c r="H4389" s="18"/>
    </row>
    <row r="4390" spans="1:8" ht="13.2">
      <c r="A4390" s="15" t="s">
        <v>6000</v>
      </c>
      <c r="B4390" s="29" t="s">
        <v>5970</v>
      </c>
      <c r="C4390" s="24">
        <v>4.5</v>
      </c>
      <c r="D4390" s="18"/>
      <c r="E4390" s="24" t="s">
        <v>5958</v>
      </c>
      <c r="F4390" s="17"/>
      <c r="G4390" s="18"/>
      <c r="H4390" s="18"/>
    </row>
    <row r="4391" spans="1:8" ht="13.2">
      <c r="A4391" s="19" t="str">
        <f>HYPERLINK("http://codeforces.com/contest/168/problem/C","CF168-D2-C")</f>
        <v>CF168-D2-C</v>
      </c>
      <c r="B4391" s="29" t="s">
        <v>6001</v>
      </c>
      <c r="C4391" s="17">
        <v>4.5</v>
      </c>
      <c r="D4391" s="18"/>
      <c r="E4391" s="17" t="s">
        <v>5958</v>
      </c>
      <c r="F4391" s="17"/>
      <c r="G4391" s="18"/>
      <c r="H4391" s="18"/>
    </row>
    <row r="4392" spans="1:8" ht="13.2">
      <c r="A4392" s="19" t="str">
        <f>HYPERLINK("http://codeforces.com/contest/469/problem/C","CF469-D2-C")</f>
        <v>CF469-D2-C</v>
      </c>
      <c r="B4392" s="29" t="s">
        <v>5959</v>
      </c>
      <c r="C4392" s="17">
        <v>4.5</v>
      </c>
      <c r="D4392" s="18"/>
      <c r="E4392" s="17" t="s">
        <v>5958</v>
      </c>
      <c r="F4392" s="17"/>
      <c r="G4392" s="18"/>
      <c r="H4392" s="18"/>
    </row>
    <row r="4393" spans="1:8" ht="13.2">
      <c r="A4393" s="19" t="str">
        <f>HYPERLINK("http://codeforces.com/contest/746/problem/C","CF746-D2-C")</f>
        <v>CF746-D2-C</v>
      </c>
      <c r="B4393" s="29" t="s">
        <v>5959</v>
      </c>
      <c r="C4393" s="17">
        <v>4.5</v>
      </c>
      <c r="D4393" s="18"/>
      <c r="E4393" s="17" t="s">
        <v>5958</v>
      </c>
      <c r="F4393" s="17"/>
      <c r="G4393" s="18"/>
      <c r="H4393" s="18"/>
    </row>
    <row r="4394" spans="1:8" ht="13.2">
      <c r="A4394" s="15" t="s">
        <v>6002</v>
      </c>
      <c r="B4394" s="30" t="s">
        <v>6003</v>
      </c>
      <c r="C4394" s="24">
        <v>4.5</v>
      </c>
      <c r="D4394" s="18"/>
      <c r="E4394" s="17" t="s">
        <v>5958</v>
      </c>
      <c r="F4394" s="17"/>
      <c r="G4394" s="18"/>
      <c r="H4394" s="18"/>
    </row>
    <row r="4395" spans="1:8" ht="13.2">
      <c r="A4395" s="19" t="str">
        <f>HYPERLINK("https://codeforces.com/contest/1282/problem/C","CF1282-D2-C")</f>
        <v>CF1282-D2-C</v>
      </c>
      <c r="B4395" s="20" t="s">
        <v>6004</v>
      </c>
      <c r="C4395" s="21">
        <v>4.5</v>
      </c>
      <c r="D4395" s="18"/>
      <c r="E4395" s="17" t="s">
        <v>5958</v>
      </c>
      <c r="F4395" s="17"/>
      <c r="G4395" s="18"/>
      <c r="H4395" s="18"/>
    </row>
    <row r="4396" spans="1:8" ht="13.2">
      <c r="A4396" s="19" t="str">
        <f>HYPERLINK("http://codeforces.com/contest/421/problem/C","CF421-D2-C")</f>
        <v>CF421-D2-C</v>
      </c>
      <c r="B4396" s="29" t="s">
        <v>6005</v>
      </c>
      <c r="C4396" s="24">
        <v>4.5</v>
      </c>
      <c r="D4396" s="18"/>
      <c r="E4396" s="17" t="s">
        <v>5958</v>
      </c>
      <c r="F4396" s="17"/>
      <c r="G4396" s="18"/>
      <c r="H4396" s="18"/>
    </row>
    <row r="4397" spans="1:8" ht="13.2">
      <c r="A4397" s="19" t="str">
        <f>HYPERLINK("http://codeforces.com/contest/382/problem/C","CF382-D2-C")</f>
        <v>CF382-D2-C</v>
      </c>
      <c r="B4397" s="18" t="s">
        <v>6006</v>
      </c>
      <c r="C4397" s="17">
        <v>4.5</v>
      </c>
      <c r="D4397" s="18"/>
      <c r="E4397" s="17" t="s">
        <v>5958</v>
      </c>
      <c r="F4397" s="17"/>
      <c r="G4397" s="18"/>
      <c r="H4397" s="18"/>
    </row>
    <row r="4398" spans="1:8" ht="13.2">
      <c r="A4398" s="15" t="s">
        <v>6064</v>
      </c>
      <c r="B4398" s="18" t="s">
        <v>6054</v>
      </c>
      <c r="C4398" s="17">
        <v>4.5</v>
      </c>
      <c r="D4398" s="26" t="str">
        <f>HYPERLINK("https://ideone.com/8udwfm","Sol")</f>
        <v>Sol</v>
      </c>
      <c r="E4398" s="17" t="s">
        <v>6040</v>
      </c>
      <c r="F4398" s="17"/>
      <c r="G4398" s="18"/>
      <c r="H4398" s="18"/>
    </row>
    <row r="4399" spans="1:8" ht="13.2">
      <c r="A4399" s="19" t="str">
        <f>HYPERLINK("http://codeforces.com/contest/155/problem/C","CF155-D2-C")</f>
        <v>CF155-D2-C</v>
      </c>
      <c r="B4399" s="29" t="s">
        <v>6065</v>
      </c>
      <c r="C4399" s="17">
        <v>4.5</v>
      </c>
      <c r="D4399" s="18"/>
      <c r="E4399" s="17" t="s">
        <v>6040</v>
      </c>
      <c r="F4399" s="17"/>
      <c r="G4399" s="18"/>
      <c r="H4399" s="18"/>
    </row>
    <row r="4400" spans="1:8" ht="13.2">
      <c r="A4400" s="19" t="str">
        <f>HYPERLINK("https://uva.onlinejudge.org/index.php?option=com_onlinejudge&amp;Itemid=8&amp;page=show_problem&amp;problem=52","UVA 116")</f>
        <v>UVA 116</v>
      </c>
      <c r="B4400" s="29" t="s">
        <v>6074</v>
      </c>
      <c r="C4400" s="17">
        <v>4.5</v>
      </c>
      <c r="D4400" s="18"/>
      <c r="E4400" s="17" t="s">
        <v>6075</v>
      </c>
      <c r="F4400" s="17"/>
      <c r="G4400" s="18"/>
      <c r="H4400" s="18"/>
    </row>
    <row r="4401" spans="1:8" ht="13.2">
      <c r="A4401" s="19" t="str">
        <f>HYPERLINK("http://codeforces.com/contest/56/problem/D","CF56-D2-D")</f>
        <v>CF56-D2-D</v>
      </c>
      <c r="B4401" s="29" t="s">
        <v>6092</v>
      </c>
      <c r="C4401" s="17">
        <v>4.5</v>
      </c>
      <c r="D4401" s="18"/>
      <c r="E4401" s="17" t="s">
        <v>6075</v>
      </c>
      <c r="F4401" s="17"/>
      <c r="G4401" s="18"/>
      <c r="H4401" s="18"/>
    </row>
    <row r="4402" spans="1:8" ht="13.2">
      <c r="A4402" s="15" t="s">
        <v>6144</v>
      </c>
      <c r="B4402" s="30" t="s">
        <v>6145</v>
      </c>
      <c r="C4402" s="40">
        <v>4.5</v>
      </c>
      <c r="D4402" s="18"/>
      <c r="E4402" s="17" t="s">
        <v>6118</v>
      </c>
      <c r="F4402" s="17"/>
      <c r="G4402" s="18"/>
      <c r="H4402" s="18"/>
    </row>
    <row r="4403" spans="1:8" ht="13.2">
      <c r="A4403" s="19" t="str">
        <f>HYPERLINK("http://codeforces.com/contest/318/problem/D","CF318-D2-D")</f>
        <v>CF318-D2-D</v>
      </c>
      <c r="B4403" s="18" t="s">
        <v>6181</v>
      </c>
      <c r="C4403" s="17">
        <v>4.5</v>
      </c>
      <c r="D4403" s="18"/>
      <c r="E4403" s="17" t="s">
        <v>6169</v>
      </c>
      <c r="F4403" s="17"/>
      <c r="G4403" s="18"/>
      <c r="H4403" s="18"/>
    </row>
    <row r="4404" spans="1:8" ht="13.2">
      <c r="A4404" s="19" t="str">
        <f>HYPERLINK("http://codeforces.com/gym/100093/problem/E","CF100093-GYM-E")</f>
        <v>CF100093-GYM-E</v>
      </c>
      <c r="B4404" s="20" t="s">
        <v>1013</v>
      </c>
      <c r="C4404" s="21">
        <v>4.5</v>
      </c>
      <c r="D4404" s="26" t="str">
        <f>HYPERLINK("https://github.com/SpeedOfMagic/CompetitiveProgramming/blob/master/CodeforcesGym/CF100093-GYM-E.cpp","Sol")</f>
        <v>Sol</v>
      </c>
      <c r="E4404" s="17" t="s">
        <v>997</v>
      </c>
      <c r="F4404" s="17"/>
      <c r="G4404" s="18"/>
      <c r="H4404" s="18"/>
    </row>
    <row r="4405" spans="1:8" ht="13.2">
      <c r="A4405" s="15" t="s">
        <v>1209</v>
      </c>
      <c r="B4405" s="28" t="s">
        <v>1210</v>
      </c>
      <c r="C4405" s="24">
        <v>4.5</v>
      </c>
      <c r="D4405" s="26" t="str">
        <f>HYPERLINK("https://github.com/mostafa-saad/MyCompetitiveProgramming/blob/master/Timus/TIMUS_1724.txt","Sol. Don't implement as ad-hoc/greedy/Pure STL. Use a data structure.")</f>
        <v>Sol. Don't implement as ad-hoc/greedy/Pure STL. Use a data structure.</v>
      </c>
      <c r="E4405" s="17" t="s">
        <v>1018</v>
      </c>
      <c r="F4405" s="17"/>
      <c r="G4405" s="18"/>
      <c r="H4405" s="18"/>
    </row>
    <row r="4406" spans="1:8" ht="13.2">
      <c r="A4406" s="19" t="str">
        <f>HYPERLINK("http://codeforces.com/contest/52/problem/C","CF52-D12-C")</f>
        <v>CF52-D12-C</v>
      </c>
      <c r="B4406" s="29" t="s">
        <v>1211</v>
      </c>
      <c r="C4406" s="17">
        <v>4.5</v>
      </c>
      <c r="D4406" s="18"/>
      <c r="E4406" s="17" t="s">
        <v>1018</v>
      </c>
      <c r="F4406" s="17"/>
      <c r="G4406" s="18"/>
      <c r="H4406" s="18"/>
    </row>
    <row r="4407" spans="1:8" ht="13.2">
      <c r="A4407" s="19" t="str">
        <f>HYPERLINK("https://codingcompetitions.withgoogle.com/kickstart/round/0000000000050edd/00000000001a274e","Kickstart 19-RH-A")</f>
        <v>Kickstart 19-RH-A</v>
      </c>
      <c r="B4407" s="20" t="s">
        <v>1222</v>
      </c>
      <c r="C4407" s="21">
        <v>4.5</v>
      </c>
      <c r="D4407" s="26" t="str">
        <f>HYPERLINK("https://github.com/farmerboy95/CompetitiveProgramming/blob/master/Google%20Kickstart/Kickstart%2019-RH-A.cpp","Sl")</f>
        <v>Sl</v>
      </c>
      <c r="E4407" s="17" t="s">
        <v>1223</v>
      </c>
      <c r="F4407" s="17"/>
      <c r="G4407" s="18"/>
      <c r="H4407" s="18"/>
    </row>
    <row r="4408" spans="1:8" ht="13.2">
      <c r="A4408" s="15" t="s">
        <v>1313</v>
      </c>
      <c r="B4408" s="15" t="s">
        <v>1302</v>
      </c>
      <c r="C4408" s="24">
        <v>4.5</v>
      </c>
      <c r="D4408" s="18"/>
      <c r="E4408" s="17" t="s">
        <v>1223</v>
      </c>
      <c r="F4408" s="17"/>
      <c r="G4408" s="18"/>
      <c r="H4408" s="18"/>
    </row>
    <row r="4409" spans="1:8" ht="13.2">
      <c r="A4409" s="15" t="s">
        <v>1314</v>
      </c>
      <c r="B4409" s="29" t="s">
        <v>1315</v>
      </c>
      <c r="C4409" s="24">
        <v>4.5</v>
      </c>
      <c r="D4409" s="26" t="str">
        <f>HYPERLINK("https://github.com/mostafa-saad/MyCompetitiveProgramming/blob/master/TopCoder/SRM234-D1-1000.txt","Sol")</f>
        <v>Sol</v>
      </c>
      <c r="E4409" s="17" t="s">
        <v>1223</v>
      </c>
      <c r="F4409" s="17"/>
      <c r="G4409" s="18"/>
      <c r="H4409" s="18"/>
    </row>
    <row r="4410" spans="1:8" ht="13.2">
      <c r="A4410" s="19" t="str">
        <f>HYPERLINK("http://codeforces.com/contest/358/problem/D","CF358-D2-D")</f>
        <v>CF358-D2-D</v>
      </c>
      <c r="B4410" s="29" t="s">
        <v>1348</v>
      </c>
      <c r="C4410" s="17">
        <v>4.5</v>
      </c>
      <c r="D4410" s="18"/>
      <c r="E4410" s="17" t="s">
        <v>1337</v>
      </c>
      <c r="F4410" s="17"/>
      <c r="G4410" s="18"/>
      <c r="H4410" s="18"/>
    </row>
    <row r="4411" spans="1:8" ht="13.2">
      <c r="A4411" s="19" t="str">
        <f>HYPERLINK("http://codeforces.com/contest/408/problem/D","CF408-D2-D")</f>
        <v>CF408-D2-D</v>
      </c>
      <c r="B4411" s="29" t="s">
        <v>1348</v>
      </c>
      <c r="C4411" s="17">
        <v>4.5</v>
      </c>
      <c r="D4411" s="18"/>
      <c r="E4411" s="17" t="s">
        <v>1337</v>
      </c>
      <c r="F4411" s="17"/>
      <c r="G4411" s="18"/>
      <c r="H4411" s="18"/>
    </row>
    <row r="4412" spans="1:8" ht="13.2">
      <c r="A4412" s="19" t="str">
        <f>HYPERLINK("http://codeforces.com/contest/456/problem/C","CF456-D2-C")</f>
        <v>CF456-D2-C</v>
      </c>
      <c r="B4412" s="29" t="s">
        <v>1348</v>
      </c>
      <c r="C4412" s="17">
        <v>4.5</v>
      </c>
      <c r="D4412" s="18"/>
      <c r="E4412" s="17" t="s">
        <v>1337</v>
      </c>
      <c r="F4412" s="17"/>
      <c r="G4412" s="18"/>
      <c r="H4412" s="18"/>
    </row>
    <row r="4413" spans="1:8" ht="13.2">
      <c r="A4413" s="19" t="str">
        <f>HYPERLINK("http://codeforces.com/contest/682/problem/D","CF682-D2-D")</f>
        <v>CF682-D2-D</v>
      </c>
      <c r="B4413" s="18" t="s">
        <v>1348</v>
      </c>
      <c r="C4413" s="17">
        <v>4.5</v>
      </c>
      <c r="D4413" s="18"/>
      <c r="E4413" s="17" t="s">
        <v>1337</v>
      </c>
      <c r="F4413" s="17"/>
      <c r="G4413" s="18"/>
      <c r="H4413" s="18"/>
    </row>
    <row r="4414" spans="1:8" ht="13.2">
      <c r="A4414" s="19" t="str">
        <f>HYPERLINK("http://codeforces.com/contest/711/problem/C","CF711-D2-C")</f>
        <v>CF711-D2-C</v>
      </c>
      <c r="B4414" s="29" t="s">
        <v>1348</v>
      </c>
      <c r="C4414" s="17">
        <v>4.5</v>
      </c>
      <c r="D4414" s="18"/>
      <c r="E4414" s="17" t="s">
        <v>1337</v>
      </c>
      <c r="F4414" s="17"/>
      <c r="G4414" s="18"/>
      <c r="H4414" s="18"/>
    </row>
    <row r="4415" spans="1:8" ht="13.2">
      <c r="A4415" s="15" t="s">
        <v>1619</v>
      </c>
      <c r="B4415" s="18" t="s">
        <v>1348</v>
      </c>
      <c r="C4415" s="17">
        <v>4.5</v>
      </c>
      <c r="D4415" s="26" t="str">
        <f>HYPERLINK("https://github.com/Maverick10/Competitive-Programming/blob/master/Solutions/World%20Finals/2017%20-%20F.cpp","Sol")</f>
        <v>Sol</v>
      </c>
      <c r="E4415" s="17" t="s">
        <v>1337</v>
      </c>
      <c r="F4415" s="17"/>
      <c r="G4415" s="18"/>
      <c r="H4415" s="18"/>
    </row>
    <row r="4416" spans="1:8" ht="13.2">
      <c r="A4416" s="19" t="str">
        <f>HYPERLINK("https://uva.onlinejudge.org/index.php?option=com_onlinejudge&amp;Itemid=8&amp;page=show_problem&amp;problem=1558","UVA 10617")</f>
        <v>UVA 10617</v>
      </c>
      <c r="B4416" s="29" t="s">
        <v>1348</v>
      </c>
      <c r="C4416" s="17">
        <v>4.5</v>
      </c>
      <c r="D4416" s="18"/>
      <c r="E4416" s="17" t="s">
        <v>1337</v>
      </c>
      <c r="F4416" s="17"/>
      <c r="G4416" s="18"/>
      <c r="H4416" s="18"/>
    </row>
    <row r="4417" spans="1:8" ht="13.2">
      <c r="A4417" s="19" t="str">
        <f>HYPERLINK("https://uva.onlinejudge.org/index.php?option=onlinejudge&amp;page=show_problem&amp;problem=548","UVA 607")</f>
        <v>UVA 607</v>
      </c>
      <c r="B4417" s="29" t="s">
        <v>1348</v>
      </c>
      <c r="C4417" s="17">
        <v>4.5</v>
      </c>
      <c r="D4417" s="26" t="str">
        <f>HYPERLINK("https://github.com/MichaelMounir12/CompetitiveProgramming/blob/69c0dba2b0b29083ebad94dfd18be25dcf903235/UVA/UVA_607.cpp","Sol")</f>
        <v>Sol</v>
      </c>
      <c r="E4417" s="17" t="s">
        <v>1337</v>
      </c>
      <c r="F4417" s="17"/>
      <c r="G4417" s="18"/>
      <c r="H4417" s="18"/>
    </row>
    <row r="4418" spans="1:8" ht="13.2">
      <c r="A4418" s="15" t="s">
        <v>1620</v>
      </c>
      <c r="B4418" s="16" t="s">
        <v>1541</v>
      </c>
      <c r="C4418" s="24">
        <v>4.5</v>
      </c>
      <c r="D4418" s="18"/>
      <c r="E4418" s="17" t="s">
        <v>1337</v>
      </c>
      <c r="F4418" s="17"/>
      <c r="G4418" s="18"/>
      <c r="H4418" s="18"/>
    </row>
    <row r="4419" spans="1:8" ht="13.2">
      <c r="A4419" s="19" t="str">
        <f>HYPERLINK("https://www.codechef.com/problems/TACNTSTR","CODECHEF TACNTSTR")</f>
        <v>CODECHEF TACNTSTR</v>
      </c>
      <c r="B4419" s="15" t="s">
        <v>1543</v>
      </c>
      <c r="C4419" s="24">
        <v>4.5</v>
      </c>
      <c r="D4419" s="18"/>
      <c r="E4419" s="17" t="s">
        <v>1337</v>
      </c>
      <c r="F4419" s="17"/>
      <c r="G4419" s="18"/>
      <c r="H4419" s="18"/>
    </row>
    <row r="4420" spans="1:8" ht="13.2">
      <c r="A4420" s="19" t="str">
        <f>HYPERLINK("https://atcoder.jp/contests/abc119/tasks/abc119_c","AtCoder119-ABC-C")</f>
        <v>AtCoder119-ABC-C</v>
      </c>
      <c r="B4420" s="20" t="s">
        <v>1621</v>
      </c>
      <c r="C4420" s="21">
        <v>4.5</v>
      </c>
      <c r="D4420" s="18"/>
      <c r="E4420" s="17" t="s">
        <v>1337</v>
      </c>
      <c r="F4420" s="17"/>
      <c r="G4420" s="18"/>
      <c r="H4420" s="18"/>
    </row>
    <row r="4421" spans="1:8" ht="13.2">
      <c r="A4421" s="19" t="str">
        <f>HYPERLINK("http://codeforces.com/contest/792/problem/C","CF792-D2-C")</f>
        <v>CF792-D2-C</v>
      </c>
      <c r="B4421" s="29" t="s">
        <v>1622</v>
      </c>
      <c r="C4421" s="17">
        <v>4.5</v>
      </c>
      <c r="D4421" s="18"/>
      <c r="E4421" s="17" t="s">
        <v>1337</v>
      </c>
      <c r="F4421" s="17"/>
      <c r="G4421" s="18"/>
      <c r="H4421" s="18"/>
    </row>
    <row r="4422" spans="1:8" ht="13.2">
      <c r="A4422" s="15" t="s">
        <v>1623</v>
      </c>
      <c r="B4422" s="28" t="s">
        <v>1354</v>
      </c>
      <c r="C4422" s="24">
        <v>4.5</v>
      </c>
      <c r="D4422" s="26" t="str">
        <f>HYPERLINK("http://ideone.com/HN1fLp","Sol")</f>
        <v>Sol</v>
      </c>
      <c r="E4422" s="17" t="s">
        <v>1337</v>
      </c>
      <c r="F4422" s="17"/>
      <c r="G4422" s="18"/>
      <c r="H4422" s="18"/>
    </row>
    <row r="4423" spans="1:8" ht="13.2">
      <c r="A4423" s="19" t="str">
        <f>HYPERLINK("http://codeforces.com/contest/4/problem/D","CF4-D2-D")</f>
        <v>CF4-D2-D</v>
      </c>
      <c r="B4423" s="18" t="s">
        <v>1624</v>
      </c>
      <c r="C4423" s="17">
        <v>4.5</v>
      </c>
      <c r="D4423" s="18"/>
      <c r="E4423" s="17" t="s">
        <v>1337</v>
      </c>
      <c r="F4423" s="17"/>
      <c r="G4423" s="18"/>
      <c r="H4423" s="18"/>
    </row>
    <row r="4424" spans="1:8" ht="13.2">
      <c r="A4424" s="19" t="str">
        <f>HYPERLINK("http://codeforces.com/contest/496/problem/C","CF496-D2-C")</f>
        <v>CF496-D2-C</v>
      </c>
      <c r="B4424" s="29" t="s">
        <v>359</v>
      </c>
      <c r="C4424" s="17">
        <v>4.5</v>
      </c>
      <c r="D4424" s="18"/>
      <c r="E4424" s="17" t="s">
        <v>332</v>
      </c>
      <c r="F4424" s="17"/>
      <c r="G4424" s="18"/>
      <c r="H4424" s="18"/>
    </row>
    <row r="4425" spans="1:8" ht="13.2">
      <c r="A4425" s="15" t="s">
        <v>437</v>
      </c>
      <c r="B4425" s="15" t="s">
        <v>359</v>
      </c>
      <c r="C4425" s="17">
        <v>4.5</v>
      </c>
      <c r="D4425" s="18"/>
      <c r="E4425" s="17" t="s">
        <v>332</v>
      </c>
      <c r="F4425" s="17"/>
      <c r="G4425" s="18"/>
      <c r="H4425" s="18"/>
    </row>
    <row r="4426" spans="1:8" ht="13.2">
      <c r="A4426" s="19" t="str">
        <f>HYPERLINK("http://codeforces.com/contest/192/problem/D","CF192-D2-D")</f>
        <v>CF192-D2-D</v>
      </c>
      <c r="B4426" s="18" t="s">
        <v>438</v>
      </c>
      <c r="C4426" s="17">
        <v>4.5</v>
      </c>
      <c r="D4426" s="18"/>
      <c r="E4426" s="17" t="s">
        <v>332</v>
      </c>
      <c r="F4426" s="17"/>
      <c r="G4426" s="18"/>
      <c r="H4426" s="18"/>
    </row>
    <row r="4427" spans="1:8" ht="13.2">
      <c r="A4427" s="15" t="s">
        <v>439</v>
      </c>
      <c r="B4427" s="29" t="s">
        <v>384</v>
      </c>
      <c r="C4427" s="24">
        <v>4.5</v>
      </c>
      <c r="D4427" s="18"/>
      <c r="E4427" s="24" t="s">
        <v>332</v>
      </c>
      <c r="F4427" s="17"/>
      <c r="G4427" s="18"/>
      <c r="H4427" s="18"/>
    </row>
    <row r="4428" spans="1:8" ht="13.2">
      <c r="A4428" s="19" t="str">
        <f>HYPERLINK("http://codeforces.com/contest/526/problem/C","CF526-D12-C")</f>
        <v>CF526-D12-C</v>
      </c>
      <c r="B4428" s="29" t="s">
        <v>440</v>
      </c>
      <c r="C4428" s="24">
        <v>4.5</v>
      </c>
      <c r="D4428" s="18"/>
      <c r="E4428" s="17" t="s">
        <v>332</v>
      </c>
      <c r="F4428" s="17"/>
      <c r="G4428" s="18"/>
      <c r="H4428" s="18"/>
    </row>
    <row r="4429" spans="1:8" ht="13.2">
      <c r="A4429" s="15" t="s">
        <v>441</v>
      </c>
      <c r="B4429" s="30" t="s">
        <v>341</v>
      </c>
      <c r="C4429" s="24">
        <v>4.5</v>
      </c>
      <c r="D4429" s="18"/>
      <c r="E4429" s="17" t="s">
        <v>332</v>
      </c>
      <c r="F4429" s="17"/>
      <c r="G4429" s="18"/>
      <c r="H4429" s="18"/>
    </row>
    <row r="4430" spans="1:8" ht="13.2">
      <c r="A4430" s="15" t="s">
        <v>442</v>
      </c>
      <c r="B4430" s="28" t="s">
        <v>443</v>
      </c>
      <c r="C4430" s="24">
        <v>4.5</v>
      </c>
      <c r="D4430" s="26" t="str">
        <f>HYPERLINK("https://ideone.com/ODyk54","sol")</f>
        <v>sol</v>
      </c>
      <c r="E4430" s="17" t="s">
        <v>332</v>
      </c>
      <c r="F4430" s="17"/>
      <c r="G4430" s="18"/>
      <c r="H4430" s="18"/>
    </row>
    <row r="4431" spans="1:8" ht="13.2">
      <c r="A4431" s="19" t="str">
        <f>HYPERLINK("https://agc004.contest.atcoder.jp/tasks/agc004_b","AtCoder004-AGC-B")</f>
        <v>AtCoder004-AGC-B</v>
      </c>
      <c r="B4431" s="15" t="s">
        <v>444</v>
      </c>
      <c r="C4431" s="17">
        <v>4.5</v>
      </c>
      <c r="D4431" s="18"/>
      <c r="E4431" s="17" t="s">
        <v>332</v>
      </c>
      <c r="F4431" s="17"/>
      <c r="G4431" s="18"/>
      <c r="H4431" s="18"/>
    </row>
    <row r="4432" spans="1:8" ht="13.2">
      <c r="A4432" s="15" t="s">
        <v>1881</v>
      </c>
      <c r="B4432" s="18" t="s">
        <v>1818</v>
      </c>
      <c r="C4432" s="33">
        <v>4.5</v>
      </c>
      <c r="D4432" s="18"/>
      <c r="E4432" s="17" t="s">
        <v>1819</v>
      </c>
      <c r="F4432" s="17"/>
      <c r="G4432" s="18"/>
      <c r="H4432" s="18"/>
    </row>
    <row r="4433" spans="1:8" ht="13.2">
      <c r="A4433" s="15" t="s">
        <v>1882</v>
      </c>
      <c r="B4433" s="30" t="s">
        <v>1818</v>
      </c>
      <c r="C4433" s="17">
        <v>4.5</v>
      </c>
      <c r="D4433" s="18"/>
      <c r="E4433" s="17" t="s">
        <v>1819</v>
      </c>
      <c r="F4433" s="17"/>
      <c r="G4433" s="18"/>
      <c r="H4433" s="18"/>
    </row>
    <row r="4434" spans="1:8" ht="13.2">
      <c r="A4434" s="19" t="str">
        <f>HYPERLINK("https://uva.onlinejudge.org/index.php?option=com_onlinejudge&amp;Itemid=8&amp;page=show_problem&amp;problem=1205","UVA 10264")</f>
        <v>UVA 10264</v>
      </c>
      <c r="B4434" s="29" t="s">
        <v>1883</v>
      </c>
      <c r="C4434" s="17">
        <v>4.5</v>
      </c>
      <c r="D4434" s="26" t="str">
        <f>HYPERLINK("https://github.com/SaraElkadi/competitive-programming-/blob/master/UVA/10264.cpp","sol")</f>
        <v>sol</v>
      </c>
      <c r="E4434" s="17" t="s">
        <v>1819</v>
      </c>
      <c r="F4434" s="17"/>
      <c r="G4434" s="18"/>
      <c r="H4434" s="18"/>
    </row>
    <row r="4435" spans="1:8" ht="13.2">
      <c r="A4435" s="15" t="s">
        <v>1884</v>
      </c>
      <c r="B4435" s="30" t="s">
        <v>1885</v>
      </c>
      <c r="C4435" s="24">
        <v>4.5</v>
      </c>
      <c r="D4435" s="18"/>
      <c r="E4435" s="17" t="s">
        <v>1819</v>
      </c>
      <c r="F4435" s="17"/>
      <c r="G4435" s="18"/>
      <c r="H4435" s="18"/>
    </row>
    <row r="4436" spans="1:8" ht="13.2">
      <c r="A4436" s="15" t="s">
        <v>1886</v>
      </c>
      <c r="B4436" s="28" t="s">
        <v>1853</v>
      </c>
      <c r="C4436" s="24">
        <v>4.5</v>
      </c>
      <c r="D4436" s="18"/>
      <c r="E4436" s="17" t="s">
        <v>1819</v>
      </c>
      <c r="F4436" s="17"/>
      <c r="G4436" s="18"/>
      <c r="H4436" s="18"/>
    </row>
    <row r="4437" spans="1:8" ht="13.2">
      <c r="A4437" s="15" t="s">
        <v>1975</v>
      </c>
      <c r="B4437" s="29" t="s">
        <v>1976</v>
      </c>
      <c r="C4437" s="33">
        <v>4.5</v>
      </c>
      <c r="D4437" s="18"/>
      <c r="E4437" s="17" t="s">
        <v>1909</v>
      </c>
      <c r="F4437" s="17"/>
      <c r="G4437" s="18"/>
      <c r="H4437" s="18"/>
    </row>
    <row r="4438" spans="1:8" ht="13.2">
      <c r="A4438" s="15" t="s">
        <v>1977</v>
      </c>
      <c r="B4438" s="29" t="s">
        <v>1978</v>
      </c>
      <c r="C4438" s="24">
        <v>4.5</v>
      </c>
      <c r="D4438" s="18"/>
      <c r="E4438" s="17" t="s">
        <v>1909</v>
      </c>
      <c r="F4438" s="17"/>
      <c r="G4438" s="18"/>
      <c r="H4438" s="18"/>
    </row>
    <row r="4439" spans="1:8" ht="13.2">
      <c r="A4439" s="19" t="str">
        <f>HYPERLINK("https://uva.onlinejudge.org/index.php?option=com_onlinejudge&amp;Itemid=8&amp;page=show_problem&amp;problem=1519","UVA 10578")</f>
        <v>UVA 10578</v>
      </c>
      <c r="B4439" s="29" t="s">
        <v>2004</v>
      </c>
      <c r="C4439" s="17">
        <v>4.5</v>
      </c>
      <c r="D4439" s="26" t="str">
        <f>HYPERLINK("https://github.com/abdullaAshraf/Problem-Solving/blob/master/UVA/10578.cpp","Sol")</f>
        <v>Sol</v>
      </c>
      <c r="E4439" s="17" t="s">
        <v>1989</v>
      </c>
      <c r="F4439" s="17"/>
      <c r="G4439" s="18"/>
      <c r="H4439" s="18"/>
    </row>
    <row r="4440" spans="1:8" ht="13.2">
      <c r="A4440" s="15" t="s">
        <v>2010</v>
      </c>
      <c r="B4440" s="29" t="s">
        <v>2011</v>
      </c>
      <c r="C4440" s="17">
        <v>4.5</v>
      </c>
      <c r="D4440" s="26" t="str">
        <f>HYPERLINK("https://github.com/SaraElkadi/competitive-programming-/blob/master/UVA/10536.cpp","Sol")</f>
        <v>Sol</v>
      </c>
      <c r="E4440" s="17" t="s">
        <v>1989</v>
      </c>
      <c r="F4440" s="17"/>
      <c r="G4440" s="18"/>
      <c r="H4440" s="18"/>
    </row>
    <row r="4441" spans="1:8" ht="13.2">
      <c r="A4441" s="19" t="str">
        <f>HYPERLINK("http://codeforces.com/contest/168/problem/D","CF168-D2-D")</f>
        <v>CF168-D2-D</v>
      </c>
      <c r="B4441" s="29" t="s">
        <v>2025</v>
      </c>
      <c r="C4441" s="17">
        <v>4.5</v>
      </c>
      <c r="D4441" s="18"/>
      <c r="E4441" s="17" t="s">
        <v>2026</v>
      </c>
      <c r="F4441" s="17"/>
      <c r="G4441" s="18"/>
      <c r="H4441" s="18"/>
    </row>
    <row r="4442" spans="1:8" ht="13.2">
      <c r="A4442" s="15" t="s">
        <v>2147</v>
      </c>
      <c r="B4442" s="29" t="s">
        <v>2148</v>
      </c>
      <c r="C4442" s="17">
        <v>4.5</v>
      </c>
      <c r="D4442" s="18"/>
      <c r="E4442" s="17" t="s">
        <v>2113</v>
      </c>
      <c r="F4442" s="17"/>
      <c r="G4442" s="18"/>
      <c r="H4442" s="18"/>
    </row>
    <row r="4443" spans="1:8" ht="13.2">
      <c r="A4443" s="19" t="str">
        <f>HYPERLINK("http://codeforces.com/contest/230/problem/C","CF230-D2-C")</f>
        <v>CF230-D2-C</v>
      </c>
      <c r="B4443" s="18" t="s">
        <v>2163</v>
      </c>
      <c r="C4443" s="17">
        <v>4.5</v>
      </c>
      <c r="D4443" s="18"/>
      <c r="E4443" s="17" t="s">
        <v>2153</v>
      </c>
      <c r="F4443" s="17"/>
      <c r="G4443" s="18"/>
      <c r="H4443" s="18"/>
    </row>
    <row r="4444" spans="1:8" ht="13.2">
      <c r="A4444" s="19" t="str">
        <f>HYPERLINK("http://codeforces.com/contest/234/problem/H","CF234-D2-H")</f>
        <v>CF234-D2-H</v>
      </c>
      <c r="B4444" s="29" t="s">
        <v>2163</v>
      </c>
      <c r="C4444" s="24">
        <v>4.5</v>
      </c>
      <c r="D4444" s="18"/>
      <c r="E4444" s="17" t="s">
        <v>2153</v>
      </c>
      <c r="F4444" s="17"/>
      <c r="G4444" s="18"/>
      <c r="H4444" s="18"/>
    </row>
    <row r="4445" spans="1:8" ht="13.2">
      <c r="A4445" s="19" t="str">
        <f>HYPERLINK("http://codeforces.com/contest/384/problem/C","CF384-D2-C")</f>
        <v>CF384-D2-C</v>
      </c>
      <c r="B4445" s="18" t="s">
        <v>2163</v>
      </c>
      <c r="C4445" s="17">
        <v>4.5</v>
      </c>
      <c r="D4445" s="18"/>
      <c r="E4445" s="17" t="s">
        <v>2153</v>
      </c>
      <c r="F4445" s="17"/>
      <c r="G4445" s="18"/>
      <c r="H4445" s="18"/>
    </row>
    <row r="4446" spans="1:8" ht="13.2">
      <c r="A4446" s="19" t="str">
        <f>HYPERLINK("http://codeforces.com/contest/508/problem/C","CF508-D2-C")</f>
        <v>CF508-D2-C</v>
      </c>
      <c r="B4446" s="29" t="s">
        <v>2163</v>
      </c>
      <c r="C4446" s="17">
        <v>4.5</v>
      </c>
      <c r="D4446" s="18"/>
      <c r="E4446" s="17" t="s">
        <v>2153</v>
      </c>
      <c r="F4446" s="17"/>
      <c r="G4446" s="18"/>
      <c r="H4446" s="18"/>
    </row>
    <row r="4447" spans="1:8" ht="13.2">
      <c r="A4447" s="19" t="str">
        <f>HYPERLINK("http://codeforces.com/contest/720/problem/A","CF720-D1-A")</f>
        <v>CF720-D1-A</v>
      </c>
      <c r="B4447" s="18" t="s">
        <v>2163</v>
      </c>
      <c r="C4447" s="17">
        <v>4.5</v>
      </c>
      <c r="D4447" s="18"/>
      <c r="E4447" s="17" t="s">
        <v>2153</v>
      </c>
      <c r="F4447" s="17"/>
      <c r="G4447" s="18"/>
      <c r="H4447" s="18"/>
    </row>
    <row r="4448" spans="1:8" ht="13.2">
      <c r="A4448" s="19" t="str">
        <f>HYPERLINK("http://codeforces.com/contest/721/problem/D","CF721-D2-D")</f>
        <v>CF721-D2-D</v>
      </c>
      <c r="B4448" s="18" t="s">
        <v>2163</v>
      </c>
      <c r="C4448" s="17">
        <v>4.5</v>
      </c>
      <c r="D4448" s="18"/>
      <c r="E4448" s="17" t="s">
        <v>2153</v>
      </c>
      <c r="F4448" s="17"/>
      <c r="G4448" s="18"/>
      <c r="H4448" s="18"/>
    </row>
    <row r="4449" spans="1:8" ht="13.2">
      <c r="A4449" s="19" t="str">
        <f>HYPERLINK("http://codeforces.com/contest/723/problem/C","CF723-D2-C")</f>
        <v>CF723-D2-C</v>
      </c>
      <c r="B4449" s="18" t="s">
        <v>2163</v>
      </c>
      <c r="C4449" s="17">
        <v>4.5</v>
      </c>
      <c r="D4449" s="18"/>
      <c r="E4449" s="17" t="s">
        <v>2153</v>
      </c>
      <c r="F4449" s="17"/>
      <c r="G4449" s="18"/>
      <c r="H4449" s="18"/>
    </row>
    <row r="4450" spans="1:8" ht="13.2">
      <c r="A4450" s="19" t="str">
        <f>HYPERLINK("http://codeforces.com/contest/898/problem/D","CF898-D2-D")</f>
        <v>CF898-D2-D</v>
      </c>
      <c r="B4450" s="18" t="s">
        <v>2163</v>
      </c>
      <c r="C4450" s="17">
        <v>4.5</v>
      </c>
      <c r="D4450" s="18"/>
      <c r="E4450" s="17" t="s">
        <v>2153</v>
      </c>
      <c r="F4450" s="17"/>
      <c r="G4450" s="18"/>
      <c r="H4450" s="18"/>
    </row>
    <row r="4451" spans="1:8" ht="13.2">
      <c r="A4451" s="19" t="str">
        <f>HYPERLINK("http://codeforces.com/contest/92/problem/C","CF92-D2-C")</f>
        <v>CF92-D2-C</v>
      </c>
      <c r="B4451" s="18" t="s">
        <v>2163</v>
      </c>
      <c r="C4451" s="17">
        <v>4.5</v>
      </c>
      <c r="D4451" s="18"/>
      <c r="E4451" s="17" t="s">
        <v>2153</v>
      </c>
      <c r="F4451" s="17"/>
      <c r="G4451" s="18"/>
      <c r="H4451" s="18"/>
    </row>
    <row r="4452" spans="1:8" ht="13.2">
      <c r="A4452" s="19" t="str">
        <f>HYPERLINK("http://codeforces.com/contest/985/problem/C","CF985-D12-C")</f>
        <v>CF985-D12-C</v>
      </c>
      <c r="B4452" s="15" t="s">
        <v>2163</v>
      </c>
      <c r="C4452" s="17">
        <v>4.5</v>
      </c>
      <c r="D4452" s="18"/>
      <c r="E4452" s="17" t="s">
        <v>2153</v>
      </c>
      <c r="F4452" s="17"/>
      <c r="G4452" s="18"/>
      <c r="H4452" s="18"/>
    </row>
    <row r="4453" spans="1:8" ht="13.2">
      <c r="A4453" s="15" t="s">
        <v>2339</v>
      </c>
      <c r="B4453" s="16" t="s">
        <v>2232</v>
      </c>
      <c r="C4453" s="24">
        <v>4.5</v>
      </c>
      <c r="D4453" s="18"/>
      <c r="E4453" s="17" t="s">
        <v>2153</v>
      </c>
      <c r="F4453" s="17"/>
      <c r="G4453" s="18"/>
      <c r="H4453" s="18"/>
    </row>
    <row r="4454" spans="1:8" ht="13.2">
      <c r="A4454" s="15" t="s">
        <v>2340</v>
      </c>
      <c r="B4454" s="28" t="s">
        <v>2341</v>
      </c>
      <c r="C4454" s="24">
        <v>4.5</v>
      </c>
      <c r="D4454" s="18"/>
      <c r="E4454" s="17" t="s">
        <v>2153</v>
      </c>
      <c r="F4454" s="17"/>
      <c r="G4454" s="18"/>
      <c r="H4454" s="18"/>
    </row>
    <row r="4455" spans="1:8" ht="13.2">
      <c r="A4455" s="19" t="str">
        <f>HYPERLINK("http://codeforces.com/contest/148/problem/C","CF148-D2-C")</f>
        <v>CF148-D2-C</v>
      </c>
      <c r="B4455" s="29" t="s">
        <v>2203</v>
      </c>
      <c r="C4455" s="17">
        <v>4.5</v>
      </c>
      <c r="D4455" s="18"/>
      <c r="E4455" s="17" t="s">
        <v>2153</v>
      </c>
      <c r="F4455" s="17"/>
      <c r="G4455" s="18"/>
      <c r="H4455" s="18"/>
    </row>
    <row r="4456" spans="1:8" ht="13.2">
      <c r="A4456" s="19" t="str">
        <f>HYPERLINK("http://codeforces.com/contest/287/problem/C","CF287-D2-C")</f>
        <v>CF287-D2-C</v>
      </c>
      <c r="B4456" s="29" t="s">
        <v>2203</v>
      </c>
      <c r="C4456" s="17">
        <v>4.5</v>
      </c>
      <c r="D4456" s="18"/>
      <c r="E4456" s="17" t="s">
        <v>2153</v>
      </c>
      <c r="F4456" s="17"/>
      <c r="G4456" s="18"/>
      <c r="H4456" s="18"/>
    </row>
    <row r="4457" spans="1:8" ht="13.2">
      <c r="A4457" s="15" t="s">
        <v>2342</v>
      </c>
      <c r="B4457" s="30" t="s">
        <v>2181</v>
      </c>
      <c r="C4457" s="24">
        <v>4.5</v>
      </c>
      <c r="D4457" s="18"/>
      <c r="E4457" s="17" t="s">
        <v>2153</v>
      </c>
      <c r="F4457" s="17"/>
      <c r="G4457" s="18"/>
      <c r="H4457" s="18"/>
    </row>
    <row r="4458" spans="1:8" ht="13.2">
      <c r="A4458" s="19" t="str">
        <f>HYPERLINK("http://codeforces.com/contest/371/problem/D","CF371-D2-D")</f>
        <v>CF371-D2-D</v>
      </c>
      <c r="B4458" s="18" t="s">
        <v>2343</v>
      </c>
      <c r="C4458" s="17">
        <v>4.5</v>
      </c>
      <c r="D4458" s="18"/>
      <c r="E4458" s="17" t="s">
        <v>2153</v>
      </c>
      <c r="F4458" s="17"/>
      <c r="G4458" s="18"/>
      <c r="H4458" s="18"/>
    </row>
    <row r="4459" spans="1:8" ht="13.2">
      <c r="A4459" s="19" t="str">
        <f>HYPERLINK("http://codeforces.com/contest/260/problem/C","CF260-D2-C")</f>
        <v>CF260-D2-C</v>
      </c>
      <c r="B4459" s="29" t="s">
        <v>2225</v>
      </c>
      <c r="C4459" s="17">
        <v>4.5</v>
      </c>
      <c r="D4459" s="18"/>
      <c r="E4459" s="17" t="s">
        <v>2153</v>
      </c>
      <c r="F4459" s="17"/>
      <c r="G4459" s="18"/>
      <c r="H4459" s="18"/>
    </row>
    <row r="4460" spans="1:8" ht="13.2">
      <c r="A4460" s="19" t="str">
        <f>HYPERLINK("http://codeforces.com/contest/387/problem/C","CF387-D2-C")</f>
        <v>CF387-D2-C</v>
      </c>
      <c r="B4460" s="18" t="s">
        <v>2225</v>
      </c>
      <c r="C4460" s="17">
        <v>4.5</v>
      </c>
      <c r="D4460" s="18"/>
      <c r="E4460" s="17" t="s">
        <v>2153</v>
      </c>
      <c r="F4460" s="17"/>
      <c r="G4460" s="18"/>
      <c r="H4460" s="18"/>
    </row>
    <row r="4461" spans="1:8" ht="13.2">
      <c r="A4461" s="19" t="str">
        <f>HYPERLINK("http://codeforces.com/contest/405/problem/D","CF405-D2-D")</f>
        <v>CF405-D2-D</v>
      </c>
      <c r="B4461" s="18" t="s">
        <v>2344</v>
      </c>
      <c r="C4461" s="17">
        <v>4.5</v>
      </c>
      <c r="D4461" s="18"/>
      <c r="E4461" s="17" t="s">
        <v>2153</v>
      </c>
      <c r="F4461" s="17"/>
      <c r="G4461" s="18"/>
      <c r="H4461" s="18"/>
    </row>
    <row r="4462" spans="1:8" ht="13.2">
      <c r="A4462" s="19" t="str">
        <f>HYPERLINK("http://codeforces.com/contest/266/problem/C","CF266-D2-C")</f>
        <v>CF266-D2-C</v>
      </c>
      <c r="B4462" s="29" t="s">
        <v>2200</v>
      </c>
      <c r="C4462" s="24">
        <v>4.5</v>
      </c>
      <c r="D4462" s="18"/>
      <c r="E4462" s="17" t="s">
        <v>2153</v>
      </c>
      <c r="F4462" s="17"/>
      <c r="G4462" s="18"/>
      <c r="H4462" s="18"/>
    </row>
    <row r="4463" spans="1:8" ht="13.2">
      <c r="A4463" s="15" t="s">
        <v>2345</v>
      </c>
      <c r="B4463" s="16" t="s">
        <v>2313</v>
      </c>
      <c r="C4463" s="31">
        <v>4.5</v>
      </c>
      <c r="D4463" s="18"/>
      <c r="E4463" s="17" t="s">
        <v>2153</v>
      </c>
      <c r="F4463" s="17"/>
      <c r="G4463" s="18"/>
      <c r="H4463" s="18"/>
    </row>
    <row r="4464" spans="1:8" ht="13.2">
      <c r="A4464" s="15" t="s">
        <v>2346</v>
      </c>
      <c r="B4464" s="29" t="s">
        <v>2248</v>
      </c>
      <c r="C4464" s="24">
        <v>4.5</v>
      </c>
      <c r="D4464" s="26" t="str">
        <f>HYPERLINK("http://ideone.com/J4ZSf4","Sol")</f>
        <v>Sol</v>
      </c>
      <c r="E4464" s="17" t="s">
        <v>2153</v>
      </c>
      <c r="F4464" s="17"/>
      <c r="G4464" s="18"/>
      <c r="H4464" s="18"/>
    </row>
    <row r="4465" spans="1:8" ht="13.2">
      <c r="A4465" s="19" t="str">
        <f>HYPERLINK("http://codeforces.com/contest/747/problem/D","CF747-D2-D")</f>
        <v>CF747-D2-D</v>
      </c>
      <c r="B4465" s="29" t="s">
        <v>2296</v>
      </c>
      <c r="C4465" s="24">
        <v>4.5</v>
      </c>
      <c r="D4465" s="18"/>
      <c r="E4465" s="17" t="s">
        <v>2153</v>
      </c>
      <c r="F4465" s="17"/>
      <c r="G4465" s="18"/>
      <c r="H4465" s="18"/>
    </row>
    <row r="4466" spans="1:8" ht="13.2">
      <c r="A4466" s="19" t="str">
        <f>HYPERLINK("http://codeforces.com/contest/58/problem/D","CF58-D2-D")</f>
        <v>CF58-D2-D</v>
      </c>
      <c r="B4466" s="18" t="s">
        <v>2171</v>
      </c>
      <c r="C4466" s="17">
        <v>4.5</v>
      </c>
      <c r="D4466" s="18"/>
      <c r="E4466" s="17" t="s">
        <v>2153</v>
      </c>
      <c r="F4466" s="17"/>
      <c r="G4466" s="18"/>
      <c r="H4466" s="18"/>
    </row>
    <row r="4467" spans="1:8" ht="13.2">
      <c r="A4467" s="19" t="str">
        <f>HYPERLINK("http://codeforces.com/contest/36/problem/D","CF36-D12-D")</f>
        <v>CF36-D12-D</v>
      </c>
      <c r="B4467" s="32" t="s">
        <v>2400</v>
      </c>
      <c r="C4467" s="17">
        <v>4.5</v>
      </c>
      <c r="D4467" s="18"/>
      <c r="E4467" s="17" t="s">
        <v>2394</v>
      </c>
      <c r="F4467" s="17"/>
      <c r="G4467" s="18"/>
      <c r="H4467" s="18"/>
    </row>
    <row r="4468" spans="1:8" ht="13.2">
      <c r="A4468" s="19" t="str">
        <f>HYPERLINK("https://onlinejudge.org/index.php?option=onlinejudge&amp;page=show_problem&amp;problem=4796","UVA 12917")</f>
        <v>UVA 12917</v>
      </c>
      <c r="B4468" s="30" t="s">
        <v>2400</v>
      </c>
      <c r="C4468" s="24">
        <v>4.5</v>
      </c>
      <c r="D4468" s="26" t="str">
        <f>HYPERLINK("https://github.com/morris821028/UVa/blob/master/temp/UVaDate/12917%20-%20Prop%20hunt!.cpp","Sol (no editorial)")</f>
        <v>Sol (no editorial)</v>
      </c>
      <c r="E4468" s="17" t="s">
        <v>2394</v>
      </c>
      <c r="F4468" s="17"/>
      <c r="G4468" s="18"/>
      <c r="H4468" s="18"/>
    </row>
    <row r="4469" spans="1:8" ht="13.2">
      <c r="A4469" s="15" t="s">
        <v>2495</v>
      </c>
      <c r="B4469" s="28" t="s">
        <v>2496</v>
      </c>
      <c r="C4469" s="17">
        <v>4.5</v>
      </c>
      <c r="D4469" s="18"/>
      <c r="E4469" s="17" t="s">
        <v>2467</v>
      </c>
      <c r="F4469" s="17"/>
      <c r="G4469" s="18"/>
      <c r="H4469" s="18"/>
    </row>
    <row r="4470" spans="1:8" ht="13.2">
      <c r="A4470" s="15" t="s">
        <v>2716</v>
      </c>
      <c r="B4470" s="29" t="s">
        <v>2509</v>
      </c>
      <c r="C4470" s="17">
        <v>4.5</v>
      </c>
      <c r="D4470" s="18"/>
      <c r="E4470" s="17" t="s">
        <v>2510</v>
      </c>
      <c r="F4470" s="17"/>
      <c r="G4470" s="18"/>
      <c r="H4470" s="18"/>
    </row>
    <row r="4471" spans="1:8" ht="13.2">
      <c r="A4471" s="15" t="s">
        <v>2717</v>
      </c>
      <c r="B4471" s="28" t="s">
        <v>2718</v>
      </c>
      <c r="C4471" s="24">
        <v>4.5</v>
      </c>
      <c r="D4471" s="26" t="str">
        <f>HYPERLINK("https://github.com/mostafa-saad/MyCompetitiveProgramming/blob/master/UVA/UVA_10927.txt","Sol")</f>
        <v>Sol</v>
      </c>
      <c r="E4471" s="17" t="s">
        <v>2510</v>
      </c>
      <c r="F4471" s="17"/>
      <c r="G4471" s="18"/>
      <c r="H4471" s="18"/>
    </row>
    <row r="4472" spans="1:8" ht="13.2">
      <c r="A4472" s="15" t="s">
        <v>2852</v>
      </c>
      <c r="B4472" s="30" t="s">
        <v>2800</v>
      </c>
      <c r="C4472" s="24">
        <v>4.5</v>
      </c>
      <c r="D4472" s="26" t="str">
        <f>HYPERLINK("https://ideone.com/dFbdzh","Sol")</f>
        <v>Sol</v>
      </c>
      <c r="E4472" s="17" t="s">
        <v>2798</v>
      </c>
      <c r="F4472" s="17"/>
      <c r="G4472" s="18"/>
      <c r="H4472" s="18"/>
    </row>
    <row r="4473" spans="1:8" ht="13.2">
      <c r="A4473" s="19" t="str">
        <f>HYPERLINK("http://codeforces.com/contest/675/problem/D","CF675-D2-D")</f>
        <v>CF675-D2-D</v>
      </c>
      <c r="B4473" s="18" t="s">
        <v>587</v>
      </c>
      <c r="C4473" s="17">
        <v>4.5</v>
      </c>
      <c r="D4473" s="18"/>
      <c r="E4473" s="17" t="s">
        <v>575</v>
      </c>
      <c r="F4473" s="17"/>
      <c r="G4473" s="18"/>
      <c r="H4473" s="18"/>
    </row>
    <row r="4474" spans="1:8" ht="13.2">
      <c r="A4474" s="19" t="str">
        <f>HYPERLINK("http://codeforces.com/contest/681/problem/C","CF681-D2-C")</f>
        <v>CF681-D2-C</v>
      </c>
      <c r="B4474" s="18" t="s">
        <v>616</v>
      </c>
      <c r="C4474" s="17">
        <v>4.5</v>
      </c>
      <c r="D4474" s="18"/>
      <c r="E4474" s="17" t="s">
        <v>575</v>
      </c>
      <c r="F4474" s="17"/>
      <c r="G4474" s="18"/>
      <c r="H4474" s="18"/>
    </row>
    <row r="4475" spans="1:8" ht="13.2">
      <c r="A4475" s="19" t="str">
        <f>HYPERLINK("http://codeforces.com/contest/697/problem/C","CF697-D2-C")</f>
        <v>CF697-D2-C</v>
      </c>
      <c r="B4475" s="29" t="s">
        <v>639</v>
      </c>
      <c r="C4475" s="17">
        <v>4.5</v>
      </c>
      <c r="D4475" s="18"/>
      <c r="E4475" s="17" t="s">
        <v>575</v>
      </c>
      <c r="F4475" s="17"/>
      <c r="G4475" s="18"/>
      <c r="H4475" s="18"/>
    </row>
    <row r="4476" spans="1:8" ht="13.2">
      <c r="A4476" s="19" t="str">
        <f>HYPERLINK("http://codeforces.com/problemset/problem/845/D","CF845-D2-D")</f>
        <v>CF845-D2-D</v>
      </c>
      <c r="B4476" s="15" t="s">
        <v>640</v>
      </c>
      <c r="C4476" s="24">
        <v>4.5</v>
      </c>
      <c r="D4476" s="18"/>
      <c r="E4476" s="17" t="s">
        <v>575</v>
      </c>
      <c r="F4476" s="17"/>
      <c r="G4476" s="18"/>
      <c r="H4476" s="18"/>
    </row>
    <row r="4477" spans="1:8" ht="13.2">
      <c r="A4477" s="15" t="s">
        <v>3122</v>
      </c>
      <c r="B4477" s="29" t="s">
        <v>3073</v>
      </c>
      <c r="C4477" s="24">
        <v>4.5</v>
      </c>
      <c r="D4477" s="26" t="str">
        <f>HYPERLINK("https://github.com/MeGaCrazy/CompetitiveProgramming/blob/952b5006b2804265a3fbd2ac426f549b5ca7e3ed/LiveArchive/LIVEARCHIVE_4558.cpp","Sol")</f>
        <v>Sol</v>
      </c>
      <c r="E4477" s="17" t="s">
        <v>3065</v>
      </c>
      <c r="F4477" s="17"/>
      <c r="G4477" s="18"/>
      <c r="H4477" s="18"/>
    </row>
    <row r="4478" spans="1:8" ht="13.2">
      <c r="A4478" s="15" t="s">
        <v>3123</v>
      </c>
      <c r="B4478" s="30" t="s">
        <v>3124</v>
      </c>
      <c r="C4478" s="24">
        <v>4.5</v>
      </c>
      <c r="D4478" s="26" t="str">
        <f>HYPERLINK("https://github.com/MeGaCrazy/CompetitiveProgramming/blob/3cbda68406690211520916e985889ce97f3539b5/UVA/UVA_11626.cpp","Sol")</f>
        <v>Sol</v>
      </c>
      <c r="E4478" s="17" t="s">
        <v>3065</v>
      </c>
      <c r="F4478" s="17"/>
      <c r="G4478" s="18"/>
      <c r="H4478" s="18"/>
    </row>
    <row r="4479" spans="1:8" ht="13.2">
      <c r="A4479" s="15" t="s">
        <v>3247</v>
      </c>
      <c r="B4479" s="41" t="s">
        <v>3248</v>
      </c>
      <c r="C4479" s="17">
        <v>4.5</v>
      </c>
      <c r="D4479" s="18"/>
      <c r="E4479" s="17" t="s">
        <v>3214</v>
      </c>
      <c r="F4479" s="17"/>
      <c r="G4479" s="18"/>
      <c r="H4479" s="18"/>
    </row>
    <row r="4480" spans="1:8" ht="13.2">
      <c r="A4480" s="15" t="s">
        <v>3415</v>
      </c>
      <c r="B4480" s="34" t="s">
        <v>3331</v>
      </c>
      <c r="C4480" s="24">
        <v>4.5</v>
      </c>
      <c r="D4480" s="18"/>
      <c r="E4480" s="17" t="s">
        <v>3257</v>
      </c>
      <c r="F4480" s="17"/>
      <c r="G4480" s="18"/>
      <c r="H4480" s="18"/>
    </row>
    <row r="4481" spans="1:8" ht="13.2">
      <c r="A4481" s="19" t="str">
        <f>HYPERLINK("http://codeforces.com/contest/404/problem/C","CF404-D2-C")</f>
        <v>CF404-D2-C</v>
      </c>
      <c r="B4481" s="29" t="s">
        <v>3466</v>
      </c>
      <c r="C4481" s="17">
        <v>4.5</v>
      </c>
      <c r="D4481" s="18"/>
      <c r="E4481" s="17" t="s">
        <v>3467</v>
      </c>
      <c r="F4481" s="17"/>
      <c r="G4481" s="18"/>
      <c r="H4481" s="18"/>
    </row>
    <row r="4482" spans="1:8" ht="13.2">
      <c r="A4482" s="19" t="str">
        <f>HYPERLINK("http://codeforces.com/contest/489/problem/D","CF489-D2-D")</f>
        <v>CF489-D2-D</v>
      </c>
      <c r="B4482" s="18" t="s">
        <v>3466</v>
      </c>
      <c r="C4482" s="17">
        <v>4.5</v>
      </c>
      <c r="D4482" s="18"/>
      <c r="E4482" s="17" t="s">
        <v>3467</v>
      </c>
      <c r="F4482" s="17"/>
      <c r="G4482" s="18"/>
      <c r="H4482" s="18"/>
    </row>
    <row r="4483" spans="1:8" ht="13.2">
      <c r="A4483" s="15" t="s">
        <v>3585</v>
      </c>
      <c r="B4483" s="28" t="s">
        <v>3466</v>
      </c>
      <c r="C4483" s="24">
        <v>4.5</v>
      </c>
      <c r="D4483" s="18"/>
      <c r="E4483" s="17" t="s">
        <v>3467</v>
      </c>
      <c r="F4483" s="17"/>
      <c r="G4483" s="18"/>
      <c r="H4483" s="18"/>
    </row>
    <row r="4484" spans="1:8" ht="13.2">
      <c r="A4484" s="15" t="s">
        <v>3586</v>
      </c>
      <c r="B4484" s="28" t="s">
        <v>3466</v>
      </c>
      <c r="C4484" s="24">
        <v>4.5</v>
      </c>
      <c r="D4484" s="18"/>
      <c r="E4484" s="17" t="s">
        <v>3467</v>
      </c>
      <c r="F4484" s="17"/>
      <c r="G4484" s="18"/>
      <c r="H4484" s="18"/>
    </row>
    <row r="4485" spans="1:8" ht="13.2">
      <c r="A4485" s="15" t="s">
        <v>3587</v>
      </c>
      <c r="B4485" s="30" t="s">
        <v>3466</v>
      </c>
      <c r="C4485" s="17">
        <v>4.5</v>
      </c>
      <c r="D4485" s="18"/>
      <c r="E4485" s="17" t="s">
        <v>3467</v>
      </c>
      <c r="F4485" s="17"/>
      <c r="G4485" s="18"/>
      <c r="H4485" s="18"/>
    </row>
    <row r="4486" spans="1:8" ht="13.2">
      <c r="A4486" s="19" t="str">
        <f>HYPERLINK("http://www.spoj.com/problems/CATM/","SPOJ CATM")</f>
        <v>SPOJ CATM</v>
      </c>
      <c r="B4486" s="18" t="s">
        <v>3588</v>
      </c>
      <c r="C4486" s="17">
        <v>4.5</v>
      </c>
      <c r="D4486" s="26" t="str">
        <f>HYPERLINK("https://github.com/mostafa-saad/MyCompetitiveProgramming/blob/master/SPOJ/SPOJ_CATM.txt","Sol")</f>
        <v>Sol</v>
      </c>
      <c r="E4486" s="17" t="s">
        <v>3467</v>
      </c>
      <c r="F4486" s="17"/>
      <c r="G4486" s="18"/>
      <c r="H4486" s="18"/>
    </row>
    <row r="4487" spans="1:8" ht="13.2">
      <c r="A4487" s="19" t="str">
        <f>HYPERLINK("http://codeforces.com/contest/230/problem/D","CF230-D2-D")</f>
        <v>CF230-D2-D</v>
      </c>
      <c r="B4487" s="18" t="s">
        <v>3589</v>
      </c>
      <c r="C4487" s="17">
        <v>4.5</v>
      </c>
      <c r="D4487" s="18"/>
      <c r="E4487" s="17" t="s">
        <v>3467</v>
      </c>
      <c r="F4487" s="17"/>
      <c r="G4487" s="18"/>
      <c r="H4487" s="18"/>
    </row>
    <row r="4488" spans="1:8" ht="13.2">
      <c r="A4488" s="19" t="str">
        <f>HYPERLINK("http://www.spoj.com/problems/CLEANRBT/","SPOJ CLEANRBT")</f>
        <v>SPOJ CLEANRBT</v>
      </c>
      <c r="B4488" s="29" t="s">
        <v>3590</v>
      </c>
      <c r="C4488" s="17">
        <v>4.5</v>
      </c>
      <c r="D4488" s="18"/>
      <c r="E4488" s="17" t="s">
        <v>3467</v>
      </c>
      <c r="F4488" s="17"/>
      <c r="G4488" s="18"/>
      <c r="H4488" s="18"/>
    </row>
    <row r="4489" spans="1:8" ht="13.2">
      <c r="A4489" s="15" t="s">
        <v>3591</v>
      </c>
      <c r="B4489" s="16" t="s">
        <v>3476</v>
      </c>
      <c r="C4489" s="24">
        <v>4.5</v>
      </c>
      <c r="D4489" s="18"/>
      <c r="E4489" s="17" t="s">
        <v>3467</v>
      </c>
      <c r="F4489" s="17"/>
      <c r="G4489" s="18"/>
      <c r="H4489" s="18"/>
    </row>
    <row r="4490" spans="1:8" ht="13.2">
      <c r="A4490" s="15" t="s">
        <v>3592</v>
      </c>
      <c r="B4490" s="16" t="s">
        <v>3476</v>
      </c>
      <c r="C4490" s="24">
        <v>4.5</v>
      </c>
      <c r="D4490" s="18"/>
      <c r="E4490" s="17" t="s">
        <v>3467</v>
      </c>
      <c r="F4490" s="17"/>
      <c r="G4490" s="18"/>
      <c r="H4490" s="18"/>
    </row>
    <row r="4491" spans="1:8" ht="13.2">
      <c r="A4491" s="15" t="s">
        <v>3593</v>
      </c>
      <c r="B4491" s="28" t="s">
        <v>3594</v>
      </c>
      <c r="C4491" s="24">
        <v>4.5</v>
      </c>
      <c r="D4491" s="18"/>
      <c r="E4491" s="17" t="s">
        <v>3467</v>
      </c>
      <c r="F4491" s="17"/>
      <c r="G4491" s="18"/>
      <c r="H4491" s="18"/>
    </row>
    <row r="4492" spans="1:8" ht="13.2">
      <c r="A4492" s="15" t="s">
        <v>3595</v>
      </c>
      <c r="B4492" s="29" t="s">
        <v>3596</v>
      </c>
      <c r="C4492" s="24">
        <v>4.5</v>
      </c>
      <c r="D4492" s="18"/>
      <c r="E4492" s="17" t="s">
        <v>3467</v>
      </c>
      <c r="F4492" s="17"/>
      <c r="G4492" s="18"/>
      <c r="H4492" s="18"/>
    </row>
    <row r="4493" spans="1:8" ht="13.2">
      <c r="A4493" s="19" t="str">
        <f>HYPERLINK("http://codeforces.com/gym/101191/problem/C","CF101191-gym-C")</f>
        <v>CF101191-gym-C</v>
      </c>
      <c r="B4493" s="29" t="s">
        <v>657</v>
      </c>
      <c r="C4493" s="17">
        <v>4.5</v>
      </c>
      <c r="D4493" s="18"/>
      <c r="E4493" s="17" t="s">
        <v>655</v>
      </c>
      <c r="F4493" s="17"/>
      <c r="G4493" s="18"/>
      <c r="H4493" s="18"/>
    </row>
    <row r="4494" spans="1:8" ht="13.2">
      <c r="A4494" s="19" t="str">
        <f>HYPERLINK("http://codeforces.com/contest/540/problem/C","CF540-D2-C")</f>
        <v>CF540-D2-C</v>
      </c>
      <c r="B4494" s="29" t="s">
        <v>3649</v>
      </c>
      <c r="C4494" s="17">
        <v>4.5</v>
      </c>
      <c r="D4494" s="18"/>
      <c r="E4494" s="17" t="s">
        <v>3650</v>
      </c>
      <c r="F4494" s="17"/>
      <c r="G4494" s="18"/>
      <c r="H4494" s="18"/>
    </row>
    <row r="4495" spans="1:8" ht="13.2">
      <c r="A4495" s="19" t="str">
        <f>HYPERLINK("http://codeforces.com/contest/982/problem/C", "CF982-D2-C")</f>
        <v>CF982-D2-C</v>
      </c>
      <c r="B4495" s="20" t="s">
        <v>3649</v>
      </c>
      <c r="C4495" s="17">
        <v>4.5</v>
      </c>
      <c r="D4495" s="26" t="str">
        <f>HYPERLINK("https://github.com/Huvok/CompetitiveProgramming/blob/master/Codeforces/CF982-D2-C.cpp", "SolToMe")</f>
        <v>SolToMe</v>
      </c>
      <c r="E4495" s="17" t="s">
        <v>3650</v>
      </c>
      <c r="F4495" s="17"/>
      <c r="G4495" s="18"/>
      <c r="H4495" s="18"/>
    </row>
    <row r="4496" spans="1:8" ht="13.2">
      <c r="A4496" s="15" t="s">
        <v>3751</v>
      </c>
      <c r="B4496" s="29" t="s">
        <v>3649</v>
      </c>
      <c r="C4496" s="24">
        <v>4.5</v>
      </c>
      <c r="D4496" s="18"/>
      <c r="E4496" s="17" t="s">
        <v>3650</v>
      </c>
      <c r="F4496" s="17"/>
      <c r="G4496" s="18"/>
      <c r="H4496" s="18"/>
    </row>
    <row r="4497" spans="1:8" ht="13.2">
      <c r="A4497" s="15" t="s">
        <v>3752</v>
      </c>
      <c r="B4497" s="28" t="s">
        <v>3649</v>
      </c>
      <c r="C4497" s="17">
        <v>4.5</v>
      </c>
      <c r="D4497" s="26" t="str">
        <f>HYPERLINK("https://github.com/yazanKabbany/CompetitiveProgramming/blob/master/Timus/1437.cpp","Sol")</f>
        <v>Sol</v>
      </c>
      <c r="E4497" s="17" t="s">
        <v>3650</v>
      </c>
      <c r="F4497" s="17"/>
      <c r="G4497" s="18"/>
      <c r="H4497" s="18"/>
    </row>
    <row r="4498" spans="1:8" ht="13.2">
      <c r="A4498" s="15" t="s">
        <v>3753</v>
      </c>
      <c r="B4498" s="18" t="s">
        <v>3754</v>
      </c>
      <c r="C4498" s="17">
        <v>4.5</v>
      </c>
      <c r="D4498" s="18"/>
      <c r="E4498" s="17" t="s">
        <v>3650</v>
      </c>
      <c r="F4498" s="17"/>
      <c r="G4498" s="18"/>
      <c r="H4498" s="18"/>
    </row>
    <row r="4499" spans="1:8" ht="13.2">
      <c r="A4499" s="19" t="str">
        <f>HYPERLINK("http://codeforces.com/contest/742/problem/D","CF742-D2-D")</f>
        <v>CF742-D2-D</v>
      </c>
      <c r="B4499" s="29" t="s">
        <v>3755</v>
      </c>
      <c r="C4499" s="17">
        <v>4.5</v>
      </c>
      <c r="D4499" s="18"/>
      <c r="E4499" s="17" t="s">
        <v>3650</v>
      </c>
      <c r="F4499" s="17"/>
      <c r="G4499" s="18"/>
      <c r="H4499" s="18"/>
    </row>
    <row r="4500" spans="1:8" ht="13.2">
      <c r="A4500" s="15" t="s">
        <v>3856</v>
      </c>
      <c r="B4500" s="30" t="s">
        <v>3791</v>
      </c>
      <c r="C4500" s="24">
        <v>4.5</v>
      </c>
      <c r="D4500" s="18"/>
      <c r="E4500" s="17" t="s">
        <v>3784</v>
      </c>
      <c r="F4500" s="17"/>
      <c r="G4500" s="18"/>
      <c r="H4500" s="18"/>
    </row>
    <row r="4501" spans="1:8" ht="13.2">
      <c r="A4501" s="19" t="str">
        <f>HYPERLINK("https://uva.onlinejudge.org/index.php?option=onlinejudge&amp;page=show_problem&amp;problem=1742","UVA 10801")</f>
        <v>UVA 10801</v>
      </c>
      <c r="B4501" s="29" t="s">
        <v>3791</v>
      </c>
      <c r="C4501" s="17">
        <v>4.5</v>
      </c>
      <c r="D4501" s="18"/>
      <c r="E4501" s="17" t="s">
        <v>3784</v>
      </c>
      <c r="F4501" s="17"/>
      <c r="G4501" s="18"/>
      <c r="H4501" s="18"/>
    </row>
    <row r="4502" spans="1:8" ht="13.2">
      <c r="A4502" s="19" t="str">
        <f>HYPERLINK("https://uva.onlinejudge.org/index.php?option=com_onlinejudge&amp;Itemid=8&amp;page=show_problem&amp;problem=277","UVA 341")</f>
        <v>UVA 341</v>
      </c>
      <c r="B4502" s="18" t="s">
        <v>3857</v>
      </c>
      <c r="C4502" s="17">
        <v>4.5</v>
      </c>
      <c r="D4502" s="18"/>
      <c r="E4502" s="17" t="s">
        <v>3784</v>
      </c>
      <c r="F4502" s="17"/>
      <c r="G4502" s="18"/>
      <c r="H4502" s="18"/>
    </row>
    <row r="4503" spans="1:8" ht="13.2">
      <c r="A4503" s="19" t="str">
        <f>HYPERLINK("https://uva.onlinejudge.org/index.php?option=com_onlinejudge&amp;Itemid=8&amp;page=show_problem&amp;problem=370","UVA 429")</f>
        <v>UVA 429</v>
      </c>
      <c r="B4503" s="18" t="s">
        <v>3857</v>
      </c>
      <c r="C4503" s="17">
        <v>4.5</v>
      </c>
      <c r="D4503" s="18"/>
      <c r="E4503" s="17" t="s">
        <v>3784</v>
      </c>
      <c r="F4503" s="17"/>
      <c r="G4503" s="18"/>
      <c r="H4503" s="18"/>
    </row>
    <row r="4504" spans="1:8" ht="13.2">
      <c r="A4504" s="15" t="s">
        <v>3858</v>
      </c>
      <c r="B4504" s="28" t="s">
        <v>3806</v>
      </c>
      <c r="C4504" s="17">
        <v>4.5</v>
      </c>
      <c r="D4504" s="18"/>
      <c r="E4504" s="17" t="s">
        <v>3784</v>
      </c>
      <c r="F4504" s="17"/>
      <c r="G4504" s="18"/>
      <c r="H4504" s="18"/>
    </row>
    <row r="4505" spans="1:8" ht="13.2">
      <c r="A4505" s="19" t="str">
        <f>HYPERLINK("http://www.spoj.com/problems/GONDOR/","SPOJ GONDOR")</f>
        <v>SPOJ GONDOR</v>
      </c>
      <c r="B4505" s="18" t="s">
        <v>3859</v>
      </c>
      <c r="C4505" s="17">
        <v>4.5</v>
      </c>
      <c r="D4505" s="26" t="str">
        <f>HYPERLINK("https://github.com/VAMPIER000001/CompetitiveProgramming/blob/master/Spoj/SPOJ%20GONDOR.Cpp","Sol")</f>
        <v>Sol</v>
      </c>
      <c r="E4505" s="17" t="s">
        <v>3784</v>
      </c>
      <c r="F4505" s="17"/>
      <c r="G4505" s="18"/>
      <c r="H4505" s="18"/>
    </row>
    <row r="4506" spans="1:8" ht="13.2">
      <c r="A4506" s="19" t="str">
        <f>HYPERLINK("http://codeforces.com/contest/104/problem/C","CF104-D2-C")</f>
        <v>CF104-D2-C</v>
      </c>
      <c r="B4506" s="29" t="s">
        <v>3886</v>
      </c>
      <c r="C4506" s="17">
        <v>4.5</v>
      </c>
      <c r="D4506" s="18"/>
      <c r="E4506" s="17" t="s">
        <v>3883</v>
      </c>
      <c r="F4506" s="17"/>
      <c r="G4506" s="18"/>
      <c r="H4506" s="18"/>
    </row>
    <row r="4507" spans="1:8" ht="13.2">
      <c r="A4507" s="19" t="str">
        <f>HYPERLINK("https://uva.onlinejudge.org/index.php?option=onlinejudge&amp;page=show_problem&amp;problem=1626","UVA 10685")</f>
        <v>UVA 10685</v>
      </c>
      <c r="B4507" s="29" t="s">
        <v>3886</v>
      </c>
      <c r="C4507" s="17">
        <v>4.5</v>
      </c>
      <c r="D4507" s="18"/>
      <c r="E4507" s="17" t="s">
        <v>3883</v>
      </c>
      <c r="F4507" s="17"/>
      <c r="G4507" s="18"/>
      <c r="H4507" s="18"/>
    </row>
    <row r="4508" spans="1:8" ht="13.2">
      <c r="A4508" s="19" t="str">
        <f>HYPERLINK("http://codeforces.com/gym/100341/attachments","CF100341-GYM-J")</f>
        <v>CF100341-GYM-J</v>
      </c>
      <c r="B4508" s="38" t="s">
        <v>4006</v>
      </c>
      <c r="C4508" s="17">
        <v>4.5</v>
      </c>
      <c r="D4508" s="26" t="str">
        <f>HYPERLINK("https://github.com/Coder-Boy1/CodeForces/blob/master/100341-GYM-J","Sol")</f>
        <v>Sol</v>
      </c>
      <c r="E4508" s="17" t="s">
        <v>3998</v>
      </c>
      <c r="F4508" s="17"/>
      <c r="G4508" s="18"/>
      <c r="H4508" s="18"/>
    </row>
    <row r="4509" spans="1:8" ht="13.2">
      <c r="A4509" s="19" t="str">
        <f>HYPERLINK("https://uva.onlinejudge.org/index.php?option=com_onlinejudge&amp;Itemid=8&amp;page=show_problem&amp;problem=270","UVA 334")</f>
        <v>UVA 334</v>
      </c>
      <c r="B4509" s="29" t="s">
        <v>4006</v>
      </c>
      <c r="C4509" s="17">
        <v>4.5</v>
      </c>
      <c r="D4509" s="18"/>
      <c r="E4509" s="17" t="s">
        <v>3998</v>
      </c>
      <c r="F4509" s="17"/>
      <c r="G4509" s="18"/>
      <c r="H4509" s="18"/>
    </row>
    <row r="4510" spans="1:8" ht="13.2">
      <c r="A4510" s="19" t="str">
        <f>HYPERLINK("http://codeforces.com/contest/602/problem/C","CF602-D2-C")</f>
        <v>CF602-D2-C</v>
      </c>
      <c r="B4510" s="18" t="s">
        <v>4031</v>
      </c>
      <c r="C4510" s="17">
        <v>4.5</v>
      </c>
      <c r="D4510" s="18"/>
      <c r="E4510" s="17" t="s">
        <v>3998</v>
      </c>
      <c r="F4510" s="17"/>
      <c r="G4510" s="18"/>
      <c r="H4510" s="18"/>
    </row>
    <row r="4511" spans="1:8" ht="13.2">
      <c r="A4511" s="19" t="str">
        <f>HYPERLINK("https://uva.onlinejudge.org/index.php?option=onlinejudge&amp;page=show_problem&amp;problem=464","UVA 523")</f>
        <v>UVA 523</v>
      </c>
      <c r="B4511" s="18" t="s">
        <v>4032</v>
      </c>
      <c r="C4511" s="17">
        <v>4.5</v>
      </c>
      <c r="D4511" s="26" t="str">
        <f>HYPERLINK("https://github.com/abdullaAshraf/Problem-Solving/blob/master/UVA/523.cpp","Sol")</f>
        <v>Sol</v>
      </c>
      <c r="E4511" s="17" t="s">
        <v>3998</v>
      </c>
      <c r="F4511" s="17"/>
      <c r="G4511" s="18"/>
      <c r="H4511" s="18"/>
    </row>
    <row r="4512" spans="1:8" ht="13.2">
      <c r="A4512" s="15" t="s">
        <v>4033</v>
      </c>
      <c r="B4512" s="29" t="s">
        <v>4015</v>
      </c>
      <c r="C4512" s="24">
        <v>4.5</v>
      </c>
      <c r="D4512" s="26" t="str">
        <f>HYPERLINK("https://drive.google.com/file/d/0B8jkfQFfgLYXMzIzOWU3ZWItNzRmYy00NmNjLTgyZjktM2Y3NjdlMWQzMTA2/view?ddrp=1&amp;hl=en","See compleixty analysis for problem G")</f>
        <v>See compleixty analysis for problem G</v>
      </c>
      <c r="E4512" s="17" t="s">
        <v>3998</v>
      </c>
      <c r="F4512" s="17"/>
      <c r="G4512" s="18"/>
      <c r="H4512" s="18"/>
    </row>
    <row r="4513" spans="1:8" ht="13.2">
      <c r="A4513" s="15" t="s">
        <v>4034</v>
      </c>
      <c r="B4513" s="29" t="s">
        <v>4015</v>
      </c>
      <c r="C4513" s="24">
        <v>4.5</v>
      </c>
      <c r="D4513" s="18"/>
      <c r="E4513" s="17" t="s">
        <v>3998</v>
      </c>
      <c r="F4513" s="17"/>
      <c r="G4513" s="18"/>
      <c r="H4513" s="18"/>
    </row>
    <row r="4514" spans="1:8" ht="13.2">
      <c r="A4514" s="15" t="s">
        <v>4136</v>
      </c>
      <c r="B4514" s="28" t="s">
        <v>4137</v>
      </c>
      <c r="C4514" s="24">
        <v>4.5</v>
      </c>
      <c r="D4514" s="18"/>
      <c r="E4514" s="24" t="s">
        <v>4060</v>
      </c>
      <c r="F4514" s="17"/>
      <c r="G4514" s="18"/>
      <c r="H4514" s="18"/>
    </row>
    <row r="4515" spans="1:8" ht="13.2">
      <c r="A4515" s="15" t="s">
        <v>4218</v>
      </c>
      <c r="B4515" s="28" t="s">
        <v>4149</v>
      </c>
      <c r="C4515" s="17">
        <v>4.5</v>
      </c>
      <c r="D4515" s="18"/>
      <c r="E4515" s="17" t="s">
        <v>4144</v>
      </c>
      <c r="F4515" s="17"/>
      <c r="G4515" s="18"/>
      <c r="H4515" s="18"/>
    </row>
    <row r="4516" spans="1:8" ht="13.2">
      <c r="A4516" s="19" t="str">
        <f>HYPERLINK("https://uva.onlinejudge.org/index.php?option=com_onlinejudge&amp;Itemid=8&amp;page=show_problem&amp;problem=195","UVA 259")</f>
        <v>UVA 259</v>
      </c>
      <c r="B4516" s="29" t="s">
        <v>4219</v>
      </c>
      <c r="C4516" s="17">
        <v>4.5</v>
      </c>
      <c r="D4516" s="26" t="str">
        <f>HYPERLINK("https://github.com/mostafa-saad/MyCompetitiveProgramming/blob/master/UVA/UVA_259.txt","Sol")</f>
        <v>Sol</v>
      </c>
      <c r="E4516" s="17" t="s">
        <v>4144</v>
      </c>
      <c r="F4516" s="17"/>
      <c r="G4516" s="18"/>
      <c r="H4516" s="18"/>
    </row>
    <row r="4517" spans="1:8" ht="13.2">
      <c r="A4517" s="15" t="s">
        <v>4220</v>
      </c>
      <c r="B4517" s="28" t="s">
        <v>4221</v>
      </c>
      <c r="C4517" s="24">
        <v>4.5</v>
      </c>
      <c r="D4517" s="18"/>
      <c r="E4517" s="24" t="s">
        <v>4144</v>
      </c>
      <c r="F4517" s="17"/>
      <c r="G4517" s="18"/>
      <c r="H4517" s="18"/>
    </row>
    <row r="4518" spans="1:8" ht="13.2">
      <c r="A4518" s="15" t="s">
        <v>4222</v>
      </c>
      <c r="B4518" s="39" t="s">
        <v>4223</v>
      </c>
      <c r="C4518" s="24">
        <v>4.5</v>
      </c>
      <c r="D4518" s="18"/>
      <c r="E4518" s="17" t="s">
        <v>4144</v>
      </c>
      <c r="F4518" s="17"/>
      <c r="G4518" s="18"/>
      <c r="H4518" s="18"/>
    </row>
    <row r="4519" spans="1:8" ht="13.2">
      <c r="A4519" s="15" t="s">
        <v>4268</v>
      </c>
      <c r="B4519" s="28" t="s">
        <v>4269</v>
      </c>
      <c r="C4519" s="24">
        <v>4.5</v>
      </c>
      <c r="D4519" s="18"/>
      <c r="E4519" s="17" t="s">
        <v>4238</v>
      </c>
      <c r="F4519" s="17"/>
      <c r="G4519" s="18"/>
      <c r="H4519" s="18"/>
    </row>
    <row r="4520" spans="1:8" ht="13.2">
      <c r="A4520" s="15" t="s">
        <v>4327</v>
      </c>
      <c r="B4520" s="28" t="s">
        <v>4328</v>
      </c>
      <c r="C4520" s="17">
        <v>4.5</v>
      </c>
      <c r="D4520" s="26" t="str">
        <f>HYPERLINK("https://ideone.com/lXrzWF","Sol")</f>
        <v>Sol</v>
      </c>
      <c r="E4520" s="17" t="s">
        <v>4275</v>
      </c>
      <c r="F4520" s="17"/>
      <c r="G4520" s="18"/>
      <c r="H4520" s="18"/>
    </row>
    <row r="4521" spans="1:8" ht="13.2">
      <c r="A4521" s="15" t="s">
        <v>4367</v>
      </c>
      <c r="B4521" s="42" t="s">
        <v>4346</v>
      </c>
      <c r="C4521" s="17">
        <v>4.5</v>
      </c>
      <c r="D4521" s="18"/>
      <c r="E4521" s="17" t="s">
        <v>4344</v>
      </c>
      <c r="F4521" s="17"/>
      <c r="G4521" s="18"/>
      <c r="H4521" s="18"/>
    </row>
    <row r="4522" spans="1:8" ht="13.2">
      <c r="A4522" s="19" t="str">
        <f>HYPERLINK("http://acm.tju.edu.cn/toj/showp2233.html","TJU 2233")</f>
        <v>TJU 2233</v>
      </c>
      <c r="B4522" s="29" t="s">
        <v>4346</v>
      </c>
      <c r="C4522" s="17">
        <v>4.5</v>
      </c>
      <c r="D4522" s="18"/>
      <c r="E4522" s="17" t="s">
        <v>4344</v>
      </c>
      <c r="F4522" s="17"/>
      <c r="G4522" s="18"/>
      <c r="H4522" s="18"/>
    </row>
    <row r="4523" spans="1:8" ht="13.2">
      <c r="A4523" s="15" t="s">
        <v>4368</v>
      </c>
      <c r="B4523" s="30" t="s">
        <v>4346</v>
      </c>
      <c r="C4523" s="24">
        <v>4.5</v>
      </c>
      <c r="D4523" s="26" t="str">
        <f>HYPERLINK("https://github.com/shashank0107/CompetitiveProgramming/blob/master/UVA/1263.cpp","Sol")</f>
        <v>Sol</v>
      </c>
      <c r="E4523" s="17" t="s">
        <v>4344</v>
      </c>
      <c r="F4523" s="17"/>
      <c r="G4523" s="18"/>
      <c r="H4523" s="18"/>
    </row>
    <row r="4524" spans="1:8" ht="13.2">
      <c r="A4524" s="19" t="str">
        <f>HYPERLINK("http://codeforces.com/contest/334/problem/C","CF334-D2-C")</f>
        <v>CF334-D2-C</v>
      </c>
      <c r="B4524" s="29" t="s">
        <v>4530</v>
      </c>
      <c r="C4524" s="17">
        <v>4.5</v>
      </c>
      <c r="D4524" s="18"/>
      <c r="E4524" s="17" t="s">
        <v>4531</v>
      </c>
      <c r="F4524" s="17"/>
      <c r="G4524" s="18"/>
      <c r="H4524" s="18"/>
    </row>
    <row r="4525" spans="1:8" ht="13.2">
      <c r="A4525" s="19" t="str">
        <f>HYPERLINK("http://codeforces.com/contest/834/problem/C","CF834-D2-C")</f>
        <v>CF834-D2-C</v>
      </c>
      <c r="B4525" s="15" t="s">
        <v>4530</v>
      </c>
      <c r="C4525" s="24">
        <v>4.5</v>
      </c>
      <c r="D4525" s="18"/>
      <c r="E4525" s="17" t="s">
        <v>4531</v>
      </c>
      <c r="F4525" s="17"/>
      <c r="G4525" s="18"/>
      <c r="H4525" s="18"/>
    </row>
    <row r="4526" spans="1:8" ht="13.2">
      <c r="A4526" s="15" t="s">
        <v>4702</v>
      </c>
      <c r="B4526" s="18" t="s">
        <v>4530</v>
      </c>
      <c r="C4526" s="24">
        <v>4.5</v>
      </c>
      <c r="D4526" s="18"/>
      <c r="E4526" s="17" t="s">
        <v>4531</v>
      </c>
      <c r="F4526" s="17"/>
      <c r="G4526" s="18"/>
      <c r="H4526" s="18"/>
    </row>
    <row r="4527" spans="1:8" ht="13.2">
      <c r="A4527" s="19" t="str">
        <f>HYPERLINK("http://codeforces.com/contest/936/problem/A","CF936-D1-A")</f>
        <v>CF936-D1-A</v>
      </c>
      <c r="B4527" s="18" t="s">
        <v>4530</v>
      </c>
      <c r="C4527" s="17">
        <v>4.5</v>
      </c>
      <c r="D4527" s="18"/>
      <c r="E4527" s="17" t="s">
        <v>4531</v>
      </c>
      <c r="F4527" s="17"/>
      <c r="G4527" s="18"/>
      <c r="H4527" s="18"/>
    </row>
    <row r="4528" spans="1:8" ht="13.2">
      <c r="A4528" s="19" t="str">
        <f>HYPERLINK("http://codeforces.com/contest/94/problem/C","CF94-D2-C")</f>
        <v>CF94-D2-C</v>
      </c>
      <c r="B4528" s="29" t="s">
        <v>4530</v>
      </c>
      <c r="C4528" s="17">
        <v>4.5</v>
      </c>
      <c r="D4528" s="18"/>
      <c r="E4528" s="17" t="s">
        <v>4531</v>
      </c>
      <c r="F4528" s="17"/>
      <c r="G4528" s="18"/>
      <c r="H4528" s="18"/>
    </row>
    <row r="4529" spans="1:8" ht="13.2">
      <c r="A4529" s="19" t="str">
        <f>HYPERLINK("https://codingcompetitions.withgoogle.com/codejam/round/0000000000051635/0000000000104f1a","CODEJAM 19-R1A-B")</f>
        <v>CODEJAM 19-R1A-B</v>
      </c>
      <c r="B4529" s="20" t="s">
        <v>4530</v>
      </c>
      <c r="C4529" s="17">
        <v>4.5</v>
      </c>
      <c r="D4529" s="18"/>
      <c r="E4529" s="17" t="s">
        <v>4531</v>
      </c>
      <c r="F4529" s="17"/>
      <c r="G4529" s="18"/>
      <c r="H4529" s="18"/>
    </row>
    <row r="4530" spans="1:8" ht="13.2">
      <c r="A4530" s="15" t="s">
        <v>4703</v>
      </c>
      <c r="B4530" s="30" t="s">
        <v>4530</v>
      </c>
      <c r="C4530" s="24">
        <v>4.5</v>
      </c>
      <c r="D4530" s="18"/>
      <c r="E4530" s="17" t="s">
        <v>4531</v>
      </c>
      <c r="F4530" s="17"/>
      <c r="G4530" s="18"/>
      <c r="H4530" s="18"/>
    </row>
    <row r="4531" spans="1:8" ht="13.2">
      <c r="A4531" s="15" t="s">
        <v>4704</v>
      </c>
      <c r="B4531" s="28" t="s">
        <v>4530</v>
      </c>
      <c r="C4531" s="24">
        <v>4.5</v>
      </c>
      <c r="D4531" s="18"/>
      <c r="E4531" s="17" t="s">
        <v>4531</v>
      </c>
      <c r="F4531" s="17"/>
      <c r="G4531" s="18"/>
      <c r="H4531" s="18"/>
    </row>
    <row r="4532" spans="1:8" ht="13.2">
      <c r="A4532" s="15" t="s">
        <v>4705</v>
      </c>
      <c r="B4532" s="28" t="s">
        <v>4706</v>
      </c>
      <c r="C4532" s="24">
        <v>4.5</v>
      </c>
      <c r="D4532" s="18"/>
      <c r="E4532" s="17" t="s">
        <v>4531</v>
      </c>
      <c r="F4532" s="17"/>
      <c r="G4532" s="18"/>
      <c r="H4532" s="18"/>
    </row>
    <row r="4533" spans="1:8" ht="13.2">
      <c r="A4533" s="15" t="s">
        <v>4707</v>
      </c>
      <c r="B4533" s="29" t="s">
        <v>4708</v>
      </c>
      <c r="C4533" s="24">
        <v>4.5</v>
      </c>
      <c r="D4533" s="18"/>
      <c r="E4533" s="24" t="s">
        <v>4531</v>
      </c>
      <c r="F4533" s="17"/>
      <c r="G4533" s="18"/>
      <c r="H4533" s="18"/>
    </row>
    <row r="4534" spans="1:8" ht="13.2">
      <c r="A4534" s="19" t="str">
        <f>HYPERLINK("http://codeforces.com/contest/353/problem/C","CF353-D2-C")</f>
        <v>CF353-D2-C</v>
      </c>
      <c r="B4534" s="29" t="s">
        <v>4709</v>
      </c>
      <c r="C4534" s="17">
        <v>4.5</v>
      </c>
      <c r="D4534" s="18"/>
      <c r="E4534" s="17" t="s">
        <v>4531</v>
      </c>
      <c r="F4534" s="17"/>
      <c r="G4534" s="18"/>
      <c r="H4534" s="18"/>
    </row>
    <row r="4535" spans="1:8" ht="13.2">
      <c r="A4535" s="19" t="str">
        <f>HYPERLINK("http://codeforces.com/contest/716/problem/C","CF716-D2-C")</f>
        <v>CF716-D2-C</v>
      </c>
      <c r="B4535" s="29" t="s">
        <v>4710</v>
      </c>
      <c r="C4535" s="17">
        <v>4.5</v>
      </c>
      <c r="D4535" s="18"/>
      <c r="E4535" s="17" t="s">
        <v>4531</v>
      </c>
      <c r="F4535" s="17"/>
      <c r="G4535" s="18"/>
      <c r="H4535" s="18"/>
    </row>
    <row r="4536" spans="1:8" ht="13.2">
      <c r="A4536" s="19" t="str">
        <f>HYPERLINK("http://codeforces.com/contest/680/problem/C","CF680-D2-C")</f>
        <v>CF680-D2-C</v>
      </c>
      <c r="B4536" s="29" t="s">
        <v>4711</v>
      </c>
      <c r="C4536" s="17">
        <v>4.5</v>
      </c>
      <c r="D4536" s="18"/>
      <c r="E4536" s="17" t="s">
        <v>4531</v>
      </c>
      <c r="F4536" s="17"/>
      <c r="G4536" s="18"/>
      <c r="H4536" s="18"/>
    </row>
    <row r="4537" spans="1:8" ht="13.2">
      <c r="A4537" s="19" t="str">
        <f>HYPERLINK("http://codeforces.com/contest/727/problem/C","CF727-D12-C")</f>
        <v>CF727-D12-C</v>
      </c>
      <c r="B4537" s="15" t="s">
        <v>4614</v>
      </c>
      <c r="C4537" s="17">
        <v>4.5</v>
      </c>
      <c r="D4537" s="18"/>
      <c r="E4537" s="17" t="s">
        <v>4531</v>
      </c>
      <c r="F4537" s="17"/>
      <c r="G4537" s="18"/>
      <c r="H4537" s="18"/>
    </row>
    <row r="4538" spans="1:8" ht="13.2">
      <c r="A4538" s="19" t="str">
        <f>HYPERLINK("http://codeforces.com/contest/320/problem/C","CF320-D2-C")</f>
        <v>CF320-D2-C</v>
      </c>
      <c r="B4538" s="29" t="s">
        <v>4577</v>
      </c>
      <c r="C4538" s="17">
        <v>4.5</v>
      </c>
      <c r="D4538" s="18"/>
      <c r="E4538" s="17" t="s">
        <v>4531</v>
      </c>
      <c r="F4538" s="17"/>
      <c r="G4538" s="18"/>
      <c r="H4538" s="18"/>
    </row>
    <row r="4539" spans="1:8" ht="13.2">
      <c r="A4539" s="15" t="s">
        <v>785</v>
      </c>
      <c r="B4539" s="34" t="s">
        <v>786</v>
      </c>
      <c r="C4539" s="31">
        <v>4.5</v>
      </c>
      <c r="D4539" s="18"/>
      <c r="E4539" s="17" t="s">
        <v>741</v>
      </c>
      <c r="F4539" s="17"/>
      <c r="G4539" s="18"/>
      <c r="H4539" s="18"/>
    </row>
    <row r="4540" spans="1:8" ht="13.2">
      <c r="A4540" s="19" t="str">
        <f>HYPERLINK("http://codeforces.com/contest/448/problem/C","CF448-D2-C")</f>
        <v>CF448-D2-C</v>
      </c>
      <c r="B4540" s="29" t="s">
        <v>787</v>
      </c>
      <c r="C4540" s="24">
        <v>4.5</v>
      </c>
      <c r="D4540" s="18"/>
      <c r="E4540" s="17" t="s">
        <v>741</v>
      </c>
      <c r="F4540" s="17"/>
      <c r="G4540" s="18"/>
      <c r="H4540" s="18"/>
    </row>
    <row r="4541" spans="1:8" ht="13.2">
      <c r="A4541" s="15" t="s">
        <v>4758</v>
      </c>
      <c r="B4541" s="28" t="s">
        <v>4759</v>
      </c>
      <c r="C4541" s="24">
        <v>4.5</v>
      </c>
      <c r="D4541" s="18"/>
      <c r="E4541" s="17" t="s">
        <v>4751</v>
      </c>
      <c r="F4541" s="17"/>
      <c r="G4541" s="18"/>
      <c r="H4541" s="18"/>
    </row>
    <row r="4542" spans="1:8" ht="13.2">
      <c r="A4542" s="15" t="s">
        <v>4796</v>
      </c>
      <c r="B4542" s="30" t="s">
        <v>4779</v>
      </c>
      <c r="C4542" s="24">
        <v>4.5</v>
      </c>
      <c r="D4542" s="18"/>
      <c r="E4542" s="17" t="s">
        <v>4778</v>
      </c>
      <c r="F4542" s="17"/>
      <c r="G4542" s="18"/>
      <c r="H4542" s="18"/>
    </row>
    <row r="4543" spans="1:8" ht="13.2">
      <c r="A4543" s="19" t="str">
        <f>HYPERLINK("https://uva.onlinejudge.org/index.php?option=onlinejudge&amp;page=show_problem&amp;problem=1833","UVA 10892")</f>
        <v>UVA 10892</v>
      </c>
      <c r="B4543" s="29" t="s">
        <v>4812</v>
      </c>
      <c r="C4543" s="17">
        <v>4.5</v>
      </c>
      <c r="D4543" s="18"/>
      <c r="E4543" s="17" t="s">
        <v>4809</v>
      </c>
      <c r="F4543" s="17"/>
      <c r="G4543" s="18"/>
      <c r="H4543" s="18"/>
    </row>
    <row r="4544" spans="1:8" ht="13.2">
      <c r="A4544" s="15" t="s">
        <v>4923</v>
      </c>
      <c r="B4544" s="30" t="s">
        <v>4924</v>
      </c>
      <c r="C4544" s="24">
        <v>4.5</v>
      </c>
      <c r="D4544" s="26" t="str">
        <f>HYPERLINK("https://github.com/TheRealImaginary/CompetitiveProgramming/blob/master/UVA/UVA_655_Scrabble.java","Sol")</f>
        <v>Sol</v>
      </c>
      <c r="E4544" s="17" t="s">
        <v>4893</v>
      </c>
      <c r="F4544" s="17"/>
      <c r="G4544" s="18"/>
      <c r="H4544" s="18"/>
    </row>
    <row r="4545" spans="1:8" ht="13.2">
      <c r="A4545" s="15" t="s">
        <v>4942</v>
      </c>
      <c r="B4545" s="29" t="s">
        <v>4943</v>
      </c>
      <c r="C4545" s="24">
        <v>4.5</v>
      </c>
      <c r="D4545" s="26" t="str">
        <f>HYPERLINK("https://github.com/AmrMaghraby/Competitve-Programming/blob/master/UVA/UVA%2011666.cpp","Sol")</f>
        <v>Sol</v>
      </c>
      <c r="E4545" s="17" t="s">
        <v>4941</v>
      </c>
      <c r="F4545" s="17"/>
      <c r="G4545" s="18"/>
      <c r="H4545" s="18"/>
    </row>
    <row r="4546" spans="1:8" ht="13.2">
      <c r="A4546" s="19" t="str">
        <f>HYPERLINK("http://codeforces.com/contest/289/problem/D","CF289-D2-D")</f>
        <v>CF289-D2-D</v>
      </c>
      <c r="B4546" s="29" t="s">
        <v>5027</v>
      </c>
      <c r="C4546" s="17">
        <v>4.5</v>
      </c>
      <c r="D4546" s="18"/>
      <c r="E4546" s="17" t="s">
        <v>4958</v>
      </c>
      <c r="F4546" s="17"/>
      <c r="G4546" s="18"/>
      <c r="H4546" s="18"/>
    </row>
    <row r="4547" spans="1:8" ht="13.2">
      <c r="A4547" s="15" t="s">
        <v>5028</v>
      </c>
      <c r="B4547" s="30" t="s">
        <v>5029</v>
      </c>
      <c r="C4547" s="24">
        <v>4.5</v>
      </c>
      <c r="D4547" s="18"/>
      <c r="E4547" s="17" t="s">
        <v>4958</v>
      </c>
      <c r="F4547" s="17"/>
      <c r="G4547" s="18"/>
      <c r="H4547" s="18"/>
    </row>
    <row r="4548" spans="1:8" ht="13.2">
      <c r="A4548" s="19" t="str">
        <f>HYPERLINK("https://www.hackerrank.com/challenges/super-humble-matrix","HACKR super-humble-matrix")</f>
        <v>HACKR super-humble-matrix</v>
      </c>
      <c r="B4548" s="29" t="s">
        <v>5030</v>
      </c>
      <c r="C4548" s="17">
        <v>4.5</v>
      </c>
      <c r="D4548" s="26" t="str">
        <f>HYPERLINK("https://github.com/MohamedNabil97/CompetitiveProgramming/blob/master/Hackerrank/super-humble-matrix.cpp","Sol")</f>
        <v>Sol</v>
      </c>
      <c r="E4548" s="17" t="s">
        <v>4958</v>
      </c>
      <c r="F4548" s="17"/>
      <c r="G4548" s="18"/>
      <c r="H4548" s="18"/>
    </row>
    <row r="4549" spans="1:8" ht="13.2">
      <c r="A4549" s="19" t="str">
        <f>HYPERLINK("https://uva.onlinejudge.org/index.php?option=onlinejudge&amp;page=show_problem&amp;problem=488","UVA 547")</f>
        <v>UVA 547</v>
      </c>
      <c r="B4549" s="29" t="s">
        <v>5114</v>
      </c>
      <c r="C4549" s="17">
        <v>4.5</v>
      </c>
      <c r="D4549" s="18"/>
      <c r="E4549" s="17" t="s">
        <v>5075</v>
      </c>
      <c r="F4549" s="17"/>
      <c r="G4549" s="18"/>
      <c r="H4549" s="18"/>
    </row>
    <row r="4550" spans="1:8" ht="13.2">
      <c r="A4550" s="19" t="str">
        <f>HYPERLINK("http://www.spoj.com/problems/DCEPC12E","SPOJ DCEPC12E")</f>
        <v>SPOJ DCEPC12E</v>
      </c>
      <c r="B4550" s="29" t="s">
        <v>5234</v>
      </c>
      <c r="C4550" s="17">
        <v>4.5</v>
      </c>
      <c r="D4550" s="18"/>
      <c r="E4550" s="17" t="s">
        <v>5235</v>
      </c>
      <c r="F4550" s="17"/>
      <c r="G4550" s="18"/>
      <c r="H4550" s="18"/>
    </row>
    <row r="4551" spans="1:8" ht="13.2">
      <c r="A4551" s="15" t="s">
        <v>5295</v>
      </c>
      <c r="B4551" s="28" t="s">
        <v>5248</v>
      </c>
      <c r="C4551" s="24">
        <v>4.5</v>
      </c>
      <c r="D4551" s="18"/>
      <c r="E4551" s="17" t="s">
        <v>5246</v>
      </c>
      <c r="F4551" s="17"/>
      <c r="G4551" s="18"/>
      <c r="H4551" s="18"/>
    </row>
    <row r="4552" spans="1:8" ht="13.2">
      <c r="A4552" s="15" t="s">
        <v>5296</v>
      </c>
      <c r="B4552" s="28" t="s">
        <v>5297</v>
      </c>
      <c r="C4552" s="17">
        <v>4.5</v>
      </c>
      <c r="D4552" s="18"/>
      <c r="E4552" s="17" t="s">
        <v>5246</v>
      </c>
      <c r="F4552" s="17"/>
      <c r="G4552" s="18"/>
      <c r="H4552" s="18"/>
    </row>
    <row r="4553" spans="1:8" ht="13.2">
      <c r="A4553" s="19" t="str">
        <f>HYPERLINK("http://codeforces.com/contest/492/problem/D","CF492-D2-D")</f>
        <v>CF492-D2-D</v>
      </c>
      <c r="B4553" s="18" t="s">
        <v>814</v>
      </c>
      <c r="C4553" s="17">
        <v>4.5</v>
      </c>
      <c r="D4553" s="18"/>
      <c r="E4553" s="17" t="s">
        <v>805</v>
      </c>
      <c r="F4553" s="17"/>
      <c r="G4553" s="18"/>
      <c r="H4553" s="18"/>
    </row>
    <row r="4554" spans="1:8" ht="13.2">
      <c r="A4554" s="19" t="str">
        <f>HYPERLINK("http://codeforces.com/contest/84/problem/D","CF84-D2-D")</f>
        <v>CF84-D2-D</v>
      </c>
      <c r="B4554" s="18" t="s">
        <v>814</v>
      </c>
      <c r="C4554" s="17">
        <v>4.5</v>
      </c>
      <c r="D4554" s="18"/>
      <c r="E4554" s="17" t="s">
        <v>805</v>
      </c>
      <c r="F4554" s="17"/>
      <c r="G4554" s="18"/>
      <c r="H4554" s="18"/>
    </row>
    <row r="4555" spans="1:8" ht="13.2">
      <c r="A4555" s="19" t="str">
        <f>HYPERLINK("http://www.spoj.com/problems/BOOKS1/","SPOJ BOOKS1")</f>
        <v>SPOJ BOOKS1</v>
      </c>
      <c r="B4555" s="38" t="s">
        <v>814</v>
      </c>
      <c r="C4555" s="17">
        <v>4.5</v>
      </c>
      <c r="D4555" s="18"/>
      <c r="E4555" s="17" t="s">
        <v>805</v>
      </c>
      <c r="F4555" s="17"/>
      <c r="G4555" s="18"/>
      <c r="H4555" s="18"/>
    </row>
    <row r="4556" spans="1:8" ht="13.2">
      <c r="A4556" s="15" t="s">
        <v>886</v>
      </c>
      <c r="B4556" s="29" t="s">
        <v>814</v>
      </c>
      <c r="C4556" s="17">
        <v>4.5</v>
      </c>
      <c r="D4556" s="18"/>
      <c r="E4556" s="17" t="s">
        <v>805</v>
      </c>
      <c r="F4556" s="17"/>
      <c r="G4556" s="18"/>
      <c r="H4556" s="18"/>
    </row>
    <row r="4557" spans="1:8" ht="13.2">
      <c r="A4557" s="19" t="str">
        <f>HYPERLINK("http://codeforces.com/contest/471/problem/C","CF471-D2-C")</f>
        <v>CF471-D2-C</v>
      </c>
      <c r="B4557" s="29" t="s">
        <v>857</v>
      </c>
      <c r="C4557" s="17">
        <v>4.5</v>
      </c>
      <c r="D4557" s="18"/>
      <c r="E4557" s="17" t="s">
        <v>805</v>
      </c>
      <c r="F4557" s="17"/>
      <c r="G4557" s="18"/>
      <c r="H4557" s="18"/>
    </row>
    <row r="4558" spans="1:8" ht="13.2">
      <c r="A4558" s="19" t="str">
        <f>HYPERLINK("http://codeforces.com/contest/567/problem/D","CF567-D2-D")</f>
        <v>CF567-D2-D</v>
      </c>
      <c r="B4558" s="29" t="s">
        <v>887</v>
      </c>
      <c r="C4558" s="17">
        <v>4.5</v>
      </c>
      <c r="D4558" s="18"/>
      <c r="E4558" s="17" t="s">
        <v>805</v>
      </c>
      <c r="F4558" s="17"/>
      <c r="G4558" s="18"/>
      <c r="H4558" s="18"/>
    </row>
    <row r="4559" spans="1:8" ht="13.2">
      <c r="A4559" s="15" t="s">
        <v>5465</v>
      </c>
      <c r="B4559" s="43" t="s">
        <v>5416</v>
      </c>
      <c r="C4559" s="24">
        <v>4.5</v>
      </c>
      <c r="D4559" s="18"/>
      <c r="E4559" s="17" t="s">
        <v>5414</v>
      </c>
      <c r="F4559" s="17"/>
      <c r="G4559" s="18"/>
      <c r="H4559" s="18"/>
    </row>
    <row r="4560" spans="1:8" ht="13.2">
      <c r="A4560" s="19" t="str">
        <f>HYPERLINK("http://codeforces.com/contest/155/problem/D","CF155-D2-D")</f>
        <v>CF155-D2-D</v>
      </c>
      <c r="B4560" s="29" t="s">
        <v>5466</v>
      </c>
      <c r="C4560" s="17">
        <v>4.5</v>
      </c>
      <c r="D4560" s="18"/>
      <c r="E4560" s="17" t="s">
        <v>5414</v>
      </c>
      <c r="F4560" s="17"/>
      <c r="G4560" s="18"/>
      <c r="H4560" s="18"/>
    </row>
    <row r="4561" spans="1:8" ht="13.2">
      <c r="A4561" s="19" t="str">
        <f>HYPERLINK("https://uva.onlinejudge.org/index.php?option=com_onlinejudge&amp;Itemid=8&amp;page=show_problem&amp;problem=1683","UVA 10742")</f>
        <v>UVA 10742</v>
      </c>
      <c r="B4561" s="29" t="s">
        <v>5420</v>
      </c>
      <c r="C4561" s="17">
        <v>4.5</v>
      </c>
      <c r="D4561" s="26" t="str">
        <f>HYPERLINK("https://github.com/abdullaAshraf/Problem-Solving/blob/master/UVA/10742.cpp","Sol")</f>
        <v>Sol</v>
      </c>
      <c r="E4561" s="17" t="s">
        <v>5414</v>
      </c>
      <c r="F4561" s="17"/>
      <c r="G4561" s="18"/>
      <c r="H4561" s="18"/>
    </row>
    <row r="4562" spans="1:8" ht="13.2">
      <c r="A4562" s="15" t="s">
        <v>5467</v>
      </c>
      <c r="B4562" s="28" t="s">
        <v>5468</v>
      </c>
      <c r="C4562" s="24">
        <v>4.5</v>
      </c>
      <c r="D4562" s="18"/>
      <c r="E4562" s="17" t="s">
        <v>5414</v>
      </c>
      <c r="F4562" s="17"/>
      <c r="G4562" s="18"/>
      <c r="H4562" s="18"/>
    </row>
    <row r="4563" spans="1:8" ht="13.2">
      <c r="A4563" s="15" t="s">
        <v>5469</v>
      </c>
      <c r="B4563" s="28" t="s">
        <v>5470</v>
      </c>
      <c r="C4563" s="24">
        <v>4.5</v>
      </c>
      <c r="D4563" s="26" t="str">
        <f>HYPERLINK("https://github.com/MohamedNabil97/CompetitiveProgramming/blob/master/UVA/11099.cpp","Sol")</f>
        <v>Sol</v>
      </c>
      <c r="E4563" s="17" t="s">
        <v>5414</v>
      </c>
      <c r="F4563" s="17"/>
      <c r="G4563" s="18"/>
      <c r="H4563" s="18"/>
    </row>
    <row r="4564" spans="1:8" ht="13.2">
      <c r="A4564" s="15" t="s">
        <v>5610</v>
      </c>
      <c r="B4564" s="43" t="s">
        <v>5596</v>
      </c>
      <c r="C4564" s="24">
        <v>4.5</v>
      </c>
      <c r="D4564" s="18"/>
      <c r="E4564" s="17" t="s">
        <v>5575</v>
      </c>
      <c r="F4564" s="17"/>
      <c r="G4564" s="18"/>
      <c r="H4564" s="18"/>
    </row>
    <row r="4565" spans="1:8" ht="13.2">
      <c r="A4565" s="19" t="str">
        <f>HYPERLINK("https://www.codechef.com/problems/COPRIME3","CODECHEF COPRIME3")</f>
        <v>CODECHEF COPRIME3</v>
      </c>
      <c r="B4565" s="15" t="s">
        <v>5620</v>
      </c>
      <c r="C4565" s="17">
        <v>4.5</v>
      </c>
      <c r="D4565" s="18"/>
      <c r="E4565" s="17" t="s">
        <v>5616</v>
      </c>
      <c r="F4565" s="17"/>
      <c r="G4565" s="18"/>
      <c r="H4565" s="18"/>
    </row>
    <row r="4566" spans="1:8" ht="13.2">
      <c r="A4566" s="15" t="s">
        <v>275</v>
      </c>
      <c r="B4566" s="15" t="s">
        <v>276</v>
      </c>
      <c r="C4566" s="17">
        <v>4.25</v>
      </c>
      <c r="D4566" s="18"/>
      <c r="E4566" s="17" t="s">
        <v>125</v>
      </c>
      <c r="F4566" s="17" t="s">
        <v>139</v>
      </c>
      <c r="G4566" s="18"/>
      <c r="H4566" s="18"/>
    </row>
    <row r="4567" spans="1:8" ht="13.2">
      <c r="A4567" s="19" t="str">
        <f>HYPERLINK("https://codeforces.com/contest/1066/problem/E","CF1066-D3-E")</f>
        <v>CF1066-D3-E</v>
      </c>
      <c r="B4567" s="20" t="s">
        <v>277</v>
      </c>
      <c r="C4567" s="21">
        <v>4.25</v>
      </c>
      <c r="D4567" s="18"/>
      <c r="E4567" s="17" t="s">
        <v>125</v>
      </c>
      <c r="F4567" s="17" t="s">
        <v>139</v>
      </c>
      <c r="G4567" s="18"/>
      <c r="H4567" s="18"/>
    </row>
    <row r="4568" spans="1:8" ht="13.2">
      <c r="A4568" s="15" t="s">
        <v>5942</v>
      </c>
      <c r="B4568" s="15" t="s">
        <v>5914</v>
      </c>
      <c r="C4568" s="17">
        <v>4.25</v>
      </c>
      <c r="D4568" s="18"/>
      <c r="E4568" s="17" t="s">
        <v>5915</v>
      </c>
      <c r="F4568" s="17" t="s">
        <v>139</v>
      </c>
      <c r="G4568" s="18"/>
      <c r="H4568" s="18"/>
    </row>
    <row r="4569" spans="1:8" ht="13.2">
      <c r="A4569" s="19" t="str">
        <f>HYPERLINK("https://agc026.contest.atcoder.jp/tasks/agc026_c","AtCoder026-AGC-C")</f>
        <v>AtCoder026-AGC-C</v>
      </c>
      <c r="B4569" s="20" t="s">
        <v>989</v>
      </c>
      <c r="C4569" s="21">
        <v>4.25</v>
      </c>
      <c r="D4569" s="26" t="str">
        <f>HYPERLINK("https://github.com/mostafa-saad/MyCompetitiveProgramming/blob/master/AtCoder/AtCoder026-AGC-C.txt","Sol")</f>
        <v>Sol</v>
      </c>
      <c r="E4569" s="17" t="s">
        <v>951</v>
      </c>
      <c r="F4569" s="17" t="s">
        <v>139</v>
      </c>
      <c r="G4569" s="18"/>
      <c r="H4569" s="18"/>
    </row>
    <row r="4570" spans="1:8" ht="13.2">
      <c r="A4570" s="19" t="str">
        <f>HYPERLINK("http://codeforces.com/contest/883/problem/K","CF883-D12-K")</f>
        <v>CF883-D12-K</v>
      </c>
      <c r="B4570" s="15" t="s">
        <v>2163</v>
      </c>
      <c r="C4570" s="17">
        <v>4.25</v>
      </c>
      <c r="D4570" s="18"/>
      <c r="E4570" s="17" t="s">
        <v>2153</v>
      </c>
      <c r="F4570" s="17" t="s">
        <v>139</v>
      </c>
      <c r="G4570" s="18"/>
      <c r="H4570" s="18"/>
    </row>
    <row r="4571" spans="1:8" ht="13.2">
      <c r="A4571" s="19" t="str">
        <f>HYPERLINK("https://codeforces.com/contest/1239/problem/A","CF1239-D1-A")</f>
        <v>CF1239-D1-A</v>
      </c>
      <c r="B4571" s="15" t="s">
        <v>4577</v>
      </c>
      <c r="C4571" s="17">
        <v>4.25</v>
      </c>
      <c r="D4571" s="18"/>
      <c r="E4571" s="17" t="s">
        <v>4531</v>
      </c>
      <c r="F4571" s="17" t="s">
        <v>139</v>
      </c>
      <c r="G4571" s="18"/>
      <c r="H4571" s="18"/>
    </row>
    <row r="4572" spans="1:8" ht="13.2">
      <c r="A4572" s="19" t="str">
        <f>HYPERLINK("https://www.hackerrank.com/contests/moodys-analytics-2018-university-codesprint/challenges/short-trade-transaction","MAUC 18-short-trade-transaction")</f>
        <v>MAUC 18-short-trade-transaction</v>
      </c>
      <c r="B4572" s="20" t="s">
        <v>1348</v>
      </c>
      <c r="C4572" s="21">
        <v>4.25</v>
      </c>
      <c r="D4572" s="26" t="str">
        <f>HYPERLINK("https://github.com/SpeedOfMagic/CompetitiveProgramming/blob/master/MAUC/18-short-trade-transaction.cpp","Sol")</f>
        <v>Sol</v>
      </c>
      <c r="E4572" s="17" t="s">
        <v>1337</v>
      </c>
      <c r="F4572" s="17" t="s">
        <v>242</v>
      </c>
      <c r="G4572" s="18"/>
      <c r="H4572" s="18"/>
    </row>
    <row r="4573" spans="1:8" ht="13.2">
      <c r="A4573" s="19" t="str">
        <f>HYPERLINK("https://atcoder.jp/contests/abc151/tasks/abc151_f","AtCoder151-ABC-F")</f>
        <v>AtCoder151-ABC-F</v>
      </c>
      <c r="B4573" s="20" t="s">
        <v>2509</v>
      </c>
      <c r="C4573" s="21">
        <v>4.25</v>
      </c>
      <c r="D4573" s="18"/>
      <c r="E4573" s="17" t="s">
        <v>2510</v>
      </c>
      <c r="F4573" s="17"/>
      <c r="G4573" s="18"/>
      <c r="H4573" s="18"/>
    </row>
    <row r="4574" spans="1:8" ht="13.2">
      <c r="A4574" s="15" t="s">
        <v>2107</v>
      </c>
      <c r="B4574" s="18" t="s">
        <v>2073</v>
      </c>
      <c r="C4574" s="17">
        <v>4.0999999999999996</v>
      </c>
      <c r="D4574" s="18"/>
      <c r="E4574" s="17" t="s">
        <v>2074</v>
      </c>
      <c r="F4574" s="17" t="s">
        <v>255</v>
      </c>
      <c r="G4574" s="18"/>
      <c r="H4574" s="18"/>
    </row>
    <row r="4575" spans="1:8" ht="13.2">
      <c r="A4575" s="15" t="s">
        <v>6066</v>
      </c>
      <c r="B4575" s="29" t="s">
        <v>6067</v>
      </c>
      <c r="C4575" s="33">
        <v>4</v>
      </c>
      <c r="D4575" s="26" t="str">
        <f>HYPERLINK("https://github.com/aabdelzaher/Competitive-Programming/blob/master/Live%20Archive/LIVEARCHIVE2932.java","Sol")</f>
        <v>Sol</v>
      </c>
      <c r="E4575" s="24" t="s">
        <v>6040</v>
      </c>
      <c r="F4575" s="17" t="s">
        <v>255</v>
      </c>
      <c r="G4575" s="18"/>
      <c r="H4575" s="18"/>
    </row>
    <row r="4576" spans="1:8" ht="13.2">
      <c r="A4576" s="15" t="s">
        <v>6093</v>
      </c>
      <c r="B4576" s="28" t="s">
        <v>6074</v>
      </c>
      <c r="C4576" s="17">
        <v>4</v>
      </c>
      <c r="D4576" s="26" t="str">
        <f>HYPERLINK("https://github.com/MNT95/Competitive-Programming/blob/master/UVa/DP/10645%20-%20Menu.cpp","Sol")</f>
        <v>Sol</v>
      </c>
      <c r="E4576" s="17" t="s">
        <v>6075</v>
      </c>
      <c r="F4576" s="17" t="s">
        <v>255</v>
      </c>
      <c r="G4576" s="18"/>
      <c r="H4576" s="18"/>
    </row>
    <row r="4577" spans="1:8" ht="13.2">
      <c r="A4577" s="19" t="str">
        <f>HYPERLINK("http://codeforces.com/contest/825/problem/E","CF825-D12-E")</f>
        <v>CF825-D12-E</v>
      </c>
      <c r="B4577" s="28" t="s">
        <v>6204</v>
      </c>
      <c r="C4577" s="33">
        <v>4</v>
      </c>
      <c r="D4577" s="18"/>
      <c r="E4577" s="17" t="s">
        <v>6205</v>
      </c>
      <c r="F4577" s="17" t="s">
        <v>255</v>
      </c>
      <c r="G4577" s="18"/>
      <c r="H4577" s="18"/>
    </row>
    <row r="4578" spans="1:8" ht="13.2">
      <c r="A4578" s="15" t="s">
        <v>6231</v>
      </c>
      <c r="B4578" s="29" t="s">
        <v>6232</v>
      </c>
      <c r="C4578" s="31">
        <v>4</v>
      </c>
      <c r="D4578" s="18"/>
      <c r="E4578" s="17" t="s">
        <v>6205</v>
      </c>
      <c r="F4578" s="17" t="s">
        <v>255</v>
      </c>
      <c r="G4578" s="18"/>
      <c r="H4578" s="18"/>
    </row>
    <row r="4579" spans="1:8" ht="13.2">
      <c r="A4579" s="15" t="s">
        <v>1625</v>
      </c>
      <c r="B4579" s="29" t="s">
        <v>1354</v>
      </c>
      <c r="C4579" s="17">
        <v>4</v>
      </c>
      <c r="D4579" s="18"/>
      <c r="E4579" s="17" t="s">
        <v>1337</v>
      </c>
      <c r="F4579" s="17" t="s">
        <v>255</v>
      </c>
      <c r="G4579" s="18"/>
      <c r="H4579" s="18"/>
    </row>
    <row r="4580" spans="1:8" ht="13.2">
      <c r="A4580" s="15" t="s">
        <v>2070</v>
      </c>
      <c r="B4580" s="28" t="s">
        <v>2025</v>
      </c>
      <c r="C4580" s="33">
        <v>4</v>
      </c>
      <c r="D4580" s="18"/>
      <c r="E4580" s="17" t="s">
        <v>2026</v>
      </c>
      <c r="F4580" s="17" t="s">
        <v>255</v>
      </c>
      <c r="G4580" s="18"/>
      <c r="H4580" s="18"/>
    </row>
    <row r="4581" spans="1:8" ht="13.2">
      <c r="A4581" s="15" t="s">
        <v>2108</v>
      </c>
      <c r="B4581" s="28" t="s">
        <v>2109</v>
      </c>
      <c r="C4581" s="24">
        <v>4</v>
      </c>
      <c r="D4581" s="18"/>
      <c r="E4581" s="17" t="s">
        <v>2074</v>
      </c>
      <c r="F4581" s="17" t="s">
        <v>255</v>
      </c>
      <c r="G4581" s="18"/>
      <c r="H4581" s="18"/>
    </row>
    <row r="4582" spans="1:8" ht="13.2">
      <c r="A4582" s="15" t="s">
        <v>2347</v>
      </c>
      <c r="B4582" s="38" t="s">
        <v>2247</v>
      </c>
      <c r="C4582" s="17">
        <v>4</v>
      </c>
      <c r="D4582" s="18"/>
      <c r="E4582" s="17" t="s">
        <v>2153</v>
      </c>
      <c r="F4582" s="17" t="s">
        <v>255</v>
      </c>
      <c r="G4582" s="18"/>
      <c r="H4582" s="18"/>
    </row>
    <row r="4583" spans="1:8" ht="13.2">
      <c r="A4583" s="15" t="s">
        <v>2453</v>
      </c>
      <c r="B4583" s="28" t="s">
        <v>2454</v>
      </c>
      <c r="C4583" s="24">
        <v>4</v>
      </c>
      <c r="D4583" s="26" t="str">
        <f>HYPERLINK("https://github.com/ahmedcpbl/CompetitiveProgramming/blob/master/PKU/1704.cpp","Sol")</f>
        <v>Sol</v>
      </c>
      <c r="E4583" s="17" t="s">
        <v>2442</v>
      </c>
      <c r="F4583" s="17" t="s">
        <v>255</v>
      </c>
      <c r="G4583" s="18"/>
      <c r="H4583" s="18"/>
    </row>
    <row r="4584" spans="1:8" ht="13.2">
      <c r="A4584" s="19" t="str">
        <f>HYPERLINK("http://codeforces.com/contest/618/problem/C","CF618-D12-C")</f>
        <v>CF618-D12-C</v>
      </c>
      <c r="B4584" s="15" t="s">
        <v>2719</v>
      </c>
      <c r="C4584" s="17">
        <v>4</v>
      </c>
      <c r="D4584" s="26" t="str">
        <f>HYPERLINK("https://github.com/MohamedNabil97/CompetitiveProgramming/blob/master/CodeForces/CF618-D12-C.cpp","Sol")</f>
        <v>Sol</v>
      </c>
      <c r="E4584" s="17" t="s">
        <v>2510</v>
      </c>
      <c r="F4584" s="17" t="s">
        <v>255</v>
      </c>
      <c r="G4584" s="18"/>
      <c r="H4584" s="18"/>
    </row>
    <row r="4585" spans="1:8" ht="13.2">
      <c r="A4585" s="15" t="s">
        <v>2914</v>
      </c>
      <c r="B4585" s="29" t="s">
        <v>2915</v>
      </c>
      <c r="C4585" s="17">
        <v>4</v>
      </c>
      <c r="D4585" s="18"/>
      <c r="E4585" s="17" t="s">
        <v>2865</v>
      </c>
      <c r="F4585" s="17" t="s">
        <v>255</v>
      </c>
      <c r="G4585" s="18"/>
      <c r="H4585" s="18"/>
    </row>
    <row r="4586" spans="1:8" ht="13.2">
      <c r="A4586" s="15" t="s">
        <v>2916</v>
      </c>
      <c r="B4586" s="29" t="s">
        <v>2917</v>
      </c>
      <c r="C4586" s="17">
        <v>4</v>
      </c>
      <c r="D4586" s="26" t="str">
        <f>HYPERLINK("https://github.com/AbdelrahmanRamadan/competitive-programming/blob/master/Topcoder/SRM373%20RectangleCrossings.cpp","Sol")</f>
        <v>Sol</v>
      </c>
      <c r="E4586" s="17" t="s">
        <v>2865</v>
      </c>
      <c r="F4586" s="17" t="s">
        <v>255</v>
      </c>
      <c r="G4586" s="18"/>
      <c r="H4586" s="18"/>
    </row>
    <row r="4587" spans="1:8" ht="13.2">
      <c r="A4587" s="15" t="s">
        <v>3030</v>
      </c>
      <c r="B4587" s="30" t="s">
        <v>3031</v>
      </c>
      <c r="C4587" s="17">
        <v>4</v>
      </c>
      <c r="D4587" s="26" t="str">
        <f>HYPERLINK("https://github.com/mostafa-saad/MyCompetitiveProgramming/blob/master/UVA/UVA_12300.txt","Sol")</f>
        <v>Sol</v>
      </c>
      <c r="E4587" s="17" t="s">
        <v>2948</v>
      </c>
      <c r="F4587" s="17" t="s">
        <v>255</v>
      </c>
      <c r="G4587" s="18"/>
      <c r="H4587" s="18"/>
    </row>
    <row r="4588" spans="1:8" ht="13.2">
      <c r="A4588" s="15" t="s">
        <v>3597</v>
      </c>
      <c r="B4588" s="16" t="s">
        <v>3515</v>
      </c>
      <c r="C4588" s="17">
        <v>4</v>
      </c>
      <c r="D4588" s="18"/>
      <c r="E4588" s="17" t="s">
        <v>3467</v>
      </c>
      <c r="F4588" s="17" t="s">
        <v>255</v>
      </c>
      <c r="G4588" s="18"/>
      <c r="H4588" s="18"/>
    </row>
    <row r="4589" spans="1:8" ht="13.2">
      <c r="A4589" s="15" t="s">
        <v>4797</v>
      </c>
      <c r="B4589" s="29" t="s">
        <v>4798</v>
      </c>
      <c r="C4589" s="24">
        <v>4</v>
      </c>
      <c r="D4589" s="18"/>
      <c r="E4589" s="17" t="s">
        <v>4778</v>
      </c>
      <c r="F4589" s="17" t="s">
        <v>255</v>
      </c>
      <c r="G4589" s="18"/>
      <c r="H4589" s="18"/>
    </row>
    <row r="4590" spans="1:8" ht="13.2">
      <c r="A4590" s="19" t="str">
        <f>HYPERLINK("http://www.spoj.com/problems/FLIB/","SPOJ FLIB")</f>
        <v>SPOJ FLIB</v>
      </c>
      <c r="B4590" s="28" t="s">
        <v>5298</v>
      </c>
      <c r="C4590" s="17">
        <v>4</v>
      </c>
      <c r="D4590" s="18"/>
      <c r="E4590" s="17" t="s">
        <v>5246</v>
      </c>
      <c r="F4590" s="17" t="s">
        <v>255</v>
      </c>
      <c r="G4590" s="18"/>
      <c r="H4590" s="18"/>
    </row>
    <row r="4591" spans="1:8" ht="13.2">
      <c r="A4591" s="15" t="s">
        <v>278</v>
      </c>
      <c r="B4591" s="15" t="s">
        <v>124</v>
      </c>
      <c r="C4591" s="17">
        <v>4</v>
      </c>
      <c r="D4591" s="18"/>
      <c r="E4591" s="17" t="s">
        <v>125</v>
      </c>
      <c r="F4591" s="17" t="s">
        <v>229</v>
      </c>
      <c r="G4591" s="18"/>
      <c r="H4591" s="18"/>
    </row>
    <row r="4592" spans="1:8" ht="13.2">
      <c r="A4592" s="19" t="str">
        <f>HYPERLINK("http://codeforces.com/contest/375/problem/B","CF375-D1-B")</f>
        <v>CF375-D1-B</v>
      </c>
      <c r="B4592" s="29" t="s">
        <v>212</v>
      </c>
      <c r="C4592" s="17">
        <v>4</v>
      </c>
      <c r="D4592" s="18"/>
      <c r="E4592" s="17" t="s">
        <v>125</v>
      </c>
      <c r="F4592" s="17" t="s">
        <v>229</v>
      </c>
      <c r="G4592" s="18"/>
      <c r="H4592" s="18"/>
    </row>
    <row r="4593" spans="1:8" ht="13.2">
      <c r="A4593" s="15" t="s">
        <v>279</v>
      </c>
      <c r="B4593" s="34" t="s">
        <v>212</v>
      </c>
      <c r="C4593" s="17">
        <v>4</v>
      </c>
      <c r="D4593" s="18"/>
      <c r="E4593" s="17" t="s">
        <v>125</v>
      </c>
      <c r="F4593" s="17" t="s">
        <v>229</v>
      </c>
      <c r="G4593" s="18"/>
      <c r="H4593" s="18"/>
    </row>
    <row r="4594" spans="1:8" ht="13.2">
      <c r="A4594" s="15" t="s">
        <v>5694</v>
      </c>
      <c r="B4594" s="15" t="s">
        <v>5695</v>
      </c>
      <c r="C4594" s="17">
        <v>4</v>
      </c>
      <c r="D4594" s="18"/>
      <c r="E4594" s="17" t="s">
        <v>5643</v>
      </c>
      <c r="F4594" s="17" t="s">
        <v>229</v>
      </c>
      <c r="G4594" s="18"/>
      <c r="H4594" s="18"/>
    </row>
    <row r="4595" spans="1:8" ht="13.2">
      <c r="A4595" s="15" t="s">
        <v>990</v>
      </c>
      <c r="B4595" s="18" t="s">
        <v>991</v>
      </c>
      <c r="C4595" s="17">
        <v>4</v>
      </c>
      <c r="D4595" s="18"/>
      <c r="E4595" s="17" t="s">
        <v>951</v>
      </c>
      <c r="F4595" s="17" t="s">
        <v>229</v>
      </c>
      <c r="G4595" s="18"/>
      <c r="H4595" s="18"/>
    </row>
    <row r="4596" spans="1:8" ht="13.2">
      <c r="A4596" s="15" t="s">
        <v>6233</v>
      </c>
      <c r="B4596" s="28" t="s">
        <v>6232</v>
      </c>
      <c r="C4596" s="24">
        <v>4</v>
      </c>
      <c r="D4596" s="26" t="str">
        <f>HYPERLINK("https://github.com/AliOsm/CompetitiveProgramming/blob/master/ACM%20ICPC%20Live%20Archive/6195%20-%20The%20Dueling%20Philosophers%20Problem.cpp","Sol")</f>
        <v>Sol</v>
      </c>
      <c r="E4596" s="24" t="s">
        <v>6205</v>
      </c>
      <c r="F4596" s="17" t="s">
        <v>229</v>
      </c>
      <c r="G4596" s="18"/>
      <c r="H4596" s="18"/>
    </row>
    <row r="4597" spans="1:8" ht="13.2">
      <c r="A4597" s="15" t="s">
        <v>6304</v>
      </c>
      <c r="B4597" s="29" t="s">
        <v>6305</v>
      </c>
      <c r="C4597" s="17">
        <v>4</v>
      </c>
      <c r="D4597" s="18"/>
      <c r="E4597" s="17" t="s">
        <v>6275</v>
      </c>
      <c r="F4597" s="17" t="s">
        <v>229</v>
      </c>
      <c r="G4597" s="18"/>
      <c r="H4597" s="18"/>
    </row>
    <row r="4598" spans="1:8" ht="13.2">
      <c r="A4598" s="19" t="str">
        <f>HYPERLINK("http://codeforces.com/contest/339/problem/D","CF339-D2-D")</f>
        <v>CF339-D2-D</v>
      </c>
      <c r="B4598" s="29" t="s">
        <v>1017</v>
      </c>
      <c r="C4598" s="24">
        <v>4</v>
      </c>
      <c r="D4598" s="18"/>
      <c r="E4598" s="17" t="s">
        <v>1018</v>
      </c>
      <c r="F4598" s="17" t="s">
        <v>229</v>
      </c>
      <c r="G4598" s="18"/>
      <c r="H4598" s="18"/>
    </row>
    <row r="4599" spans="1:8" ht="13.2">
      <c r="A4599" s="15" t="s">
        <v>1212</v>
      </c>
      <c r="B4599" s="28" t="s">
        <v>1017</v>
      </c>
      <c r="C4599" s="24">
        <v>4</v>
      </c>
      <c r="D4599" s="18"/>
      <c r="E4599" s="17" t="s">
        <v>1018</v>
      </c>
      <c r="F4599" s="17" t="s">
        <v>229</v>
      </c>
      <c r="G4599" s="18"/>
      <c r="H4599" s="18"/>
    </row>
    <row r="4600" spans="1:8" ht="13.2">
      <c r="A4600" s="15" t="s">
        <v>1626</v>
      </c>
      <c r="B4600" s="16" t="s">
        <v>1541</v>
      </c>
      <c r="C4600" s="17">
        <v>4</v>
      </c>
      <c r="D4600" s="18"/>
      <c r="E4600" s="17" t="s">
        <v>1337</v>
      </c>
      <c r="F4600" s="17" t="s">
        <v>229</v>
      </c>
      <c r="G4600" s="18"/>
      <c r="H4600" s="18"/>
    </row>
    <row r="4601" spans="1:8" ht="13.2">
      <c r="A4601" s="15" t="s">
        <v>445</v>
      </c>
      <c r="B4601" s="29" t="s">
        <v>347</v>
      </c>
      <c r="C4601" s="33">
        <v>4</v>
      </c>
      <c r="D4601" s="18"/>
      <c r="E4601" s="24" t="s">
        <v>332</v>
      </c>
      <c r="F4601" s="17" t="s">
        <v>229</v>
      </c>
      <c r="G4601" s="18"/>
      <c r="H4601" s="18"/>
    </row>
    <row r="4602" spans="1:8" ht="13.2">
      <c r="A4602" s="15" t="s">
        <v>446</v>
      </c>
      <c r="B4602" s="28" t="s">
        <v>447</v>
      </c>
      <c r="C4602" s="17">
        <v>4</v>
      </c>
      <c r="D4602" s="26" t="str">
        <f>HYPERLINK("https://github.com/AhmedRamadanAbdElghany/CompetitiveProgramming/blob/master/UVA/565%20-%20Pizza%20Anyone.cpp","Sol")</f>
        <v>Sol</v>
      </c>
      <c r="E4602" s="17" t="s">
        <v>332</v>
      </c>
      <c r="F4602" s="17" t="s">
        <v>229</v>
      </c>
      <c r="G4602" s="18"/>
      <c r="H4602" s="18"/>
    </row>
    <row r="4603" spans="1:8" ht="13.2">
      <c r="A4603" s="15" t="s">
        <v>448</v>
      </c>
      <c r="B4603" s="29" t="s">
        <v>449</v>
      </c>
      <c r="C4603" s="17">
        <v>4</v>
      </c>
      <c r="D4603" s="18"/>
      <c r="E4603" s="24" t="s">
        <v>332</v>
      </c>
      <c r="F4603" s="17" t="s">
        <v>229</v>
      </c>
      <c r="G4603" s="18"/>
      <c r="H4603" s="18"/>
    </row>
    <row r="4604" spans="1:8" ht="13.2">
      <c r="A4604" s="15" t="s">
        <v>1887</v>
      </c>
      <c r="B4604" s="29" t="s">
        <v>1888</v>
      </c>
      <c r="C4604" s="33">
        <v>4</v>
      </c>
      <c r="D4604" s="18"/>
      <c r="E4604" s="17" t="s">
        <v>1819</v>
      </c>
      <c r="F4604" s="17" t="s">
        <v>229</v>
      </c>
      <c r="G4604" s="18"/>
      <c r="H4604" s="18"/>
    </row>
    <row r="4605" spans="1:8" ht="13.2">
      <c r="A4605" s="15" t="s">
        <v>2348</v>
      </c>
      <c r="B4605" s="16" t="s">
        <v>2163</v>
      </c>
      <c r="C4605" s="17">
        <v>4</v>
      </c>
      <c r="D4605" s="18"/>
      <c r="E4605" s="17" t="s">
        <v>2153</v>
      </c>
      <c r="F4605" s="17" t="s">
        <v>229</v>
      </c>
      <c r="G4605" s="18"/>
      <c r="H4605" s="18"/>
    </row>
    <row r="4606" spans="1:8" ht="13.2">
      <c r="A4606" s="19" t="str">
        <f>HYPERLINK("https://uva.onlinejudge.org/index.php?option=onlinejudge&amp;page=show_problem&amp;problem=3276","UVA 12124")</f>
        <v>UVA 12124</v>
      </c>
      <c r="B4606" s="29" t="s">
        <v>2349</v>
      </c>
      <c r="C4606" s="17">
        <v>4</v>
      </c>
      <c r="D4606" s="26" t="str">
        <f>HYPERLINK("https://github.com/mostafa-saad/MyCompetitiveProgramming/blob/master/UVA/UVA_12124.txt","Sol")</f>
        <v>Sol</v>
      </c>
      <c r="E4606" s="17" t="s">
        <v>2153</v>
      </c>
      <c r="F4606" s="17" t="s">
        <v>229</v>
      </c>
      <c r="G4606" s="18"/>
      <c r="H4606" s="18"/>
    </row>
    <row r="4607" spans="1:8" ht="13.2">
      <c r="A4607" s="15" t="s">
        <v>2428</v>
      </c>
      <c r="B4607" s="29" t="s">
        <v>2400</v>
      </c>
      <c r="C4607" s="24">
        <v>4</v>
      </c>
      <c r="D4607" s="18"/>
      <c r="E4607" s="17" t="s">
        <v>2394</v>
      </c>
      <c r="F4607" s="17" t="s">
        <v>229</v>
      </c>
      <c r="G4607" s="18"/>
      <c r="H4607" s="18"/>
    </row>
    <row r="4608" spans="1:8" ht="13.2">
      <c r="A4608" s="15" t="s">
        <v>2429</v>
      </c>
      <c r="B4608" s="34" t="s">
        <v>2430</v>
      </c>
      <c r="C4608" s="17">
        <v>4</v>
      </c>
      <c r="D4608" s="18"/>
      <c r="E4608" s="17" t="s">
        <v>2394</v>
      </c>
      <c r="F4608" s="17" t="s">
        <v>229</v>
      </c>
      <c r="G4608" s="18"/>
      <c r="H4608" s="18"/>
    </row>
    <row r="4609" spans="1:8" ht="13.2">
      <c r="A4609" s="15" t="s">
        <v>2497</v>
      </c>
      <c r="B4609" s="28" t="s">
        <v>2498</v>
      </c>
      <c r="C4609" s="17">
        <v>4</v>
      </c>
      <c r="D4609" s="18"/>
      <c r="E4609" s="17" t="s">
        <v>2467</v>
      </c>
      <c r="F4609" s="17" t="s">
        <v>229</v>
      </c>
      <c r="G4609" s="18"/>
      <c r="H4609" s="18"/>
    </row>
    <row r="4610" spans="1:8" ht="13.2">
      <c r="A4610" s="15" t="s">
        <v>2720</v>
      </c>
      <c r="B4610" s="15" t="s">
        <v>2633</v>
      </c>
      <c r="C4610" s="17">
        <v>4</v>
      </c>
      <c r="D4610" s="18"/>
      <c r="E4610" s="17" t="s">
        <v>2510</v>
      </c>
      <c r="F4610" s="17" t="s">
        <v>229</v>
      </c>
      <c r="G4610" s="18"/>
      <c r="H4610" s="18"/>
    </row>
    <row r="4611" spans="1:8" ht="13.2">
      <c r="A4611" s="19" t="str">
        <f>HYPERLINK("http://codeforces.com/contest/140/problem/A","CF140-D12-A")</f>
        <v>CF140-D12-A</v>
      </c>
      <c r="B4611" s="15" t="s">
        <v>2800</v>
      </c>
      <c r="C4611" s="24">
        <v>4</v>
      </c>
      <c r="D4611" s="18"/>
      <c r="E4611" s="17" t="s">
        <v>2798</v>
      </c>
      <c r="F4611" s="17" t="s">
        <v>229</v>
      </c>
      <c r="G4611" s="18"/>
      <c r="H4611" s="18"/>
    </row>
    <row r="4612" spans="1:8" ht="13.2">
      <c r="A4612" s="19" t="str">
        <f>HYPERLINK("http://codeforces.com/contest/199/problem/B","CF199-D2-B")</f>
        <v>CF199-D2-B</v>
      </c>
      <c r="B4612" s="29" t="s">
        <v>2853</v>
      </c>
      <c r="C4612" s="17">
        <v>4</v>
      </c>
      <c r="D4612" s="18"/>
      <c r="E4612" s="17" t="s">
        <v>2798</v>
      </c>
      <c r="F4612" s="17" t="s">
        <v>229</v>
      </c>
      <c r="G4612" s="18"/>
      <c r="H4612" s="18"/>
    </row>
    <row r="4613" spans="1:8" ht="13.2">
      <c r="A4613" s="15" t="s">
        <v>2918</v>
      </c>
      <c r="B4613" s="29" t="s">
        <v>2891</v>
      </c>
      <c r="C4613" s="17">
        <v>4</v>
      </c>
      <c r="D4613" s="18"/>
      <c r="E4613" s="17" t="s">
        <v>2865</v>
      </c>
      <c r="F4613" s="17" t="s">
        <v>229</v>
      </c>
      <c r="G4613" s="18"/>
      <c r="H4613" s="18"/>
    </row>
    <row r="4614" spans="1:8" ht="13.2">
      <c r="A4614" s="19" t="str">
        <f>HYPERLINK("https://uva.onlinejudge.org/index.php?option=com_onlinejudge&amp;Itemid=8&amp;page=show_problem&amp;problem=807","UVA 866")</f>
        <v>UVA 866</v>
      </c>
      <c r="B4614" s="29" t="s">
        <v>2871</v>
      </c>
      <c r="C4614" s="17">
        <v>4</v>
      </c>
      <c r="D4614" s="26" t="str">
        <f>HYPERLINK("https://github.com/MeGaCrazy/CompetitiveProgramming/blob/master/UVA/UVA_866.cpp","Sol")</f>
        <v>Sol</v>
      </c>
      <c r="E4614" s="17" t="s">
        <v>2865</v>
      </c>
      <c r="F4614" s="17" t="s">
        <v>229</v>
      </c>
      <c r="G4614" s="18"/>
      <c r="H4614" s="18"/>
    </row>
    <row r="4615" spans="1:8" ht="13.2">
      <c r="A4615" s="15" t="s">
        <v>2919</v>
      </c>
      <c r="B4615" s="29" t="s">
        <v>2920</v>
      </c>
      <c r="C4615" s="17">
        <v>4</v>
      </c>
      <c r="D4615" s="18"/>
      <c r="E4615" s="17" t="s">
        <v>2865</v>
      </c>
      <c r="F4615" s="17" t="s">
        <v>229</v>
      </c>
      <c r="G4615" s="18"/>
      <c r="H4615" s="18"/>
    </row>
    <row r="4616" spans="1:8" ht="13.2">
      <c r="A4616" s="15" t="s">
        <v>3032</v>
      </c>
      <c r="B4616" s="15" t="s">
        <v>3033</v>
      </c>
      <c r="C4616" s="24">
        <v>4</v>
      </c>
      <c r="D4616" s="26" t="str">
        <f>HYPERLINK("https://github.com/mostafa-saad/MyCompetitiveProgramming/blob/master/ZOJ/ZOJ_2157.txt","Sol")</f>
        <v>Sol</v>
      </c>
      <c r="E4616" s="17" t="s">
        <v>2948</v>
      </c>
      <c r="F4616" s="17" t="s">
        <v>229</v>
      </c>
      <c r="G4616" s="18"/>
      <c r="H4616" s="18"/>
    </row>
    <row r="4617" spans="1:8" ht="13.2">
      <c r="A4617" s="15" t="s">
        <v>3598</v>
      </c>
      <c r="B4617" s="16" t="s">
        <v>3466</v>
      </c>
      <c r="C4617" s="33">
        <v>4</v>
      </c>
      <c r="D4617" s="18"/>
      <c r="E4617" s="17" t="s">
        <v>3467</v>
      </c>
      <c r="F4617" s="17" t="s">
        <v>229</v>
      </c>
      <c r="G4617" s="18"/>
      <c r="H4617" s="18"/>
    </row>
    <row r="4618" spans="1:8" ht="13.2">
      <c r="A4618" s="15" t="s">
        <v>4035</v>
      </c>
      <c r="B4618" s="16" t="s">
        <v>4036</v>
      </c>
      <c r="C4618" s="24">
        <v>4</v>
      </c>
      <c r="D4618" s="18"/>
      <c r="E4618" s="17" t="s">
        <v>3998</v>
      </c>
      <c r="F4618" s="17" t="s">
        <v>229</v>
      </c>
      <c r="G4618" s="18"/>
      <c r="H4618" s="18"/>
    </row>
    <row r="4619" spans="1:8" ht="13.2">
      <c r="A4619" s="15" t="s">
        <v>4415</v>
      </c>
      <c r="B4619" s="30" t="s">
        <v>4416</v>
      </c>
      <c r="C4619" s="24">
        <v>4</v>
      </c>
      <c r="D4619" s="18" t="s">
        <v>4417</v>
      </c>
      <c r="E4619" s="17" t="s">
        <v>4411</v>
      </c>
      <c r="F4619" s="17" t="s">
        <v>229</v>
      </c>
      <c r="G4619" s="18"/>
      <c r="H4619" s="18"/>
    </row>
    <row r="4620" spans="1:8" ht="13.2">
      <c r="A4620" s="15" t="s">
        <v>888</v>
      </c>
      <c r="B4620" s="28" t="s">
        <v>889</v>
      </c>
      <c r="C4620" s="17">
        <v>4</v>
      </c>
      <c r="D4620" s="18"/>
      <c r="E4620" s="17" t="s">
        <v>805</v>
      </c>
      <c r="F4620" s="17" t="s">
        <v>229</v>
      </c>
      <c r="G4620" s="18"/>
      <c r="H4620" s="18"/>
    </row>
    <row r="4621" spans="1:8" ht="13.2">
      <c r="A4621" s="15" t="s">
        <v>6234</v>
      </c>
      <c r="B4621" s="29" t="s">
        <v>6219</v>
      </c>
      <c r="C4621" s="24">
        <v>4</v>
      </c>
      <c r="D4621" s="18"/>
      <c r="E4621" s="17" t="s">
        <v>6205</v>
      </c>
      <c r="F4621" s="17" t="s">
        <v>306</v>
      </c>
      <c r="G4621" s="18"/>
      <c r="H4621" s="18"/>
    </row>
    <row r="4622" spans="1:8" ht="13.2">
      <c r="A4622" s="19" t="str">
        <f>HYPERLINK("http://codeforces.com/contest/295/problem/A","CF295-D1-A")</f>
        <v>CF295-D1-A</v>
      </c>
      <c r="B4622" s="29" t="s">
        <v>1017</v>
      </c>
      <c r="C4622" s="17">
        <v>4</v>
      </c>
      <c r="D4622" s="18"/>
      <c r="E4622" s="17" t="s">
        <v>1018</v>
      </c>
      <c r="F4622" s="17" t="s">
        <v>306</v>
      </c>
      <c r="G4622" s="18"/>
      <c r="H4622" s="18"/>
    </row>
    <row r="4623" spans="1:8" ht="13.2">
      <c r="A4623" s="19" t="str">
        <f>HYPERLINK("http://codeforces.com/contest/558/problem/C","CF558-D2-C")</f>
        <v>CF558-D2-C</v>
      </c>
      <c r="B4623" s="29" t="s">
        <v>450</v>
      </c>
      <c r="C4623" s="33">
        <v>4</v>
      </c>
      <c r="D4623" s="18"/>
      <c r="E4623" s="17" t="s">
        <v>332</v>
      </c>
      <c r="F4623" s="17" t="s">
        <v>306</v>
      </c>
      <c r="G4623" s="18"/>
      <c r="H4623" s="18"/>
    </row>
    <row r="4624" spans="1:8" ht="13.2">
      <c r="A4624" s="15" t="s">
        <v>543</v>
      </c>
      <c r="B4624" s="16" t="s">
        <v>544</v>
      </c>
      <c r="C4624" s="33">
        <v>4</v>
      </c>
      <c r="D4624" s="18"/>
      <c r="E4624" s="17" t="s">
        <v>503</v>
      </c>
      <c r="F4624" s="17" t="s">
        <v>306</v>
      </c>
      <c r="G4624" s="18"/>
      <c r="H4624" s="18"/>
    </row>
    <row r="4625" spans="1:8" ht="13.2">
      <c r="A4625" s="19" t="str">
        <f>HYPERLINK("http://codeforces.com/problemset/gymProblem/100090/H","CF100090-gym-H")</f>
        <v>CF100090-gym-H</v>
      </c>
      <c r="B4625" s="18" t="s">
        <v>2400</v>
      </c>
      <c r="C4625" s="17">
        <v>4</v>
      </c>
      <c r="D4625" s="26" t="str">
        <f>HYPERLINK("https://github.com/Mahmoud3ali/CompetitiveProgramming/blob/master/CodeForces/CF100090-GYM-H.cpp","Sol")</f>
        <v>Sol</v>
      </c>
      <c r="E4625" s="17" t="s">
        <v>2394</v>
      </c>
      <c r="F4625" s="17" t="s">
        <v>306</v>
      </c>
      <c r="G4625" s="18"/>
      <c r="H4625" s="18"/>
    </row>
    <row r="4626" spans="1:8" ht="13.2">
      <c r="A4626" s="15" t="s">
        <v>2721</v>
      </c>
      <c r="B4626" s="15" t="s">
        <v>2561</v>
      </c>
      <c r="C4626" s="17">
        <v>4</v>
      </c>
      <c r="D4626" s="18"/>
      <c r="E4626" s="17" t="s">
        <v>2510</v>
      </c>
      <c r="F4626" s="17" t="s">
        <v>306</v>
      </c>
      <c r="G4626" s="18"/>
      <c r="H4626" s="18"/>
    </row>
    <row r="4627" spans="1:8" ht="13.2">
      <c r="A4627" s="19" t="str">
        <f>HYPERLINK("https://uva.onlinejudge.org/index.php?option=onlinejudge&amp;page=show_problem&amp;problem=678","UVA 737")</f>
        <v>UVA 737</v>
      </c>
      <c r="B4627" s="29" t="s">
        <v>2871</v>
      </c>
      <c r="C4627" s="17">
        <v>4</v>
      </c>
      <c r="D4627" s="26" t="str">
        <f>HYPERLINK("https://github.com/mostafa-saad/MyCompetitiveProgramming/blob/master/UVA/UVA_737.txt","Sol")</f>
        <v>Sol</v>
      </c>
      <c r="E4627" s="17" t="s">
        <v>2865</v>
      </c>
      <c r="F4627" s="17" t="s">
        <v>306</v>
      </c>
      <c r="G4627" s="18"/>
      <c r="H4627" s="18"/>
    </row>
    <row r="4628" spans="1:8" ht="13.2">
      <c r="A4628" s="19" t="str">
        <f>HYPERLINK("http://www.spoj.com/problems/TOUR/","SPOJ TOUR")</f>
        <v>SPOJ TOUR</v>
      </c>
      <c r="B4628" s="30" t="s">
        <v>4369</v>
      </c>
      <c r="C4628" s="17">
        <v>4</v>
      </c>
      <c r="D4628" s="18"/>
      <c r="E4628" s="17" t="s">
        <v>4344</v>
      </c>
      <c r="F4628" s="17" t="s">
        <v>306</v>
      </c>
      <c r="G4628" s="18"/>
      <c r="H4628" s="18"/>
    </row>
    <row r="4629" spans="1:8" ht="13.2">
      <c r="A4629" s="15" t="s">
        <v>788</v>
      </c>
      <c r="B4629" s="29" t="s">
        <v>760</v>
      </c>
      <c r="C4629" s="17">
        <v>4</v>
      </c>
      <c r="D4629" s="18"/>
      <c r="E4629" s="24" t="s">
        <v>741</v>
      </c>
      <c r="F4629" s="17" t="s">
        <v>306</v>
      </c>
      <c r="G4629" s="18"/>
      <c r="H4629" s="18"/>
    </row>
    <row r="4630" spans="1:8" ht="13.2">
      <c r="A4630" s="15" t="s">
        <v>4854</v>
      </c>
      <c r="B4630" s="28" t="s">
        <v>4855</v>
      </c>
      <c r="C4630" s="33">
        <v>4</v>
      </c>
      <c r="D4630" s="26" t="str">
        <f>HYPERLINK("https://github.com/TheRealImaginary/CompetitiveProgramming/blob/master/UVA/UVA_10555_DeadFraction.java","Sol")</f>
        <v>Sol</v>
      </c>
      <c r="E4630" s="17" t="s">
        <v>4809</v>
      </c>
      <c r="F4630" s="17" t="s">
        <v>306</v>
      </c>
      <c r="G4630" s="18"/>
      <c r="H4630" s="18"/>
    </row>
    <row r="4631" spans="1:8" ht="13.2">
      <c r="A4631" s="19" t="str">
        <f>HYPERLINK("https://codeforces.com/contest/816/problem/B","CF816-D2-B")</f>
        <v>CF816-D2-B</v>
      </c>
      <c r="B4631" s="29" t="s">
        <v>4712</v>
      </c>
      <c r="C4631" s="17">
        <v>4</v>
      </c>
      <c r="D4631" s="18"/>
      <c r="E4631" s="17" t="s">
        <v>4531</v>
      </c>
      <c r="F4631" s="17" t="s">
        <v>173</v>
      </c>
      <c r="G4631" s="18"/>
      <c r="H4631" s="18"/>
    </row>
    <row r="4632" spans="1:8" ht="13.2">
      <c r="A4632" s="19" t="str">
        <f>HYPERLINK("http://www.spoj.com/problems/TESSER/","SPOJ TESSER")</f>
        <v>SPOJ TESSER</v>
      </c>
      <c r="B4632" s="29" t="s">
        <v>5714</v>
      </c>
      <c r="C4632" s="17">
        <v>4</v>
      </c>
      <c r="D4632" s="18"/>
      <c r="E4632" s="17" t="s">
        <v>5702</v>
      </c>
      <c r="F4632" s="17" t="s">
        <v>154</v>
      </c>
      <c r="G4632" s="18"/>
      <c r="H4632" s="18"/>
    </row>
    <row r="4633" spans="1:8" ht="13.2">
      <c r="A4633" s="15" t="s">
        <v>641</v>
      </c>
      <c r="B4633" s="15" t="s">
        <v>642</v>
      </c>
      <c r="C4633" s="17">
        <v>4</v>
      </c>
      <c r="D4633" s="26" t="str">
        <f>HYPERLINK("https://github.com/goswami-rahul/competitive-coding/blob/master/CompetitiveProgramming/livearchive/8078.cpp","Sol")</f>
        <v>Sol</v>
      </c>
      <c r="E4633" s="17" t="s">
        <v>575</v>
      </c>
      <c r="F4633" s="17" t="s">
        <v>154</v>
      </c>
      <c r="G4633" s="18"/>
      <c r="H4633" s="18"/>
    </row>
    <row r="4634" spans="1:8" ht="13.2">
      <c r="A4634" s="15" t="s">
        <v>992</v>
      </c>
      <c r="B4634" s="29" t="s">
        <v>956</v>
      </c>
      <c r="C4634" s="17">
        <v>4</v>
      </c>
      <c r="D4634" s="18"/>
      <c r="E4634" s="17" t="s">
        <v>951</v>
      </c>
      <c r="F4634" s="17" t="s">
        <v>196</v>
      </c>
      <c r="G4634" s="18"/>
      <c r="H4634" s="18"/>
    </row>
    <row r="4635" spans="1:8" ht="13.2">
      <c r="A4635" s="19" t="str">
        <f>HYPERLINK("http://www.spoj.com/problems/MULTQ3/","SPOJ MULTQ3")</f>
        <v>SPOJ MULTQ3</v>
      </c>
      <c r="B4635" s="29" t="s">
        <v>1043</v>
      </c>
      <c r="C4635" s="17">
        <v>4</v>
      </c>
      <c r="D4635" s="26" t="str">
        <f>HYPERLINK("https://github.com/BRAINOOOO/CompetitiveProgramming/blob/master/Spoj/SPOJ%20MULTQ3.Cpp","Sol")</f>
        <v>Sol</v>
      </c>
      <c r="E4635" s="17" t="s">
        <v>1018</v>
      </c>
      <c r="F4635" s="17" t="s">
        <v>196</v>
      </c>
      <c r="G4635" s="18"/>
      <c r="H4635" s="18"/>
    </row>
    <row r="4636" spans="1:8" ht="13.2">
      <c r="A4636" s="19" t="str">
        <f>HYPERLINK("https://www.codechef.com/problems/KSUM","CODECHEF KSUM")</f>
        <v>CODECHEF KSUM</v>
      </c>
      <c r="B4636" s="29" t="s">
        <v>2350</v>
      </c>
      <c r="C4636" s="24">
        <v>4</v>
      </c>
      <c r="D4636" s="26" t="str">
        <f>HYPERLINK("https://www.codechef.com/viewsolution/18635981","Sol")</f>
        <v>Sol</v>
      </c>
      <c r="E4636" s="17" t="s">
        <v>2153</v>
      </c>
      <c r="F4636" s="17" t="s">
        <v>1112</v>
      </c>
      <c r="G4636" s="18"/>
      <c r="H4636" s="18"/>
    </row>
    <row r="4637" spans="1:8" ht="13.2">
      <c r="A4637" s="19" t="str">
        <f>HYPERLINK("https://codeforces.com/contest/1207/problem/E", "CF1207-D12-E")</f>
        <v>CF1207-D12-E</v>
      </c>
      <c r="B4637" s="20" t="s">
        <v>280</v>
      </c>
      <c r="C4637" s="17">
        <v>4</v>
      </c>
      <c r="D4637" s="18"/>
      <c r="E4637" s="17" t="s">
        <v>125</v>
      </c>
      <c r="F4637" s="17" t="s">
        <v>139</v>
      </c>
      <c r="G4637" s="18"/>
      <c r="H4637" s="18"/>
    </row>
    <row r="4638" spans="1:8" ht="13.2">
      <c r="A4638" s="19" t="str">
        <f>HYPERLINK("http://codeforces.com/contest/1043/problem/C","CF1043-D12-C")</f>
        <v>CF1043-D12-C</v>
      </c>
      <c r="B4638" s="15" t="s">
        <v>138</v>
      </c>
      <c r="C4638" s="17">
        <v>4</v>
      </c>
      <c r="D4638" s="18"/>
      <c r="E4638" s="17" t="s">
        <v>125</v>
      </c>
      <c r="F4638" s="17" t="s">
        <v>139</v>
      </c>
      <c r="G4638" s="18"/>
      <c r="H4638" s="18"/>
    </row>
    <row r="4639" spans="1:8" ht="13.2">
      <c r="A4639" s="19" t="str">
        <f>HYPERLINK("http://codeforces.com/contest/1075/problem/C","CF1075-D2-C")</f>
        <v>CF1075-D2-C</v>
      </c>
      <c r="B4639" s="20" t="s">
        <v>281</v>
      </c>
      <c r="C4639" s="21">
        <v>4</v>
      </c>
      <c r="D4639" s="18"/>
      <c r="E4639" s="17" t="s">
        <v>125</v>
      </c>
      <c r="F4639" s="17" t="s">
        <v>139</v>
      </c>
      <c r="G4639" s="18"/>
      <c r="H4639" s="18"/>
    </row>
    <row r="4640" spans="1:8" ht="13.2">
      <c r="A4640" s="19" t="str">
        <f>HYPERLINK("http://codeforces.com/contest/122/problem/D","CF122-D2-D")</f>
        <v>CF122-D2-D</v>
      </c>
      <c r="B4640" s="29" t="s">
        <v>147</v>
      </c>
      <c r="C4640" s="17">
        <v>4</v>
      </c>
      <c r="D4640" s="18"/>
      <c r="E4640" s="17" t="s">
        <v>125</v>
      </c>
      <c r="F4640" s="17" t="s">
        <v>139</v>
      </c>
      <c r="G4640" s="18"/>
      <c r="H4640" s="18"/>
    </row>
    <row r="4641" spans="1:8" ht="13.2">
      <c r="A4641" s="15" t="s">
        <v>5943</v>
      </c>
      <c r="B4641" s="28" t="s">
        <v>5944</v>
      </c>
      <c r="C4641" s="24">
        <v>4</v>
      </c>
      <c r="D4641" s="18"/>
      <c r="E4641" s="17" t="s">
        <v>5915</v>
      </c>
      <c r="F4641" s="17" t="s">
        <v>139</v>
      </c>
      <c r="G4641" s="18"/>
      <c r="H4641" s="18"/>
    </row>
    <row r="4642" spans="1:8" ht="13.2">
      <c r="A4642" s="19" t="str">
        <f>HYPERLINK("https://codeforces.com/contest/1087/problem/C","CF1087-D2-C")</f>
        <v>CF1087-D2-C</v>
      </c>
      <c r="B4642" s="15" t="s">
        <v>5961</v>
      </c>
      <c r="C4642" s="17">
        <v>4</v>
      </c>
      <c r="D4642" s="18"/>
      <c r="E4642" s="17" t="s">
        <v>5958</v>
      </c>
      <c r="F4642" s="17" t="s">
        <v>139</v>
      </c>
      <c r="G4642" s="18"/>
      <c r="H4642" s="18"/>
    </row>
    <row r="4643" spans="1:8" ht="13.2">
      <c r="A4643" s="19" t="str">
        <f>HYPERLINK("http://codeforces.com/contest/767/problem/D","CF767-D2-D")</f>
        <v>CF767-D2-D</v>
      </c>
      <c r="B4643" s="37" t="s">
        <v>6056</v>
      </c>
      <c r="C4643" s="17">
        <v>4</v>
      </c>
      <c r="D4643" s="18"/>
      <c r="E4643" s="17" t="s">
        <v>6040</v>
      </c>
      <c r="F4643" s="17" t="s">
        <v>139</v>
      </c>
      <c r="G4643" s="18"/>
      <c r="H4643" s="18"/>
    </row>
    <row r="4644" spans="1:8" ht="13.2">
      <c r="A4644" s="15" t="s">
        <v>6235</v>
      </c>
      <c r="B4644" s="29" t="s">
        <v>6236</v>
      </c>
      <c r="C4644" s="17">
        <v>4</v>
      </c>
      <c r="D4644" s="18"/>
      <c r="E4644" s="17" t="s">
        <v>6205</v>
      </c>
      <c r="F4644" s="17" t="s">
        <v>139</v>
      </c>
      <c r="G4644" s="18"/>
      <c r="H4644" s="18"/>
    </row>
    <row r="4645" spans="1:8" ht="13.2">
      <c r="A4645" s="15" t="s">
        <v>1316</v>
      </c>
      <c r="B4645" s="15" t="s">
        <v>1317</v>
      </c>
      <c r="C4645" s="17">
        <v>4</v>
      </c>
      <c r="D4645" s="18"/>
      <c r="E4645" s="17" t="s">
        <v>1223</v>
      </c>
      <c r="F4645" s="17" t="s">
        <v>139</v>
      </c>
      <c r="G4645" s="18"/>
      <c r="H4645" s="18"/>
    </row>
    <row r="4646" spans="1:8" ht="13.2">
      <c r="A4646" s="19" t="str">
        <f>HYPERLINK("https://codeforces.com/contest/55/problem/B","CF55-D12-B")</f>
        <v>CF55-D12-B</v>
      </c>
      <c r="B4646" s="15" t="s">
        <v>451</v>
      </c>
      <c r="C4646" s="17">
        <v>4</v>
      </c>
      <c r="D4646" s="18"/>
      <c r="E4646" s="17" t="s">
        <v>332</v>
      </c>
      <c r="F4646" s="17" t="s">
        <v>139</v>
      </c>
      <c r="G4646" s="18"/>
      <c r="H4646" s="18"/>
    </row>
    <row r="4647" spans="1:8" ht="13.2">
      <c r="A4647" s="19" t="str">
        <f>HYPERLINK("http://codeforces.com/contest/911/problem/D","CF911-D12-D")</f>
        <v>CF911-D12-D</v>
      </c>
      <c r="B4647" s="15" t="s">
        <v>452</v>
      </c>
      <c r="C4647" s="17">
        <v>4</v>
      </c>
      <c r="D4647" s="18"/>
      <c r="E4647" s="17" t="s">
        <v>332</v>
      </c>
      <c r="F4647" s="17" t="s">
        <v>139</v>
      </c>
      <c r="G4647" s="18"/>
      <c r="H4647" s="18"/>
    </row>
    <row r="4648" spans="1:8" ht="13.2">
      <c r="A4648" s="19" t="str">
        <f>HYPERLINK("https://codeforces.com/contest/1033/problem/C","CF1033-D12-C")</f>
        <v>CF1033-D12-C</v>
      </c>
      <c r="B4648" s="15" t="s">
        <v>2012</v>
      </c>
      <c r="C4648" s="17">
        <v>4</v>
      </c>
      <c r="D4648" s="18"/>
      <c r="E4648" s="17" t="s">
        <v>1989</v>
      </c>
      <c r="F4648" s="17" t="s">
        <v>139</v>
      </c>
      <c r="G4648" s="18"/>
      <c r="H4648" s="18"/>
    </row>
    <row r="4649" spans="1:8" ht="13.2">
      <c r="A4649" s="19" t="str">
        <f>HYPERLINK("http://codeforces.com/gym/101726/problem/B","CF101726-GYM-B")</f>
        <v>CF101726-GYM-B</v>
      </c>
      <c r="B4649" s="15" t="s">
        <v>2025</v>
      </c>
      <c r="C4649" s="17">
        <v>4</v>
      </c>
      <c r="D4649" s="26" t="str">
        <f>HYPERLINK("https://github.com/AliOsm/CompetitiveProgramming/blob/master/CodeForces%20Gyms/2013%20USP%20Try-outs/B.%20Spy%20Duel.cpp","Sol")</f>
        <v>Sol</v>
      </c>
      <c r="E4649" s="17" t="s">
        <v>2026</v>
      </c>
      <c r="F4649" s="17" t="s">
        <v>139</v>
      </c>
      <c r="G4649" s="18"/>
      <c r="H4649" s="18"/>
    </row>
    <row r="4650" spans="1:8" ht="13.2">
      <c r="A4650" s="19" t="str">
        <f>HYPERLINK("https://codeforces.com/contest/1151/problem/D","CF1151-D2-D")</f>
        <v>CF1151-D2-D</v>
      </c>
      <c r="B4650" s="20" t="s">
        <v>2163</v>
      </c>
      <c r="C4650" s="17">
        <v>4</v>
      </c>
      <c r="D4650" s="18"/>
      <c r="E4650" s="17" t="s">
        <v>2153</v>
      </c>
      <c r="F4650" s="17" t="s">
        <v>139</v>
      </c>
      <c r="G4650" s="18"/>
      <c r="H4650" s="18"/>
    </row>
    <row r="4651" spans="1:8" ht="13.2">
      <c r="A4651" s="15" t="s">
        <v>2351</v>
      </c>
      <c r="B4651" s="15" t="s">
        <v>2352</v>
      </c>
      <c r="C4651" s="17">
        <v>4</v>
      </c>
      <c r="D4651" s="18"/>
      <c r="E4651" s="17" t="s">
        <v>2153</v>
      </c>
      <c r="F4651" s="17" t="s">
        <v>139</v>
      </c>
      <c r="G4651" s="18"/>
      <c r="H4651" s="18"/>
    </row>
    <row r="4652" spans="1:8" ht="13.2">
      <c r="A4652" s="19" t="str">
        <f>HYPERLINK("https://codeforces.com/contest/1064/problem/C","CF1064-D2-C")</f>
        <v>CF1064-D2-C</v>
      </c>
      <c r="B4652" s="15" t="s">
        <v>2353</v>
      </c>
      <c r="C4652" s="17">
        <v>4</v>
      </c>
      <c r="D4652" s="18" t="s">
        <v>2354</v>
      </c>
      <c r="E4652" s="17" t="s">
        <v>2153</v>
      </c>
      <c r="F4652" s="17" t="s">
        <v>139</v>
      </c>
      <c r="G4652" s="18"/>
      <c r="H4652" s="18"/>
    </row>
    <row r="4653" spans="1:8" ht="13.2">
      <c r="A4653" s="19" t="str">
        <f>HYPERLINK("http://codeforces.com/gym/101597/problem/J","CF101597-gym-J")</f>
        <v>CF101597-gym-J</v>
      </c>
      <c r="B4653" s="15" t="s">
        <v>2355</v>
      </c>
      <c r="C4653" s="17">
        <v>4</v>
      </c>
      <c r="D4653" s="18"/>
      <c r="E4653" s="17" t="s">
        <v>2153</v>
      </c>
      <c r="F4653" s="17" t="s">
        <v>139</v>
      </c>
      <c r="G4653" s="18"/>
      <c r="H4653" s="18"/>
    </row>
    <row r="4654" spans="1:8" ht="13.2">
      <c r="A4654" s="19" t="str">
        <f>HYPERLINK("https://codeforces.com/gym/101979/problem/A","CF101979-GYM-A")</f>
        <v>CF101979-GYM-A</v>
      </c>
      <c r="B4654" s="20" t="s">
        <v>2431</v>
      </c>
      <c r="C4654" s="21">
        <v>4</v>
      </c>
      <c r="D4654" s="18"/>
      <c r="E4654" s="17" t="s">
        <v>2394</v>
      </c>
      <c r="F4654" s="17" t="s">
        <v>139</v>
      </c>
      <c r="G4654" s="18"/>
      <c r="H4654" s="18"/>
    </row>
    <row r="4655" spans="1:8" ht="13.2">
      <c r="A4655" s="19" t="str">
        <f>HYPERLINK("https://uva.onlinejudge.org/index.php?option=com_onlinejudge&amp;Itemid=8&amp;page=show_problem&amp;problem=774","UVA 833")</f>
        <v>UVA 833</v>
      </c>
      <c r="B4655" s="29" t="s">
        <v>2921</v>
      </c>
      <c r="C4655" s="17">
        <v>4</v>
      </c>
      <c r="D4655" s="18"/>
      <c r="E4655" s="17" t="s">
        <v>2865</v>
      </c>
      <c r="F4655" s="17" t="s">
        <v>139</v>
      </c>
      <c r="G4655" s="18"/>
      <c r="H4655" s="18"/>
    </row>
    <row r="4656" spans="1:8" ht="13.2">
      <c r="A4656" s="19" t="str">
        <f>HYPERLINK("https://codeforces.com/contest/1140/problem/C","CF1140-D12-C")</f>
        <v>CF1140-D12-C</v>
      </c>
      <c r="B4656" s="20" t="s">
        <v>643</v>
      </c>
      <c r="C4656" s="17">
        <v>4</v>
      </c>
      <c r="D4656" s="18"/>
      <c r="E4656" s="17" t="s">
        <v>575</v>
      </c>
      <c r="F4656" s="17" t="s">
        <v>139</v>
      </c>
      <c r="G4656" s="18"/>
      <c r="H4656" s="18"/>
    </row>
    <row r="4657" spans="1:8" ht="13.2">
      <c r="A4657" s="15" t="s">
        <v>3205</v>
      </c>
      <c r="B4657" s="28" t="s">
        <v>3206</v>
      </c>
      <c r="C4657" s="24">
        <v>4</v>
      </c>
      <c r="D4657" s="26" t="str">
        <f>HYPERLINK("https://github.com/mostafa-saad/MyCompetitiveProgramming/blob/master/SPOJ/SPOJ_NKMARS.txt","Sol must read - video code has bug")</f>
        <v>Sol must read - video code has bug</v>
      </c>
      <c r="E4657" s="17" t="s">
        <v>3140</v>
      </c>
      <c r="F4657" s="17" t="s">
        <v>139</v>
      </c>
      <c r="G4657" s="18"/>
      <c r="H4657" s="18"/>
    </row>
    <row r="4658" spans="1:8" ht="13.2">
      <c r="A4658" s="19" t="str">
        <f>HYPERLINK("https://codeforces.com/contest/764/problem/C","CF764-D2-C")</f>
        <v>CF764-D2-C</v>
      </c>
      <c r="B4658" s="15" t="s">
        <v>3340</v>
      </c>
      <c r="C4658" s="17">
        <v>4</v>
      </c>
      <c r="D4658" s="18"/>
      <c r="E4658" s="17" t="s">
        <v>3257</v>
      </c>
      <c r="F4658" s="17" t="s">
        <v>139</v>
      </c>
      <c r="G4658" s="18"/>
      <c r="H4658" s="18"/>
    </row>
    <row r="4659" spans="1:8" ht="13.2">
      <c r="A4659" s="19" t="str">
        <f>HYPERLINK("http://codeforces.com/contest/902/problem/C","CF902-D2-C")</f>
        <v>CF902-D2-C</v>
      </c>
      <c r="B4659" s="29" t="s">
        <v>3416</v>
      </c>
      <c r="C4659" s="17">
        <v>4</v>
      </c>
      <c r="D4659" s="18"/>
      <c r="E4659" s="17" t="s">
        <v>3257</v>
      </c>
      <c r="F4659" s="17" t="s">
        <v>139</v>
      </c>
      <c r="G4659" s="18"/>
      <c r="H4659" s="18"/>
    </row>
    <row r="4660" spans="1:8" ht="13.2">
      <c r="A4660" s="19" t="str">
        <f>HYPERLINK("https://codeforces.com/contest/1183/problem/E","CF1183-D3-E")</f>
        <v>CF1183-D3-E</v>
      </c>
      <c r="B4660" s="15" t="s">
        <v>3466</v>
      </c>
      <c r="C4660" s="17">
        <v>4</v>
      </c>
      <c r="D4660" s="18"/>
      <c r="E4660" s="17" t="s">
        <v>3467</v>
      </c>
      <c r="F4660" s="17" t="s">
        <v>139</v>
      </c>
      <c r="G4660" s="18"/>
      <c r="H4660" s="18"/>
    </row>
    <row r="4661" spans="1:8" ht="13.2">
      <c r="A4661" s="19" t="str">
        <f>HYPERLINK("https://www.codechef.com/problems/CLIQUED","Codechef CLIQUED")</f>
        <v>Codechef CLIQUED</v>
      </c>
      <c r="B4661" s="20" t="s">
        <v>3791</v>
      </c>
      <c r="C4661" s="17">
        <v>4</v>
      </c>
      <c r="D4661" s="18"/>
      <c r="E4661" s="17" t="s">
        <v>3784</v>
      </c>
      <c r="F4661" s="17" t="s">
        <v>139</v>
      </c>
      <c r="G4661" s="18"/>
      <c r="H4661" s="18"/>
    </row>
    <row r="4662" spans="1:8" ht="13.2">
      <c r="A4662" s="15" t="s">
        <v>3987</v>
      </c>
      <c r="B4662" s="29" t="s">
        <v>3961</v>
      </c>
      <c r="C4662" s="24">
        <v>4</v>
      </c>
      <c r="D4662" s="26" t="str">
        <f>HYPERLINK("https://github.com/shashank0107/CompetitiveProgramming/blob/master/UVA/10129.cpp","Sol")</f>
        <v>Sol</v>
      </c>
      <c r="E4662" s="17" t="s">
        <v>3955</v>
      </c>
      <c r="F4662" s="17" t="s">
        <v>139</v>
      </c>
      <c r="G4662" s="18"/>
      <c r="H4662" s="18"/>
    </row>
    <row r="4663" spans="1:8" ht="13.2">
      <c r="A4663" s="19" t="str">
        <f>HYPERLINK("https://uva.onlinejudge.org/index.php?option=onlinejudge&amp;page=show_problem&amp;problem=122","UVA 186")</f>
        <v>UVA 186</v>
      </c>
      <c r="B4663" s="29" t="s">
        <v>4037</v>
      </c>
      <c r="C4663" s="17">
        <v>4</v>
      </c>
      <c r="D4663" s="26" t="str">
        <f>HYPERLINK("https://github.com/VAMPIER000001/CompetitiveProgramming/blob/master/UVA/V-1/UVA%20186.Cpp","Sol")</f>
        <v>Sol</v>
      </c>
      <c r="E4663" s="17" t="s">
        <v>3998</v>
      </c>
      <c r="F4663" s="17" t="s">
        <v>139</v>
      </c>
      <c r="G4663" s="18"/>
      <c r="H4663" s="18"/>
    </row>
    <row r="4664" spans="1:8" ht="13.2">
      <c r="A4664" s="19" t="str">
        <f>HYPERLINK("https://uva.onlinejudge.org/index.php?option=com_onlinejudge&amp;Itemid=8&amp;page=show_problem&amp;problem=999","UVA 10058")</f>
        <v>UVA 10058</v>
      </c>
      <c r="B4664" s="29" t="s">
        <v>738</v>
      </c>
      <c r="C4664" s="17">
        <v>4</v>
      </c>
      <c r="D4664" s="26" t="str">
        <f>HYPERLINK("https://github.com/mostafa-saad/MyCompetitiveProgramming/blob/master/UVA/UVA_10058.txt","Sol")</f>
        <v>Sol</v>
      </c>
      <c r="E4664" s="17" t="s">
        <v>719</v>
      </c>
      <c r="F4664" s="17" t="s">
        <v>139</v>
      </c>
      <c r="G4664" s="18"/>
      <c r="H4664" s="18"/>
    </row>
    <row r="4665" spans="1:8" ht="13.2">
      <c r="A4665" s="19" t="str">
        <f>HYPERLINK("https://codeforces.com/contest/1059/problem/C","CF1059-D2-C")</f>
        <v>CF1059-D2-C</v>
      </c>
      <c r="B4665" s="20" t="s">
        <v>4710</v>
      </c>
      <c r="C4665" s="21">
        <v>4</v>
      </c>
      <c r="D4665" s="18"/>
      <c r="E4665" s="17" t="s">
        <v>4531</v>
      </c>
      <c r="F4665" s="17" t="s">
        <v>139</v>
      </c>
      <c r="G4665" s="18"/>
      <c r="H4665" s="18"/>
    </row>
    <row r="4666" spans="1:8" ht="13.2">
      <c r="A4666" s="19" t="str">
        <f>HYPERLINK("https://uva.onlinejudge.org/index.php?option=com_onlinejudge&amp;Itemid=8&amp;page=show_problem&amp;problem=49","UVA 113")</f>
        <v>UVA 113</v>
      </c>
      <c r="B4666" s="29" t="s">
        <v>4713</v>
      </c>
      <c r="C4666" s="17">
        <v>4</v>
      </c>
      <c r="D4666" s="26" t="str">
        <f>HYPERLINK("https://www.algorithmist.com/index.php/UVa_113","Sol")</f>
        <v>Sol</v>
      </c>
      <c r="E4666" s="17" t="s">
        <v>4531</v>
      </c>
      <c r="F4666" s="17" t="s">
        <v>139</v>
      </c>
      <c r="G4666" s="18"/>
      <c r="H4666" s="18"/>
    </row>
    <row r="4667" spans="1:8" ht="13.2">
      <c r="A4667" s="19" t="str">
        <f>HYPERLINK("https://www.codechef.com/problems/GRIDTOUR","CODECHEF GRIDTOUR")</f>
        <v>CODECHEF GRIDTOUR</v>
      </c>
      <c r="B4667" s="20" t="s">
        <v>4564</v>
      </c>
      <c r="C4667" s="17">
        <v>4</v>
      </c>
      <c r="D4667" s="18"/>
      <c r="E4667" s="17" t="s">
        <v>4531</v>
      </c>
      <c r="F4667" s="17" t="s">
        <v>139</v>
      </c>
      <c r="G4667" s="18"/>
      <c r="H4667" s="18"/>
    </row>
    <row r="4668" spans="1:8" ht="13.2">
      <c r="A4668" s="19" t="str">
        <f>HYPERLINK("http://codeforces.com/contest/894/problem/C","CF894-D2-C")</f>
        <v>CF894-D2-C</v>
      </c>
      <c r="B4668" s="18" t="s">
        <v>4808</v>
      </c>
      <c r="C4668" s="17">
        <v>4</v>
      </c>
      <c r="D4668" s="18"/>
      <c r="E4668" s="17" t="s">
        <v>4809</v>
      </c>
      <c r="F4668" s="17" t="s">
        <v>139</v>
      </c>
      <c r="G4668" s="18"/>
      <c r="H4668" s="18"/>
    </row>
    <row r="4669" spans="1:8" ht="13.2">
      <c r="A4669" s="15" t="s">
        <v>5031</v>
      </c>
      <c r="B4669" s="30" t="s">
        <v>5032</v>
      </c>
      <c r="C4669" s="24">
        <v>4</v>
      </c>
      <c r="D4669" s="18"/>
      <c r="E4669" s="17" t="s">
        <v>4958</v>
      </c>
      <c r="F4669" s="17" t="s">
        <v>139</v>
      </c>
      <c r="G4669" s="18"/>
      <c r="H4669" s="18"/>
    </row>
    <row r="4670" spans="1:8" ht="13.2">
      <c r="A4670" s="15" t="s">
        <v>5033</v>
      </c>
      <c r="B4670" s="15" t="s">
        <v>5034</v>
      </c>
      <c r="C4670" s="17">
        <v>4</v>
      </c>
      <c r="D4670" s="26" t="str">
        <f>HYPERLINK("https://github.com/goswami-rahul/competitive-coding/blob/master/CompetitiveProgramming/spoj/ITRIX_E.py","Sol")</f>
        <v>Sol</v>
      </c>
      <c r="E4670" s="17" t="s">
        <v>4958</v>
      </c>
      <c r="F4670" s="17" t="s">
        <v>139</v>
      </c>
      <c r="G4670" s="18"/>
      <c r="H4670" s="18"/>
    </row>
    <row r="4671" spans="1:8" ht="13.2">
      <c r="A4671" s="19" t="str">
        <f>HYPERLINK("https://codeforces.com/contest/1061/problem/C","CF1061-D2-C")</f>
        <v>CF1061-D2-C</v>
      </c>
      <c r="B4671" s="15" t="s">
        <v>5115</v>
      </c>
      <c r="C4671" s="17">
        <v>4</v>
      </c>
      <c r="D4671" s="18"/>
      <c r="E4671" s="17" t="s">
        <v>5075</v>
      </c>
      <c r="F4671" s="17" t="s">
        <v>139</v>
      </c>
      <c r="G4671" s="18"/>
      <c r="H4671" s="18"/>
    </row>
    <row r="4672" spans="1:8" ht="13.2">
      <c r="A4672" s="19" t="str">
        <f>HYPERLINK("https://codeforces.com/contest/1117/problem/C","CF1117-D12-C")</f>
        <v>CF1117-D12-C</v>
      </c>
      <c r="B4672" s="15" t="s">
        <v>814</v>
      </c>
      <c r="C4672" s="17">
        <v>4</v>
      </c>
      <c r="D4672" s="18"/>
      <c r="E4672" s="17" t="s">
        <v>805</v>
      </c>
      <c r="F4672" s="17" t="s">
        <v>139</v>
      </c>
      <c r="G4672" s="18"/>
      <c r="H4672" s="18"/>
    </row>
    <row r="4673" spans="1:8" ht="13.2">
      <c r="A4673" s="19" t="str">
        <f>HYPERLINK("http://codeforces.com/contest/812/problem/C","CF812-D2-C")</f>
        <v>CF812-D2-C</v>
      </c>
      <c r="B4673" s="29" t="s">
        <v>814</v>
      </c>
      <c r="C4673" s="17">
        <v>4</v>
      </c>
      <c r="D4673" s="18"/>
      <c r="E4673" s="17" t="s">
        <v>805</v>
      </c>
      <c r="F4673" s="17" t="s">
        <v>139</v>
      </c>
      <c r="G4673" s="18"/>
      <c r="H4673" s="18"/>
    </row>
    <row r="4674" spans="1:8" ht="13.2">
      <c r="A4674" s="19" t="str">
        <f>HYPERLINK("https://codeforces.com/contest/1118/problem/D2","CF1118-D3-D2")</f>
        <v>CF1118-D3-D2</v>
      </c>
      <c r="B4674" s="23" t="s">
        <v>848</v>
      </c>
      <c r="C4674" s="17">
        <v>4</v>
      </c>
      <c r="D4674" s="18"/>
      <c r="E4674" s="17" t="s">
        <v>805</v>
      </c>
      <c r="F4674" s="17" t="s">
        <v>139</v>
      </c>
      <c r="G4674" s="18"/>
      <c r="H4674" s="18"/>
    </row>
    <row r="4675" spans="1:8" ht="13.2">
      <c r="A4675" s="19" t="str">
        <f>HYPERLINK("http://codeforces.com/contest/270/problem/C","CF270-D2-C")</f>
        <v>CF270-D2-C</v>
      </c>
      <c r="B4675" s="29" t="s">
        <v>890</v>
      </c>
      <c r="C4675" s="17">
        <v>4</v>
      </c>
      <c r="D4675" s="18"/>
      <c r="E4675" s="17" t="s">
        <v>805</v>
      </c>
      <c r="F4675" s="17" t="s">
        <v>139</v>
      </c>
      <c r="G4675" s="18"/>
      <c r="H4675" s="18"/>
    </row>
    <row r="4676" spans="1:8" ht="13.2">
      <c r="A4676" s="19" t="str">
        <f>HYPERLINK("https://uva.onlinejudge.org/index.php?option=onlinejudge&amp;page=show_problem&amp;problem=1109","UVA 10168")</f>
        <v>UVA 10168</v>
      </c>
      <c r="B4676" s="29" t="s">
        <v>5416</v>
      </c>
      <c r="C4676" s="17">
        <v>4</v>
      </c>
      <c r="D4676" s="18"/>
      <c r="E4676" s="17" t="s">
        <v>5414</v>
      </c>
      <c r="F4676" s="17" t="s">
        <v>139</v>
      </c>
      <c r="G4676" s="18"/>
      <c r="H4676" s="18"/>
    </row>
    <row r="4677" spans="1:8" ht="13.2">
      <c r="A4677" s="19" t="str">
        <f>HYPERLINK("http://codeforces.com/contest/534/problem/D","CF534-D2-D")</f>
        <v>CF534-D2-D</v>
      </c>
      <c r="B4677" s="28" t="s">
        <v>2356</v>
      </c>
      <c r="C4677" s="17">
        <v>4</v>
      </c>
      <c r="D4677" s="18"/>
      <c r="E4677" s="17" t="s">
        <v>2153</v>
      </c>
      <c r="F4677" s="17" t="s">
        <v>613</v>
      </c>
      <c r="G4677" s="18"/>
      <c r="H4677" s="18"/>
    </row>
    <row r="4678" spans="1:8" ht="13.2">
      <c r="A4678" s="19" t="str">
        <f>HYPERLINK("https://www.codechef.com/LTIME64B/problems/OPPOSITE", "CODECHEF OPPOSITE")</f>
        <v>CODECHEF OPPOSITE</v>
      </c>
      <c r="B4678" s="15" t="s">
        <v>124</v>
      </c>
      <c r="C4678" s="17">
        <v>4</v>
      </c>
      <c r="D4678" s="18"/>
      <c r="E4678" s="17" t="s">
        <v>125</v>
      </c>
      <c r="F4678" s="17" t="s">
        <v>201</v>
      </c>
      <c r="G4678" s="18"/>
      <c r="H4678" s="18"/>
    </row>
    <row r="4679" spans="1:8" ht="13.2">
      <c r="A4679" s="15" t="s">
        <v>282</v>
      </c>
      <c r="B4679" s="29" t="s">
        <v>283</v>
      </c>
      <c r="C4679" s="17">
        <v>4</v>
      </c>
      <c r="D4679" s="26" t="str">
        <f>HYPERLINK("https://github.com/mostafa-saad/MyCompetitiveProgramming/blob/master/SPOJ/SPOJ_TWINSNOW.txt","Sol - text clarification")</f>
        <v>Sol - text clarification</v>
      </c>
      <c r="E4679" s="17" t="s">
        <v>125</v>
      </c>
      <c r="F4679" s="17" t="s">
        <v>201</v>
      </c>
      <c r="G4679" s="18"/>
      <c r="H4679" s="18"/>
    </row>
    <row r="4680" spans="1:8" ht="13.2">
      <c r="A4680" s="19" t="str">
        <f>HYPERLINK("http://codeforces.com/contest/466/problem/C","CF466-D2-C")</f>
        <v>CF466-D2-C</v>
      </c>
      <c r="B4680" s="29" t="s">
        <v>284</v>
      </c>
      <c r="C4680" s="17">
        <v>4</v>
      </c>
      <c r="D4680" s="18"/>
      <c r="E4680" s="17" t="s">
        <v>125</v>
      </c>
      <c r="F4680" s="17" t="s">
        <v>201</v>
      </c>
      <c r="G4680" s="18"/>
      <c r="H4680" s="18"/>
    </row>
    <row r="4681" spans="1:8" ht="13.2">
      <c r="A4681" s="19" t="str">
        <f>HYPERLINK("http://codeforces.com/contest/112/problem/D","CF112-D2-D")</f>
        <v>CF112-D2-D</v>
      </c>
      <c r="B4681" s="18" t="s">
        <v>285</v>
      </c>
      <c r="C4681" s="17">
        <v>4</v>
      </c>
      <c r="D4681" s="18"/>
      <c r="E4681" s="17" t="s">
        <v>125</v>
      </c>
      <c r="F4681" s="17" t="s">
        <v>201</v>
      </c>
      <c r="G4681" s="18"/>
      <c r="H4681" s="18"/>
    </row>
    <row r="4682" spans="1:8" ht="13.2">
      <c r="A4682" s="19" t="str">
        <f>HYPERLINK("http://codeforces.com/problemset/problem/296/C","CF296-D2-C")</f>
        <v>CF296-D2-C</v>
      </c>
      <c r="B4682" s="29" t="s">
        <v>245</v>
      </c>
      <c r="C4682" s="17">
        <v>4</v>
      </c>
      <c r="D4682" s="18"/>
      <c r="E4682" s="17" t="s">
        <v>125</v>
      </c>
      <c r="F4682" s="17" t="s">
        <v>201</v>
      </c>
      <c r="G4682" s="18"/>
      <c r="H4682" s="18"/>
    </row>
    <row r="4683" spans="1:8" ht="13.2">
      <c r="A4683" s="15" t="s">
        <v>286</v>
      </c>
      <c r="B4683" s="29" t="s">
        <v>287</v>
      </c>
      <c r="C4683" s="17">
        <v>4</v>
      </c>
      <c r="D4683" s="18"/>
      <c r="E4683" s="17" t="s">
        <v>125</v>
      </c>
      <c r="F4683" s="17" t="s">
        <v>201</v>
      </c>
      <c r="G4683" s="18"/>
      <c r="H4683" s="18"/>
    </row>
    <row r="4684" spans="1:8" ht="13.2">
      <c r="A4684" s="19" t="str">
        <f>HYPERLINK("https://codeforces.com/contest/1077/problem/D","CF1077-D3-D")</f>
        <v>CF1077-D3-D</v>
      </c>
      <c r="B4684" s="15" t="s">
        <v>5961</v>
      </c>
      <c r="C4684" s="17">
        <v>4</v>
      </c>
      <c r="D4684" s="18"/>
      <c r="E4684" s="17" t="s">
        <v>5958</v>
      </c>
      <c r="F4684" s="17" t="s">
        <v>201</v>
      </c>
      <c r="G4684" s="18"/>
      <c r="H4684" s="18"/>
    </row>
    <row r="4685" spans="1:8" ht="13.2">
      <c r="A4685" s="19" t="str">
        <f>HYPERLINK("http://codeforces.com/contest/252/problem/C","CF252-D2-C")</f>
        <v>CF252-D2-C</v>
      </c>
      <c r="B4685" s="29" t="s">
        <v>6068</v>
      </c>
      <c r="C4685" s="17">
        <v>4</v>
      </c>
      <c r="D4685" s="18"/>
      <c r="E4685" s="17" t="s">
        <v>6040</v>
      </c>
      <c r="F4685" s="17" t="s">
        <v>201</v>
      </c>
      <c r="G4685" s="18"/>
      <c r="H4685" s="18"/>
    </row>
    <row r="4686" spans="1:8" ht="13.2">
      <c r="A4686" s="19" t="str">
        <f>HYPERLINK("https://www.codechef.com/COOK108A/problems/BDGFT", "CODECHEF BDGFT")</f>
        <v>CODECHEF BDGFT</v>
      </c>
      <c r="B4686" s="15" t="s">
        <v>6069</v>
      </c>
      <c r="C4686" s="17">
        <v>4</v>
      </c>
      <c r="D4686" s="18"/>
      <c r="E4686" s="17" t="s">
        <v>6040</v>
      </c>
      <c r="F4686" s="17" t="s">
        <v>201</v>
      </c>
      <c r="G4686" s="18"/>
      <c r="H4686" s="18"/>
    </row>
    <row r="4687" spans="1:8" ht="13.2">
      <c r="A4687" s="19" t="str">
        <f>HYPERLINK("http://codeforces.com/contest/231/problem/C","CF231-D2-C")</f>
        <v>CF231-D2-C</v>
      </c>
      <c r="B4687" s="29" t="s">
        <v>6056</v>
      </c>
      <c r="C4687" s="17">
        <v>4</v>
      </c>
      <c r="D4687" s="18"/>
      <c r="E4687" s="17" t="s">
        <v>6040</v>
      </c>
      <c r="F4687" s="17" t="s">
        <v>201</v>
      </c>
      <c r="G4687" s="18"/>
      <c r="H4687" s="18"/>
    </row>
    <row r="4688" spans="1:8" ht="13.2">
      <c r="A4688" s="19" t="str">
        <f>HYPERLINK("http://codeforces.com/contest/137/problem/D","CF137-D2-D")</f>
        <v>CF137-D2-D</v>
      </c>
      <c r="B4688" s="29" t="s">
        <v>6074</v>
      </c>
      <c r="C4688" s="17">
        <v>4</v>
      </c>
      <c r="D4688" s="18"/>
      <c r="E4688" s="17" t="s">
        <v>6075</v>
      </c>
      <c r="F4688" s="17" t="s">
        <v>201</v>
      </c>
      <c r="G4688" s="18"/>
      <c r="H4688" s="18"/>
    </row>
    <row r="4689" spans="1:8" ht="13.2">
      <c r="A4689" s="19" t="str">
        <f>HYPERLINK("http://codeforces.com/contest/560/problem/D","CF560-D2-D")</f>
        <v>CF560-D2-D</v>
      </c>
      <c r="B4689" s="29" t="s">
        <v>6201</v>
      </c>
      <c r="C4689" s="17">
        <v>4</v>
      </c>
      <c r="D4689" s="26" t="str">
        <f>HYPERLINK("https://github.com/VAMPIER000001/CompetitiveProgramming/blob/6ffe2c80fe5aba2bf2d901503b96f1b90053462a/CF/CF560-D2-D(2).Cpp","Sol to learn")</f>
        <v>Sol to learn</v>
      </c>
      <c r="E4689" s="17" t="s">
        <v>6194</v>
      </c>
      <c r="F4689" s="17" t="s">
        <v>201</v>
      </c>
      <c r="G4689" s="18"/>
      <c r="H4689" s="18"/>
    </row>
    <row r="4690" spans="1:8" ht="13.2">
      <c r="A4690" s="15" t="s">
        <v>6237</v>
      </c>
      <c r="B4690" s="28" t="s">
        <v>6204</v>
      </c>
      <c r="C4690" s="24">
        <v>4</v>
      </c>
      <c r="D4690" s="26" t="str">
        <f>HYPERLINK("https://github.com/mostafa-saad/MyCompetitiveProgramming/blob/master/UVA/UVA_12263.txt","Sol")</f>
        <v>Sol</v>
      </c>
      <c r="E4690" s="17" t="s">
        <v>6205</v>
      </c>
      <c r="F4690" s="17" t="s">
        <v>201</v>
      </c>
      <c r="G4690" s="18"/>
      <c r="H4690" s="18"/>
    </row>
    <row r="4691" spans="1:8" ht="13.2">
      <c r="A4691" s="19" t="str">
        <f>HYPERLINK("http://codeforces.com/contest/839/problem/C","CF839-D2-C")</f>
        <v>CF839-D2-C</v>
      </c>
      <c r="B4691" s="29" t="s">
        <v>6294</v>
      </c>
      <c r="C4691" s="17">
        <v>4</v>
      </c>
      <c r="D4691" s="18"/>
      <c r="E4691" s="17" t="s">
        <v>6275</v>
      </c>
      <c r="F4691" s="17" t="s">
        <v>201</v>
      </c>
      <c r="G4691" s="18"/>
      <c r="H4691" s="18"/>
    </row>
    <row r="4692" spans="1:8" ht="13.2">
      <c r="A4692" s="15" t="s">
        <v>1213</v>
      </c>
      <c r="B4692" s="15" t="s">
        <v>1017</v>
      </c>
      <c r="C4692" s="17">
        <v>4</v>
      </c>
      <c r="D4692" s="18"/>
      <c r="E4692" s="17" t="s">
        <v>1018</v>
      </c>
      <c r="F4692" s="17" t="s">
        <v>201</v>
      </c>
      <c r="G4692" s="18"/>
      <c r="H4692" s="18"/>
    </row>
    <row r="4693" spans="1:8" ht="13.2">
      <c r="A4693" s="15" t="s">
        <v>1318</v>
      </c>
      <c r="B4693" s="28" t="s">
        <v>1319</v>
      </c>
      <c r="C4693" s="24">
        <v>4</v>
      </c>
      <c r="D4693" s="26" t="str">
        <f>HYPERLINK("https://github.com/MohamedNabil97/CompetitiveProgramming/blob/master/Timus/1470.cpp","Sol")</f>
        <v>Sol</v>
      </c>
      <c r="E4693" s="17" t="s">
        <v>1223</v>
      </c>
      <c r="F4693" s="17" t="s">
        <v>201</v>
      </c>
      <c r="G4693" s="18"/>
      <c r="H4693" s="18"/>
    </row>
    <row r="4694" spans="1:8" ht="13.2">
      <c r="A4694" s="15" t="s">
        <v>1627</v>
      </c>
      <c r="B4694" s="15" t="s">
        <v>1348</v>
      </c>
      <c r="C4694" s="17">
        <v>4</v>
      </c>
      <c r="D4694" s="18"/>
      <c r="E4694" s="17" t="s">
        <v>1337</v>
      </c>
      <c r="F4694" s="17" t="s">
        <v>201</v>
      </c>
      <c r="G4694" s="18"/>
      <c r="H4694" s="18"/>
    </row>
    <row r="4695" spans="1:8" ht="13.2">
      <c r="A4695" s="19" t="str">
        <f>HYPERLINK("http://codeforces.com/contest/604/problem/C","CF604-D2-C")</f>
        <v>CF604-D2-C</v>
      </c>
      <c r="B4695" s="29" t="s">
        <v>1541</v>
      </c>
      <c r="C4695" s="17">
        <v>4</v>
      </c>
      <c r="D4695" s="18"/>
      <c r="E4695" s="17" t="s">
        <v>1337</v>
      </c>
      <c r="F4695" s="17" t="s">
        <v>201</v>
      </c>
      <c r="G4695" s="18"/>
      <c r="H4695" s="18"/>
    </row>
    <row r="4696" spans="1:8" ht="13.2">
      <c r="A4696" s="19" t="str">
        <f>HYPERLINK("https://codeforces.com/contest/1057/problem/C","CF1057-D12-C")</f>
        <v>CF1057-D12-C</v>
      </c>
      <c r="B4696" s="15" t="s">
        <v>1628</v>
      </c>
      <c r="C4696" s="17">
        <v>4</v>
      </c>
      <c r="D4696" s="18"/>
      <c r="E4696" s="17" t="s">
        <v>1337</v>
      </c>
      <c r="F4696" s="17" t="s">
        <v>201</v>
      </c>
      <c r="G4696" s="18"/>
      <c r="H4696" s="18"/>
    </row>
    <row r="4697" spans="1:8" ht="13.2">
      <c r="A4697" s="19" t="str">
        <f>HYPERLINK("https://codeforces.com/contest/1102/problem/F","CF1102-D3-F")</f>
        <v>CF1102-D3-F</v>
      </c>
      <c r="B4697" s="15" t="s">
        <v>1629</v>
      </c>
      <c r="C4697" s="21">
        <v>4</v>
      </c>
      <c r="D4697" s="18"/>
      <c r="E4697" s="17" t="s">
        <v>1337</v>
      </c>
      <c r="F4697" s="17" t="s">
        <v>201</v>
      </c>
      <c r="G4697" s="18"/>
      <c r="H4697" s="18"/>
    </row>
    <row r="4698" spans="1:8" ht="13.2">
      <c r="A4698" s="19" t="str">
        <f>HYPERLINK("https://codeforces.com/contest/1073/problem/D","CF1073-D2-D")</f>
        <v>CF1073-D2-D</v>
      </c>
      <c r="B4698" s="15" t="s">
        <v>453</v>
      </c>
      <c r="C4698" s="17">
        <v>4</v>
      </c>
      <c r="D4698" s="18"/>
      <c r="E4698" s="17" t="s">
        <v>332</v>
      </c>
      <c r="F4698" s="17" t="s">
        <v>201</v>
      </c>
      <c r="G4698" s="18"/>
      <c r="H4698" s="18"/>
    </row>
    <row r="4699" spans="1:8" ht="13.2">
      <c r="A4699" s="19" t="str">
        <f>HYPERLINK("http://codeforces.com/contest/580/problem/D","CF580-D2-D")</f>
        <v>CF580-D2-D</v>
      </c>
      <c r="B4699" s="29" t="s">
        <v>1818</v>
      </c>
      <c r="C4699" s="17">
        <v>4</v>
      </c>
      <c r="D4699" s="18"/>
      <c r="E4699" s="17" t="s">
        <v>1819</v>
      </c>
      <c r="F4699" s="17" t="s">
        <v>201</v>
      </c>
      <c r="G4699" s="18"/>
      <c r="H4699" s="18"/>
    </row>
    <row r="4700" spans="1:8" ht="13.2">
      <c r="A4700" s="19" t="str">
        <f>HYPERLINK("http://www.spoj.com/problems/PERMUT1/","SPOJ PERMUT1")</f>
        <v>SPOJ PERMUT1</v>
      </c>
      <c r="B4700" s="29" t="s">
        <v>1818</v>
      </c>
      <c r="C4700" s="17">
        <v>4</v>
      </c>
      <c r="D4700" s="18"/>
      <c r="E4700" s="17" t="s">
        <v>1819</v>
      </c>
      <c r="F4700" s="17" t="s">
        <v>201</v>
      </c>
      <c r="G4700" s="18"/>
      <c r="H4700" s="18"/>
    </row>
    <row r="4701" spans="1:8" ht="13.2">
      <c r="A4701" s="15" t="s">
        <v>1979</v>
      </c>
      <c r="B4701" s="29" t="s">
        <v>1913</v>
      </c>
      <c r="C4701" s="17">
        <v>4</v>
      </c>
      <c r="D4701" s="18"/>
      <c r="E4701" s="17" t="s">
        <v>1909</v>
      </c>
      <c r="F4701" s="17" t="s">
        <v>201</v>
      </c>
      <c r="G4701" s="18"/>
      <c r="H4701" s="18"/>
    </row>
    <row r="4702" spans="1:8" ht="13.2">
      <c r="A4702" s="19" t="str">
        <f>HYPERLINK("http://codeforces.com/contest/54/problem/C","CF54-D12-C")</f>
        <v>CF54-D12-C</v>
      </c>
      <c r="B4702" s="29" t="s">
        <v>2025</v>
      </c>
      <c r="C4702" s="17">
        <v>4</v>
      </c>
      <c r="D4702" s="18"/>
      <c r="E4702" s="17" t="s">
        <v>2026</v>
      </c>
      <c r="F4702" s="17" t="s">
        <v>201</v>
      </c>
      <c r="G4702" s="18"/>
      <c r="H4702" s="18"/>
    </row>
    <row r="4703" spans="1:8" ht="13.2">
      <c r="A4703" s="19" t="str">
        <f>HYPERLINK("http://codeforces.com/contest/1065/problem/C","CF1065-D12-C")</f>
        <v>CF1065-D12-C</v>
      </c>
      <c r="B4703" s="15" t="s">
        <v>2163</v>
      </c>
      <c r="C4703" s="17">
        <v>4</v>
      </c>
      <c r="D4703" s="18"/>
      <c r="E4703" s="17" t="s">
        <v>2153</v>
      </c>
      <c r="F4703" s="17" t="s">
        <v>201</v>
      </c>
      <c r="G4703" s="18"/>
      <c r="H4703" s="18"/>
    </row>
    <row r="4704" spans="1:8" ht="13.2">
      <c r="A4704" s="19" t="str">
        <f>HYPERLINK("http://codeforces.com/contest/445/problem/C","CF445-D2-C")</f>
        <v>CF445-D2-C</v>
      </c>
      <c r="B4704" s="29" t="s">
        <v>2163</v>
      </c>
      <c r="C4704" s="17">
        <v>4</v>
      </c>
      <c r="D4704" s="18"/>
      <c r="E4704" s="17" t="s">
        <v>2153</v>
      </c>
      <c r="F4704" s="17" t="s">
        <v>201</v>
      </c>
      <c r="G4704" s="18"/>
      <c r="H4704" s="18"/>
    </row>
    <row r="4705" spans="1:8" ht="13.2">
      <c r="A4705" s="19" t="str">
        <f>HYPERLINK("http://codeforces.com/contest/567/problem/C","CF567-D2-C")</f>
        <v>CF567-D2-C</v>
      </c>
      <c r="B4705" s="29" t="s">
        <v>2163</v>
      </c>
      <c r="C4705" s="17">
        <v>4</v>
      </c>
      <c r="D4705" s="26" t="str">
        <f>HYPERLINK("https://github.com/AliOsm/CompetitiveProgramming/blob/master/CodeForces/567C.%20Geometric%20Progression.cpp","SolToMe")</f>
        <v>SolToMe</v>
      </c>
      <c r="E4705" s="17" t="s">
        <v>2153</v>
      </c>
      <c r="F4705" s="17" t="s">
        <v>201</v>
      </c>
      <c r="G4705" s="18"/>
      <c r="H4705" s="18"/>
    </row>
    <row r="4706" spans="1:8" ht="13.2">
      <c r="A4706" s="19" t="str">
        <f>HYPERLINK("https://codeforces.com/contest/1056/problem/C","CF1056-D12-C")</f>
        <v>CF1056-D12-C</v>
      </c>
      <c r="B4706" s="15" t="s">
        <v>2357</v>
      </c>
      <c r="C4706" s="17">
        <v>4</v>
      </c>
      <c r="D4706" s="18"/>
      <c r="E4706" s="17" t="s">
        <v>2153</v>
      </c>
      <c r="F4706" s="17" t="s">
        <v>201</v>
      </c>
      <c r="G4706" s="18"/>
      <c r="H4706" s="18"/>
    </row>
    <row r="4707" spans="1:8" ht="13.2">
      <c r="A4707" s="15" t="s">
        <v>2358</v>
      </c>
      <c r="B4707" s="29" t="s">
        <v>2200</v>
      </c>
      <c r="C4707" s="17">
        <v>4</v>
      </c>
      <c r="D4707" s="18"/>
      <c r="E4707" s="17" t="s">
        <v>2153</v>
      </c>
      <c r="F4707" s="17" t="s">
        <v>201</v>
      </c>
      <c r="G4707" s="18"/>
      <c r="H4707" s="18"/>
    </row>
    <row r="4708" spans="1:8" ht="13.2">
      <c r="A4708" s="19" t="str">
        <f>HYPERLINK("http://codeforces.com/contest/151/problem/C","CF151-D2-C")</f>
        <v>CF151-D2-C</v>
      </c>
      <c r="B4708" s="29" t="s">
        <v>2432</v>
      </c>
      <c r="C4708" s="17">
        <v>4</v>
      </c>
      <c r="D4708" s="18"/>
      <c r="E4708" s="17" t="s">
        <v>2394</v>
      </c>
      <c r="F4708" s="17" t="s">
        <v>201</v>
      </c>
      <c r="G4708" s="18"/>
      <c r="H4708" s="18"/>
    </row>
    <row r="4709" spans="1:8" ht="13.2">
      <c r="A4709" s="19" t="str">
        <f>HYPERLINK("http://codeforces.com/contest/347/problem/C","CF347-D2-C")</f>
        <v>CF347-D2-C</v>
      </c>
      <c r="B4709" s="29" t="s">
        <v>2406</v>
      </c>
      <c r="C4709" s="17">
        <v>4</v>
      </c>
      <c r="D4709" s="18"/>
      <c r="E4709" s="17" t="s">
        <v>2394</v>
      </c>
      <c r="F4709" s="17" t="s">
        <v>201</v>
      </c>
      <c r="G4709" s="18"/>
      <c r="H4709" s="18"/>
    </row>
    <row r="4710" spans="1:8" ht="13.2">
      <c r="A4710" s="19" t="str">
        <f>HYPERLINK("https://www.codechef.com/problems/ABGAME", "CODECHEF ABGAME")</f>
        <v>CODECHEF ABGAME</v>
      </c>
      <c r="B4710" s="15" t="s">
        <v>2441</v>
      </c>
      <c r="C4710" s="17">
        <v>4</v>
      </c>
      <c r="D4710" s="18"/>
      <c r="E4710" s="17" t="s">
        <v>2442</v>
      </c>
      <c r="F4710" s="17" t="s">
        <v>201</v>
      </c>
      <c r="G4710" s="18"/>
      <c r="H4710" s="18"/>
    </row>
    <row r="4711" spans="1:8" ht="13.2">
      <c r="A4711" s="19" t="str">
        <f>HYPERLINK("https://codeforces.com/contest/1100/problem/C","CF1100-D2-C")</f>
        <v>CF1100-D2-C</v>
      </c>
      <c r="B4711" s="15" t="s">
        <v>2509</v>
      </c>
      <c r="C4711" s="17">
        <v>4</v>
      </c>
      <c r="D4711" s="18"/>
      <c r="E4711" s="17" t="s">
        <v>2510</v>
      </c>
      <c r="F4711" s="17" t="s">
        <v>201</v>
      </c>
      <c r="G4711" s="18"/>
      <c r="H4711" s="18"/>
    </row>
    <row r="4712" spans="1:8" ht="13.2">
      <c r="A4712" s="19" t="str">
        <f>HYPERLINK("http://codeforces.com/contest/560/problem/C","CF560-D2-C")</f>
        <v>CF560-D2-C</v>
      </c>
      <c r="B4712" s="29" t="s">
        <v>2509</v>
      </c>
      <c r="C4712" s="17">
        <v>4</v>
      </c>
      <c r="D4712" s="18"/>
      <c r="E4712" s="17" t="s">
        <v>2510</v>
      </c>
      <c r="F4712" s="17" t="s">
        <v>201</v>
      </c>
      <c r="G4712" s="18"/>
      <c r="H4712" s="18"/>
    </row>
    <row r="4713" spans="1:8" ht="13.2">
      <c r="A4713" s="19" t="str">
        <f>HYPERLINK("https://www.hackerrank.com/challenges/xrange-and-pizza","HACKR xrange-and-pizza")</f>
        <v>HACKR xrange-and-pizza</v>
      </c>
      <c r="B4713" s="29" t="s">
        <v>2514</v>
      </c>
      <c r="C4713" s="17">
        <v>4</v>
      </c>
      <c r="D4713" s="26" t="str">
        <f>HYPERLINK("https://github.com/AbdelrahmanRamadan/competitive-programming/blob/master/HackerRank/xrange-and-pizza.cpp","Sol")</f>
        <v>Sol</v>
      </c>
      <c r="E4713" s="17" t="s">
        <v>2510</v>
      </c>
      <c r="F4713" s="17" t="s">
        <v>201</v>
      </c>
      <c r="G4713" s="18"/>
      <c r="H4713" s="18"/>
    </row>
    <row r="4714" spans="1:8" ht="13.2">
      <c r="A4714" s="19" t="str">
        <f>HYPERLINK("http://codeforces.com/contest/60/problem/C","CF60-D12-C")</f>
        <v>CF60-D12-C</v>
      </c>
      <c r="B4714" s="15" t="s">
        <v>2722</v>
      </c>
      <c r="C4714" s="33">
        <v>4</v>
      </c>
      <c r="D4714" s="18"/>
      <c r="E4714" s="17" t="s">
        <v>2510</v>
      </c>
      <c r="F4714" s="17" t="s">
        <v>201</v>
      </c>
      <c r="G4714" s="18"/>
      <c r="H4714" s="18"/>
    </row>
    <row r="4715" spans="1:8" ht="13.2">
      <c r="A4715" s="19" t="str">
        <f>HYPERLINK("http://codeforces.com/contest/92/problem/D","CF92-D2-D")</f>
        <v>CF92-D2-D</v>
      </c>
      <c r="B4715" s="29" t="s">
        <v>644</v>
      </c>
      <c r="C4715" s="17">
        <v>4</v>
      </c>
      <c r="D4715" s="18"/>
      <c r="E4715" s="17" t="s">
        <v>575</v>
      </c>
      <c r="F4715" s="17" t="s">
        <v>201</v>
      </c>
      <c r="G4715" s="18"/>
      <c r="H4715" s="18"/>
    </row>
    <row r="4716" spans="1:8" ht="13.2">
      <c r="A4716" s="19" t="str">
        <f>HYPERLINK("http://codeforces.com/contest/705/problem/C","CF705-D2-C")</f>
        <v>CF705-D2-C</v>
      </c>
      <c r="B4716" s="29" t="s">
        <v>616</v>
      </c>
      <c r="C4716" s="17">
        <v>4</v>
      </c>
      <c r="D4716" s="18"/>
      <c r="E4716" s="17" t="s">
        <v>575</v>
      </c>
      <c r="F4716" s="17" t="s">
        <v>201</v>
      </c>
      <c r="G4716" s="18"/>
      <c r="H4716" s="18"/>
    </row>
    <row r="4717" spans="1:8" ht="13.2">
      <c r="A4717" s="19" t="str">
        <f>HYPERLINK("https://uva.onlinejudge.org/index.php?option=com_onlinejudge&amp;Itemid=8&amp;page=show_problem&amp;problem=4467","UVA 1592")</f>
        <v>UVA 1592</v>
      </c>
      <c r="B4717" s="29" t="s">
        <v>645</v>
      </c>
      <c r="C4717" s="17">
        <v>4</v>
      </c>
      <c r="D4717" s="18"/>
      <c r="E4717" s="17" t="s">
        <v>575</v>
      </c>
      <c r="F4717" s="17" t="s">
        <v>201</v>
      </c>
      <c r="G4717" s="18"/>
      <c r="H4717" s="18"/>
    </row>
    <row r="4718" spans="1:8" ht="13.2">
      <c r="A4718" s="15" t="s">
        <v>3417</v>
      </c>
      <c r="B4718" s="15" t="s">
        <v>3256</v>
      </c>
      <c r="C4718" s="21">
        <v>4</v>
      </c>
      <c r="D4718" s="18"/>
      <c r="E4718" s="17" t="s">
        <v>3257</v>
      </c>
      <c r="F4718" s="17" t="s">
        <v>201</v>
      </c>
      <c r="G4718" s="18"/>
      <c r="H4718" s="18"/>
    </row>
    <row r="4719" spans="1:8" ht="13.2">
      <c r="A4719" s="19" t="str">
        <f>HYPERLINK("https://codeforces.com/contest/1068/problem/C","CF1068-D2-C")</f>
        <v>CF1068-D2-C</v>
      </c>
      <c r="B4719" s="15" t="s">
        <v>3348</v>
      </c>
      <c r="C4719" s="17">
        <v>4</v>
      </c>
      <c r="D4719" s="18"/>
      <c r="E4719" s="17" t="s">
        <v>3257</v>
      </c>
      <c r="F4719" s="17" t="s">
        <v>201</v>
      </c>
      <c r="G4719" s="18"/>
      <c r="H4719" s="18"/>
    </row>
    <row r="4720" spans="1:8" ht="13.2">
      <c r="A4720" s="19" t="str">
        <f>HYPERLINK("http://codeforces.com/contest/61/problem/D","CF61-D2-D")</f>
        <v>CF61-D2-D</v>
      </c>
      <c r="B4720" s="29" t="s">
        <v>3418</v>
      </c>
      <c r="C4720" s="17">
        <v>4</v>
      </c>
      <c r="D4720" s="18"/>
      <c r="E4720" s="17" t="s">
        <v>3257</v>
      </c>
      <c r="F4720" s="17" t="s">
        <v>201</v>
      </c>
      <c r="G4720" s="18"/>
      <c r="H4720" s="18"/>
    </row>
    <row r="4721" spans="1:8" ht="13.2">
      <c r="A4721" s="15" t="s">
        <v>699</v>
      </c>
      <c r="B4721" s="30" t="s">
        <v>700</v>
      </c>
      <c r="C4721" s="24">
        <v>4</v>
      </c>
      <c r="D4721" s="18"/>
      <c r="E4721" s="17" t="s">
        <v>655</v>
      </c>
      <c r="F4721" s="17" t="s">
        <v>201</v>
      </c>
      <c r="G4721" s="18"/>
      <c r="H4721" s="18"/>
    </row>
    <row r="4722" spans="1:8" ht="13.2">
      <c r="A4722" s="19" t="str">
        <f>HYPERLINK("http://codeforces.com/contest/25/problem/C","CF25-D2-C")</f>
        <v>CF25-D2-C</v>
      </c>
      <c r="B4722" s="29" t="s">
        <v>3649</v>
      </c>
      <c r="C4722" s="17">
        <v>4</v>
      </c>
      <c r="D4722" s="18"/>
      <c r="E4722" s="17" t="s">
        <v>3650</v>
      </c>
      <c r="F4722" s="17" t="s">
        <v>201</v>
      </c>
      <c r="G4722" s="18"/>
      <c r="H4722" s="18"/>
    </row>
    <row r="4723" spans="1:8" ht="13.2">
      <c r="A4723" s="19" t="str">
        <f>HYPERLINK("http://codeforces.com/contest/546/problem/C","CF546-D2-C")</f>
        <v>CF546-D2-C</v>
      </c>
      <c r="B4723" s="29" t="s">
        <v>3649</v>
      </c>
      <c r="C4723" s="17">
        <v>4</v>
      </c>
      <c r="D4723" s="18"/>
      <c r="E4723" s="17" t="s">
        <v>3650</v>
      </c>
      <c r="F4723" s="17" t="s">
        <v>201</v>
      </c>
      <c r="G4723" s="18"/>
      <c r="H4723" s="18"/>
    </row>
    <row r="4724" spans="1:8" ht="13.2">
      <c r="A4724" s="19" t="str">
        <f>HYPERLINK("http://codeforces.com/contest/580/problem/C","CF580-D2-C")</f>
        <v>CF580-D2-C</v>
      </c>
      <c r="B4724" s="29" t="s">
        <v>3649</v>
      </c>
      <c r="C4724" s="17">
        <v>4</v>
      </c>
      <c r="D4724" s="18"/>
      <c r="E4724" s="17" t="s">
        <v>3650</v>
      </c>
      <c r="F4724" s="17" t="s">
        <v>201</v>
      </c>
      <c r="G4724" s="18"/>
      <c r="H4724" s="18"/>
    </row>
    <row r="4725" spans="1:8" ht="13.2">
      <c r="A4725" s="19" t="str">
        <f>HYPERLINK("https://uva.onlinejudge.org/index.php?option=onlinejudge&amp;page=show_problem&amp;problem=1119","UVA 10178")</f>
        <v>UVA 10178</v>
      </c>
      <c r="B4725" s="29" t="s">
        <v>3936</v>
      </c>
      <c r="C4725" s="17">
        <v>4</v>
      </c>
      <c r="D4725" s="26" t="str">
        <f>HYPERLINK("https://en.wikipedia.org/wiki/Planar_graph#Euler's_formula","Read first Euler Formula")</f>
        <v>Read first Euler Formula</v>
      </c>
      <c r="E4725" s="17" t="s">
        <v>3883</v>
      </c>
      <c r="F4725" s="17" t="s">
        <v>201</v>
      </c>
      <c r="G4725" s="18"/>
      <c r="H4725" s="18"/>
    </row>
    <row r="4726" spans="1:8" ht="13.2">
      <c r="A4726" s="19" t="str">
        <f>HYPERLINK("https://www.facebook.com/hackercup/problem/862237970786911/","FbHkrCup 19-R1-A")</f>
        <v>FbHkrCup 19-R1-A</v>
      </c>
      <c r="B4726" s="15" t="s">
        <v>4006</v>
      </c>
      <c r="C4726" s="17">
        <v>4</v>
      </c>
      <c r="D4726" s="18"/>
      <c r="E4726" s="17" t="s">
        <v>3998</v>
      </c>
      <c r="F4726" s="17" t="s">
        <v>201</v>
      </c>
      <c r="G4726" s="18"/>
      <c r="H4726" s="18"/>
    </row>
    <row r="4727" spans="1:8" ht="13.2">
      <c r="A4727" s="15" t="s">
        <v>4329</v>
      </c>
      <c r="B4727" s="29" t="s">
        <v>4330</v>
      </c>
      <c r="C4727" s="17">
        <v>4</v>
      </c>
      <c r="D4727" s="26" t="str">
        <f>HYPERLINK("https://www.geeksforgeeks.org/total-number-spanning-trees-graph/","Theory result to read")</f>
        <v>Theory result to read</v>
      </c>
      <c r="E4727" s="17" t="s">
        <v>4275</v>
      </c>
      <c r="F4727" s="17" t="s">
        <v>201</v>
      </c>
      <c r="G4727" s="18"/>
      <c r="H4727" s="18"/>
    </row>
    <row r="4728" spans="1:8" ht="13.2">
      <c r="A4728" s="19" t="str">
        <f>HYPERLINK("https://uva.onlinejudge.org/index.php?option=com_onlinejudge&amp;Itemid=8&amp;page=show_problem&amp;problem=1647","UVA 10706")</f>
        <v>UVA 10706</v>
      </c>
      <c r="B4728" s="29" t="s">
        <v>4530</v>
      </c>
      <c r="C4728" s="17">
        <v>4</v>
      </c>
      <c r="D4728" s="18"/>
      <c r="E4728" s="17" t="s">
        <v>4531</v>
      </c>
      <c r="F4728" s="17" t="s">
        <v>201</v>
      </c>
      <c r="G4728" s="18"/>
      <c r="H4728" s="18"/>
    </row>
    <row r="4729" spans="1:8" ht="13.2">
      <c r="A4729" s="19" t="str">
        <f>HYPERLINK("https://codeforces.com/contest/1143/problem/D","CF1143-D2-D")</f>
        <v>CF1143-D2-D</v>
      </c>
      <c r="B4729" s="15" t="s">
        <v>4714</v>
      </c>
      <c r="C4729" s="17">
        <v>4</v>
      </c>
      <c r="D4729" s="18"/>
      <c r="E4729" s="17" t="s">
        <v>4531</v>
      </c>
      <c r="F4729" s="17" t="s">
        <v>201</v>
      </c>
      <c r="G4729" s="18"/>
      <c r="H4729" s="18"/>
    </row>
    <row r="4730" spans="1:8" ht="13.2">
      <c r="A4730" s="19" t="str">
        <f>HYPERLINK("http://codeforces.com/contest/577/problem/C","CF577-D2-C")</f>
        <v>CF577-D2-C</v>
      </c>
      <c r="B4730" s="29" t="s">
        <v>4562</v>
      </c>
      <c r="C4730" s="17">
        <v>4</v>
      </c>
      <c r="D4730" s="18"/>
      <c r="E4730" s="17" t="s">
        <v>4531</v>
      </c>
      <c r="F4730" s="17" t="s">
        <v>201</v>
      </c>
      <c r="G4730" s="18"/>
      <c r="H4730" s="18"/>
    </row>
    <row r="4731" spans="1:8" ht="13.2">
      <c r="A4731" s="19" t="str">
        <f>HYPERLINK("http://codeforces.com/contest/376/problem/C","CF376-D2-C")</f>
        <v>CF376-D2-C</v>
      </c>
      <c r="B4731" s="29" t="s">
        <v>4564</v>
      </c>
      <c r="C4731" s="17">
        <v>4</v>
      </c>
      <c r="D4731" s="18"/>
      <c r="E4731" s="17" t="s">
        <v>4531</v>
      </c>
      <c r="F4731" s="17" t="s">
        <v>201</v>
      </c>
      <c r="G4731" s="18"/>
      <c r="H4731" s="18"/>
    </row>
    <row r="4732" spans="1:8" ht="13.2">
      <c r="A4732" s="19" t="str">
        <f>HYPERLINK("http://codeforces.com/contest/88/problem/C","CF88-D2-C")</f>
        <v>CF88-D2-C</v>
      </c>
      <c r="B4732" s="29" t="s">
        <v>4856</v>
      </c>
      <c r="C4732" s="17">
        <v>4</v>
      </c>
      <c r="D4732" s="18"/>
      <c r="E4732" s="17" t="s">
        <v>4809</v>
      </c>
      <c r="F4732" s="17" t="s">
        <v>201</v>
      </c>
      <c r="G4732" s="18"/>
      <c r="H4732" s="18"/>
    </row>
    <row r="4733" spans="1:8" ht="13.2">
      <c r="A4733" s="15" t="s">
        <v>5035</v>
      </c>
      <c r="B4733" s="28" t="s">
        <v>5036</v>
      </c>
      <c r="C4733" s="31">
        <v>4</v>
      </c>
      <c r="D4733" s="18"/>
      <c r="E4733" s="17" t="s">
        <v>4958</v>
      </c>
      <c r="F4733" s="17" t="s">
        <v>201</v>
      </c>
      <c r="G4733" s="18"/>
      <c r="H4733" s="18"/>
    </row>
    <row r="4734" spans="1:8" ht="13.2">
      <c r="A4734" s="19" t="str">
        <f>HYPERLINK("https://uva.onlinejudge.org/index.php?option=onlinejudge&amp;page=show_problem&amp;problem=1170","UVA 10229")</f>
        <v>UVA 10229</v>
      </c>
      <c r="B4734" s="16" t="s">
        <v>5299</v>
      </c>
      <c r="C4734" s="17">
        <v>4</v>
      </c>
      <c r="D4734" s="26" t="str">
        <f>HYPERLINK("https://github.com/MohamedNabil97/CompetitiveProgramming/blob/master/UVA/10229.cpp","Sol")</f>
        <v>Sol</v>
      </c>
      <c r="E4734" s="17" t="s">
        <v>5246</v>
      </c>
      <c r="F4734" s="17" t="s">
        <v>201</v>
      </c>
      <c r="G4734" s="18"/>
      <c r="H4734" s="18"/>
    </row>
    <row r="4735" spans="1:8" ht="13.2">
      <c r="A4735" s="19" t="str">
        <f>HYPERLINK("http://codeforces.com/contest/651/problem/D","CF651-D2-D")</f>
        <v>CF651-D2-D</v>
      </c>
      <c r="B4735" s="29" t="s">
        <v>891</v>
      </c>
      <c r="C4735" s="17">
        <v>4</v>
      </c>
      <c r="D4735" s="18"/>
      <c r="E4735" s="17" t="s">
        <v>805</v>
      </c>
      <c r="F4735" s="17" t="s">
        <v>201</v>
      </c>
      <c r="G4735" s="18"/>
      <c r="H4735" s="18"/>
    </row>
    <row r="4736" spans="1:8" ht="13.2">
      <c r="A4736" s="19" t="str">
        <f>HYPERLINK("http://codeforces.com/contest/75/problem/C","CF75-D2-C")</f>
        <v>CF75-D2-C</v>
      </c>
      <c r="B4736" s="29" t="s">
        <v>818</v>
      </c>
      <c r="C4736" s="17">
        <v>4</v>
      </c>
      <c r="D4736" s="18"/>
      <c r="E4736" s="17" t="s">
        <v>805</v>
      </c>
      <c r="F4736" s="17" t="s">
        <v>201</v>
      </c>
      <c r="G4736" s="18"/>
      <c r="H4736" s="18"/>
    </row>
    <row r="4737" spans="1:8" ht="13.2">
      <c r="A4737" s="19" t="str">
        <f>HYPERLINK("https://uva.onlinejudge.org/index.php?option=com_onlinejudge&amp;Itemid=8&amp;page=show_problem&amp;problem=2122","UVa 11181")</f>
        <v>UVa 11181</v>
      </c>
      <c r="B4737" s="29" t="s">
        <v>5400</v>
      </c>
      <c r="C4737" s="17">
        <v>4</v>
      </c>
      <c r="D4737" s="26" t="str">
        <f>HYPERLINK("https://github.com/MohamedNabil97/CompetitiveProgramming/blob/master/UVA/1181.cpp","Sol")</f>
        <v>Sol</v>
      </c>
      <c r="E4737" s="17" t="s">
        <v>5346</v>
      </c>
      <c r="F4737" s="17" t="s">
        <v>201</v>
      </c>
      <c r="G4737" s="18"/>
      <c r="H4737" s="18"/>
    </row>
    <row r="4738" spans="1:8" ht="13.2">
      <c r="A4738" s="19" t="str">
        <f>HYPERLINK("http://www.spoj.com/problems/PSYCHON/","SPOJ PSYCHON")</f>
        <v>SPOJ PSYCHON</v>
      </c>
      <c r="B4738" s="29" t="s">
        <v>5471</v>
      </c>
      <c r="C4738" s="17">
        <v>4</v>
      </c>
      <c r="D4738" s="18"/>
      <c r="E4738" s="17" t="s">
        <v>5414</v>
      </c>
      <c r="F4738" s="17" t="s">
        <v>201</v>
      </c>
      <c r="G4738" s="18"/>
      <c r="H4738" s="18"/>
    </row>
    <row r="4739" spans="1:8" ht="13.2">
      <c r="A4739" s="15" t="s">
        <v>5638</v>
      </c>
      <c r="B4739" s="28" t="s">
        <v>5639</v>
      </c>
      <c r="C4739" s="17">
        <v>4</v>
      </c>
      <c r="D4739" s="18"/>
      <c r="E4739" s="17" t="s">
        <v>5626</v>
      </c>
      <c r="F4739" s="17" t="s">
        <v>201</v>
      </c>
      <c r="G4739" s="18"/>
      <c r="H4739" s="18"/>
    </row>
    <row r="4740" spans="1:8" ht="13.2">
      <c r="A4740" s="15" t="s">
        <v>1630</v>
      </c>
      <c r="B4740" s="18" t="s">
        <v>1631</v>
      </c>
      <c r="C4740" s="17">
        <v>4</v>
      </c>
      <c r="D4740" s="26" t="str">
        <f>HYPERLINK("https://github.com/mostafa-saad/MyCompetitiveProgramming/blob/master/ZOJ/ZOJ_1025.txt","Sol")</f>
        <v>Sol</v>
      </c>
      <c r="E4740" s="17" t="s">
        <v>1337</v>
      </c>
      <c r="F4740" s="17" t="s">
        <v>358</v>
      </c>
      <c r="G4740" s="18"/>
      <c r="H4740" s="18"/>
    </row>
    <row r="4741" spans="1:8" ht="13.2">
      <c r="A4741" s="15" t="s">
        <v>454</v>
      </c>
      <c r="B4741" s="18" t="s">
        <v>455</v>
      </c>
      <c r="C4741" s="17">
        <v>4</v>
      </c>
      <c r="D4741" s="18"/>
      <c r="E4741" s="17" t="s">
        <v>332</v>
      </c>
      <c r="F4741" s="17" t="s">
        <v>436</v>
      </c>
      <c r="G4741" s="18"/>
      <c r="H4741" s="18"/>
    </row>
    <row r="4742" spans="1:8" ht="13.2">
      <c r="A4742" s="15" t="s">
        <v>6007</v>
      </c>
      <c r="B4742" s="15" t="s">
        <v>6008</v>
      </c>
      <c r="C4742" s="17">
        <v>4</v>
      </c>
      <c r="D4742" s="18"/>
      <c r="E4742" s="17" t="s">
        <v>5958</v>
      </c>
      <c r="F4742" s="17" t="s">
        <v>537</v>
      </c>
      <c r="G4742" s="18"/>
      <c r="H4742" s="18"/>
    </row>
    <row r="4743" spans="1:8" ht="13.2">
      <c r="A4743" s="15" t="s">
        <v>2723</v>
      </c>
      <c r="B4743" s="29" t="s">
        <v>2724</v>
      </c>
      <c r="C4743" s="17">
        <v>4</v>
      </c>
      <c r="D4743" s="26" t="str">
        <f>HYPERLINK("https://github.com/mostafa-saad/MyCompetitiveProgramming/blob/master/SPOJ/SPOJ_FACENEMY.txt","Sol")</f>
        <v>Sol</v>
      </c>
      <c r="E4743" s="17" t="s">
        <v>2510</v>
      </c>
      <c r="F4743" s="17" t="s">
        <v>537</v>
      </c>
      <c r="G4743" s="18"/>
      <c r="H4743" s="18"/>
    </row>
    <row r="4744" spans="1:8" ht="13.2">
      <c r="A4744" s="15" t="s">
        <v>288</v>
      </c>
      <c r="B4744" s="15" t="s">
        <v>124</v>
      </c>
      <c r="C4744" s="17">
        <v>4</v>
      </c>
      <c r="D4744" s="18"/>
      <c r="E4744" s="17" t="s">
        <v>125</v>
      </c>
      <c r="F4744" s="17" t="s">
        <v>242</v>
      </c>
      <c r="G4744" s="18"/>
      <c r="H4744" s="18"/>
    </row>
    <row r="4745" spans="1:8" ht="13.2">
      <c r="A4745" s="15" t="s">
        <v>5848</v>
      </c>
      <c r="B4745" s="29" t="s">
        <v>5849</v>
      </c>
      <c r="C4745" s="17">
        <v>4</v>
      </c>
      <c r="D4745" s="26" t="str">
        <f>HYPERLINK("https://github.com/HosamEissa/Competitive-programming-/blob/master/Spoj/MINMOVE.cpp","Sol")</f>
        <v>Sol</v>
      </c>
      <c r="E4745" s="17" t="s">
        <v>5794</v>
      </c>
      <c r="F4745" s="17" t="s">
        <v>242</v>
      </c>
      <c r="G4745" s="18"/>
      <c r="H4745" s="18"/>
    </row>
    <row r="4746" spans="1:8" ht="13.2">
      <c r="A4746" s="15" t="s">
        <v>5869</v>
      </c>
      <c r="B4746" s="28" t="s">
        <v>5870</v>
      </c>
      <c r="C4746" s="33">
        <v>4</v>
      </c>
      <c r="D4746" s="18"/>
      <c r="E4746" s="17" t="s">
        <v>5857</v>
      </c>
      <c r="F4746" s="17" t="s">
        <v>242</v>
      </c>
      <c r="G4746" s="18"/>
      <c r="H4746" s="18"/>
    </row>
    <row r="4747" spans="1:8" ht="13.2">
      <c r="A4747" s="19" t="str">
        <f>HYPERLINK("https://uva.onlinejudge.org/index.php?option=onlinejudge&amp;page=show_problem&amp;problem=63","UVA 127")</f>
        <v>UVA 127</v>
      </c>
      <c r="B4747" s="29" t="s">
        <v>6009</v>
      </c>
      <c r="C4747" s="17">
        <v>4</v>
      </c>
      <c r="D4747" s="18"/>
      <c r="E4747" s="17" t="s">
        <v>5958</v>
      </c>
      <c r="F4747" s="17" t="s">
        <v>242</v>
      </c>
      <c r="G4747" s="18"/>
      <c r="H4747" s="18"/>
    </row>
    <row r="4748" spans="1:8" ht="13.2">
      <c r="A4748" s="15" t="s">
        <v>6094</v>
      </c>
      <c r="B4748" s="29" t="s">
        <v>6095</v>
      </c>
      <c r="C4748" s="17">
        <v>4</v>
      </c>
      <c r="D4748" s="26" t="str">
        <f>HYPERLINK("https://github.com/MeGaCrazy/CompetitiveProgramming/blob/master/Contests/SuperVision-Contest-33432/5/UVA_10665.cpp","Sol")</f>
        <v>Sol</v>
      </c>
      <c r="E4748" s="17" t="s">
        <v>6075</v>
      </c>
      <c r="F4748" s="17" t="s">
        <v>242</v>
      </c>
      <c r="G4748" s="18"/>
      <c r="H4748" s="18"/>
    </row>
    <row r="4749" spans="1:8" ht="13.2">
      <c r="A4749" s="19" t="str">
        <f>HYPERLINK("http://codeforces.com/contest/570/problem/D","CF570-D2-D")</f>
        <v>CF570-D2-D</v>
      </c>
      <c r="B4749" s="29" t="s">
        <v>6394</v>
      </c>
      <c r="C4749" s="17">
        <v>4</v>
      </c>
      <c r="D4749" s="18"/>
      <c r="E4749" s="17" t="s">
        <v>6390</v>
      </c>
      <c r="F4749" s="17" t="s">
        <v>242</v>
      </c>
      <c r="G4749" s="18"/>
      <c r="H4749" s="18"/>
    </row>
    <row r="4750" spans="1:8" ht="13.2">
      <c r="A4750" s="19" t="str">
        <f>HYPERLINK("http://www.spoj.com/problems/HORRIBLE","SPOJ HORRIBLE")</f>
        <v>SPOJ HORRIBLE</v>
      </c>
      <c r="B4750" s="29" t="s">
        <v>1214</v>
      </c>
      <c r="C4750" s="17">
        <v>4</v>
      </c>
      <c r="D4750" s="18"/>
      <c r="E4750" s="17" t="s">
        <v>1018</v>
      </c>
      <c r="F4750" s="17" t="s">
        <v>242</v>
      </c>
      <c r="G4750" s="18"/>
      <c r="H4750" s="18"/>
    </row>
    <row r="4751" spans="1:8" ht="13.2">
      <c r="A4751" s="19" t="str">
        <f>HYPERLINK("http://www.spoj.com/problems/CNTPRIME","SPOJ CNTPRIME")</f>
        <v>SPOJ CNTPRIME</v>
      </c>
      <c r="B4751" s="29" t="s">
        <v>1215</v>
      </c>
      <c r="C4751" s="17">
        <v>4</v>
      </c>
      <c r="D4751" s="18"/>
      <c r="E4751" s="17" t="s">
        <v>1018</v>
      </c>
      <c r="F4751" s="17" t="s">
        <v>242</v>
      </c>
      <c r="G4751" s="18"/>
      <c r="H4751" s="18"/>
    </row>
    <row r="4752" spans="1:8" ht="13.2">
      <c r="A4752" s="15" t="s">
        <v>1320</v>
      </c>
      <c r="B4752" s="28" t="s">
        <v>1222</v>
      </c>
      <c r="C4752" s="33">
        <v>4</v>
      </c>
      <c r="D4752" s="18"/>
      <c r="E4752" s="24" t="s">
        <v>1223</v>
      </c>
      <c r="F4752" s="17" t="s">
        <v>242</v>
      </c>
      <c r="G4752" s="18"/>
      <c r="H4752" s="18"/>
    </row>
    <row r="4753" spans="1:8" ht="13.2">
      <c r="A4753" s="15" t="s">
        <v>1321</v>
      </c>
      <c r="B4753" s="18" t="s">
        <v>1322</v>
      </c>
      <c r="C4753" s="17">
        <v>4</v>
      </c>
      <c r="D4753" s="26" t="str">
        <f>HYPERLINK("https://github.com/mostafa-saad/MyCompetitiveProgramming/blob/master/SPOJ/SPOJ_MSE06H.txt","Sol")</f>
        <v>Sol</v>
      </c>
      <c r="E4753" s="17" t="s">
        <v>1223</v>
      </c>
      <c r="F4753" s="17" t="s">
        <v>242</v>
      </c>
      <c r="G4753" s="18"/>
      <c r="H4753" s="18"/>
    </row>
    <row r="4754" spans="1:8" ht="13.2">
      <c r="A4754" s="15" t="s">
        <v>1632</v>
      </c>
      <c r="B4754" s="18" t="s">
        <v>1633</v>
      </c>
      <c r="C4754" s="33">
        <v>4</v>
      </c>
      <c r="D4754" s="18"/>
      <c r="E4754" s="17" t="s">
        <v>1337</v>
      </c>
      <c r="F4754" s="17" t="s">
        <v>242</v>
      </c>
      <c r="G4754" s="18"/>
      <c r="H4754" s="18"/>
    </row>
    <row r="4755" spans="1:8" ht="13.2">
      <c r="A4755" s="15" t="s">
        <v>1634</v>
      </c>
      <c r="B4755" s="30" t="s">
        <v>1481</v>
      </c>
      <c r="C4755" s="17">
        <v>4</v>
      </c>
      <c r="D4755" s="26" t="str">
        <f>HYPERLINK("https://github.com/arvindr9/CompetitiveProgramming/blob/master/UVA/UVA%2010980.cpp","Sol")</f>
        <v>Sol</v>
      </c>
      <c r="E4755" s="17" t="s">
        <v>1337</v>
      </c>
      <c r="F4755" s="17" t="s">
        <v>242</v>
      </c>
      <c r="G4755" s="18"/>
      <c r="H4755" s="18"/>
    </row>
    <row r="4756" spans="1:8" ht="13.2">
      <c r="A4756" s="19" t="str">
        <f>HYPERLINK("http://codeforces.com/contest/221/problem/D","CF221-D2-D")</f>
        <v>CF221-D2-D</v>
      </c>
      <c r="B4756" s="29" t="s">
        <v>1635</v>
      </c>
      <c r="C4756" s="33">
        <v>4</v>
      </c>
      <c r="D4756" s="18"/>
      <c r="E4756" s="17" t="s">
        <v>1337</v>
      </c>
      <c r="F4756" s="17" t="s">
        <v>242</v>
      </c>
      <c r="G4756" s="18"/>
      <c r="H4756" s="18"/>
    </row>
    <row r="4757" spans="1:8" ht="13.2">
      <c r="A4757" s="19" t="str">
        <f>HYPERLINK("https://uva.onlinejudge.org/index.php?option=com_onlinejudge&amp;Itemid=8&amp;page=show_problem&amp;problem=1592","UVA 10651")</f>
        <v>UVA 10651</v>
      </c>
      <c r="B4757" s="29" t="s">
        <v>1818</v>
      </c>
      <c r="C4757" s="17">
        <v>4</v>
      </c>
      <c r="D4757" s="18"/>
      <c r="E4757" s="17" t="s">
        <v>1819</v>
      </c>
      <c r="F4757" s="17" t="s">
        <v>242</v>
      </c>
      <c r="G4757" s="18"/>
      <c r="H4757" s="18"/>
    </row>
    <row r="4758" spans="1:8" ht="13.2">
      <c r="A4758" s="19" t="str">
        <f>HYPERLINK("http://www.spoj.com/problems/ASSIGN/","SPOJ ASSIGN")</f>
        <v>SPOJ ASSIGN</v>
      </c>
      <c r="B4758" s="29" t="s">
        <v>1889</v>
      </c>
      <c r="C4758" s="17">
        <v>4</v>
      </c>
      <c r="D4758" s="18"/>
      <c r="E4758" s="17" t="s">
        <v>1819</v>
      </c>
      <c r="F4758" s="17" t="s">
        <v>242</v>
      </c>
      <c r="G4758" s="18"/>
      <c r="H4758" s="18"/>
    </row>
    <row r="4759" spans="1:8" ht="13.2">
      <c r="A4759" s="15" t="s">
        <v>545</v>
      </c>
      <c r="B4759" s="30" t="s">
        <v>546</v>
      </c>
      <c r="C4759" s="24">
        <v>4</v>
      </c>
      <c r="D4759" s="18"/>
      <c r="E4759" s="17" t="s">
        <v>503</v>
      </c>
      <c r="F4759" s="17" t="s">
        <v>242</v>
      </c>
      <c r="G4759" s="18"/>
      <c r="H4759" s="18"/>
    </row>
    <row r="4760" spans="1:8" ht="13.2">
      <c r="A4760" s="19" t="str">
        <f>HYPERLINK("https://cses.fi/problemset/task/1084/","CSES 1084")</f>
        <v>CSES 1084</v>
      </c>
      <c r="B4760" s="20" t="s">
        <v>2359</v>
      </c>
      <c r="C4760" s="21">
        <v>4</v>
      </c>
      <c r="D4760" s="26" t="str">
        <f>HYPERLINK("https://github.com/MedoN11/CompetitiveProgramming/blob/master/CSES%20ProblemSet/apartmen.cpp","Sol")</f>
        <v>Sol</v>
      </c>
      <c r="E4760" s="17" t="s">
        <v>2153</v>
      </c>
      <c r="F4760" s="17" t="s">
        <v>242</v>
      </c>
      <c r="G4760" s="18"/>
      <c r="H4760" s="18"/>
    </row>
    <row r="4761" spans="1:8" ht="13.2">
      <c r="A4761" s="19" t="str">
        <f>HYPERLINK("https://cses.fi/problemset/task/1090/","CSES 1090")</f>
        <v>CSES 1090</v>
      </c>
      <c r="B4761" s="20" t="s">
        <v>2360</v>
      </c>
      <c r="C4761" s="21">
        <v>4</v>
      </c>
      <c r="D4761" s="26" t="str">
        <f>HYPERLINK("https://github.com/MedoN11/CompetitiveProgramming/blob/master/CSES%20ProblemSet/main.cpp","Sol")</f>
        <v>Sol</v>
      </c>
      <c r="E4761" s="17" t="s">
        <v>2153</v>
      </c>
      <c r="F4761" s="17" t="s">
        <v>242</v>
      </c>
      <c r="G4761" s="18"/>
      <c r="H4761" s="18"/>
    </row>
    <row r="4762" spans="1:8" ht="13.2">
      <c r="A4762" s="19" t="str">
        <f>HYPERLINK("http://codeforces.com/problemset/problem/899/C","CF899-D2-C")</f>
        <v>CF899-D2-C</v>
      </c>
      <c r="B4762" s="18" t="s">
        <v>2361</v>
      </c>
      <c r="C4762" s="17">
        <v>4</v>
      </c>
      <c r="D4762" s="18" t="s">
        <v>2362</v>
      </c>
      <c r="E4762" s="17" t="s">
        <v>2153</v>
      </c>
      <c r="F4762" s="17" t="s">
        <v>242</v>
      </c>
      <c r="G4762" s="18"/>
      <c r="H4762" s="18"/>
    </row>
    <row r="4763" spans="1:8" ht="13.2">
      <c r="A4763" s="19" t="str">
        <f>HYPERLINK("http://codeforces.com/contest/376/problem/D","CF376-D2-D")</f>
        <v>CF376-D2-D</v>
      </c>
      <c r="B4763" s="29" t="s">
        <v>2363</v>
      </c>
      <c r="C4763" s="17">
        <v>4</v>
      </c>
      <c r="D4763" s="18"/>
      <c r="E4763" s="17" t="s">
        <v>2153</v>
      </c>
      <c r="F4763" s="17" t="s">
        <v>242</v>
      </c>
      <c r="G4763" s="18"/>
      <c r="H4763" s="18"/>
    </row>
    <row r="4764" spans="1:8" ht="13.2">
      <c r="A4764" s="19" t="str">
        <f>HYPERLINK("https://www.hackerrank.com/challenges/stars","HACKR stars")</f>
        <v>HACKR stars</v>
      </c>
      <c r="B4764" s="28" t="s">
        <v>2891</v>
      </c>
      <c r="C4764" s="24">
        <v>4</v>
      </c>
      <c r="D4764" s="18"/>
      <c r="E4764" s="17" t="s">
        <v>2865</v>
      </c>
      <c r="F4764" s="17" t="s">
        <v>242</v>
      </c>
      <c r="G4764" s="18"/>
      <c r="H4764" s="18"/>
    </row>
    <row r="4765" spans="1:8" ht="13.2">
      <c r="A4765" s="19" t="str">
        <f>HYPERLINK("https://uva.onlinejudge.org/index.php?option=onlinejudge&amp;page=show_problem&amp;problem=1731","UVA 10790")</f>
        <v>UVA 10790</v>
      </c>
      <c r="B4765" s="29" t="s">
        <v>2922</v>
      </c>
      <c r="C4765" s="17">
        <v>4</v>
      </c>
      <c r="D4765" s="26" t="str">
        <f>HYPERLINK("https://github.com/MeGaCrazy/CompetitiveProgramming/blob/5b920a5ddab614e30ea12e7e3a7da12267a203ec/UVA/UVA_10790.cpp","Sol")</f>
        <v>Sol</v>
      </c>
      <c r="E4765" s="17" t="s">
        <v>2865</v>
      </c>
      <c r="F4765" s="17" t="s">
        <v>242</v>
      </c>
      <c r="G4765" s="18"/>
      <c r="H4765" s="18"/>
    </row>
    <row r="4766" spans="1:8" ht="13.2">
      <c r="A4766" s="19" t="str">
        <f>HYPERLINK("http://codeforces.com/contest/408/problem/C","CF408-D2-C")</f>
        <v>CF408-D2-C</v>
      </c>
      <c r="B4766" s="29" t="s">
        <v>2947</v>
      </c>
      <c r="C4766" s="17">
        <v>4</v>
      </c>
      <c r="D4766" s="18"/>
      <c r="E4766" s="17" t="s">
        <v>2948</v>
      </c>
      <c r="F4766" s="17" t="s">
        <v>242</v>
      </c>
      <c r="G4766" s="18"/>
      <c r="H4766" s="18"/>
    </row>
    <row r="4767" spans="1:8" ht="13.2">
      <c r="A4767" s="19" t="str">
        <f>HYPERLINK("https://uva.onlinejudge.org/index.php?option=com_onlinejudge&amp;Itemid=8&amp;page=show_problem&amp;problem=556","UVA 615")</f>
        <v>UVA 615</v>
      </c>
      <c r="B4767" s="29" t="s">
        <v>3368</v>
      </c>
      <c r="C4767" s="17">
        <v>4</v>
      </c>
      <c r="D4767" s="18"/>
      <c r="E4767" s="17" t="s">
        <v>3257</v>
      </c>
      <c r="F4767" s="17" t="s">
        <v>242</v>
      </c>
      <c r="G4767" s="18"/>
      <c r="H4767" s="18"/>
    </row>
    <row r="4768" spans="1:8" ht="13.2">
      <c r="A4768" s="19" t="str">
        <f>HYPERLINK("https://uva.onlinejudge.org/index.php?option=com_onlinejudge&amp;Itemid=8&amp;page=show_problem&amp;problem=512","UVA 571")</f>
        <v>UVA 571</v>
      </c>
      <c r="B4768" s="29" t="s">
        <v>3466</v>
      </c>
      <c r="C4768" s="17">
        <v>4</v>
      </c>
      <c r="D4768" s="18"/>
      <c r="E4768" s="17" t="s">
        <v>3467</v>
      </c>
      <c r="F4768" s="17" t="s">
        <v>242</v>
      </c>
      <c r="G4768" s="18"/>
      <c r="H4768" s="18"/>
    </row>
    <row r="4769" spans="1:8" ht="13.2">
      <c r="A4769" s="19" t="str">
        <f>HYPERLINK("https://arc005.contest.atcoder.jp/tasks/arc005_3","AtCoder005-ARC-C")</f>
        <v>AtCoder005-ARC-C</v>
      </c>
      <c r="B4769" s="20" t="s">
        <v>3550</v>
      </c>
      <c r="C4769" s="21">
        <v>4</v>
      </c>
      <c r="D4769" s="26" t="str">
        <f>HYPERLINK("https://github.com/MedoN11/CompetitiveProgramming/blob/master/Atcoder/ARC_005.java","Sol")</f>
        <v>Sol</v>
      </c>
      <c r="E4769" s="17" t="s">
        <v>3467</v>
      </c>
      <c r="F4769" s="17" t="s">
        <v>242</v>
      </c>
      <c r="G4769" s="18"/>
      <c r="H4769" s="18"/>
    </row>
    <row r="4770" spans="1:8" ht="13.2">
      <c r="A4770" s="15" t="s">
        <v>3599</v>
      </c>
      <c r="B4770" s="15" t="s">
        <v>3600</v>
      </c>
      <c r="C4770" s="33">
        <v>4</v>
      </c>
      <c r="D4770" s="18"/>
      <c r="E4770" s="17" t="s">
        <v>3467</v>
      </c>
      <c r="F4770" s="17" t="s">
        <v>242</v>
      </c>
      <c r="G4770" s="18"/>
      <c r="H4770" s="18"/>
    </row>
    <row r="4771" spans="1:8" ht="13.2">
      <c r="A4771" s="19" t="str">
        <f>HYPERLINK("http://codeforces.com/contest/116/problem/C","CF116-D2-C")</f>
        <v>CF116-D2-C</v>
      </c>
      <c r="B4771" s="29" t="s">
        <v>3649</v>
      </c>
      <c r="C4771" s="17">
        <v>4</v>
      </c>
      <c r="D4771" s="18"/>
      <c r="E4771" s="17" t="s">
        <v>3650</v>
      </c>
      <c r="F4771" s="17" t="s">
        <v>242</v>
      </c>
      <c r="G4771" s="18"/>
      <c r="H4771" s="18"/>
    </row>
    <row r="4772" spans="1:8" ht="13.2">
      <c r="A4772" s="15" t="s">
        <v>4038</v>
      </c>
      <c r="B4772" s="35" t="s">
        <v>4024</v>
      </c>
      <c r="C4772" s="17">
        <v>4</v>
      </c>
      <c r="D4772" s="18"/>
      <c r="E4772" s="17" t="s">
        <v>3998</v>
      </c>
      <c r="F4772" s="17" t="s">
        <v>242</v>
      </c>
      <c r="G4772" s="18"/>
      <c r="H4772" s="18"/>
    </row>
    <row r="4773" spans="1:8" ht="13.2">
      <c r="A4773" s="15" t="s">
        <v>4224</v>
      </c>
      <c r="B4773" s="39" t="s">
        <v>4225</v>
      </c>
      <c r="C4773" s="24">
        <v>4</v>
      </c>
      <c r="D4773" s="26" t="str">
        <f>HYPERLINK("https://github.com/AhmedRamadanAbdElghany/CompetitiveProgramming/blob/master/UVA/11045.cpp","Sol")</f>
        <v>Sol</v>
      </c>
      <c r="E4773" s="17" t="s">
        <v>4144</v>
      </c>
      <c r="F4773" s="17" t="s">
        <v>242</v>
      </c>
      <c r="G4773" s="18"/>
      <c r="H4773" s="18"/>
    </row>
    <row r="4774" spans="1:8" ht="13.2">
      <c r="A4774" s="15" t="s">
        <v>4226</v>
      </c>
      <c r="B4774" s="28" t="s">
        <v>4227</v>
      </c>
      <c r="C4774" s="17">
        <v>4</v>
      </c>
      <c r="D4774" s="26" t="str">
        <f>HYPERLINK("https://github.com/andmej/live-archive/blob/master/2038%20-%20Strategic%20game/2038.3.cpp","Don't DP. Sol")</f>
        <v>Don't DP. Sol</v>
      </c>
      <c r="E4774" s="24" t="s">
        <v>4144</v>
      </c>
      <c r="F4774" s="17" t="s">
        <v>242</v>
      </c>
      <c r="G4774" s="18"/>
      <c r="H4774" s="18"/>
    </row>
    <row r="4775" spans="1:8" ht="13.2">
      <c r="A4775" s="15" t="s">
        <v>4228</v>
      </c>
      <c r="B4775" s="30" t="s">
        <v>4229</v>
      </c>
      <c r="C4775" s="17">
        <v>4</v>
      </c>
      <c r="D4775" s="26" t="str">
        <f>HYPERLINK("https://github.com/tanmoy13/CompetitveProgramming/blob/master/Online-Judge-Solutions/LiveArchive/3128%20-%20Card%20Game%20Cheater.cpp","Sol")</f>
        <v>Sol</v>
      </c>
      <c r="E4775" s="17" t="s">
        <v>4144</v>
      </c>
      <c r="F4775" s="17" t="s">
        <v>242</v>
      </c>
      <c r="G4775" s="18"/>
      <c r="H4775" s="18"/>
    </row>
    <row r="4776" spans="1:8" ht="13.2">
      <c r="A4776" s="19" t="str">
        <f>HYPERLINK("https://uva.onlinejudge.org/index.php?option=com_onlinejudge&amp;Itemid=8&amp;page=show_problem&amp;problem=1917","UVA 10976")</f>
        <v>UVA 10976</v>
      </c>
      <c r="B4776" s="29" t="s">
        <v>4564</v>
      </c>
      <c r="C4776" s="17">
        <v>4</v>
      </c>
      <c r="D4776" s="18"/>
      <c r="E4776" s="17" t="s">
        <v>4531</v>
      </c>
      <c r="F4776" s="17" t="s">
        <v>242</v>
      </c>
      <c r="G4776" s="18"/>
      <c r="H4776" s="18"/>
    </row>
    <row r="4777" spans="1:8" ht="13.2">
      <c r="A4777" s="19" t="str">
        <f>HYPERLINK("http://codeforces.com/gym/101864/problem/M","CF101864-GYM-M")</f>
        <v>CF101864-GYM-M</v>
      </c>
      <c r="B4777" s="29" t="s">
        <v>4715</v>
      </c>
      <c r="C4777" s="17">
        <v>4</v>
      </c>
      <c r="D4777" s="26" t="str">
        <f>HYPERLINK("https://github.com/SpeedOfMagic/CompetitiveProgramming/blob/master/CodeforcesGym/CF101864-GYM-M.cpp","Sol")</f>
        <v>Sol</v>
      </c>
      <c r="E4777" s="17" t="s">
        <v>4531</v>
      </c>
      <c r="F4777" s="17" t="s">
        <v>242</v>
      </c>
      <c r="G4777" s="18"/>
      <c r="H4777" s="18"/>
    </row>
    <row r="4778" spans="1:8" ht="13.2">
      <c r="A4778" s="19" t="str">
        <f>HYPERLINK("https://uva.onlinejudge.org/index.php?option=onlinejudge&amp;page=show_problem&amp;problem=1563","UVA 10622")</f>
        <v>UVA 10622</v>
      </c>
      <c r="B4778" s="29" t="s">
        <v>5085</v>
      </c>
      <c r="C4778" s="17">
        <v>4</v>
      </c>
      <c r="D4778" s="18"/>
      <c r="E4778" s="17" t="s">
        <v>5075</v>
      </c>
      <c r="F4778" s="17" t="s">
        <v>242</v>
      </c>
      <c r="G4778" s="18"/>
      <c r="H4778" s="18"/>
    </row>
    <row r="4779" spans="1:8" ht="13.2">
      <c r="A4779" s="15" t="s">
        <v>5116</v>
      </c>
      <c r="B4779" s="30" t="s">
        <v>5117</v>
      </c>
      <c r="C4779" s="24">
        <v>4</v>
      </c>
      <c r="D4779" s="18"/>
      <c r="E4779" s="17" t="s">
        <v>5075</v>
      </c>
      <c r="F4779" s="17" t="s">
        <v>242</v>
      </c>
      <c r="G4779" s="18"/>
      <c r="H4779" s="18"/>
    </row>
    <row r="4780" spans="1:8" ht="13.2">
      <c r="A4780" s="15" t="s">
        <v>892</v>
      </c>
      <c r="B4780" s="28" t="s">
        <v>893</v>
      </c>
      <c r="C4780" s="24">
        <v>4</v>
      </c>
      <c r="D4780" s="18"/>
      <c r="E4780" s="17" t="s">
        <v>805</v>
      </c>
      <c r="F4780" s="17" t="s">
        <v>242</v>
      </c>
      <c r="G4780" s="18"/>
      <c r="H4780" s="18"/>
    </row>
    <row r="4781" spans="1:8" ht="13.2">
      <c r="A4781" s="19" t="str">
        <f>HYPERLINK("http://codeforces.com/contest/733/problem/D","CF733-D2-D")</f>
        <v>CF733-D2-D</v>
      </c>
      <c r="B4781" s="18" t="s">
        <v>124</v>
      </c>
      <c r="C4781" s="17">
        <v>4</v>
      </c>
      <c r="D4781" s="18"/>
      <c r="E4781" s="17" t="s">
        <v>125</v>
      </c>
      <c r="F4781" s="17"/>
      <c r="G4781" s="18"/>
      <c r="H4781" s="18"/>
    </row>
    <row r="4782" spans="1:8" ht="13.2">
      <c r="A4782" s="19" t="str">
        <f>HYPERLINK("http://codeforces.com/contest/822/problem/C","CF822-D2-C")</f>
        <v>CF822-D2-C</v>
      </c>
      <c r="B4782" s="29" t="s">
        <v>124</v>
      </c>
      <c r="C4782" s="33">
        <v>4</v>
      </c>
      <c r="D4782" s="18"/>
      <c r="E4782" s="17" t="s">
        <v>125</v>
      </c>
      <c r="F4782" s="17"/>
      <c r="G4782" s="18"/>
      <c r="H4782" s="18"/>
    </row>
    <row r="4783" spans="1:8" ht="13.2">
      <c r="A4783" s="19" t="str">
        <f>HYPERLINK("http://codeforces.com/problemset/problem/869/B","CF869-D2-B")</f>
        <v>CF869-D2-B</v>
      </c>
      <c r="B4783" s="36" t="s">
        <v>124</v>
      </c>
      <c r="C4783" s="17">
        <v>4</v>
      </c>
      <c r="D4783" s="18"/>
      <c r="E4783" s="17" t="s">
        <v>125</v>
      </c>
      <c r="F4783" s="17"/>
      <c r="G4783" s="18"/>
      <c r="H4783" s="18"/>
    </row>
    <row r="4784" spans="1:8" ht="13.2">
      <c r="A4784" s="19" t="str">
        <f>HYPERLINK("https://www.codechef.com/problems/ORMATRIX", "CODECHEF ORMATRIX")</f>
        <v>CODECHEF ORMATRIX</v>
      </c>
      <c r="B4784" s="20" t="s">
        <v>124</v>
      </c>
      <c r="C4784" s="21">
        <v>4</v>
      </c>
      <c r="D4784" s="18"/>
      <c r="E4784" s="17" t="s">
        <v>125</v>
      </c>
      <c r="F4784" s="17"/>
      <c r="G4784" s="18"/>
      <c r="H4784" s="18"/>
    </row>
    <row r="4785" spans="1:8" ht="13.2">
      <c r="A4785" s="15" t="s">
        <v>289</v>
      </c>
      <c r="B4785" s="15" t="s">
        <v>124</v>
      </c>
      <c r="C4785" s="17">
        <v>4</v>
      </c>
      <c r="D4785" s="18"/>
      <c r="E4785" s="17" t="s">
        <v>125</v>
      </c>
      <c r="F4785" s="17"/>
      <c r="G4785" s="18"/>
      <c r="H4785" s="18"/>
    </row>
    <row r="4786" spans="1:8" ht="13.2">
      <c r="A4786" s="19" t="str">
        <f>HYPERLINK("http://codeforces.com/contest/479/problem/D","CF479-D2-D")</f>
        <v>CF479-D2-D</v>
      </c>
      <c r="B4786" s="29" t="s">
        <v>290</v>
      </c>
      <c r="C4786" s="17">
        <v>4</v>
      </c>
      <c r="D4786" s="18"/>
      <c r="E4786" s="17" t="s">
        <v>125</v>
      </c>
      <c r="F4786" s="17"/>
      <c r="G4786" s="18"/>
      <c r="H4786" s="18"/>
    </row>
    <row r="4787" spans="1:8" ht="13.2">
      <c r="A4787" s="19" t="str">
        <f>HYPERLINK("http://codeforces.com/contest/677/problem/C","CF677-D2-C")</f>
        <v>CF677-D2-C</v>
      </c>
      <c r="B4787" s="15" t="s">
        <v>291</v>
      </c>
      <c r="C4787" s="17">
        <v>4</v>
      </c>
      <c r="D4787" s="18"/>
      <c r="E4787" s="17" t="s">
        <v>125</v>
      </c>
      <c r="F4787" s="17"/>
      <c r="G4787" s="18"/>
      <c r="H4787" s="18"/>
    </row>
    <row r="4788" spans="1:8" ht="13.2">
      <c r="A4788" s="19" t="str">
        <f>HYPERLINK("http://codeforces.com/contest/862/problem/C","CF862-D2-C")</f>
        <v>CF862-D2-C</v>
      </c>
      <c r="B4788" s="15" t="s">
        <v>291</v>
      </c>
      <c r="C4788" s="17">
        <v>4</v>
      </c>
      <c r="D4788" s="18"/>
      <c r="E4788" s="17" t="s">
        <v>125</v>
      </c>
      <c r="F4788" s="17"/>
      <c r="G4788" s="18"/>
      <c r="H4788" s="18"/>
    </row>
    <row r="4789" spans="1:8" ht="13.2">
      <c r="A4789" s="19" t="str">
        <f>HYPERLINK("https://agc002.contest.atcoder.jp/tasks/agc002_a","AtCoder002-AGC-A")</f>
        <v>AtCoder002-AGC-A</v>
      </c>
      <c r="B4789" s="15" t="s">
        <v>292</v>
      </c>
      <c r="C4789" s="17">
        <v>4</v>
      </c>
      <c r="D4789" s="18"/>
      <c r="E4789" s="17" t="s">
        <v>125</v>
      </c>
      <c r="F4789" s="17"/>
      <c r="G4789" s="18"/>
      <c r="H4789" s="18"/>
    </row>
    <row r="4790" spans="1:8" ht="13.2">
      <c r="A4790" s="19" t="str">
        <f>HYPERLINK("http://codeforces.com/contest/913/problem/C","CF913-D12-C")</f>
        <v>CF913-D12-C</v>
      </c>
      <c r="B4790" s="20" t="s">
        <v>293</v>
      </c>
      <c r="C4790" s="17">
        <v>4</v>
      </c>
      <c r="D4790" s="18"/>
      <c r="E4790" s="17" t="s">
        <v>125</v>
      </c>
      <c r="F4790" s="17"/>
      <c r="G4790" s="18"/>
      <c r="H4790" s="18"/>
    </row>
    <row r="4791" spans="1:8" ht="13.2">
      <c r="A4791" s="15" t="s">
        <v>294</v>
      </c>
      <c r="B4791" s="15" t="s">
        <v>295</v>
      </c>
      <c r="C4791" s="33">
        <v>4</v>
      </c>
      <c r="D4791" s="26" t="str">
        <f>HYPERLINK("https://discuss.codechef.com/questions/25065/spoj-problem-minimum-permutation","Editorial")</f>
        <v>Editorial</v>
      </c>
      <c r="E4791" s="17" t="s">
        <v>125</v>
      </c>
      <c r="F4791" s="17"/>
      <c r="G4791" s="18"/>
      <c r="H4791" s="18"/>
    </row>
    <row r="4792" spans="1:8" ht="13.2">
      <c r="A4792" s="19" t="str">
        <f>HYPERLINK("http://codeforces.com/contest/976/problem/C", "CF976-D2-C")</f>
        <v>CF976-D2-C</v>
      </c>
      <c r="B4792" s="20" t="s">
        <v>212</v>
      </c>
      <c r="C4792" s="17">
        <v>4</v>
      </c>
      <c r="D4792" s="26" t="str">
        <f>HYPERLINK("https://github.com/Huvok/CompetitiveProgramming/blob/master/Codeforces/CF976-D2-C.cpp", "Sol")</f>
        <v>Sol</v>
      </c>
      <c r="E4792" s="17" t="s">
        <v>125</v>
      </c>
      <c r="F4792" s="17"/>
      <c r="G4792" s="18"/>
      <c r="H4792" s="18"/>
    </row>
    <row r="4793" spans="1:8" ht="13.2">
      <c r="A4793" s="15" t="s">
        <v>296</v>
      </c>
      <c r="B4793" s="34" t="s">
        <v>212</v>
      </c>
      <c r="C4793" s="33">
        <v>4</v>
      </c>
      <c r="D4793" s="18"/>
      <c r="E4793" s="17" t="s">
        <v>125</v>
      </c>
      <c r="F4793" s="17"/>
      <c r="G4793" s="18"/>
      <c r="H4793" s="18"/>
    </row>
    <row r="4794" spans="1:8" ht="13.2">
      <c r="A4794" s="19" t="str">
        <f>HYPERLINK("http://codeforces.com/contest/978/problem/F","CF978-D3-F")</f>
        <v>CF978-D3-F</v>
      </c>
      <c r="B4794" s="20" t="s">
        <v>297</v>
      </c>
      <c r="C4794" s="21">
        <v>4</v>
      </c>
      <c r="D4794" s="18"/>
      <c r="E4794" s="17" t="s">
        <v>125</v>
      </c>
      <c r="F4794" s="17"/>
      <c r="G4794" s="18"/>
      <c r="H4794" s="18"/>
    </row>
    <row r="4795" spans="1:8" ht="13.2">
      <c r="A4795" s="15" t="s">
        <v>298</v>
      </c>
      <c r="B4795" s="35" t="s">
        <v>274</v>
      </c>
      <c r="C4795" s="24">
        <v>4</v>
      </c>
      <c r="D4795" s="18"/>
      <c r="E4795" s="17" t="s">
        <v>125</v>
      </c>
      <c r="F4795" s="17"/>
      <c r="G4795" s="18"/>
      <c r="H4795" s="18"/>
    </row>
    <row r="4796" spans="1:8" ht="13.2">
      <c r="A4796" s="15" t="s">
        <v>941</v>
      </c>
      <c r="B4796" s="29" t="s">
        <v>942</v>
      </c>
      <c r="C4796" s="17">
        <v>4</v>
      </c>
      <c r="D4796" s="18"/>
      <c r="E4796" s="17" t="s">
        <v>910</v>
      </c>
      <c r="F4796" s="17"/>
      <c r="G4796" s="18"/>
      <c r="H4796" s="18"/>
    </row>
    <row r="4797" spans="1:8" ht="13.2">
      <c r="A4797" s="15" t="s">
        <v>5696</v>
      </c>
      <c r="B4797" s="29" t="s">
        <v>5660</v>
      </c>
      <c r="C4797" s="33">
        <v>4</v>
      </c>
      <c r="D4797" s="26" t="str">
        <f>HYPERLINK("https://github.com/HosamEissa/Competitive-programming-/blob/master/UVA/11488.cpp","Don't implement as ad-hoc/greedy/Pure STL. Use a data structure. Sol")</f>
        <v>Don't implement as ad-hoc/greedy/Pure STL. Use a data structure. Sol</v>
      </c>
      <c r="E4797" s="17" t="s">
        <v>5643</v>
      </c>
      <c r="F4797" s="17"/>
      <c r="G4797" s="18"/>
      <c r="H4797" s="18"/>
    </row>
    <row r="4798" spans="1:8" ht="13.2">
      <c r="A4798" s="15" t="s">
        <v>5697</v>
      </c>
      <c r="B4798" s="18" t="s">
        <v>5698</v>
      </c>
      <c r="C4798" s="17">
        <v>4</v>
      </c>
      <c r="D4798" s="26" t="str">
        <f>HYPERLINK("https://github.com/mostafa-saad/MyCompetitiveProgramming/blob/master/UVA/UVA_1590.txt","Sol")</f>
        <v>Sol</v>
      </c>
      <c r="E4798" s="17" t="s">
        <v>5643</v>
      </c>
      <c r="F4798" s="17"/>
      <c r="G4798" s="18"/>
      <c r="H4798" s="18"/>
    </row>
    <row r="4799" spans="1:8" ht="13.2">
      <c r="A4799" s="15" t="s">
        <v>5743</v>
      </c>
      <c r="B4799" s="28" t="s">
        <v>5714</v>
      </c>
      <c r="C4799" s="33">
        <v>4</v>
      </c>
      <c r="D4799" s="18"/>
      <c r="E4799" s="17" t="s">
        <v>5702</v>
      </c>
      <c r="F4799" s="17"/>
      <c r="G4799" s="18"/>
      <c r="H4799" s="18"/>
    </row>
    <row r="4800" spans="1:8" ht="13.2">
      <c r="A4800" s="15" t="s">
        <v>5744</v>
      </c>
      <c r="B4800" s="28" t="s">
        <v>5721</v>
      </c>
      <c r="C4800" s="33">
        <v>4</v>
      </c>
      <c r="D4800" s="18"/>
      <c r="E4800" s="17" t="s">
        <v>5702</v>
      </c>
      <c r="F4800" s="17"/>
      <c r="G4800" s="18"/>
      <c r="H4800" s="18"/>
    </row>
    <row r="4801" spans="1:8" ht="13.2">
      <c r="A4801" s="15" t="s">
        <v>5791</v>
      </c>
      <c r="B4801" s="28" t="s">
        <v>5792</v>
      </c>
      <c r="C4801" s="40">
        <v>4</v>
      </c>
      <c r="D4801" s="26" t="str">
        <f>HYPERLINK("https://github.com/HosamEissa/Competitive-programming-/blob/master/Spoj/SUB_PROB.cpp","Sol")</f>
        <v>Sol</v>
      </c>
      <c r="E4801" s="17" t="s">
        <v>5761</v>
      </c>
      <c r="F4801" s="17"/>
      <c r="G4801" s="18"/>
      <c r="H4801" s="18"/>
    </row>
    <row r="4802" spans="1:8" ht="13.2">
      <c r="A4802" s="15" t="s">
        <v>5850</v>
      </c>
      <c r="B4802" s="28" t="s">
        <v>5796</v>
      </c>
      <c r="C4802" s="17">
        <v>4</v>
      </c>
      <c r="D4802" s="26" t="str">
        <f>HYPERLINK("https://github.com/HosamEissa/Competitive-programming-/blob/master/Spoj/SUBLEX.cpp","Sol")</f>
        <v>Sol</v>
      </c>
      <c r="E4802" s="17" t="s">
        <v>5794</v>
      </c>
      <c r="F4802" s="17"/>
      <c r="G4802" s="18"/>
      <c r="H4802" s="18"/>
    </row>
    <row r="4803" spans="1:8" ht="13.2">
      <c r="A4803" s="19" t="str">
        <f>HYPERLINK("http://codeforces.com/contest/427/problem/D","CF427-D2-D")</f>
        <v>CF427-D2-D</v>
      </c>
      <c r="B4803" s="29" t="s">
        <v>5851</v>
      </c>
      <c r="C4803" s="40">
        <v>4</v>
      </c>
      <c r="D4803" s="18"/>
      <c r="E4803" s="17" t="s">
        <v>5794</v>
      </c>
      <c r="F4803" s="17"/>
      <c r="G4803" s="18"/>
      <c r="H4803" s="18"/>
    </row>
    <row r="4804" spans="1:8" ht="13.2">
      <c r="A4804" s="15" t="s">
        <v>5871</v>
      </c>
      <c r="B4804" s="29" t="s">
        <v>5863</v>
      </c>
      <c r="C4804" s="40">
        <v>4</v>
      </c>
      <c r="D4804" s="18"/>
      <c r="E4804" s="17" t="s">
        <v>5857</v>
      </c>
      <c r="F4804" s="17"/>
      <c r="G4804" s="18"/>
      <c r="H4804" s="18"/>
    </row>
    <row r="4805" spans="1:8" ht="13.2">
      <c r="A4805" s="15" t="s">
        <v>5911</v>
      </c>
      <c r="B4805" s="30" t="s">
        <v>5912</v>
      </c>
      <c r="C4805" s="24">
        <v>4</v>
      </c>
      <c r="D4805" s="18"/>
      <c r="E4805" s="17" t="s">
        <v>5874</v>
      </c>
      <c r="F4805" s="17"/>
      <c r="G4805" s="18"/>
      <c r="H4805" s="18"/>
    </row>
    <row r="4806" spans="1:8" ht="13.2">
      <c r="A4806" s="19" t="str">
        <f>HYPERLINK("http://codeforces.com/problemset/gymProblem/100147/G","CF100147-GYM-G")</f>
        <v>CF100147-GYM-G</v>
      </c>
      <c r="B4806" s="36" t="s">
        <v>5913</v>
      </c>
      <c r="C4806" s="40">
        <v>4</v>
      </c>
      <c r="D4806" s="18"/>
      <c r="E4806" s="17" t="s">
        <v>5874</v>
      </c>
      <c r="F4806" s="17"/>
      <c r="G4806" s="18"/>
      <c r="H4806" s="18"/>
    </row>
    <row r="4807" spans="1:8" ht="13.2">
      <c r="A4807" s="15" t="s">
        <v>5955</v>
      </c>
      <c r="B4807" s="16" t="s">
        <v>5956</v>
      </c>
      <c r="C4807" s="17">
        <v>4</v>
      </c>
      <c r="D4807" s="18"/>
      <c r="E4807" s="17" t="s">
        <v>5947</v>
      </c>
      <c r="F4807" s="17"/>
      <c r="G4807" s="18"/>
      <c r="H4807" s="18"/>
    </row>
    <row r="4808" spans="1:8" ht="13.2">
      <c r="A4808" s="19" t="str">
        <f>HYPERLINK("http://codeforces.com/contest/200/problem/D","CF200-D2-D")</f>
        <v>CF200-D2-D</v>
      </c>
      <c r="B4808" s="18" t="s">
        <v>5961</v>
      </c>
      <c r="C4808" s="17">
        <v>4</v>
      </c>
      <c r="D4808" s="18"/>
      <c r="E4808" s="17" t="s">
        <v>5958</v>
      </c>
      <c r="F4808" s="17"/>
      <c r="G4808" s="18"/>
      <c r="H4808" s="18"/>
    </row>
    <row r="4809" spans="1:8" ht="13.2">
      <c r="A4809" s="19" t="str">
        <f>HYPERLINK("http://codeforces.com/contest/239/problem/C","CF239-D2-C")</f>
        <v>CF239-D2-C</v>
      </c>
      <c r="B4809" s="15" t="s">
        <v>5961</v>
      </c>
      <c r="C4809" s="33">
        <v>4</v>
      </c>
      <c r="D4809" s="18"/>
      <c r="E4809" s="17" t="s">
        <v>5958</v>
      </c>
      <c r="F4809" s="17"/>
      <c r="G4809" s="18"/>
      <c r="H4809" s="18"/>
    </row>
    <row r="4810" spans="1:8" ht="13.2">
      <c r="A4810" s="19" t="str">
        <f>HYPERLINK("http://codeforces.com/contest/43/problem/D","CF43-D2-D")</f>
        <v>CF43-D2-D</v>
      </c>
      <c r="B4810" s="18" t="s">
        <v>5961</v>
      </c>
      <c r="C4810" s="17">
        <v>4</v>
      </c>
      <c r="D4810" s="18"/>
      <c r="E4810" s="17" t="s">
        <v>5958</v>
      </c>
      <c r="F4810" s="17"/>
      <c r="G4810" s="18"/>
      <c r="H4810" s="18"/>
    </row>
    <row r="4811" spans="1:8" ht="13.2">
      <c r="A4811" s="19" t="str">
        <f>HYPERLINK("http://codeforces.com/contest/495/problem/C","CF495-D2-C")</f>
        <v>CF495-D2-C</v>
      </c>
      <c r="B4811" s="29" t="s">
        <v>5961</v>
      </c>
      <c r="C4811" s="17">
        <v>4</v>
      </c>
      <c r="D4811" s="18"/>
      <c r="E4811" s="17" t="s">
        <v>5958</v>
      </c>
      <c r="F4811" s="17"/>
      <c r="G4811" s="18"/>
      <c r="H4811" s="18"/>
    </row>
    <row r="4812" spans="1:8" ht="13.2">
      <c r="A4812" s="19" t="str">
        <f>HYPERLINK("http://codeforces.com/contest/69/problem/C","CF69-D2-C")</f>
        <v>CF69-D2-C</v>
      </c>
      <c r="B4812" s="29" t="s">
        <v>5961</v>
      </c>
      <c r="C4812" s="17">
        <v>4</v>
      </c>
      <c r="D4812" s="18"/>
      <c r="E4812" s="17" t="s">
        <v>5958</v>
      </c>
      <c r="F4812" s="17"/>
      <c r="G4812" s="18"/>
      <c r="H4812" s="18"/>
    </row>
    <row r="4813" spans="1:8" ht="13.2">
      <c r="A4813" s="15" t="s">
        <v>6010</v>
      </c>
      <c r="B4813" s="48" t="s">
        <v>5961</v>
      </c>
      <c r="C4813" s="33">
        <v>4</v>
      </c>
      <c r="D4813" s="18"/>
      <c r="E4813" s="17" t="s">
        <v>5958</v>
      </c>
      <c r="F4813" s="17"/>
      <c r="G4813" s="18"/>
      <c r="H4813" s="18"/>
    </row>
    <row r="4814" spans="1:8" ht="13.2">
      <c r="A4814" s="19" t="str">
        <f>HYPERLINK("http://codeforces.com/contest/268/problem/C","CF268-D2-C")</f>
        <v>CF268-D2-C</v>
      </c>
      <c r="B4814" s="29" t="s">
        <v>5959</v>
      </c>
      <c r="C4814" s="17">
        <v>4</v>
      </c>
      <c r="D4814" s="18"/>
      <c r="E4814" s="17" t="s">
        <v>5958</v>
      </c>
      <c r="F4814" s="17"/>
      <c r="G4814" s="18"/>
      <c r="H4814" s="18"/>
    </row>
    <row r="4815" spans="1:8" ht="13.2">
      <c r="A4815" s="19" t="str">
        <f>HYPERLINK("http://codeforces.com/contest/282/problem/C","CF282-D2-C")</f>
        <v>CF282-D2-C</v>
      </c>
      <c r="B4815" s="18" t="s">
        <v>5959</v>
      </c>
      <c r="C4815" s="17">
        <v>4</v>
      </c>
      <c r="D4815" s="18"/>
      <c r="E4815" s="17" t="s">
        <v>5958</v>
      </c>
      <c r="F4815" s="17"/>
      <c r="G4815" s="18"/>
      <c r="H4815" s="18"/>
    </row>
    <row r="4816" spans="1:8" ht="13.2">
      <c r="A4816" s="15" t="s">
        <v>6011</v>
      </c>
      <c r="B4816" s="41" t="s">
        <v>6012</v>
      </c>
      <c r="C4816" s="33">
        <v>4</v>
      </c>
      <c r="D4816" s="18"/>
      <c r="E4816" s="17" t="s">
        <v>5958</v>
      </c>
      <c r="F4816" s="17"/>
      <c r="G4816" s="18"/>
      <c r="H4816" s="18"/>
    </row>
    <row r="4817" spans="1:8" ht="13.2">
      <c r="A4817" s="15" t="s">
        <v>6013</v>
      </c>
      <c r="B4817" s="28" t="s">
        <v>6014</v>
      </c>
      <c r="C4817" s="17">
        <v>4</v>
      </c>
      <c r="D4817" s="18"/>
      <c r="E4817" s="17" t="s">
        <v>5958</v>
      </c>
      <c r="F4817" s="17"/>
      <c r="G4817" s="18"/>
      <c r="H4817" s="18"/>
    </row>
    <row r="4818" spans="1:8" ht="13.2">
      <c r="A4818" s="15" t="s">
        <v>6015</v>
      </c>
      <c r="B4818" s="16" t="s">
        <v>5992</v>
      </c>
      <c r="C4818" s="33">
        <v>4</v>
      </c>
      <c r="D4818" s="18"/>
      <c r="E4818" s="17" t="s">
        <v>5958</v>
      </c>
      <c r="F4818" s="17"/>
      <c r="G4818" s="18"/>
      <c r="H4818" s="18"/>
    </row>
    <row r="4819" spans="1:8" ht="13.2">
      <c r="A4819" s="15" t="s">
        <v>6016</v>
      </c>
      <c r="B4819" s="18" t="s">
        <v>6017</v>
      </c>
      <c r="C4819" s="24">
        <v>4</v>
      </c>
      <c r="D4819" s="18"/>
      <c r="E4819" s="17" t="s">
        <v>5958</v>
      </c>
      <c r="F4819" s="17"/>
      <c r="G4819" s="18"/>
      <c r="H4819" s="18"/>
    </row>
    <row r="4820" spans="1:8" ht="13.2">
      <c r="A4820" s="19" t="str">
        <f>HYPERLINK("http://codeforces.com/contest/66/problem/A","CF66-D2-A")</f>
        <v>CF66-D2-A</v>
      </c>
      <c r="B4820" s="18" t="s">
        <v>6006</v>
      </c>
      <c r="C4820" s="17">
        <v>4</v>
      </c>
      <c r="D4820" s="18"/>
      <c r="E4820" s="17" t="s">
        <v>5958</v>
      </c>
      <c r="F4820" s="17"/>
      <c r="G4820" s="18"/>
      <c r="H4820" s="18"/>
    </row>
    <row r="4821" spans="1:8" ht="13.2">
      <c r="A4821" s="19" t="str">
        <f>HYPERLINK("http://codeforces.com/contest/670/problem/C","CF670-D2-C")</f>
        <v>CF670-D2-C</v>
      </c>
      <c r="B4821" s="29" t="s">
        <v>6006</v>
      </c>
      <c r="C4821" s="17">
        <v>4</v>
      </c>
      <c r="D4821" s="18"/>
      <c r="E4821" s="17" t="s">
        <v>5958</v>
      </c>
      <c r="F4821" s="17"/>
      <c r="G4821" s="18"/>
      <c r="H4821" s="18"/>
    </row>
    <row r="4822" spans="1:8" ht="13.2">
      <c r="A4822" s="19" t="str">
        <f>HYPERLINK("http://codeforces.com/contest/462/problem/C","CF462-D2-C")</f>
        <v>CF462-D2-C</v>
      </c>
      <c r="B4822" s="29" t="s">
        <v>6018</v>
      </c>
      <c r="C4822" s="17">
        <v>4</v>
      </c>
      <c r="D4822" s="26" t="str">
        <f>HYPERLINK("https://github.com/MedoN11/CompetitiveProgramming/blob/master/Atcoder/CF_462C.java","Sol")</f>
        <v>Sol</v>
      </c>
      <c r="E4822" s="17" t="s">
        <v>5958</v>
      </c>
      <c r="F4822" s="17"/>
      <c r="G4822" s="18"/>
      <c r="H4822" s="18"/>
    </row>
    <row r="4823" spans="1:8" ht="13.2">
      <c r="A4823" s="15" t="s">
        <v>6019</v>
      </c>
      <c r="B4823" s="35" t="s">
        <v>6020</v>
      </c>
      <c r="C4823" s="17">
        <v>4</v>
      </c>
      <c r="D4823" s="18"/>
      <c r="E4823" s="17" t="s">
        <v>5958</v>
      </c>
      <c r="F4823" s="17"/>
      <c r="G4823" s="18"/>
      <c r="H4823" s="18"/>
    </row>
    <row r="4824" spans="1:8" ht="13.2">
      <c r="A4824" s="15" t="s">
        <v>993</v>
      </c>
      <c r="B4824" s="29" t="s">
        <v>956</v>
      </c>
      <c r="C4824" s="17">
        <v>4</v>
      </c>
      <c r="D4824" s="18"/>
      <c r="E4824" s="17" t="s">
        <v>951</v>
      </c>
      <c r="F4824" s="17"/>
      <c r="G4824" s="18"/>
      <c r="H4824" s="18"/>
    </row>
    <row r="4825" spans="1:8" ht="13.2">
      <c r="A4825" s="15" t="s">
        <v>6146</v>
      </c>
      <c r="B4825" s="30" t="s">
        <v>6122</v>
      </c>
      <c r="C4825" s="33">
        <v>4</v>
      </c>
      <c r="D4825" s="18"/>
      <c r="E4825" s="17" t="s">
        <v>6118</v>
      </c>
      <c r="F4825" s="17"/>
      <c r="G4825" s="18"/>
      <c r="H4825" s="18"/>
    </row>
    <row r="4826" spans="1:8" ht="13.2">
      <c r="A4826" s="15" t="s">
        <v>6147</v>
      </c>
      <c r="B4826" s="30" t="s">
        <v>6148</v>
      </c>
      <c r="C4826" s="24">
        <v>4</v>
      </c>
      <c r="D4826" s="26" t="str">
        <f>HYPERLINK("https://github.com/omaryasser/Competitive-Programming/blob/master/Topcoder%20Solutions/SRM%20311-D1-500.cpp","SolToMe")</f>
        <v>SolToMe</v>
      </c>
      <c r="E4826" s="17" t="s">
        <v>6118</v>
      </c>
      <c r="F4826" s="17"/>
      <c r="G4826" s="18"/>
      <c r="H4826" s="18"/>
    </row>
    <row r="4827" spans="1:8" ht="13.2">
      <c r="A4827" s="19" t="str">
        <f>HYPERLINK("http://codeforces.com/contest/914/problem/C","CF914-D12-C")</f>
        <v>CF914-D12-C</v>
      </c>
      <c r="B4827" s="20" t="s">
        <v>6149</v>
      </c>
      <c r="C4827" s="17">
        <v>4</v>
      </c>
      <c r="D4827" s="18"/>
      <c r="E4827" s="17" t="s">
        <v>6118</v>
      </c>
      <c r="F4827" s="17"/>
      <c r="G4827" s="18"/>
      <c r="H4827" s="18"/>
    </row>
    <row r="4828" spans="1:8" ht="13.2">
      <c r="A4828" s="19" t="str">
        <f>HYPERLINK("http://codeforces.com/contest/723/problem/D","CF723-D2-D")</f>
        <v>CF723-D2-D</v>
      </c>
      <c r="B4828" s="18" t="s">
        <v>6168</v>
      </c>
      <c r="C4828" s="17">
        <v>4</v>
      </c>
      <c r="D4828" s="18"/>
      <c r="E4828" s="17" t="s">
        <v>6169</v>
      </c>
      <c r="F4828" s="17"/>
      <c r="G4828" s="18"/>
      <c r="H4828" s="18"/>
    </row>
    <row r="4829" spans="1:8" ht="13.2">
      <c r="A4829" s="19" t="str">
        <f>HYPERLINK("https://open.kattis.com/problems/coast","Kattis coast")</f>
        <v>Kattis coast</v>
      </c>
      <c r="B4829" s="15" t="s">
        <v>6168</v>
      </c>
      <c r="C4829" s="17">
        <v>4</v>
      </c>
      <c r="D4829" s="26" t="str">
        <f>HYPERLINK("https://github.com/arvindr9/CompetitiveProgramming/blob/master/Kattis/Kattis%20coast.cpp","Sol")</f>
        <v>Sol</v>
      </c>
      <c r="E4829" s="17" t="s">
        <v>6169</v>
      </c>
      <c r="F4829" s="17"/>
      <c r="G4829" s="18"/>
      <c r="H4829" s="18"/>
    </row>
    <row r="4830" spans="1:8" ht="13.2">
      <c r="A4830" s="15" t="s">
        <v>6182</v>
      </c>
      <c r="B4830" s="29" t="s">
        <v>6168</v>
      </c>
      <c r="C4830" s="24">
        <v>4</v>
      </c>
      <c r="D4830" s="18"/>
      <c r="E4830" s="17" t="s">
        <v>6169</v>
      </c>
      <c r="F4830" s="17"/>
      <c r="G4830" s="18"/>
      <c r="H4830" s="18"/>
    </row>
    <row r="4831" spans="1:8" ht="13.2">
      <c r="A4831" s="19" t="str">
        <f>HYPERLINK("https://csacademy.com/contest/round-60/task/digit-permutation/","CSA60-C")</f>
        <v>CSA60-C</v>
      </c>
      <c r="B4831" s="38" t="s">
        <v>6232</v>
      </c>
      <c r="C4831" s="17">
        <v>4</v>
      </c>
      <c r="D4831" s="18"/>
      <c r="E4831" s="17" t="s">
        <v>6205</v>
      </c>
      <c r="F4831" s="17"/>
      <c r="G4831" s="18"/>
      <c r="H4831" s="18"/>
    </row>
    <row r="4832" spans="1:8" ht="13.2">
      <c r="A4832" s="15" t="s">
        <v>6238</v>
      </c>
      <c r="B4832" s="29" t="s">
        <v>6239</v>
      </c>
      <c r="C4832" s="17">
        <v>4</v>
      </c>
      <c r="D4832" s="26" t="str">
        <f>HYPERLINK("https://github.com/VAMPIER000001/CompetitiveProgramming/blob/master/UVA/V-116/UVA%2011686.Cpp","Sol")</f>
        <v>Sol</v>
      </c>
      <c r="E4832" s="17" t="s">
        <v>6205</v>
      </c>
      <c r="F4832" s="17"/>
      <c r="G4832" s="18"/>
      <c r="H4832" s="18"/>
    </row>
    <row r="4833" spans="1:8" ht="13.2">
      <c r="A4833" s="15" t="s">
        <v>6240</v>
      </c>
      <c r="B4833" s="29" t="s">
        <v>6241</v>
      </c>
      <c r="C4833" s="17">
        <v>4</v>
      </c>
      <c r="D4833" s="18"/>
      <c r="E4833" s="17" t="s">
        <v>6205</v>
      </c>
      <c r="F4833" s="17"/>
      <c r="G4833" s="18"/>
      <c r="H4833" s="18"/>
    </row>
    <row r="4834" spans="1:8" ht="13.2">
      <c r="A4834" s="19" t="str">
        <f>HYPERLINK("https://uva.onlinejudge.org/index.php?option=com_onlinejudge&amp;Itemid=8&amp;page=show_problem&amp;problem=1718","UVA 10777")</f>
        <v>UVA 10777</v>
      </c>
      <c r="B4834" s="29" t="s">
        <v>6306</v>
      </c>
      <c r="C4834" s="17">
        <v>4</v>
      </c>
      <c r="D4834" s="26" t="str">
        <f>HYPERLINK("https://github.com/mostafa-saad/MyCompetitiveProgramming/blob/master/UVA/UVA_10777.txt","Sol")</f>
        <v>Sol</v>
      </c>
      <c r="E4834" s="17" t="s">
        <v>6275</v>
      </c>
      <c r="F4834" s="17"/>
      <c r="G4834" s="18"/>
      <c r="H4834" s="18"/>
    </row>
    <row r="4835" spans="1:8" ht="13.2">
      <c r="A4835" s="19" t="str">
        <f>HYPERLINK("https://csacademy.com/contest/round-43/task/diesel-train/","CSA43-C")</f>
        <v>CSA43-C</v>
      </c>
      <c r="B4835" s="15" t="s">
        <v>6307</v>
      </c>
      <c r="C4835" s="17">
        <v>4</v>
      </c>
      <c r="D4835" s="18"/>
      <c r="E4835" s="17" t="s">
        <v>6275</v>
      </c>
      <c r="F4835" s="17"/>
      <c r="G4835" s="18"/>
      <c r="H4835" s="18"/>
    </row>
    <row r="4836" spans="1:8" ht="13.2">
      <c r="A4836" s="19" t="str">
        <f>HYPERLINK("https://www.hackerrank.com/challenges/lazy-sorting","HACKR lazy-sorting")</f>
        <v>HACKR lazy-sorting</v>
      </c>
      <c r="B4836" s="29" t="s">
        <v>6308</v>
      </c>
      <c r="C4836" s="17">
        <v>4</v>
      </c>
      <c r="D4836" s="26" t="str">
        <f>HYPERLINK("https://www.youtube.com/watch?v=j__Kredt7vY","Revise Expected Value")</f>
        <v>Revise Expected Value</v>
      </c>
      <c r="E4836" s="17" t="s">
        <v>6275</v>
      </c>
      <c r="F4836" s="17"/>
      <c r="G4836" s="18"/>
      <c r="H4836" s="18"/>
    </row>
    <row r="4837" spans="1:8" ht="13.2">
      <c r="A4837" s="19" t="str">
        <f>HYPERLINK("http://www.lightoj.com/volume_showproblem.php?problem=1348","LightOJ 1188")</f>
        <v>LightOJ 1188</v>
      </c>
      <c r="B4837" s="29" t="s">
        <v>6342</v>
      </c>
      <c r="C4837" s="33">
        <v>4</v>
      </c>
      <c r="D4837" s="18"/>
      <c r="E4837" s="17" t="s">
        <v>6311</v>
      </c>
      <c r="F4837" s="17"/>
      <c r="G4837" s="18"/>
      <c r="H4837" s="18"/>
    </row>
    <row r="4838" spans="1:8" ht="13.2">
      <c r="A4838" s="19" t="str">
        <f>HYPERLINK("http://codeforces.com/contest/208/problem/E","CF208-D2-E")</f>
        <v>CF208-D2-E</v>
      </c>
      <c r="B4838" s="29" t="s">
        <v>6395</v>
      </c>
      <c r="C4838" s="24">
        <v>4</v>
      </c>
      <c r="D4838" s="18"/>
      <c r="E4838" s="17" t="s">
        <v>6390</v>
      </c>
      <c r="F4838" s="17"/>
      <c r="G4838" s="18"/>
      <c r="H4838" s="18"/>
    </row>
    <row r="4839" spans="1:8" ht="13.2">
      <c r="A4839" s="19" t="str">
        <f>HYPERLINK("http://codeforces.com/problemset/gymProblem/100812/E","CF100812-GYM-E")</f>
        <v>CF100812-GYM-E</v>
      </c>
      <c r="B4839" s="29" t="s">
        <v>1017</v>
      </c>
      <c r="C4839" s="33">
        <v>4</v>
      </c>
      <c r="D4839" s="26" t="str">
        <f>HYPERLINK("https://github.com/3agwa/CompetitiveProgramming/blob/master/CodeForces/CF100812-GYM-E","Sol")</f>
        <v>Sol</v>
      </c>
      <c r="E4839" s="17" t="s">
        <v>1018</v>
      </c>
      <c r="F4839" s="17"/>
      <c r="G4839" s="18"/>
      <c r="H4839" s="18"/>
    </row>
    <row r="4840" spans="1:8" ht="13.2">
      <c r="A4840" s="19" t="str">
        <f>HYPERLINK("http://codeforces.com/contest/85/problem/D","CF85-D12-D")</f>
        <v>CF85-D12-D</v>
      </c>
      <c r="B4840" s="29" t="s">
        <v>1216</v>
      </c>
      <c r="C4840" s="17">
        <v>4</v>
      </c>
      <c r="D4840" s="18" t="s">
        <v>1217</v>
      </c>
      <c r="E4840" s="17" t="s">
        <v>1018</v>
      </c>
      <c r="F4840" s="17"/>
      <c r="G4840" s="18"/>
      <c r="H4840" s="18"/>
    </row>
    <row r="4841" spans="1:8" ht="13.2">
      <c r="A4841" s="19" t="str">
        <f>HYPERLINK("https://www.spoj.com/problems/POLYMUL/","SPOJ POLYMUL")</f>
        <v>SPOJ POLYMUL</v>
      </c>
      <c r="B4841" s="15" t="s">
        <v>6527</v>
      </c>
      <c r="C4841" s="17">
        <v>4</v>
      </c>
      <c r="D4841" s="18"/>
      <c r="E4841" s="17" t="s">
        <v>6511</v>
      </c>
      <c r="F4841" s="17"/>
      <c r="G4841" s="18"/>
      <c r="H4841" s="18"/>
    </row>
    <row r="4842" spans="1:8" ht="13.2">
      <c r="A4842" s="15" t="s">
        <v>1323</v>
      </c>
      <c r="B4842" s="18" t="s">
        <v>1324</v>
      </c>
      <c r="C4842" s="17">
        <v>4</v>
      </c>
      <c r="D4842" s="18"/>
      <c r="E4842" s="17" t="s">
        <v>1223</v>
      </c>
      <c r="F4842" s="17"/>
      <c r="G4842" s="18"/>
      <c r="H4842" s="18"/>
    </row>
    <row r="4843" spans="1:8" ht="13.2">
      <c r="A4843" s="15" t="s">
        <v>1325</v>
      </c>
      <c r="B4843" s="28" t="s">
        <v>1234</v>
      </c>
      <c r="C4843" s="24">
        <v>4</v>
      </c>
      <c r="D4843" s="18"/>
      <c r="E4843" s="17" t="s">
        <v>1223</v>
      </c>
      <c r="F4843" s="17"/>
      <c r="G4843" s="18"/>
      <c r="H4843" s="18"/>
    </row>
    <row r="4844" spans="1:8" ht="13.2">
      <c r="A4844" s="19" t="str">
        <f>HYPERLINK("http://codeforces.com/contest/415/problem/D","CF415-D2-D")</f>
        <v>CF415-D2-D</v>
      </c>
      <c r="B4844" s="18" t="s">
        <v>1348</v>
      </c>
      <c r="C4844" s="17">
        <v>4</v>
      </c>
      <c r="D4844" s="18"/>
      <c r="E4844" s="17" t="s">
        <v>1337</v>
      </c>
      <c r="F4844" s="17"/>
      <c r="G4844" s="18"/>
      <c r="H4844" s="18"/>
    </row>
    <row r="4845" spans="1:8" ht="13.2">
      <c r="A4845" s="15" t="s">
        <v>1636</v>
      </c>
      <c r="B4845" s="15" t="s">
        <v>1348</v>
      </c>
      <c r="C4845" s="17">
        <v>4</v>
      </c>
      <c r="D4845" s="18"/>
      <c r="E4845" s="17" t="s">
        <v>1337</v>
      </c>
      <c r="F4845" s="17"/>
      <c r="G4845" s="18"/>
      <c r="H4845" s="18"/>
    </row>
    <row r="4846" spans="1:8" ht="13.2">
      <c r="A4846" s="15" t="s">
        <v>1637</v>
      </c>
      <c r="B4846" s="15" t="s">
        <v>1348</v>
      </c>
      <c r="C4846" s="40">
        <v>4</v>
      </c>
      <c r="D4846" s="18"/>
      <c r="E4846" s="17" t="s">
        <v>1337</v>
      </c>
      <c r="F4846" s="17"/>
      <c r="G4846" s="18"/>
      <c r="H4846" s="18"/>
    </row>
    <row r="4847" spans="1:8" ht="13.2">
      <c r="A4847" s="15" t="s">
        <v>1638</v>
      </c>
      <c r="B4847" s="29" t="s">
        <v>1348</v>
      </c>
      <c r="C4847" s="40">
        <v>4</v>
      </c>
      <c r="D4847" s="18"/>
      <c r="E4847" s="17" t="s">
        <v>1337</v>
      </c>
      <c r="F4847" s="17"/>
      <c r="G4847" s="18"/>
      <c r="H4847" s="18"/>
    </row>
    <row r="4848" spans="1:8" ht="13.2">
      <c r="A4848" s="19" t="str">
        <f>HYPERLINK("https://uva.onlinejudge.org/index.php?option=com_onlinejudge&amp;Itemid=8&amp;page=show_problem&amp;problem=1680","UVA 10739")</f>
        <v>UVA 10739</v>
      </c>
      <c r="B4848" s="29" t="s">
        <v>1348</v>
      </c>
      <c r="C4848" s="17">
        <v>4</v>
      </c>
      <c r="D4848" s="18"/>
      <c r="E4848" s="17" t="s">
        <v>1337</v>
      </c>
      <c r="F4848" s="17"/>
      <c r="G4848" s="18"/>
      <c r="H4848" s="18"/>
    </row>
    <row r="4849" spans="1:8" ht="13.2">
      <c r="A4849" s="15" t="s">
        <v>1639</v>
      </c>
      <c r="B4849" s="28" t="s">
        <v>1348</v>
      </c>
      <c r="C4849" s="24">
        <v>4</v>
      </c>
      <c r="D4849" s="18"/>
      <c r="E4849" s="17" t="s">
        <v>1337</v>
      </c>
      <c r="F4849" s="17"/>
      <c r="G4849" s="18"/>
      <c r="H4849" s="18"/>
    </row>
    <row r="4850" spans="1:8" ht="13.2">
      <c r="A4850" s="19" t="str">
        <f>HYPERLINK("https://uva.onlinejudge.org/index.php?option=onlinejudge&amp;page=show_problem&amp;problem=3215","UVA 12063")</f>
        <v>UVA 12063</v>
      </c>
      <c r="B4850" s="29" t="s">
        <v>1348</v>
      </c>
      <c r="C4850" s="17">
        <v>4</v>
      </c>
      <c r="D4850" s="18"/>
      <c r="E4850" s="17" t="s">
        <v>1337</v>
      </c>
      <c r="F4850" s="17"/>
      <c r="G4850" s="18"/>
      <c r="H4850" s="18"/>
    </row>
    <row r="4851" spans="1:8" ht="13.2">
      <c r="A4851" s="15" t="s">
        <v>1640</v>
      </c>
      <c r="B4851" s="30" t="s">
        <v>1348</v>
      </c>
      <c r="C4851" s="24">
        <v>4</v>
      </c>
      <c r="D4851" s="18"/>
      <c r="E4851" s="17" t="s">
        <v>1337</v>
      </c>
      <c r="F4851" s="17"/>
      <c r="G4851" s="18"/>
      <c r="H4851" s="18"/>
    </row>
    <row r="4852" spans="1:8" ht="13.2">
      <c r="A4852" s="15" t="s">
        <v>1641</v>
      </c>
      <c r="B4852" s="41" t="s">
        <v>1642</v>
      </c>
      <c r="C4852" s="33">
        <v>4</v>
      </c>
      <c r="D4852" s="26" t="str">
        <f>HYPERLINK("https://github.com/HeartBlue/CompetitiveProgramming/blob/master/UVA/UVA%2011026%20A%20Grouping%20Problem.cpp","Sol")</f>
        <v>Sol</v>
      </c>
      <c r="E4852" s="17" t="s">
        <v>1337</v>
      </c>
      <c r="F4852" s="17"/>
      <c r="G4852" s="18"/>
      <c r="H4852" s="18"/>
    </row>
    <row r="4853" spans="1:8" ht="13.2">
      <c r="A4853" s="15" t="s">
        <v>1643</v>
      </c>
      <c r="B4853" s="35" t="s">
        <v>1546</v>
      </c>
      <c r="C4853" s="40">
        <v>4</v>
      </c>
      <c r="D4853" s="18"/>
      <c r="E4853" s="17" t="s">
        <v>1337</v>
      </c>
      <c r="F4853" s="17"/>
      <c r="G4853" s="18"/>
      <c r="H4853" s="18"/>
    </row>
    <row r="4854" spans="1:8" ht="13.2">
      <c r="A4854" s="19" t="str">
        <f>HYPERLINK("https://uva.onlinejudge.org/index.php?option=onlinejudge&amp;page=show_problem&amp;problem=1760","UVA 10819")</f>
        <v>UVA 10819</v>
      </c>
      <c r="B4854" s="29" t="s">
        <v>1546</v>
      </c>
      <c r="C4854" s="17">
        <v>4</v>
      </c>
      <c r="D4854" s="18"/>
      <c r="E4854" s="17" t="s">
        <v>1337</v>
      </c>
      <c r="F4854" s="17"/>
      <c r="G4854" s="18"/>
      <c r="H4854" s="18"/>
    </row>
    <row r="4855" spans="1:8" ht="13.2">
      <c r="A4855" s="15" t="s">
        <v>1644</v>
      </c>
      <c r="B4855" s="35" t="s">
        <v>1645</v>
      </c>
      <c r="C4855" s="40">
        <v>4</v>
      </c>
      <c r="D4855" s="18"/>
      <c r="E4855" s="17" t="s">
        <v>1337</v>
      </c>
      <c r="F4855" s="17"/>
      <c r="G4855" s="18"/>
      <c r="H4855" s="18"/>
    </row>
    <row r="4856" spans="1:8" ht="13.2">
      <c r="A4856" s="19" t="str">
        <f>HYPERLINK("http://codeforces.com/contest/545/problem/C","CF545-D2-C")</f>
        <v>CF545-D2-C</v>
      </c>
      <c r="B4856" s="29" t="s">
        <v>1646</v>
      </c>
      <c r="C4856" s="17">
        <v>4</v>
      </c>
      <c r="D4856" s="18"/>
      <c r="E4856" s="17" t="s">
        <v>1337</v>
      </c>
      <c r="F4856" s="17"/>
      <c r="G4856" s="18"/>
      <c r="H4856" s="18"/>
    </row>
    <row r="4857" spans="1:8" ht="13.2">
      <c r="A4857" s="15" t="s">
        <v>1647</v>
      </c>
      <c r="B4857" s="16" t="s">
        <v>1648</v>
      </c>
      <c r="C4857" s="31">
        <v>4</v>
      </c>
      <c r="D4857" s="18"/>
      <c r="E4857" s="17" t="s">
        <v>1337</v>
      </c>
      <c r="F4857" s="17"/>
      <c r="G4857" s="18"/>
      <c r="H4857" s="18"/>
    </row>
    <row r="4858" spans="1:8" ht="13.2">
      <c r="A4858" s="19" t="str">
        <f>HYPERLINK("http://codeforces.com/contest/489/problem/C","CF489-D2-C")</f>
        <v>CF489-D2-C</v>
      </c>
      <c r="B4858" s="29" t="s">
        <v>1353</v>
      </c>
      <c r="C4858" s="17">
        <v>4</v>
      </c>
      <c r="D4858" s="18"/>
      <c r="E4858" s="17" t="s">
        <v>1337</v>
      </c>
      <c r="F4858" s="17"/>
      <c r="G4858" s="18"/>
      <c r="H4858" s="18"/>
    </row>
    <row r="4859" spans="1:8" ht="13.2">
      <c r="A4859" s="19" t="str">
        <f>HYPERLINK("http://codeforces.com/contest/41/problem/D","CF41-D2-D")</f>
        <v>CF41-D2-D</v>
      </c>
      <c r="B4859" s="18" t="s">
        <v>1354</v>
      </c>
      <c r="C4859" s="17">
        <v>4</v>
      </c>
      <c r="D4859" s="18"/>
      <c r="E4859" s="17" t="s">
        <v>1337</v>
      </c>
      <c r="F4859" s="17"/>
      <c r="G4859" s="18"/>
      <c r="H4859" s="18"/>
    </row>
    <row r="4860" spans="1:8" ht="13.2">
      <c r="A4860" s="15" t="s">
        <v>1649</v>
      </c>
      <c r="B4860" s="15" t="s">
        <v>1650</v>
      </c>
      <c r="C4860" s="33">
        <v>4</v>
      </c>
      <c r="D4860" s="18"/>
      <c r="E4860" s="17" t="s">
        <v>1337</v>
      </c>
      <c r="F4860" s="17"/>
      <c r="G4860" s="18"/>
      <c r="H4860" s="18"/>
    </row>
    <row r="4861" spans="1:8" ht="13.2">
      <c r="A4861" s="19" t="str">
        <f>HYPERLINK("http://codeforces.com/contest/463/problem/D","CF463-D2-D")</f>
        <v>CF463-D2-D</v>
      </c>
      <c r="B4861" s="29" t="s">
        <v>1604</v>
      </c>
      <c r="C4861" s="17">
        <v>4</v>
      </c>
      <c r="D4861" s="18"/>
      <c r="E4861" s="17" t="s">
        <v>1337</v>
      </c>
      <c r="F4861" s="17"/>
      <c r="G4861" s="18"/>
      <c r="H4861" s="18"/>
    </row>
    <row r="4862" spans="1:8" ht="13.2">
      <c r="A4862" s="19" t="str">
        <f>HYPERLINK("https://uva.onlinejudge.org/index.php?option=com_onlinejudge&amp;Itemid=8&amp;page=show_problem&amp;problem=438","UVA 497")</f>
        <v>UVA 497</v>
      </c>
      <c r="B4862" s="29" t="s">
        <v>1651</v>
      </c>
      <c r="C4862" s="17">
        <v>4</v>
      </c>
      <c r="D4862" s="18"/>
      <c r="E4862" s="17" t="s">
        <v>1337</v>
      </c>
      <c r="F4862" s="17"/>
      <c r="G4862" s="18"/>
      <c r="H4862" s="18"/>
    </row>
    <row r="4863" spans="1:8" ht="13.2">
      <c r="A4863" s="15" t="s">
        <v>1652</v>
      </c>
      <c r="B4863" s="29" t="s">
        <v>1653</v>
      </c>
      <c r="C4863" s="33">
        <v>4</v>
      </c>
      <c r="D4863" s="18"/>
      <c r="E4863" s="17" t="s">
        <v>1337</v>
      </c>
      <c r="F4863" s="17"/>
      <c r="G4863" s="18"/>
      <c r="H4863" s="18"/>
    </row>
    <row r="4864" spans="1:8" ht="13.2">
      <c r="A4864" s="15" t="s">
        <v>1654</v>
      </c>
      <c r="B4864" s="30" t="s">
        <v>1655</v>
      </c>
      <c r="C4864" s="33">
        <v>4</v>
      </c>
      <c r="D4864" s="18"/>
      <c r="E4864" s="17" t="s">
        <v>1337</v>
      </c>
      <c r="F4864" s="17"/>
      <c r="G4864" s="18"/>
      <c r="H4864" s="18"/>
    </row>
    <row r="4865" spans="1:8" ht="13.2">
      <c r="A4865" s="19" t="str">
        <f>HYPERLINK("http://codeforces.com/contest/255/problem/C","CF255-D2-C")</f>
        <v>CF255-D2-C</v>
      </c>
      <c r="B4865" s="29" t="s">
        <v>359</v>
      </c>
      <c r="C4865" s="17">
        <v>4</v>
      </c>
      <c r="D4865" s="18"/>
      <c r="E4865" s="17" t="s">
        <v>332</v>
      </c>
      <c r="F4865" s="17"/>
      <c r="G4865" s="18"/>
      <c r="H4865" s="18"/>
    </row>
    <row r="4866" spans="1:8" ht="13.2">
      <c r="A4866" s="15" t="s">
        <v>456</v>
      </c>
      <c r="B4866" s="35" t="s">
        <v>359</v>
      </c>
      <c r="C4866" s="40">
        <v>4</v>
      </c>
      <c r="D4866" s="18"/>
      <c r="E4866" s="17" t="s">
        <v>332</v>
      </c>
      <c r="F4866" s="17"/>
      <c r="G4866" s="18"/>
      <c r="H4866" s="18"/>
    </row>
    <row r="4867" spans="1:8" ht="13.2">
      <c r="A4867" s="15" t="s">
        <v>457</v>
      </c>
      <c r="B4867" s="34" t="s">
        <v>359</v>
      </c>
      <c r="C4867" s="24">
        <v>4</v>
      </c>
      <c r="D4867" s="18"/>
      <c r="E4867" s="17" t="s">
        <v>332</v>
      </c>
      <c r="F4867" s="17"/>
      <c r="G4867" s="18"/>
      <c r="H4867" s="18"/>
    </row>
    <row r="4868" spans="1:8" ht="13.2">
      <c r="A4868" s="15" t="s">
        <v>458</v>
      </c>
      <c r="B4868" s="35" t="s">
        <v>359</v>
      </c>
      <c r="C4868" s="17">
        <v>4</v>
      </c>
      <c r="D4868" s="18"/>
      <c r="E4868" s="17" t="s">
        <v>332</v>
      </c>
      <c r="F4868" s="17"/>
      <c r="G4868" s="18"/>
      <c r="H4868" s="18"/>
    </row>
    <row r="4869" spans="1:8" ht="13.2">
      <c r="A4869" s="15" t="s">
        <v>459</v>
      </c>
      <c r="B4869" s="35" t="s">
        <v>359</v>
      </c>
      <c r="C4869" s="40">
        <v>4</v>
      </c>
      <c r="D4869" s="18"/>
      <c r="E4869" s="17" t="s">
        <v>332</v>
      </c>
      <c r="F4869" s="17"/>
      <c r="G4869" s="18"/>
      <c r="H4869" s="18"/>
    </row>
    <row r="4870" spans="1:8" ht="13.2">
      <c r="A4870" s="15" t="s">
        <v>460</v>
      </c>
      <c r="B4870" s="29" t="s">
        <v>359</v>
      </c>
      <c r="C4870" s="24">
        <v>4</v>
      </c>
      <c r="D4870" s="18"/>
      <c r="E4870" s="24" t="s">
        <v>332</v>
      </c>
      <c r="F4870" s="17"/>
      <c r="G4870" s="18"/>
      <c r="H4870" s="18"/>
    </row>
    <row r="4871" spans="1:8" ht="13.2">
      <c r="A4871" s="15" t="s">
        <v>461</v>
      </c>
      <c r="B4871" s="16" t="s">
        <v>359</v>
      </c>
      <c r="C4871" s="31">
        <v>4</v>
      </c>
      <c r="D4871" s="18"/>
      <c r="E4871" s="17" t="s">
        <v>332</v>
      </c>
      <c r="F4871" s="17"/>
      <c r="G4871" s="18"/>
      <c r="H4871" s="18"/>
    </row>
    <row r="4872" spans="1:8" ht="13.2">
      <c r="A4872" s="15" t="s">
        <v>462</v>
      </c>
      <c r="B4872" s="30" t="s">
        <v>359</v>
      </c>
      <c r="C4872" s="24">
        <v>4</v>
      </c>
      <c r="D4872" s="18"/>
      <c r="E4872" s="17" t="s">
        <v>332</v>
      </c>
      <c r="F4872" s="17"/>
      <c r="G4872" s="18"/>
      <c r="H4872" s="18"/>
    </row>
    <row r="4873" spans="1:8" ht="13.2">
      <c r="A4873" s="15" t="s">
        <v>463</v>
      </c>
      <c r="B4873" s="35" t="s">
        <v>397</v>
      </c>
      <c r="C4873" s="24">
        <v>4</v>
      </c>
      <c r="D4873" s="18"/>
      <c r="E4873" s="17" t="s">
        <v>332</v>
      </c>
      <c r="F4873" s="17"/>
      <c r="G4873" s="18"/>
      <c r="H4873" s="18"/>
    </row>
    <row r="4874" spans="1:8" ht="13.2">
      <c r="A4874" s="15" t="s">
        <v>464</v>
      </c>
      <c r="B4874" s="28" t="s">
        <v>397</v>
      </c>
      <c r="C4874" s="24">
        <v>4</v>
      </c>
      <c r="D4874" s="18"/>
      <c r="E4874" s="17" t="s">
        <v>332</v>
      </c>
      <c r="F4874" s="17"/>
      <c r="G4874" s="18"/>
      <c r="H4874" s="18"/>
    </row>
    <row r="4875" spans="1:8" ht="13.2">
      <c r="A4875" s="19" t="str">
        <f>HYPERLINK("http://codeforces.com/contest/118/problem/C","CF118-D2-C")</f>
        <v>CF118-D2-C</v>
      </c>
      <c r="B4875" s="29" t="s">
        <v>398</v>
      </c>
      <c r="C4875" s="17">
        <v>4</v>
      </c>
      <c r="D4875" s="18"/>
      <c r="E4875" s="17" t="s">
        <v>332</v>
      </c>
      <c r="F4875" s="17"/>
      <c r="G4875" s="18"/>
      <c r="H4875" s="18"/>
    </row>
    <row r="4876" spans="1:8" ht="13.2">
      <c r="A4876" s="19" t="str">
        <f>HYPERLINK("http://codeforces.com/contest/219/problem/C","CF219-D2-C")</f>
        <v>CF219-D2-C</v>
      </c>
      <c r="B4876" s="29" t="s">
        <v>398</v>
      </c>
      <c r="C4876" s="17">
        <v>4</v>
      </c>
      <c r="D4876" s="18"/>
      <c r="E4876" s="17" t="s">
        <v>332</v>
      </c>
      <c r="F4876" s="17"/>
      <c r="G4876" s="18"/>
      <c r="H4876" s="18"/>
    </row>
    <row r="4877" spans="1:8" ht="13.2">
      <c r="A4877" s="19" t="str">
        <f>HYPERLINK("http://codeforces.com/contest/672/problem/C","CF672-D2-C")</f>
        <v>CF672-D2-C</v>
      </c>
      <c r="B4877" s="29" t="s">
        <v>398</v>
      </c>
      <c r="C4877" s="17">
        <v>4</v>
      </c>
      <c r="D4877" s="18"/>
      <c r="E4877" s="17" t="s">
        <v>332</v>
      </c>
      <c r="F4877" s="17"/>
      <c r="G4877" s="18"/>
      <c r="H4877" s="18"/>
    </row>
    <row r="4878" spans="1:8" ht="13.2">
      <c r="A4878" s="15" t="s">
        <v>465</v>
      </c>
      <c r="B4878" s="30" t="s">
        <v>466</v>
      </c>
      <c r="C4878" s="24">
        <v>4</v>
      </c>
      <c r="D4878" s="18"/>
      <c r="E4878" s="17" t="s">
        <v>332</v>
      </c>
      <c r="F4878" s="17"/>
      <c r="G4878" s="18"/>
      <c r="H4878" s="18"/>
    </row>
    <row r="4879" spans="1:8" ht="13.2">
      <c r="A4879" s="15" t="s">
        <v>467</v>
      </c>
      <c r="B4879" s="30" t="s">
        <v>468</v>
      </c>
      <c r="C4879" s="24">
        <v>4</v>
      </c>
      <c r="D4879" s="18"/>
      <c r="E4879" s="17" t="s">
        <v>332</v>
      </c>
      <c r="F4879" s="17"/>
      <c r="G4879" s="18"/>
      <c r="H4879" s="18"/>
    </row>
    <row r="4880" spans="1:8" ht="13.2">
      <c r="A4880" s="19" t="str">
        <f>HYPERLINK("http://codeforces.com/contest/443/problem/C","CF443-D2-C")</f>
        <v>CF443-D2-C</v>
      </c>
      <c r="B4880" s="29" t="s">
        <v>368</v>
      </c>
      <c r="C4880" s="33">
        <v>4</v>
      </c>
      <c r="D4880" s="18"/>
      <c r="E4880" s="17" t="s">
        <v>332</v>
      </c>
      <c r="F4880" s="17"/>
      <c r="G4880" s="18"/>
      <c r="H4880" s="18"/>
    </row>
    <row r="4881" spans="1:8" ht="13.2">
      <c r="A4881" s="19" t="str">
        <f>HYPERLINK("http://codeforces.com/contest/439/problem/C","CF439-D2-C")</f>
        <v>CF439-D2-C</v>
      </c>
      <c r="B4881" s="29" t="s">
        <v>469</v>
      </c>
      <c r="C4881" s="17">
        <v>4</v>
      </c>
      <c r="D4881" s="18"/>
      <c r="E4881" s="17" t="s">
        <v>332</v>
      </c>
      <c r="F4881" s="17"/>
      <c r="G4881" s="18"/>
      <c r="H4881" s="18"/>
    </row>
    <row r="4882" spans="1:8" ht="13.2">
      <c r="A4882" s="19" t="str">
        <f>HYPERLINK("http://codeforces.com/contest/200/problem/C","CF200-D2-C")</f>
        <v>CF200-D2-C</v>
      </c>
      <c r="B4882" s="29" t="s">
        <v>341</v>
      </c>
      <c r="C4882" s="17">
        <v>4</v>
      </c>
      <c r="D4882" s="18"/>
      <c r="E4882" s="17" t="s">
        <v>332</v>
      </c>
      <c r="F4882" s="17"/>
      <c r="G4882" s="18"/>
      <c r="H4882" s="18"/>
    </row>
    <row r="4883" spans="1:8" ht="13.2">
      <c r="A4883" s="19" t="str">
        <f>HYPERLINK("http://codeforces.com/contest/368/problem/C","CF368-D2-C")</f>
        <v>CF368-D2-C</v>
      </c>
      <c r="B4883" s="29" t="s">
        <v>341</v>
      </c>
      <c r="C4883" s="17">
        <v>4</v>
      </c>
      <c r="D4883" s="18"/>
      <c r="E4883" s="17" t="s">
        <v>332</v>
      </c>
      <c r="F4883" s="17"/>
      <c r="G4883" s="18"/>
      <c r="H4883" s="18"/>
    </row>
    <row r="4884" spans="1:8" ht="13.2">
      <c r="A4884" s="15" t="s">
        <v>470</v>
      </c>
      <c r="B4884" s="30" t="s">
        <v>341</v>
      </c>
      <c r="C4884" s="17">
        <v>4</v>
      </c>
      <c r="D4884" s="26" t="str">
        <f>HYPERLINK("https://ideone.com/VFD9au","Sol")</f>
        <v>Sol</v>
      </c>
      <c r="E4884" s="17" t="s">
        <v>332</v>
      </c>
      <c r="F4884" s="17"/>
      <c r="G4884" s="18"/>
      <c r="H4884" s="18"/>
    </row>
    <row r="4885" spans="1:8" ht="13.2">
      <c r="A4885" s="19" t="str">
        <f>HYPERLINK("http://codeforces.com/contest/686/problem/C","CF686-D2-C")</f>
        <v>CF686-D2-C</v>
      </c>
      <c r="B4885" s="29" t="s">
        <v>389</v>
      </c>
      <c r="C4885" s="17">
        <v>4</v>
      </c>
      <c r="D4885" s="18"/>
      <c r="E4885" s="17" t="s">
        <v>332</v>
      </c>
      <c r="F4885" s="17"/>
      <c r="G4885" s="18"/>
      <c r="H4885" s="18"/>
    </row>
    <row r="4886" spans="1:8" ht="13.2">
      <c r="A4886" s="15" t="s">
        <v>471</v>
      </c>
      <c r="B4886" s="29" t="s">
        <v>389</v>
      </c>
      <c r="C4886" s="17">
        <v>4</v>
      </c>
      <c r="D4886" s="18"/>
      <c r="E4886" s="24" t="s">
        <v>332</v>
      </c>
      <c r="F4886" s="17"/>
      <c r="G4886" s="18"/>
      <c r="H4886" s="18"/>
    </row>
    <row r="4887" spans="1:8" ht="13.2">
      <c r="A4887" s="15" t="s">
        <v>472</v>
      </c>
      <c r="B4887" s="35" t="s">
        <v>473</v>
      </c>
      <c r="C4887" s="33">
        <v>4</v>
      </c>
      <c r="D4887" s="18"/>
      <c r="E4887" s="17" t="s">
        <v>332</v>
      </c>
      <c r="F4887" s="17"/>
      <c r="G4887" s="18"/>
      <c r="H4887" s="18"/>
    </row>
    <row r="4888" spans="1:8" ht="13.2">
      <c r="A4888" s="15" t="s">
        <v>474</v>
      </c>
      <c r="B4888" s="29" t="s">
        <v>475</v>
      </c>
      <c r="C4888" s="33">
        <v>4</v>
      </c>
      <c r="D4888" s="18"/>
      <c r="E4888" s="24" t="s">
        <v>332</v>
      </c>
      <c r="F4888" s="17"/>
      <c r="G4888" s="18"/>
      <c r="H4888" s="18"/>
    </row>
    <row r="4889" spans="1:8" ht="13.2">
      <c r="A4889" s="15" t="s">
        <v>1742</v>
      </c>
      <c r="B4889" s="28" t="s">
        <v>1743</v>
      </c>
      <c r="C4889" s="24">
        <v>4</v>
      </c>
      <c r="D4889" s="18"/>
      <c r="E4889" s="17" t="s">
        <v>1734</v>
      </c>
      <c r="F4889" s="17"/>
      <c r="G4889" s="18"/>
      <c r="H4889" s="18"/>
    </row>
    <row r="4890" spans="1:8" ht="13.2">
      <c r="A4890" s="15" t="s">
        <v>1789</v>
      </c>
      <c r="B4890" s="28" t="s">
        <v>1790</v>
      </c>
      <c r="C4890" s="33">
        <v>4</v>
      </c>
      <c r="D4890" s="26" t="str">
        <f>HYPERLINK("https://github.com/mostafa-saad/MyCompetitiveProgramming/blob/master/UVA/UVA_10940.txt","Sol")</f>
        <v>Sol</v>
      </c>
      <c r="E4890" s="17" t="s">
        <v>1768</v>
      </c>
      <c r="F4890" s="17"/>
      <c r="G4890" s="18"/>
      <c r="H4890" s="18"/>
    </row>
    <row r="4891" spans="1:8" ht="13.2">
      <c r="A4891" s="15" t="s">
        <v>1890</v>
      </c>
      <c r="B4891" s="29" t="s">
        <v>1818</v>
      </c>
      <c r="C4891" s="33">
        <v>4</v>
      </c>
      <c r="D4891" s="18"/>
      <c r="E4891" s="17" t="s">
        <v>1819</v>
      </c>
      <c r="F4891" s="17"/>
      <c r="G4891" s="18"/>
      <c r="H4891" s="18"/>
    </row>
    <row r="4892" spans="1:8" ht="13.2">
      <c r="A4892" s="15" t="s">
        <v>1891</v>
      </c>
      <c r="B4892" s="29" t="s">
        <v>1818</v>
      </c>
      <c r="C4892" s="17">
        <v>4</v>
      </c>
      <c r="D4892" s="26" t="str">
        <f>HYPERLINK("https://github.com/ahmedcpbl/CompetitiveProgramming/blob/master/UVA/11088.cpp","Sol")</f>
        <v>Sol</v>
      </c>
      <c r="E4892" s="17" t="s">
        <v>1819</v>
      </c>
      <c r="F4892" s="17"/>
      <c r="G4892" s="18"/>
      <c r="H4892" s="18"/>
    </row>
    <row r="4893" spans="1:8" ht="13.2">
      <c r="A4893" s="15" t="s">
        <v>1892</v>
      </c>
      <c r="B4893" s="28" t="s">
        <v>1893</v>
      </c>
      <c r="C4893" s="24">
        <v>4</v>
      </c>
      <c r="D4893" s="26" t="str">
        <f>HYPERLINK("https://github.com/MohamedNabil97/CompetitiveProgramming/tree/master/SPOJ/TRSTAGE.cpp","Sol")</f>
        <v>Sol</v>
      </c>
      <c r="E4893" s="17" t="s">
        <v>1819</v>
      </c>
      <c r="F4893" s="17"/>
      <c r="G4893" s="18"/>
      <c r="H4893" s="18"/>
    </row>
    <row r="4894" spans="1:8" ht="13.2">
      <c r="A4894" s="15" t="s">
        <v>1894</v>
      </c>
      <c r="B4894" s="28" t="s">
        <v>1895</v>
      </c>
      <c r="C4894" s="17">
        <v>4</v>
      </c>
      <c r="D4894" s="26" t="str">
        <f>HYPERLINK("https://github.com/HosamEissa/Competitive-programming-/blob/master/ACM-ICPC%20Live%20Archive/5856.cpp","Sol")</f>
        <v>Sol</v>
      </c>
      <c r="E4894" s="24" t="s">
        <v>1819</v>
      </c>
      <c r="F4894" s="17"/>
      <c r="G4894" s="18"/>
      <c r="H4894" s="18"/>
    </row>
    <row r="4895" spans="1:8" ht="13.2">
      <c r="A4895" s="15" t="s">
        <v>1896</v>
      </c>
      <c r="B4895" s="30" t="s">
        <v>1897</v>
      </c>
      <c r="C4895" s="33">
        <v>4</v>
      </c>
      <c r="D4895" s="18"/>
      <c r="E4895" s="17" t="s">
        <v>1819</v>
      </c>
      <c r="F4895" s="17"/>
      <c r="G4895" s="18"/>
      <c r="H4895" s="18"/>
    </row>
    <row r="4896" spans="1:8" ht="13.2">
      <c r="A4896" s="15" t="s">
        <v>1898</v>
      </c>
      <c r="B4896" s="30" t="s">
        <v>1861</v>
      </c>
      <c r="C4896" s="24">
        <v>4</v>
      </c>
      <c r="D4896" s="18"/>
      <c r="E4896" s="17" t="s">
        <v>1819</v>
      </c>
      <c r="F4896" s="17"/>
      <c r="G4896" s="18"/>
      <c r="H4896" s="18"/>
    </row>
    <row r="4897" spans="1:8" ht="13.2">
      <c r="A4897" s="15" t="s">
        <v>1899</v>
      </c>
      <c r="B4897" s="18" t="s">
        <v>1900</v>
      </c>
      <c r="C4897" s="33">
        <v>4</v>
      </c>
      <c r="D4897" s="18"/>
      <c r="E4897" s="17" t="s">
        <v>1819</v>
      </c>
      <c r="F4897" s="17"/>
      <c r="G4897" s="18"/>
      <c r="H4897" s="18"/>
    </row>
    <row r="4898" spans="1:8" ht="13.2">
      <c r="A4898" s="19" t="str">
        <f>HYPERLINK("https://www.hackerrank.com/contests/101hack52/challenges/construct-the-array","HACKR construct-the-array")</f>
        <v>HACKR construct-the-array</v>
      </c>
      <c r="B4898" s="18" t="s">
        <v>1980</v>
      </c>
      <c r="C4898" s="17">
        <v>4</v>
      </c>
      <c r="D4898" s="18"/>
      <c r="E4898" s="17" t="s">
        <v>1909</v>
      </c>
      <c r="F4898" s="17"/>
      <c r="G4898" s="18"/>
      <c r="H4898" s="18"/>
    </row>
    <row r="4899" spans="1:8" ht="13.2">
      <c r="A4899" s="19" t="str">
        <f>HYPERLINK("https://uva.onlinejudge.org/index.php?option=com_onlinejudge&amp;Itemid=8&amp;page=show_problem&amp;problem=1139","UVA 10198")</f>
        <v>UVA 10198</v>
      </c>
      <c r="B4899" s="29" t="s">
        <v>1981</v>
      </c>
      <c r="C4899" s="17">
        <v>4</v>
      </c>
      <c r="D4899" s="18"/>
      <c r="E4899" s="17" t="s">
        <v>1909</v>
      </c>
      <c r="F4899" s="17"/>
      <c r="G4899" s="18"/>
      <c r="H4899" s="18"/>
    </row>
    <row r="4900" spans="1:8" ht="13.2">
      <c r="A4900" s="15" t="s">
        <v>1982</v>
      </c>
      <c r="B4900" s="30" t="s">
        <v>1983</v>
      </c>
      <c r="C4900" s="24">
        <v>4</v>
      </c>
      <c r="D4900" s="18"/>
      <c r="E4900" s="17" t="s">
        <v>1909</v>
      </c>
      <c r="F4900" s="17"/>
      <c r="G4900" s="18"/>
      <c r="H4900" s="18"/>
    </row>
    <row r="4901" spans="1:8" ht="13.2">
      <c r="A4901" s="15" t="s">
        <v>2013</v>
      </c>
      <c r="B4901" s="29" t="s">
        <v>2014</v>
      </c>
      <c r="C4901" s="24">
        <v>4</v>
      </c>
      <c r="D4901" s="18"/>
      <c r="E4901" s="24" t="s">
        <v>1989</v>
      </c>
      <c r="F4901" s="17"/>
      <c r="G4901" s="18"/>
      <c r="H4901" s="18"/>
    </row>
    <row r="4902" spans="1:8" ht="13.2">
      <c r="A4902" s="15" t="s">
        <v>2015</v>
      </c>
      <c r="B4902" s="29" t="s">
        <v>2016</v>
      </c>
      <c r="C4902" s="17">
        <v>4</v>
      </c>
      <c r="D4902" s="18"/>
      <c r="E4902" s="17" t="s">
        <v>1989</v>
      </c>
      <c r="F4902" s="17"/>
      <c r="G4902" s="18"/>
      <c r="H4902" s="18"/>
    </row>
    <row r="4903" spans="1:8" ht="13.2">
      <c r="A4903" s="19" t="str">
        <f>HYPERLINK("https://uva.onlinejudge.org/index.php?option=com_onlinejudge&amp;Itemid=8&amp;page=show_problem&amp;problem=3175","UVA 12024")</f>
        <v>UVA 12024</v>
      </c>
      <c r="B4903" s="29" t="s">
        <v>2025</v>
      </c>
      <c r="C4903" s="17">
        <v>4</v>
      </c>
      <c r="D4903" s="26" t="str">
        <f>HYPERLINK("https://github.com/mostafa-saad/MyCompetitiveProgramming/blob/master/UVA/UVA_12024.txt","Sol")</f>
        <v>Sol</v>
      </c>
      <c r="E4903" s="17" t="s">
        <v>2026</v>
      </c>
      <c r="F4903" s="17"/>
      <c r="G4903" s="18"/>
      <c r="H4903" s="18"/>
    </row>
    <row r="4904" spans="1:8" ht="13.2">
      <c r="A4904" s="15" t="s">
        <v>547</v>
      </c>
      <c r="B4904" s="35" t="s">
        <v>502</v>
      </c>
      <c r="C4904" s="17">
        <v>4</v>
      </c>
      <c r="D4904" s="18"/>
      <c r="E4904" s="17" t="s">
        <v>503</v>
      </c>
      <c r="F4904" s="17"/>
      <c r="G4904" s="18"/>
      <c r="H4904" s="18"/>
    </row>
    <row r="4905" spans="1:8" ht="13.2">
      <c r="A4905" s="15" t="s">
        <v>548</v>
      </c>
      <c r="B4905" s="28" t="s">
        <v>502</v>
      </c>
      <c r="C4905" s="24">
        <v>4</v>
      </c>
      <c r="D4905" s="18"/>
      <c r="E4905" s="17" t="s">
        <v>503</v>
      </c>
      <c r="F4905" s="17"/>
      <c r="G4905" s="18"/>
      <c r="H4905" s="18"/>
    </row>
    <row r="4906" spans="1:8" ht="13.2">
      <c r="A4906" s="15" t="s">
        <v>549</v>
      </c>
      <c r="B4906" s="28" t="s">
        <v>502</v>
      </c>
      <c r="C4906" s="24">
        <v>4</v>
      </c>
      <c r="D4906" s="18"/>
      <c r="E4906" s="17" t="s">
        <v>503</v>
      </c>
      <c r="F4906" s="17"/>
      <c r="G4906" s="18"/>
      <c r="H4906" s="18"/>
    </row>
    <row r="4907" spans="1:8" ht="13.2">
      <c r="A4907" s="15" t="s">
        <v>550</v>
      </c>
      <c r="B4907" s="30" t="s">
        <v>551</v>
      </c>
      <c r="C4907" s="17">
        <v>4</v>
      </c>
      <c r="D4907" s="18"/>
      <c r="E4907" s="17" t="s">
        <v>503</v>
      </c>
      <c r="F4907" s="17"/>
      <c r="G4907" s="18"/>
      <c r="H4907" s="18"/>
    </row>
    <row r="4908" spans="1:8" ht="13.2">
      <c r="A4908" s="15" t="s">
        <v>552</v>
      </c>
      <c r="B4908" s="28" t="s">
        <v>553</v>
      </c>
      <c r="C4908" s="24">
        <v>4</v>
      </c>
      <c r="D4908" s="18"/>
      <c r="E4908" s="17" t="s">
        <v>503</v>
      </c>
      <c r="F4908" s="17"/>
      <c r="G4908" s="18"/>
      <c r="H4908" s="18"/>
    </row>
    <row r="4909" spans="1:8" ht="13.2">
      <c r="A4909" s="15" t="s">
        <v>554</v>
      </c>
      <c r="B4909" s="34" t="s">
        <v>540</v>
      </c>
      <c r="C4909" s="17">
        <v>4</v>
      </c>
      <c r="D4909" s="18"/>
      <c r="E4909" s="17" t="s">
        <v>503</v>
      </c>
      <c r="F4909" s="17"/>
      <c r="G4909" s="18"/>
      <c r="H4909" s="18"/>
    </row>
    <row r="4910" spans="1:8" ht="13.2">
      <c r="A4910" s="15" t="s">
        <v>555</v>
      </c>
      <c r="B4910" s="28" t="s">
        <v>556</v>
      </c>
      <c r="C4910" s="24">
        <v>4</v>
      </c>
      <c r="D4910" s="26" t="str">
        <f>HYPERLINK("https://github.com/Huvok/CompetitiveProgramming/blob/master/UVA/326.cpp", "Sol")</f>
        <v>Sol</v>
      </c>
      <c r="E4910" s="17" t="s">
        <v>503</v>
      </c>
      <c r="F4910" s="17"/>
      <c r="G4910" s="18"/>
      <c r="H4910" s="18"/>
    </row>
    <row r="4911" spans="1:8" ht="13.2">
      <c r="A4911" s="15" t="s">
        <v>557</v>
      </c>
      <c r="B4911" s="28" t="s">
        <v>558</v>
      </c>
      <c r="C4911" s="24">
        <v>4</v>
      </c>
      <c r="D4911" s="18"/>
      <c r="E4911" s="17" t="s">
        <v>503</v>
      </c>
      <c r="F4911" s="17"/>
      <c r="G4911" s="18"/>
      <c r="H4911" s="18"/>
    </row>
    <row r="4912" spans="1:8" ht="13.2">
      <c r="A4912" s="19" t="str">
        <f>HYPERLINK("https://community.topcoder.com/stat?c=problem_statement&amp;pm=10988","TC(BANKLOTTERY)")</f>
        <v>TC(BANKLOTTERY)</v>
      </c>
      <c r="B4912" s="28" t="s">
        <v>2109</v>
      </c>
      <c r="C4912" s="24">
        <v>4</v>
      </c>
      <c r="D4912" s="18"/>
      <c r="E4912" s="17" t="s">
        <v>2074</v>
      </c>
      <c r="F4912" s="17"/>
      <c r="G4912" s="18"/>
      <c r="H4912" s="18"/>
    </row>
    <row r="4913" spans="1:8" ht="13.2">
      <c r="A4913" s="15" t="s">
        <v>2149</v>
      </c>
      <c r="B4913" s="29" t="s">
        <v>2112</v>
      </c>
      <c r="C4913" s="33">
        <v>4</v>
      </c>
      <c r="D4913" s="18"/>
      <c r="E4913" s="17" t="s">
        <v>2113</v>
      </c>
      <c r="F4913" s="17"/>
      <c r="G4913" s="18"/>
      <c r="H4913" s="18"/>
    </row>
    <row r="4914" spans="1:8" ht="13.2">
      <c r="A4914" s="19" t="str">
        <f>HYPERLINK("http://codeforces.com/contest/103/problem/C","CF103-D1-C")</f>
        <v>CF103-D1-C</v>
      </c>
      <c r="B4914" s="15" t="s">
        <v>2163</v>
      </c>
      <c r="C4914" s="33">
        <v>4</v>
      </c>
      <c r="D4914" s="18"/>
      <c r="E4914" s="17" t="s">
        <v>2153</v>
      </c>
      <c r="F4914" s="17"/>
      <c r="G4914" s="18"/>
      <c r="H4914" s="18"/>
    </row>
    <row r="4915" spans="1:8" ht="13.2">
      <c r="A4915" s="19" t="str">
        <f>HYPERLINK("http://codeforces.com/contest/116/problem/D","CF116-D2-D")</f>
        <v>CF116-D2-D</v>
      </c>
      <c r="B4915" s="18" t="s">
        <v>2163</v>
      </c>
      <c r="C4915" s="17">
        <v>4</v>
      </c>
      <c r="D4915" s="18"/>
      <c r="E4915" s="17" t="s">
        <v>2153</v>
      </c>
      <c r="F4915" s="17"/>
      <c r="G4915" s="18"/>
      <c r="H4915" s="18"/>
    </row>
    <row r="4916" spans="1:8" ht="13.2">
      <c r="A4916" s="19" t="str">
        <f>HYPERLINK("https://codeforces.com/contest/1180/problem/D","CF1180-D2-D")</f>
        <v>CF1180-D2-D</v>
      </c>
      <c r="B4916" s="15" t="s">
        <v>2163</v>
      </c>
      <c r="C4916" s="17">
        <v>4</v>
      </c>
      <c r="D4916" s="18"/>
      <c r="E4916" s="17" t="s">
        <v>2153</v>
      </c>
      <c r="F4916" s="17"/>
      <c r="G4916" s="18"/>
      <c r="H4916" s="18"/>
    </row>
    <row r="4917" spans="1:8" ht="13.2">
      <c r="A4917" s="19" t="str">
        <f>HYPERLINK("http://codeforces.com/contest/216/problem/C","CF216-D2-C")</f>
        <v>CF216-D2-C</v>
      </c>
      <c r="B4917" s="29" t="s">
        <v>2163</v>
      </c>
      <c r="C4917" s="17">
        <v>4</v>
      </c>
      <c r="D4917" s="18"/>
      <c r="E4917" s="17" t="s">
        <v>2153</v>
      </c>
      <c r="F4917" s="17"/>
      <c r="G4917" s="18"/>
      <c r="H4917" s="18"/>
    </row>
    <row r="4918" spans="1:8" ht="13.2">
      <c r="A4918" s="19" t="str">
        <f>HYPERLINK("http://codeforces.com/contest/240/problem/D","CF240-D1-D")</f>
        <v>CF240-D1-D</v>
      </c>
      <c r="B4918" s="29" t="s">
        <v>2163</v>
      </c>
      <c r="C4918" s="17">
        <v>4</v>
      </c>
      <c r="D4918" s="18"/>
      <c r="E4918" s="17" t="s">
        <v>2153</v>
      </c>
      <c r="F4918" s="17"/>
      <c r="G4918" s="18"/>
      <c r="H4918" s="18"/>
    </row>
    <row r="4919" spans="1:8" ht="13.2">
      <c r="A4919" s="19" t="str">
        <f>HYPERLINK("http://codeforces.com/contest/545/problem/D","CF545-D2-D")</f>
        <v>CF545-D2-D</v>
      </c>
      <c r="B4919" s="18" t="s">
        <v>2163</v>
      </c>
      <c r="C4919" s="17">
        <v>4</v>
      </c>
      <c r="D4919" s="18"/>
      <c r="E4919" s="17" t="s">
        <v>2153</v>
      </c>
      <c r="F4919" s="17"/>
      <c r="G4919" s="18"/>
      <c r="H4919" s="18"/>
    </row>
    <row r="4920" spans="1:8" ht="13.2">
      <c r="A4920" s="19" t="str">
        <f>HYPERLINK("http://codeforces.com/contest/81/problem/D","CF81-D12-D")</f>
        <v>CF81-D12-D</v>
      </c>
      <c r="B4920" s="29" t="s">
        <v>2163</v>
      </c>
      <c r="C4920" s="17">
        <v>4</v>
      </c>
      <c r="D4920" s="18"/>
      <c r="E4920" s="17" t="s">
        <v>2153</v>
      </c>
      <c r="F4920" s="17"/>
      <c r="G4920" s="18"/>
      <c r="H4920" s="18"/>
    </row>
    <row r="4921" spans="1:8" ht="13.2">
      <c r="A4921" s="19" t="str">
        <f>HYPERLINK("http://codeforces.com/contest/920/problem/C","CF920-D2-C")</f>
        <v>CF920-D2-C</v>
      </c>
      <c r="B4921" s="18" t="s">
        <v>2163</v>
      </c>
      <c r="C4921" s="17">
        <v>4</v>
      </c>
      <c r="D4921" s="18"/>
      <c r="E4921" s="17" t="s">
        <v>2153</v>
      </c>
      <c r="F4921" s="17"/>
      <c r="G4921" s="18"/>
      <c r="H4921" s="18"/>
    </row>
    <row r="4922" spans="1:8" ht="13.2">
      <c r="A4922" s="19" t="str">
        <f>HYPERLINK("http://codeforces.com/contest/980/problem/C","CF980-D2-C")</f>
        <v>CF980-D2-C</v>
      </c>
      <c r="B4922" s="15" t="s">
        <v>2163</v>
      </c>
      <c r="C4922" s="17">
        <v>4</v>
      </c>
      <c r="D4922" s="18"/>
      <c r="E4922" s="17" t="s">
        <v>2153</v>
      </c>
      <c r="F4922" s="17"/>
      <c r="G4922" s="18"/>
      <c r="H4922" s="18"/>
    </row>
    <row r="4923" spans="1:8" ht="13.2">
      <c r="A4923" s="15" t="s">
        <v>2364</v>
      </c>
      <c r="B4923" s="16" t="s">
        <v>2163</v>
      </c>
      <c r="C4923" s="33">
        <v>4</v>
      </c>
      <c r="D4923" s="18"/>
      <c r="E4923" s="17" t="s">
        <v>2153</v>
      </c>
      <c r="F4923" s="17"/>
      <c r="G4923" s="18"/>
      <c r="H4923" s="18"/>
    </row>
    <row r="4924" spans="1:8" ht="13.2">
      <c r="A4924" s="15" t="s">
        <v>2365</v>
      </c>
      <c r="B4924" s="34" t="s">
        <v>2163</v>
      </c>
      <c r="C4924" s="33">
        <v>4</v>
      </c>
      <c r="D4924" s="18"/>
      <c r="E4924" s="17" t="s">
        <v>2153</v>
      </c>
      <c r="F4924" s="17"/>
      <c r="G4924" s="18"/>
      <c r="H4924" s="18"/>
    </row>
    <row r="4925" spans="1:8" ht="13.2">
      <c r="A4925" s="15" t="s">
        <v>2366</v>
      </c>
      <c r="B4925" s="29" t="s">
        <v>2163</v>
      </c>
      <c r="C4925" s="17">
        <v>4</v>
      </c>
      <c r="D4925" s="18"/>
      <c r="E4925" s="17" t="s">
        <v>2153</v>
      </c>
      <c r="F4925" s="17"/>
      <c r="G4925" s="18"/>
      <c r="H4925" s="18"/>
    </row>
    <row r="4926" spans="1:8" ht="13.2">
      <c r="A4926" s="19" t="str">
        <f>HYPERLINK("http://codeforces.com/contest/754/problem/C","CF754-D2-C")</f>
        <v>CF754-D2-C</v>
      </c>
      <c r="B4926" s="18" t="s">
        <v>2281</v>
      </c>
      <c r="C4926" s="17">
        <v>4</v>
      </c>
      <c r="D4926" s="18"/>
      <c r="E4926" s="17" t="s">
        <v>2153</v>
      </c>
      <c r="F4926" s="17"/>
      <c r="G4926" s="18"/>
      <c r="H4926" s="18"/>
    </row>
    <row r="4927" spans="1:8" ht="13.2">
      <c r="A4927" s="15" t="s">
        <v>2367</v>
      </c>
      <c r="B4927" s="29" t="s">
        <v>2368</v>
      </c>
      <c r="C4927" s="33">
        <v>4</v>
      </c>
      <c r="D4927" s="18"/>
      <c r="E4927" s="17" t="s">
        <v>2153</v>
      </c>
      <c r="F4927" s="17"/>
      <c r="G4927" s="18"/>
      <c r="H4927" s="18"/>
    </row>
    <row r="4928" spans="1:8" ht="13.2">
      <c r="A4928" s="19" t="str">
        <f>HYPERLINK("http://codeforces.com/contest/909/problem/E","CF909-D2-E")</f>
        <v>CF909-D2-E</v>
      </c>
      <c r="B4928" s="18" t="s">
        <v>2369</v>
      </c>
      <c r="C4928" s="33">
        <v>4</v>
      </c>
      <c r="D4928" s="18"/>
      <c r="E4928" s="17" t="s">
        <v>2153</v>
      </c>
      <c r="F4928" s="17"/>
      <c r="G4928" s="18"/>
      <c r="H4928" s="18"/>
    </row>
    <row r="4929" spans="1:8" ht="13.2">
      <c r="A4929" s="19" t="str">
        <f>HYPERLINK("http://codeforces.com/contest/370/problem/C","CF370-D2-C")</f>
        <v>CF370-D2-C</v>
      </c>
      <c r="B4929" s="18" t="s">
        <v>2203</v>
      </c>
      <c r="C4929" s="17">
        <v>4</v>
      </c>
      <c r="D4929" s="18"/>
      <c r="E4929" s="17" t="s">
        <v>2153</v>
      </c>
      <c r="F4929" s="17"/>
      <c r="G4929" s="18"/>
      <c r="H4929" s="18"/>
    </row>
    <row r="4930" spans="1:8" ht="13.2">
      <c r="A4930" s="19" t="str">
        <f>HYPERLINK("http://codeforces.com/contest/401/problem/C","CF401-D2-C")</f>
        <v>CF401-D2-C</v>
      </c>
      <c r="B4930" s="29" t="s">
        <v>2203</v>
      </c>
      <c r="C4930" s="17">
        <v>4</v>
      </c>
      <c r="D4930" s="18"/>
      <c r="E4930" s="17" t="s">
        <v>2153</v>
      </c>
      <c r="F4930" s="17"/>
      <c r="G4930" s="18"/>
      <c r="H4930" s="18"/>
    </row>
    <row r="4931" spans="1:8" ht="13.2">
      <c r="A4931" s="15" t="s">
        <v>2370</v>
      </c>
      <c r="B4931" s="38" t="s">
        <v>2371</v>
      </c>
      <c r="C4931" s="17">
        <v>4</v>
      </c>
      <c r="D4931" s="26" t="str">
        <f>HYPERLINK("https://github.com/ilyesG/Competitive-Programming/blob/master/UVA/UVA%201623.cpp","Sol")</f>
        <v>Sol</v>
      </c>
      <c r="E4931" s="17" t="s">
        <v>2153</v>
      </c>
      <c r="F4931" s="17"/>
      <c r="G4931" s="18"/>
      <c r="H4931" s="18"/>
    </row>
    <row r="4932" spans="1:8" ht="13.2">
      <c r="A4932" s="19" t="str">
        <f>HYPERLINK("http://codeforces.com/contest/59/problem/D","CF59-D2-D")</f>
        <v>CF59-D2-D</v>
      </c>
      <c r="B4932" s="29" t="s">
        <v>2372</v>
      </c>
      <c r="C4932" s="24">
        <v>4</v>
      </c>
      <c r="D4932" s="18"/>
      <c r="E4932" s="17" t="s">
        <v>2153</v>
      </c>
      <c r="F4932" s="17"/>
      <c r="G4932" s="18"/>
      <c r="H4932" s="18"/>
    </row>
    <row r="4933" spans="1:8" ht="13.2">
      <c r="A4933" s="19" t="str">
        <f>HYPERLINK("http://codeforces.com/contest/166/problem/C","CF166-D2-C")</f>
        <v>CF166-D2-C</v>
      </c>
      <c r="B4933" s="18" t="s">
        <v>2200</v>
      </c>
      <c r="C4933" s="17">
        <v>4</v>
      </c>
      <c r="D4933" s="18"/>
      <c r="E4933" s="17" t="s">
        <v>2153</v>
      </c>
      <c r="F4933" s="17"/>
      <c r="G4933" s="18"/>
      <c r="H4933" s="18"/>
    </row>
    <row r="4934" spans="1:8" ht="13.2">
      <c r="A4934" s="19" t="str">
        <f>HYPERLINK("http://codeforces.com/contest/515/problem/C","CF515-D2-C")</f>
        <v>CF515-D2-C</v>
      </c>
      <c r="B4934" s="29" t="s">
        <v>2200</v>
      </c>
      <c r="C4934" s="17">
        <v>4</v>
      </c>
      <c r="D4934" s="18"/>
      <c r="E4934" s="17" t="s">
        <v>2153</v>
      </c>
      <c r="F4934" s="17"/>
      <c r="G4934" s="18"/>
      <c r="H4934" s="18"/>
    </row>
    <row r="4935" spans="1:8" ht="13.2">
      <c r="A4935" s="15" t="s">
        <v>2373</v>
      </c>
      <c r="B4935" s="29" t="s">
        <v>2374</v>
      </c>
      <c r="C4935" s="24">
        <v>4</v>
      </c>
      <c r="D4935" s="18"/>
      <c r="E4935" s="17" t="s">
        <v>2153</v>
      </c>
      <c r="F4935" s="17"/>
      <c r="G4935" s="18"/>
      <c r="H4935" s="18"/>
    </row>
    <row r="4936" spans="1:8" ht="13.2">
      <c r="A4936" s="15" t="s">
        <v>2375</v>
      </c>
      <c r="B4936" s="16" t="s">
        <v>2313</v>
      </c>
      <c r="C4936" s="31">
        <v>4</v>
      </c>
      <c r="D4936" s="18"/>
      <c r="E4936" s="17" t="s">
        <v>2153</v>
      </c>
      <c r="F4936" s="17"/>
      <c r="G4936" s="18"/>
      <c r="H4936" s="18"/>
    </row>
    <row r="4937" spans="1:8" ht="13.2">
      <c r="A4937" s="15" t="s">
        <v>2376</v>
      </c>
      <c r="B4937" s="34" t="s">
        <v>2377</v>
      </c>
      <c r="C4937" s="31">
        <v>4</v>
      </c>
      <c r="D4937" s="18"/>
      <c r="E4937" s="17" t="s">
        <v>2153</v>
      </c>
      <c r="F4937" s="17"/>
      <c r="G4937" s="18"/>
      <c r="H4937" s="18"/>
    </row>
    <row r="4938" spans="1:8" ht="13.2">
      <c r="A4938" s="19" t="str">
        <f>HYPERLINK("http://codeforces.com/contest/137/problem/C","CF137-D2-C")</f>
        <v>CF137-D2-C</v>
      </c>
      <c r="B4938" s="18" t="s">
        <v>2248</v>
      </c>
      <c r="C4938" s="17">
        <v>4</v>
      </c>
      <c r="D4938" s="18"/>
      <c r="E4938" s="17" t="s">
        <v>2153</v>
      </c>
      <c r="F4938" s="17"/>
      <c r="G4938" s="18"/>
      <c r="H4938" s="18"/>
    </row>
    <row r="4939" spans="1:8" ht="13.2">
      <c r="A4939" s="19" t="str">
        <f>HYPERLINK("http://codeforces.com/contest/432/problem/C","CF432-D2-C")</f>
        <v>CF432-D2-C</v>
      </c>
      <c r="B4939" s="18" t="s">
        <v>2248</v>
      </c>
      <c r="C4939" s="17">
        <v>4</v>
      </c>
      <c r="D4939" s="18"/>
      <c r="E4939" s="17" t="s">
        <v>2153</v>
      </c>
      <c r="F4939" s="17"/>
      <c r="G4939" s="18"/>
      <c r="H4939" s="18"/>
    </row>
    <row r="4940" spans="1:8" ht="13.2">
      <c r="A4940" s="19" t="str">
        <f>HYPERLINK("http://codeforces.com/contest/492/problem/C","CF492-D2-C")</f>
        <v>CF492-D2-C</v>
      </c>
      <c r="B4940" s="18" t="s">
        <v>2248</v>
      </c>
      <c r="C4940" s="17">
        <v>4</v>
      </c>
      <c r="D4940" s="18"/>
      <c r="E4940" s="17" t="s">
        <v>2153</v>
      </c>
      <c r="F4940" s="17"/>
      <c r="G4940" s="18"/>
      <c r="H4940" s="18"/>
    </row>
    <row r="4941" spans="1:8" ht="13.2">
      <c r="A4941" s="15" t="s">
        <v>2378</v>
      </c>
      <c r="B4941" s="15" t="s">
        <v>2379</v>
      </c>
      <c r="C4941" s="24">
        <v>4</v>
      </c>
      <c r="D4941" s="18"/>
      <c r="E4941" s="17" t="s">
        <v>2153</v>
      </c>
      <c r="F4941" s="17"/>
      <c r="G4941" s="18"/>
      <c r="H4941" s="18"/>
    </row>
    <row r="4942" spans="1:8" ht="13.2">
      <c r="A4942" s="15" t="s">
        <v>2380</v>
      </c>
      <c r="B4942" s="34" t="s">
        <v>2171</v>
      </c>
      <c r="C4942" s="17">
        <v>4</v>
      </c>
      <c r="D4942" s="18"/>
      <c r="E4942" s="17" t="s">
        <v>2153</v>
      </c>
      <c r="F4942" s="17"/>
      <c r="G4942" s="18"/>
      <c r="H4942" s="18"/>
    </row>
    <row r="4943" spans="1:8" ht="13.2">
      <c r="A4943" s="19" t="str">
        <f>HYPERLINK("http://codeforces.com/problemset/gymProblem/101498/I","CF101489-GYM-I")</f>
        <v>CF101489-GYM-I</v>
      </c>
      <c r="B4943" s="15" t="s">
        <v>2400</v>
      </c>
      <c r="C4943" s="33">
        <v>4</v>
      </c>
      <c r="D4943" s="26" t="str">
        <f>HYPERLINK("https://github.com/MedoN11/CompetitiveProgramming/blob/master/CodeForces/GYM/CF10149-GYM-I.cpp","Sol")</f>
        <v>Sol</v>
      </c>
      <c r="E4943" s="17" t="s">
        <v>2394</v>
      </c>
      <c r="F4943" s="17"/>
      <c r="G4943" s="18"/>
      <c r="H4943" s="18"/>
    </row>
    <row r="4944" spans="1:8" ht="13.2">
      <c r="A4944" s="19" t="str">
        <f>HYPERLINK("http://codeforces.com/gym/100500/attachments","CF100500-GYM-A")</f>
        <v>CF100500-GYM-A</v>
      </c>
      <c r="B4944" s="15" t="s">
        <v>2415</v>
      </c>
      <c r="C4944" s="17">
        <v>4</v>
      </c>
      <c r="D4944" s="18"/>
      <c r="E4944" s="17" t="s">
        <v>2394</v>
      </c>
      <c r="F4944" s="17"/>
      <c r="G4944" s="18"/>
      <c r="H4944" s="18"/>
    </row>
    <row r="4945" spans="1:8" ht="13.2">
      <c r="A4945" s="19" t="str">
        <f>HYPERLINK("https://www.codechef.com/problems/QCJ6","CODECHEF QCJ6")</f>
        <v>CODECHEF QCJ6</v>
      </c>
      <c r="B4945" s="28" t="s">
        <v>2441</v>
      </c>
      <c r="C4945" s="24">
        <v>4</v>
      </c>
      <c r="D4945" s="18"/>
      <c r="E4945" s="17" t="s">
        <v>2442</v>
      </c>
      <c r="F4945" s="17"/>
      <c r="G4945" s="18"/>
      <c r="H4945" s="18"/>
    </row>
    <row r="4946" spans="1:8" ht="13.2">
      <c r="A4946" s="19" t="str">
        <f>HYPERLINK("http://codeforces.com/contest/768/problem/E","CF768-D12-E")</f>
        <v>CF768-D12-E</v>
      </c>
      <c r="B4946" s="28" t="s">
        <v>2499</v>
      </c>
      <c r="C4946" s="24">
        <v>4</v>
      </c>
      <c r="D4946" s="18"/>
      <c r="E4946" s="17" t="s">
        <v>2467</v>
      </c>
      <c r="F4946" s="17"/>
      <c r="G4946" s="18"/>
      <c r="H4946" s="18"/>
    </row>
    <row r="4947" spans="1:8" ht="13.2">
      <c r="A4947" s="15" t="s">
        <v>2500</v>
      </c>
      <c r="B4947" s="28" t="s">
        <v>2501</v>
      </c>
      <c r="C4947" s="24">
        <v>4</v>
      </c>
      <c r="D4947" s="18"/>
      <c r="E4947" s="17" t="s">
        <v>2467</v>
      </c>
      <c r="F4947" s="17"/>
      <c r="G4947" s="18"/>
      <c r="H4947" s="18"/>
    </row>
    <row r="4948" spans="1:8" ht="13.2">
      <c r="A4948" s="15" t="s">
        <v>2725</v>
      </c>
      <c r="B4948" s="15" t="s">
        <v>2509</v>
      </c>
      <c r="C4948" s="33">
        <v>4</v>
      </c>
      <c r="D4948" s="18"/>
      <c r="E4948" s="17" t="s">
        <v>2510</v>
      </c>
      <c r="F4948" s="17"/>
      <c r="G4948" s="18"/>
      <c r="H4948" s="18"/>
    </row>
    <row r="4949" spans="1:8" ht="13.2">
      <c r="A4949" s="15" t="s">
        <v>2726</v>
      </c>
      <c r="B4949" s="15" t="s">
        <v>2509</v>
      </c>
      <c r="C4949" s="17">
        <v>4</v>
      </c>
      <c r="D4949" s="26" t="str">
        <f>HYPERLINK("https://ideone.com/RV8bWJ","Sol")</f>
        <v>Sol</v>
      </c>
      <c r="E4949" s="17" t="s">
        <v>2510</v>
      </c>
      <c r="F4949" s="17"/>
      <c r="G4949" s="18"/>
      <c r="H4949" s="18"/>
    </row>
    <row r="4950" spans="1:8" ht="13.2">
      <c r="A4950" s="19" t="str">
        <f>HYPERLINK("http://codeforces.com/contest/275/problem/C","CF275-D2-C")</f>
        <v>CF275-D2-C</v>
      </c>
      <c r="B4950" s="29" t="s">
        <v>2509</v>
      </c>
      <c r="C4950" s="17">
        <v>4</v>
      </c>
      <c r="D4950" s="18"/>
      <c r="E4950" s="17" t="s">
        <v>2510</v>
      </c>
      <c r="F4950" s="17"/>
      <c r="G4950" s="18"/>
      <c r="H4950" s="18"/>
    </row>
    <row r="4951" spans="1:8" ht="13.2">
      <c r="A4951" s="19" t="str">
        <f>HYPERLINK("http://codeforces.com/contest/336/problem/B","CF336-D2-B")</f>
        <v>CF336-D2-B</v>
      </c>
      <c r="B4951" s="15" t="s">
        <v>2509</v>
      </c>
      <c r="C4951" s="17">
        <v>4</v>
      </c>
      <c r="D4951" s="18"/>
      <c r="E4951" s="17" t="s">
        <v>2510</v>
      </c>
      <c r="F4951" s="17"/>
      <c r="G4951" s="18"/>
      <c r="H4951" s="18"/>
    </row>
    <row r="4952" spans="1:8" ht="13.2">
      <c r="A4952" s="19" t="str">
        <f>HYPERLINK("http://codeforces.com/contest/409/problem/B","CF409-D1-B")</f>
        <v>CF409-D1-B</v>
      </c>
      <c r="B4952" s="15" t="s">
        <v>2509</v>
      </c>
      <c r="C4952" s="17">
        <v>4</v>
      </c>
      <c r="D4952" s="18"/>
      <c r="E4952" s="17" t="s">
        <v>2510</v>
      </c>
      <c r="F4952" s="17"/>
      <c r="G4952" s="18"/>
      <c r="H4952" s="18"/>
    </row>
    <row r="4953" spans="1:8" ht="13.2">
      <c r="A4953" s="15" t="s">
        <v>2727</v>
      </c>
      <c r="B4953" s="15" t="s">
        <v>2509</v>
      </c>
      <c r="C4953" s="33">
        <v>4</v>
      </c>
      <c r="D4953" s="18"/>
      <c r="E4953" s="17" t="s">
        <v>2510</v>
      </c>
      <c r="F4953" s="17"/>
      <c r="G4953" s="18"/>
      <c r="H4953" s="18"/>
    </row>
    <row r="4954" spans="1:8" ht="13.2">
      <c r="A4954" s="15" t="s">
        <v>2728</v>
      </c>
      <c r="B4954" s="15" t="s">
        <v>2509</v>
      </c>
      <c r="C4954" s="17">
        <v>4</v>
      </c>
      <c r="D4954" s="18"/>
      <c r="E4954" s="17" t="s">
        <v>2510</v>
      </c>
      <c r="F4954" s="17"/>
      <c r="G4954" s="18"/>
      <c r="H4954" s="18"/>
    </row>
    <row r="4955" spans="1:8" ht="13.2">
      <c r="A4955" s="15" t="s">
        <v>2729</v>
      </c>
      <c r="B4955" s="15" t="s">
        <v>2509</v>
      </c>
      <c r="C4955" s="24">
        <v>4</v>
      </c>
      <c r="D4955" s="18"/>
      <c r="E4955" s="17" t="s">
        <v>2510</v>
      </c>
      <c r="F4955" s="17"/>
      <c r="G4955" s="18"/>
      <c r="H4955" s="18"/>
    </row>
    <row r="4956" spans="1:8" ht="13.2">
      <c r="A4956" s="15" t="s">
        <v>2730</v>
      </c>
      <c r="B4956" s="15" t="s">
        <v>2731</v>
      </c>
      <c r="C4956" s="24">
        <v>4</v>
      </c>
      <c r="D4956" s="26" t="str">
        <f>HYPERLINK("https://github.com/MeGaCrazy/CompetitiveProgramming/blob/master/UVA/UVA_815.cpp","Sol with a problem Summary")</f>
        <v>Sol with a problem Summary</v>
      </c>
      <c r="E4956" s="17" t="s">
        <v>2510</v>
      </c>
      <c r="F4956" s="17"/>
      <c r="G4956" s="18"/>
      <c r="H4956" s="18"/>
    </row>
    <row r="4957" spans="1:8" ht="13.2">
      <c r="A4957" s="19" t="str">
        <f>HYPERLINK("http://codeforces.com/contest/407/problem/A","CF407-D1-A")</f>
        <v>CF407-D1-A</v>
      </c>
      <c r="B4957" s="15" t="s">
        <v>2732</v>
      </c>
      <c r="C4957" s="24">
        <v>4</v>
      </c>
      <c r="D4957" s="18"/>
      <c r="E4957" s="17" t="s">
        <v>2510</v>
      </c>
      <c r="F4957" s="17"/>
      <c r="G4957" s="18"/>
      <c r="H4957" s="18"/>
    </row>
    <row r="4958" spans="1:8" ht="13.2">
      <c r="A4958" s="19" t="str">
        <f>HYPERLINK("http://codeforces.com/contest/257/problem/C","CF257-D2-C")</f>
        <v>CF257-D2-C</v>
      </c>
      <c r="B4958" s="29" t="s">
        <v>2561</v>
      </c>
      <c r="C4958" s="17">
        <v>4</v>
      </c>
      <c r="D4958" s="18"/>
      <c r="E4958" s="17" t="s">
        <v>2510</v>
      </c>
      <c r="F4958" s="17"/>
      <c r="G4958" s="18"/>
      <c r="H4958" s="18"/>
    </row>
    <row r="4959" spans="1:8" ht="13.2">
      <c r="A4959" s="15" t="s">
        <v>2733</v>
      </c>
      <c r="B4959" s="15" t="s">
        <v>2734</v>
      </c>
      <c r="C4959" s="17">
        <v>4</v>
      </c>
      <c r="D4959" s="26" t="str">
        <f>HYPERLINK("https://github.com/MohamedNabil97/CompetitiveProgramming/blob/master/UVA/10991.cpp","Sol")</f>
        <v>Sol</v>
      </c>
      <c r="E4959" s="17" t="s">
        <v>2510</v>
      </c>
      <c r="F4959" s="17"/>
      <c r="G4959" s="18"/>
      <c r="H4959" s="18"/>
    </row>
    <row r="4960" spans="1:8" ht="13.2">
      <c r="A4960" s="15" t="s">
        <v>2735</v>
      </c>
      <c r="B4960" s="42" t="s">
        <v>2736</v>
      </c>
      <c r="C4960" s="17">
        <v>4</v>
      </c>
      <c r="D4960" s="18"/>
      <c r="E4960" s="17" t="s">
        <v>2510</v>
      </c>
      <c r="F4960" s="17"/>
      <c r="G4960" s="18"/>
      <c r="H4960" s="18"/>
    </row>
    <row r="4961" spans="1:8" ht="13.2">
      <c r="A4961" s="15" t="s">
        <v>2737</v>
      </c>
      <c r="B4961" s="15" t="s">
        <v>2738</v>
      </c>
      <c r="C4961" s="33">
        <v>4</v>
      </c>
      <c r="D4961" s="26" t="str">
        <f>HYPERLINK("https://github.com/mostafa-saad/MyCompetitiveProgramming/blob/master/UVA/UVA_11519.txt","Sol")</f>
        <v>Sol</v>
      </c>
      <c r="E4961" s="17" t="s">
        <v>2510</v>
      </c>
      <c r="F4961" s="17"/>
      <c r="G4961" s="18"/>
      <c r="H4961" s="18"/>
    </row>
    <row r="4962" spans="1:8" ht="13.2">
      <c r="A4962" s="19" t="str">
        <f>HYPERLINK("http://codeforces.com/contest/14/problem/C","CF14-D2-C")</f>
        <v>CF14-D2-C</v>
      </c>
      <c r="B4962" s="18" t="s">
        <v>2739</v>
      </c>
      <c r="C4962" s="17">
        <v>4</v>
      </c>
      <c r="D4962" s="18"/>
      <c r="E4962" s="17" t="s">
        <v>2510</v>
      </c>
      <c r="F4962" s="17"/>
      <c r="G4962" s="18"/>
      <c r="H4962" s="18"/>
    </row>
    <row r="4963" spans="1:8" ht="13.2">
      <c r="A4963" s="19" t="str">
        <f>HYPERLINK("http://codeforces.com/contest/590/problem/B","CF590-D1-B")</f>
        <v>CF590-D1-B</v>
      </c>
      <c r="B4963" s="15" t="s">
        <v>2740</v>
      </c>
      <c r="C4963" s="17">
        <v>4</v>
      </c>
      <c r="D4963" s="18"/>
      <c r="E4963" s="17" t="s">
        <v>2510</v>
      </c>
      <c r="F4963" s="17"/>
      <c r="G4963" s="18"/>
      <c r="H4963" s="18"/>
    </row>
    <row r="4964" spans="1:8" ht="13.2">
      <c r="A4964" s="15" t="s">
        <v>2741</v>
      </c>
      <c r="B4964" s="29" t="s">
        <v>2742</v>
      </c>
      <c r="C4964" s="17">
        <v>4</v>
      </c>
      <c r="D4964" s="18"/>
      <c r="E4964" s="17" t="s">
        <v>2510</v>
      </c>
      <c r="F4964" s="17"/>
      <c r="G4964" s="18"/>
      <c r="H4964" s="18"/>
    </row>
    <row r="4965" spans="1:8" ht="13.2">
      <c r="A4965" s="19" t="str">
        <f>HYPERLINK("http://codeforces.com/contest/651/problem/C","CF651-D2-C")</f>
        <v>CF651-D2-C</v>
      </c>
      <c r="B4965" s="29" t="s">
        <v>2743</v>
      </c>
      <c r="C4965" s="17">
        <v>4</v>
      </c>
      <c r="D4965" s="18"/>
      <c r="E4965" s="17" t="s">
        <v>2510</v>
      </c>
      <c r="F4965" s="17"/>
      <c r="G4965" s="18"/>
      <c r="H4965" s="18"/>
    </row>
    <row r="4966" spans="1:8" ht="13.2">
      <c r="A4966" s="15" t="s">
        <v>2744</v>
      </c>
      <c r="B4966" s="29" t="s">
        <v>2745</v>
      </c>
      <c r="C4966" s="24">
        <v>4</v>
      </c>
      <c r="D4966" s="18"/>
      <c r="E4966" s="17" t="s">
        <v>2510</v>
      </c>
      <c r="F4966" s="17"/>
      <c r="G4966" s="18"/>
      <c r="H4966" s="18"/>
    </row>
    <row r="4967" spans="1:8" ht="13.2">
      <c r="A4967" s="15" t="s">
        <v>2746</v>
      </c>
      <c r="B4967" s="29" t="s">
        <v>2747</v>
      </c>
      <c r="C4967" s="17">
        <v>4</v>
      </c>
      <c r="D4967" s="26" t="str">
        <f>HYPERLINK("https://github.com/mostafa-saad/MyCompetitiveProgramming/blob/master/Misc/GreatCircle.txt","Read ME first")</f>
        <v>Read ME first</v>
      </c>
      <c r="E4967" s="17" t="s">
        <v>2510</v>
      </c>
      <c r="F4967" s="17"/>
      <c r="G4967" s="18"/>
      <c r="H4967" s="18"/>
    </row>
    <row r="4968" spans="1:8" ht="13.2">
      <c r="A4968" s="15" t="s">
        <v>2748</v>
      </c>
      <c r="B4968" s="29" t="s">
        <v>2749</v>
      </c>
      <c r="C4968" s="17">
        <v>4</v>
      </c>
      <c r="D4968" s="18"/>
      <c r="E4968" s="17" t="s">
        <v>2510</v>
      </c>
      <c r="F4968" s="17"/>
      <c r="G4968" s="18"/>
      <c r="H4968" s="18"/>
    </row>
    <row r="4969" spans="1:8" ht="13.2">
      <c r="A4969" s="19" t="str">
        <f>HYPERLINK("https://codeforces.com/contest/1096/problem/C","CF1096-D12-C")</f>
        <v>CF1096-D12-C</v>
      </c>
      <c r="B4969" s="20" t="s">
        <v>2750</v>
      </c>
      <c r="C4969" s="17">
        <v>4</v>
      </c>
      <c r="D4969" s="18"/>
      <c r="E4969" s="17" t="s">
        <v>2510</v>
      </c>
      <c r="F4969" s="17"/>
      <c r="G4969" s="18"/>
      <c r="H4969" s="18"/>
    </row>
    <row r="4970" spans="1:8" ht="13.2">
      <c r="A4970" s="15" t="s">
        <v>2751</v>
      </c>
      <c r="B4970" s="18" t="s">
        <v>2752</v>
      </c>
      <c r="C4970" s="33">
        <v>4</v>
      </c>
      <c r="D4970" s="26" t="str">
        <f>HYPERLINK("https://github.com/MichaelMounir12/CompetitiveProgramming/blob/master/Contests/SuperVision-Contest-33139/ZOJ_3194.cpp","Sol")</f>
        <v>Sol</v>
      </c>
      <c r="E4970" s="17" t="s">
        <v>2510</v>
      </c>
      <c r="F4970" s="17"/>
      <c r="G4970" s="18"/>
      <c r="H4970" s="18"/>
    </row>
    <row r="4971" spans="1:8" ht="13.2">
      <c r="A4971" s="19" t="str">
        <f>HYPERLINK("https://codeforces.com/contest/1080/problem/C","CF1080-D2-C")</f>
        <v>CF1080-D2-C</v>
      </c>
      <c r="B4971" s="15" t="s">
        <v>2753</v>
      </c>
      <c r="C4971" s="17">
        <v>4</v>
      </c>
      <c r="D4971" s="18"/>
      <c r="E4971" s="17" t="s">
        <v>2510</v>
      </c>
      <c r="F4971" s="17"/>
      <c r="G4971" s="18"/>
      <c r="H4971" s="18"/>
    </row>
    <row r="4972" spans="1:8" ht="13.2">
      <c r="A4972" s="15" t="s">
        <v>2754</v>
      </c>
      <c r="B4972" s="18" t="s">
        <v>2650</v>
      </c>
      <c r="C4972" s="17">
        <v>4</v>
      </c>
      <c r="D4972" s="26" t="str">
        <f>HYPERLINK("http://ideone.com/Bkg7WI","Sol")</f>
        <v>Sol</v>
      </c>
      <c r="E4972" s="17" t="s">
        <v>2510</v>
      </c>
      <c r="F4972" s="17"/>
      <c r="G4972" s="18"/>
      <c r="H4972" s="18"/>
    </row>
    <row r="4973" spans="1:8" ht="13.2">
      <c r="A4973" s="19" t="str">
        <f>HYPERLINK("https://uva.onlinejudge.org/index.php?option=onlinejudge&amp;page=show_problem&amp;problem=137","UVA 201")</f>
        <v>UVA 201</v>
      </c>
      <c r="B4973" s="38" t="s">
        <v>2755</v>
      </c>
      <c r="C4973" s="17">
        <v>4</v>
      </c>
      <c r="D4973" s="18"/>
      <c r="E4973" s="17" t="s">
        <v>2510</v>
      </c>
      <c r="F4973" s="17"/>
      <c r="G4973" s="18"/>
      <c r="H4973" s="18"/>
    </row>
    <row r="4974" spans="1:8" ht="13.2">
      <c r="A4974" s="15" t="s">
        <v>2756</v>
      </c>
      <c r="B4974" s="15" t="s">
        <v>2757</v>
      </c>
      <c r="C4974" s="33">
        <v>4</v>
      </c>
      <c r="D4974" s="26" t="str">
        <f>HYPERLINK("https://github.com/MeGaCrazy/CompetitiveProgramming/blob/c9bb3ba255fbab3d09d831a4736cc1521ed23e1d/UVA/UVA_143.cpp","Sol")</f>
        <v>Sol</v>
      </c>
      <c r="E4974" s="17" t="s">
        <v>2510</v>
      </c>
      <c r="F4974" s="17"/>
      <c r="G4974" s="18"/>
      <c r="H4974" s="18"/>
    </row>
    <row r="4975" spans="1:8" ht="13.2">
      <c r="A4975" s="15" t="s">
        <v>2758</v>
      </c>
      <c r="B4975" s="41" t="s">
        <v>2759</v>
      </c>
      <c r="C4975" s="24">
        <v>4</v>
      </c>
      <c r="D4975" s="26" t="str">
        <f>HYPERLINK("https://ideone.com/BTMmzG","Sol")</f>
        <v>Sol</v>
      </c>
      <c r="E4975" s="17" t="s">
        <v>2510</v>
      </c>
      <c r="F4975" s="17"/>
      <c r="G4975" s="18"/>
      <c r="H4975" s="18"/>
    </row>
    <row r="4976" spans="1:8" ht="13.2">
      <c r="A4976" s="15" t="s">
        <v>2854</v>
      </c>
      <c r="B4976" s="30" t="s">
        <v>2855</v>
      </c>
      <c r="C4976" s="24">
        <v>4</v>
      </c>
      <c r="D4976" s="26" t="str">
        <f>HYPERLINK("https://github.com/MohamedNabil97/CompetitiveProgramming/blob/master/UVA/12240.cpp","Sol")</f>
        <v>Sol</v>
      </c>
      <c r="E4976" s="17" t="s">
        <v>2798</v>
      </c>
      <c r="F4976" s="17"/>
      <c r="G4976" s="18"/>
      <c r="H4976" s="18"/>
    </row>
    <row r="4977" spans="1:8" ht="13.2">
      <c r="A4977" s="15" t="s">
        <v>2856</v>
      </c>
      <c r="B4977" s="28" t="s">
        <v>2808</v>
      </c>
      <c r="C4977" s="24">
        <v>4</v>
      </c>
      <c r="D4977" s="26" t="str">
        <f>HYPERLINK("https://github.com/mostafa-saad/MyCompetitiveProgramming/blob/master/UVA/UVA_11515.txt","Sol")</f>
        <v>Sol</v>
      </c>
      <c r="E4977" s="17" t="s">
        <v>2798</v>
      </c>
      <c r="F4977" s="17"/>
      <c r="G4977" s="18"/>
      <c r="H4977" s="18"/>
    </row>
    <row r="4978" spans="1:8" ht="13.2">
      <c r="A4978" s="19" t="str">
        <f>HYPERLINK("http://codeforces.com/contest/84/problem/C","CF84-D2-C")</f>
        <v>CF84-D2-C</v>
      </c>
      <c r="B4978" s="29" t="s">
        <v>2853</v>
      </c>
      <c r="C4978" s="17">
        <v>4</v>
      </c>
      <c r="D4978" s="18"/>
      <c r="E4978" s="17" t="s">
        <v>2798</v>
      </c>
      <c r="F4978" s="17"/>
      <c r="G4978" s="18"/>
      <c r="H4978" s="18"/>
    </row>
    <row r="4979" spans="1:8" ht="13.2">
      <c r="A4979" s="15" t="s">
        <v>2923</v>
      </c>
      <c r="B4979" s="30" t="s">
        <v>2924</v>
      </c>
      <c r="C4979" s="24">
        <v>4</v>
      </c>
      <c r="D4979" s="26" t="str">
        <f>HYPERLINK("https://github.com/jebouin/CompetitiveProgramming/blob/master/UVA/UVA%2010961.cpp","Sol")</f>
        <v>Sol</v>
      </c>
      <c r="E4979" s="17" t="s">
        <v>2865</v>
      </c>
      <c r="F4979" s="17"/>
      <c r="G4979" s="18"/>
      <c r="H4979" s="18"/>
    </row>
    <row r="4980" spans="1:8" ht="13.2">
      <c r="A4980" s="15" t="s">
        <v>2925</v>
      </c>
      <c r="B4980" s="16" t="s">
        <v>2871</v>
      </c>
      <c r="C4980" s="17">
        <v>4</v>
      </c>
      <c r="D4980" s="18"/>
      <c r="E4980" s="17" t="s">
        <v>2865</v>
      </c>
      <c r="F4980" s="17"/>
      <c r="G4980" s="18"/>
      <c r="H4980" s="18"/>
    </row>
    <row r="4981" spans="1:8" ht="13.2">
      <c r="A4981" s="19" t="str">
        <f>HYPERLINK("http://codeforces.com/contest/714/problem/C","CF714-D2-C")</f>
        <v>CF714-D2-C</v>
      </c>
      <c r="B4981" s="18" t="s">
        <v>587</v>
      </c>
      <c r="C4981" s="17">
        <v>4</v>
      </c>
      <c r="D4981" s="18"/>
      <c r="E4981" s="17" t="s">
        <v>575</v>
      </c>
      <c r="F4981" s="17"/>
      <c r="G4981" s="18"/>
      <c r="H4981" s="18"/>
    </row>
    <row r="4982" spans="1:8" ht="13.2">
      <c r="A4982" s="19" t="str">
        <f>HYPERLINK("https://csacademy.com/contest/round-82/task/city-break/", "CSA82-C")</f>
        <v>CSA82-C</v>
      </c>
      <c r="B4982" s="15" t="s">
        <v>587</v>
      </c>
      <c r="C4982" s="17">
        <v>4</v>
      </c>
      <c r="D4982" s="18"/>
      <c r="E4982" s="17" t="s">
        <v>575</v>
      </c>
      <c r="F4982" s="17"/>
      <c r="G4982" s="18"/>
      <c r="H4982" s="18"/>
    </row>
    <row r="4983" spans="1:8" ht="13.2">
      <c r="A4983" s="19" t="str">
        <f>HYPERLINK("https://www.hackerrank.com/contests/world-codesprint-13/challenges/watsons-love-for-arrays", "HACKR watsons-love-for-arrays")</f>
        <v>HACKR watsons-love-for-arrays</v>
      </c>
      <c r="B4983" s="20" t="s">
        <v>587</v>
      </c>
      <c r="C4983" s="21">
        <v>4</v>
      </c>
      <c r="D4983" s="18"/>
      <c r="E4983" s="17" t="s">
        <v>575</v>
      </c>
      <c r="F4983" s="17"/>
      <c r="G4983" s="18"/>
      <c r="H4983" s="18"/>
    </row>
    <row r="4984" spans="1:8" ht="13.2">
      <c r="A4984" s="19" t="str">
        <f>HYPERLINK("http://codeforces.com/contest/276/problem/C","CF276-D2-C")</f>
        <v>CF276-D2-C</v>
      </c>
      <c r="B4984" s="29" t="s">
        <v>646</v>
      </c>
      <c r="C4984" s="17">
        <v>4</v>
      </c>
      <c r="D4984" s="18"/>
      <c r="E4984" s="17" t="s">
        <v>575</v>
      </c>
      <c r="F4984" s="17"/>
      <c r="G4984" s="18"/>
      <c r="H4984" s="18"/>
    </row>
    <row r="4985" spans="1:8" ht="13.2">
      <c r="A4985" s="15" t="s">
        <v>647</v>
      </c>
      <c r="B4985" s="30" t="s">
        <v>628</v>
      </c>
      <c r="C4985" s="17">
        <v>4</v>
      </c>
      <c r="D4985" s="18"/>
      <c r="E4985" s="17" t="s">
        <v>575</v>
      </c>
      <c r="F4985" s="17"/>
      <c r="G4985" s="18"/>
      <c r="H4985" s="18"/>
    </row>
    <row r="4986" spans="1:8" ht="13.2">
      <c r="A4986" s="15" t="s">
        <v>3034</v>
      </c>
      <c r="B4986" s="29" t="s">
        <v>3035</v>
      </c>
      <c r="C4986" s="33">
        <v>4</v>
      </c>
      <c r="D4986" s="26" t="str">
        <f>HYPERLINK("https://github.com/AbdelrahmanRamadan/competitive-programming/blob/master/UVA/11665%20-%20Chinese%20Ink.cpp","Sol")</f>
        <v>Sol</v>
      </c>
      <c r="E4986" s="17" t="s">
        <v>2948</v>
      </c>
      <c r="F4986" s="17"/>
      <c r="G4986" s="18"/>
      <c r="H4986" s="18"/>
    </row>
    <row r="4987" spans="1:8" ht="13.2">
      <c r="A4987" s="15" t="s">
        <v>3061</v>
      </c>
      <c r="B4987" s="29" t="s">
        <v>3043</v>
      </c>
      <c r="C4987" s="17">
        <v>4</v>
      </c>
      <c r="D4987" s="26" t="str">
        <f>HYPERLINK("https://github.com/MeGaCrazy/CompetitiveProgramming/blob/c9f4ed6571a135dbc26cfeeb099384a8fec2ff92/LiveArchive/LIVEARCHIVE_2831.cpp","Use polygon cut")</f>
        <v>Use polygon cut</v>
      </c>
      <c r="E4987" s="17" t="s">
        <v>3041</v>
      </c>
      <c r="F4987" s="17"/>
      <c r="G4987" s="18"/>
      <c r="H4987" s="18"/>
    </row>
    <row r="4988" spans="1:8" ht="13.2">
      <c r="A4988" s="15" t="s">
        <v>3062</v>
      </c>
      <c r="B4988" s="28" t="s">
        <v>3063</v>
      </c>
      <c r="C4988" s="24">
        <v>4</v>
      </c>
      <c r="D4988" s="18"/>
      <c r="E4988" s="17" t="s">
        <v>3041</v>
      </c>
      <c r="F4988" s="17"/>
      <c r="G4988" s="18"/>
      <c r="H4988" s="18"/>
    </row>
    <row r="4989" spans="1:8" ht="13.2">
      <c r="A4989" s="15" t="s">
        <v>3125</v>
      </c>
      <c r="B4989" s="29" t="s">
        <v>3073</v>
      </c>
      <c r="C4989" s="33">
        <v>4</v>
      </c>
      <c r="D4989" s="26" t="str">
        <f>HYPERLINK("https://github.com/MeGaCrazy/CompetitiveProgramming/blob/9ece9fb5793c170b4c0c7990925909f603bfe91d/SPOJ/SPOJ_BSHEEP.cpp","Sol")</f>
        <v>Sol</v>
      </c>
      <c r="E4989" s="17" t="s">
        <v>3065</v>
      </c>
      <c r="F4989" s="17"/>
      <c r="G4989" s="18"/>
      <c r="H4989" s="18"/>
    </row>
    <row r="4990" spans="1:8" ht="13.2">
      <c r="A4990" s="15" t="s">
        <v>3207</v>
      </c>
      <c r="B4990" s="28" t="s">
        <v>3208</v>
      </c>
      <c r="C4990" s="24">
        <v>4</v>
      </c>
      <c r="D4990" s="26" t="str">
        <f>HYPERLINK("https://github.com/MohamedNabil97/CompetitiveProgramming/blob/master/UVA/11378.cpp","Sol")</f>
        <v>Sol</v>
      </c>
      <c r="E4990" s="17" t="s">
        <v>3140</v>
      </c>
      <c r="F4990" s="17"/>
      <c r="G4990" s="18"/>
      <c r="H4990" s="18"/>
    </row>
    <row r="4991" spans="1:8" ht="13.2">
      <c r="A4991" s="15" t="s">
        <v>3249</v>
      </c>
      <c r="B4991" s="28" t="s">
        <v>3230</v>
      </c>
      <c r="C4991" s="24">
        <v>4</v>
      </c>
      <c r="D4991" s="18"/>
      <c r="E4991" s="17" t="s">
        <v>3214</v>
      </c>
      <c r="F4991" s="17"/>
      <c r="G4991" s="18"/>
      <c r="H4991" s="18"/>
    </row>
    <row r="4992" spans="1:8" ht="13.2">
      <c r="A4992" s="15" t="s">
        <v>3250</v>
      </c>
      <c r="B4992" s="15" t="s">
        <v>3251</v>
      </c>
      <c r="C4992" s="24">
        <v>4</v>
      </c>
      <c r="D4992" s="26" t="str">
        <f>HYPERLINK("https://github.com/AbdelrahmanRamadan/competitive-programming/blob/master/UVA/10297%20-%20Beavergnaw.cpp","Sol")</f>
        <v>Sol</v>
      </c>
      <c r="E4992" s="17" t="s">
        <v>3214</v>
      </c>
      <c r="F4992" s="17"/>
      <c r="G4992" s="18"/>
      <c r="H4992" s="18"/>
    </row>
    <row r="4993" spans="1:8" ht="13.2">
      <c r="A4993" s="15" t="s">
        <v>3252</v>
      </c>
      <c r="B4993" s="28" t="s">
        <v>3253</v>
      </c>
      <c r="C4993" s="24">
        <v>4</v>
      </c>
      <c r="D4993" s="18"/>
      <c r="E4993" s="17" t="s">
        <v>3214</v>
      </c>
      <c r="F4993" s="17"/>
      <c r="G4993" s="18"/>
      <c r="H4993" s="18"/>
    </row>
    <row r="4994" spans="1:8" ht="13.2">
      <c r="A4994" s="19" t="str">
        <f>HYPERLINK("http://codeforces.com/contest/106/problem/D","CF106-D2-D")</f>
        <v>CF106-D2-D</v>
      </c>
      <c r="B4994" s="18" t="s">
        <v>3256</v>
      </c>
      <c r="C4994" s="17">
        <v>4</v>
      </c>
      <c r="D4994" s="18"/>
      <c r="E4994" s="17" t="s">
        <v>3257</v>
      </c>
      <c r="F4994" s="17"/>
      <c r="G4994" s="18"/>
      <c r="H4994" s="18"/>
    </row>
    <row r="4995" spans="1:8" ht="13.2">
      <c r="A4995" s="19" t="str">
        <f>HYPERLINK("http://codeforces.com/contest/246/problem/D","CF246-D2-D")</f>
        <v>CF246-D2-D</v>
      </c>
      <c r="B4995" s="18" t="s">
        <v>3256</v>
      </c>
      <c r="C4995" s="17">
        <v>4</v>
      </c>
      <c r="D4995" s="18"/>
      <c r="E4995" s="17" t="s">
        <v>3257</v>
      </c>
      <c r="F4995" s="17"/>
      <c r="G4995" s="18"/>
      <c r="H4995" s="18"/>
    </row>
    <row r="4996" spans="1:8" ht="13.2">
      <c r="A4996" s="19" t="str">
        <f>HYPERLINK("http://codeforces.com/contest/586/problem/D","CF586-D2-D")</f>
        <v>CF586-D2-D</v>
      </c>
      <c r="B4996" s="18" t="s">
        <v>3256</v>
      </c>
      <c r="C4996" s="17">
        <v>4</v>
      </c>
      <c r="D4996" s="18"/>
      <c r="E4996" s="17" t="s">
        <v>3257</v>
      </c>
      <c r="F4996" s="17"/>
      <c r="G4996" s="18"/>
      <c r="H4996" s="18"/>
    </row>
    <row r="4997" spans="1:8" ht="13.2">
      <c r="A4997" s="19" t="str">
        <f>HYPERLINK("https://csacademy.com/contest/round-41/task/bfs-dfs/statement/","CSA41-D")</f>
        <v>CSA41-D</v>
      </c>
      <c r="B4997" s="15" t="s">
        <v>3256</v>
      </c>
      <c r="C4997" s="17">
        <v>4</v>
      </c>
      <c r="D4997" s="18"/>
      <c r="E4997" s="17" t="s">
        <v>3257</v>
      </c>
      <c r="F4997" s="17"/>
      <c r="G4997" s="18"/>
      <c r="H4997" s="18"/>
    </row>
    <row r="4998" spans="1:8" ht="13.2">
      <c r="A4998" s="15" t="s">
        <v>3419</v>
      </c>
      <c r="B4998" s="38" t="s">
        <v>3331</v>
      </c>
      <c r="C4998" s="17">
        <v>4</v>
      </c>
      <c r="D4998" s="18"/>
      <c r="E4998" s="17" t="s">
        <v>3257</v>
      </c>
      <c r="F4998" s="17"/>
      <c r="G4998" s="18"/>
      <c r="H4998" s="18"/>
    </row>
    <row r="4999" spans="1:8" ht="13.2">
      <c r="A4999" s="15" t="s">
        <v>3420</v>
      </c>
      <c r="B4999" s="28" t="s">
        <v>3421</v>
      </c>
      <c r="C4999" s="24">
        <v>4</v>
      </c>
      <c r="D4999" s="26" t="str">
        <f>HYPERLINK("https://github.com/TheRealImaginary/CompetitiveProgramming/blob/master/UVA/UVA_656_OptimalPrograms.java","Sol")</f>
        <v>Sol</v>
      </c>
      <c r="E4999" s="17" t="s">
        <v>3257</v>
      </c>
      <c r="F4999" s="17"/>
      <c r="G4999" s="18"/>
      <c r="H4999" s="18"/>
    </row>
    <row r="5000" spans="1:8" ht="13.2">
      <c r="A5000" s="15" t="s">
        <v>3422</v>
      </c>
      <c r="B5000" s="30" t="s">
        <v>3423</v>
      </c>
      <c r="C5000" s="17">
        <v>4</v>
      </c>
      <c r="D5000" s="18"/>
      <c r="E5000" s="17" t="s">
        <v>3257</v>
      </c>
      <c r="F5000" s="17"/>
      <c r="G5000" s="18"/>
      <c r="H5000" s="18"/>
    </row>
    <row r="5001" spans="1:8" ht="13.2">
      <c r="A5001" s="15" t="s">
        <v>3424</v>
      </c>
      <c r="B5001" s="15" t="s">
        <v>3425</v>
      </c>
      <c r="C5001" s="24">
        <v>4</v>
      </c>
      <c r="D5001" s="26" t="str">
        <f>HYPERLINK("http://ideone.com/2aIxpi","Sol")</f>
        <v>Sol</v>
      </c>
      <c r="E5001" s="17" t="s">
        <v>3257</v>
      </c>
      <c r="F5001" s="17"/>
      <c r="G5001" s="18"/>
      <c r="H5001" s="18"/>
    </row>
    <row r="5002" spans="1:8" ht="13.2">
      <c r="A5002" s="15" t="s">
        <v>3426</v>
      </c>
      <c r="B5002" s="35" t="s">
        <v>3340</v>
      </c>
      <c r="C5002" s="17">
        <v>4</v>
      </c>
      <c r="D5002" s="18"/>
      <c r="E5002" s="17" t="s">
        <v>3257</v>
      </c>
      <c r="F5002" s="17"/>
      <c r="G5002" s="18"/>
      <c r="H5002" s="18"/>
    </row>
    <row r="5003" spans="1:8" ht="13.2">
      <c r="A5003" s="15" t="s">
        <v>3427</v>
      </c>
      <c r="B5003" s="15" t="s">
        <v>3277</v>
      </c>
      <c r="C5003" s="24">
        <v>4</v>
      </c>
      <c r="D5003" s="18"/>
      <c r="E5003" s="17" t="s">
        <v>3257</v>
      </c>
      <c r="F5003" s="17"/>
      <c r="G5003" s="18"/>
      <c r="H5003" s="18"/>
    </row>
    <row r="5004" spans="1:8" ht="13.2">
      <c r="A5004" s="15" t="s">
        <v>3428</v>
      </c>
      <c r="B5004" s="30" t="s">
        <v>3429</v>
      </c>
      <c r="C5004" s="17">
        <v>4</v>
      </c>
      <c r="D5004" s="26" t="str">
        <f>HYPERLINK("https://www.facebook.com/groups/160725894286891/permalink/412072809152197/","FB")</f>
        <v>FB</v>
      </c>
      <c r="E5004" s="17" t="s">
        <v>3257</v>
      </c>
      <c r="F5004" s="17"/>
      <c r="G5004" s="18"/>
      <c r="H5004" s="18"/>
    </row>
    <row r="5005" spans="1:8" ht="13.2">
      <c r="A5005" s="15" t="s">
        <v>3461</v>
      </c>
      <c r="B5005" s="29" t="s">
        <v>3448</v>
      </c>
      <c r="C5005" s="24">
        <v>4</v>
      </c>
      <c r="D5005" s="18"/>
      <c r="E5005" s="17" t="s">
        <v>3439</v>
      </c>
      <c r="F5005" s="17"/>
      <c r="G5005" s="18"/>
      <c r="H5005" s="18"/>
    </row>
    <row r="5006" spans="1:8" ht="13.2">
      <c r="A5006" s="15" t="s">
        <v>3462</v>
      </c>
      <c r="B5006" s="29" t="s">
        <v>3443</v>
      </c>
      <c r="C5006" s="24">
        <v>4</v>
      </c>
      <c r="D5006" s="18"/>
      <c r="E5006" s="17" t="s">
        <v>3439</v>
      </c>
      <c r="F5006" s="17"/>
      <c r="G5006" s="18"/>
      <c r="H5006" s="18"/>
    </row>
    <row r="5007" spans="1:8" ht="13.2">
      <c r="A5007" s="19" t="str">
        <f>HYPERLINK("http://codeforces.com/contest/35/problem/C","CF35-D2-C")</f>
        <v>CF35-D2-C</v>
      </c>
      <c r="B5007" s="18" t="s">
        <v>3466</v>
      </c>
      <c r="C5007" s="17">
        <v>4</v>
      </c>
      <c r="D5007" s="18"/>
      <c r="E5007" s="17" t="s">
        <v>3467</v>
      </c>
      <c r="F5007" s="17"/>
      <c r="G5007" s="18"/>
      <c r="H5007" s="18"/>
    </row>
    <row r="5008" spans="1:8" ht="13.2">
      <c r="A5008" s="19" t="str">
        <f>HYPERLINK("http://www.spoj.com/problems/TOE1/","SPOJ TOE1")</f>
        <v>SPOJ TOE1</v>
      </c>
      <c r="B5008" s="29" t="s">
        <v>3466</v>
      </c>
      <c r="C5008" s="17">
        <v>4</v>
      </c>
      <c r="D5008" s="18"/>
      <c r="E5008" s="17" t="s">
        <v>3467</v>
      </c>
      <c r="F5008" s="17"/>
      <c r="G5008" s="18"/>
      <c r="H5008" s="18"/>
    </row>
    <row r="5009" spans="1:8" ht="13.2">
      <c r="A5009" s="19" t="str">
        <f>HYPERLINK("http://www.spoj.com/problems/TOE2/","SPOJ TOE2")</f>
        <v>SPOJ TOE2</v>
      </c>
      <c r="B5009" s="29" t="s">
        <v>3466</v>
      </c>
      <c r="C5009" s="17">
        <v>4</v>
      </c>
      <c r="D5009" s="18"/>
      <c r="E5009" s="17" t="s">
        <v>3467</v>
      </c>
      <c r="F5009" s="17"/>
      <c r="G5009" s="18"/>
      <c r="H5009" s="18"/>
    </row>
    <row r="5010" spans="1:8" ht="13.2">
      <c r="A5010" s="15" t="s">
        <v>3601</v>
      </c>
      <c r="B5010" s="34" t="s">
        <v>3466</v>
      </c>
      <c r="C5010" s="33">
        <v>4</v>
      </c>
      <c r="D5010" s="18"/>
      <c r="E5010" s="17" t="s">
        <v>3467</v>
      </c>
      <c r="F5010" s="17"/>
      <c r="G5010" s="18"/>
      <c r="H5010" s="18"/>
    </row>
    <row r="5011" spans="1:8" ht="13.2">
      <c r="A5011" s="15" t="s">
        <v>3602</v>
      </c>
      <c r="B5011" s="30" t="s">
        <v>3466</v>
      </c>
      <c r="C5011" s="40">
        <v>4</v>
      </c>
      <c r="D5011" s="18"/>
      <c r="E5011" s="17" t="s">
        <v>3467</v>
      </c>
      <c r="F5011" s="17"/>
      <c r="G5011" s="18"/>
      <c r="H5011" s="18"/>
    </row>
    <row r="5012" spans="1:8" ht="13.2">
      <c r="A5012" s="15" t="s">
        <v>3603</v>
      </c>
      <c r="B5012" s="29" t="s">
        <v>3466</v>
      </c>
      <c r="C5012" s="17">
        <v>4</v>
      </c>
      <c r="D5012" s="18"/>
      <c r="E5012" s="17" t="s">
        <v>3467</v>
      </c>
      <c r="F5012" s="17"/>
      <c r="G5012" s="18"/>
      <c r="H5012" s="18"/>
    </row>
    <row r="5013" spans="1:8" ht="13.2">
      <c r="A5013" s="15" t="s">
        <v>3604</v>
      </c>
      <c r="B5013" s="28" t="s">
        <v>3466</v>
      </c>
      <c r="C5013" s="24">
        <v>4</v>
      </c>
      <c r="D5013" s="18"/>
      <c r="E5013" s="17" t="s">
        <v>3467</v>
      </c>
      <c r="F5013" s="17"/>
      <c r="G5013" s="18"/>
      <c r="H5013" s="18"/>
    </row>
    <row r="5014" spans="1:8" ht="13.2">
      <c r="A5014" s="15" t="s">
        <v>3605</v>
      </c>
      <c r="B5014" s="30" t="s">
        <v>3466</v>
      </c>
      <c r="C5014" s="17">
        <v>4</v>
      </c>
      <c r="D5014" s="18"/>
      <c r="E5014" s="17" t="s">
        <v>3467</v>
      </c>
      <c r="F5014" s="17"/>
      <c r="G5014" s="18"/>
      <c r="H5014" s="18"/>
    </row>
    <row r="5015" spans="1:8" ht="13.2">
      <c r="A5015" s="15" t="s">
        <v>3606</v>
      </c>
      <c r="B5015" s="30" t="s">
        <v>3466</v>
      </c>
      <c r="C5015" s="24">
        <v>4</v>
      </c>
      <c r="D5015" s="18"/>
      <c r="E5015" s="17" t="s">
        <v>3467</v>
      </c>
      <c r="F5015" s="17"/>
      <c r="G5015" s="18"/>
      <c r="H5015" s="18"/>
    </row>
    <row r="5016" spans="1:8" ht="13.2">
      <c r="A5016" s="15" t="s">
        <v>3607</v>
      </c>
      <c r="B5016" s="34" t="s">
        <v>3608</v>
      </c>
      <c r="C5016" s="17">
        <v>4</v>
      </c>
      <c r="D5016" s="18"/>
      <c r="E5016" s="17" t="s">
        <v>3467</v>
      </c>
      <c r="F5016" s="17"/>
      <c r="G5016" s="18"/>
      <c r="H5016" s="18"/>
    </row>
    <row r="5017" spans="1:8" ht="13.2">
      <c r="A5017" s="19" t="str">
        <f>HYPERLINK("http://codeforces.com/contest/174/problem/D","CF174-D2-D")</f>
        <v>CF174-D2-D</v>
      </c>
      <c r="B5017" s="29" t="s">
        <v>3609</v>
      </c>
      <c r="C5017" s="33">
        <v>4</v>
      </c>
      <c r="D5017" s="18"/>
      <c r="E5017" s="17" t="s">
        <v>3467</v>
      </c>
      <c r="F5017" s="17"/>
      <c r="G5017" s="18"/>
      <c r="H5017" s="18"/>
    </row>
    <row r="5018" spans="1:8" ht="13.2">
      <c r="A5018" s="15" t="s">
        <v>3610</v>
      </c>
      <c r="B5018" s="28" t="s">
        <v>3577</v>
      </c>
      <c r="C5018" s="24">
        <v>4</v>
      </c>
      <c r="D5018" s="18"/>
      <c r="E5018" s="17" t="s">
        <v>3467</v>
      </c>
      <c r="F5018" s="17"/>
      <c r="G5018" s="18"/>
      <c r="H5018" s="18"/>
    </row>
    <row r="5019" spans="1:8" ht="13.2">
      <c r="A5019" s="15" t="s">
        <v>3611</v>
      </c>
      <c r="B5019" s="30" t="s">
        <v>3577</v>
      </c>
      <c r="C5019" s="24">
        <v>4</v>
      </c>
      <c r="D5019" s="18"/>
      <c r="E5019" s="17" t="s">
        <v>3467</v>
      </c>
      <c r="F5019" s="17"/>
      <c r="G5019" s="18"/>
      <c r="H5019" s="18"/>
    </row>
    <row r="5020" spans="1:8" ht="13.2">
      <c r="A5020" s="19" t="str">
        <f>HYPERLINK("https://uva.onlinejudge.org/index.php?option=com_onlinejudge&amp;Itemid=8&amp;page=show_problem&amp;problem=380","UVA 439")</f>
        <v>UVA 439</v>
      </c>
      <c r="B5020" s="29" t="s">
        <v>3612</v>
      </c>
      <c r="C5020" s="17">
        <v>4</v>
      </c>
      <c r="D5020" s="18"/>
      <c r="E5020" s="17" t="s">
        <v>3467</v>
      </c>
      <c r="F5020" s="17"/>
      <c r="G5020" s="18"/>
      <c r="H5020" s="18"/>
    </row>
    <row r="5021" spans="1:8" ht="13.2">
      <c r="A5021" s="15" t="s">
        <v>3613</v>
      </c>
      <c r="B5021" s="34" t="s">
        <v>3525</v>
      </c>
      <c r="C5021" s="17">
        <v>4</v>
      </c>
      <c r="D5021" s="18"/>
      <c r="E5021" s="17" t="s">
        <v>3467</v>
      </c>
      <c r="F5021" s="17"/>
      <c r="G5021" s="18"/>
      <c r="H5021" s="18"/>
    </row>
    <row r="5022" spans="1:8" ht="13.2">
      <c r="A5022" s="15" t="s">
        <v>3640</v>
      </c>
      <c r="B5022" s="28" t="s">
        <v>3635</v>
      </c>
      <c r="C5022" s="24">
        <v>4</v>
      </c>
      <c r="D5022" s="18"/>
      <c r="E5022" s="17" t="s">
        <v>3633</v>
      </c>
      <c r="F5022" s="17"/>
      <c r="G5022" s="18"/>
      <c r="H5022" s="18"/>
    </row>
    <row r="5023" spans="1:8" ht="13.2">
      <c r="A5023" s="19" t="str">
        <f>HYPERLINK("https://uva.onlinejudge.org/index.php?option=onlinejudge&amp;page=show_problem&amp;problem=3801","UVA 12379")</f>
        <v>UVA 12379</v>
      </c>
      <c r="B5023" s="29" t="s">
        <v>3641</v>
      </c>
      <c r="C5023" s="17">
        <v>4</v>
      </c>
      <c r="D5023" s="26" t="str">
        <f>HYPERLINK("https://github.com/abdullaAshraf/Problem-Solving/blob/master/UVA/12379.cpp","Sol")</f>
        <v>Sol</v>
      </c>
      <c r="E5023" s="17" t="s">
        <v>3633</v>
      </c>
      <c r="F5023" s="17"/>
      <c r="G5023" s="18"/>
      <c r="H5023" s="18"/>
    </row>
    <row r="5024" spans="1:8" ht="13.2">
      <c r="A5024" s="19" t="str">
        <f>HYPERLINK("http://codeforces.com/gym/100952/problem/E","CF100952-GYM-E")</f>
        <v>CF100952-GYM-E</v>
      </c>
      <c r="B5024" s="18" t="s">
        <v>657</v>
      </c>
      <c r="C5024" s="24">
        <v>4</v>
      </c>
      <c r="D5024" s="18"/>
      <c r="E5024" s="17" t="s">
        <v>655</v>
      </c>
      <c r="F5024" s="17"/>
      <c r="G5024" s="18"/>
      <c r="H5024" s="18"/>
    </row>
    <row r="5025" spans="1:8" ht="13.2">
      <c r="A5025" s="15" t="s">
        <v>701</v>
      </c>
      <c r="B5025" s="28" t="s">
        <v>657</v>
      </c>
      <c r="C5025" s="33">
        <v>4</v>
      </c>
      <c r="D5025" s="18"/>
      <c r="E5025" s="17" t="s">
        <v>655</v>
      </c>
      <c r="F5025" s="17"/>
      <c r="G5025" s="18"/>
      <c r="H5025" s="18"/>
    </row>
    <row r="5026" spans="1:8" ht="13.2">
      <c r="A5026" s="19" t="str">
        <f>HYPERLINK("https://community.topcoder.com/stat?c=problem_statement&amp;pm=1599","SRM146-D2-1000")</f>
        <v>SRM146-D2-1000</v>
      </c>
      <c r="B5026" s="15" t="s">
        <v>657</v>
      </c>
      <c r="C5026" s="17">
        <v>4</v>
      </c>
      <c r="D5026" s="18"/>
      <c r="E5026" s="17" t="s">
        <v>655</v>
      </c>
      <c r="F5026" s="17"/>
      <c r="G5026" s="18"/>
      <c r="H5026" s="18"/>
    </row>
    <row r="5027" spans="1:8" ht="13.2">
      <c r="A5027" s="19" t="str">
        <f>HYPERLINK("https://uva.onlinejudge.org/index.php?option=com_onlinejudge&amp;Itemid=8&amp;page=show_problem&amp;problem=691","UVA 750")</f>
        <v>UVA 750</v>
      </c>
      <c r="B5027" s="29" t="s">
        <v>657</v>
      </c>
      <c r="C5027" s="17">
        <v>4</v>
      </c>
      <c r="D5027" s="18"/>
      <c r="E5027" s="17" t="s">
        <v>655</v>
      </c>
      <c r="F5027" s="17"/>
      <c r="G5027" s="18"/>
      <c r="H5027" s="18"/>
    </row>
    <row r="5028" spans="1:8" ht="13.2">
      <c r="A5028" s="15" t="s">
        <v>702</v>
      </c>
      <c r="B5028" s="34" t="s">
        <v>694</v>
      </c>
      <c r="C5028" s="31">
        <v>4</v>
      </c>
      <c r="D5028" s="18"/>
      <c r="E5028" s="17" t="s">
        <v>655</v>
      </c>
      <c r="F5028" s="17"/>
      <c r="G5028" s="18"/>
      <c r="H5028" s="18"/>
    </row>
    <row r="5029" spans="1:8" ht="13.2">
      <c r="A5029" s="19" t="str">
        <f>HYPERLINK("https://uva.onlinejudge.org/index.php?option=com_onlinejudge&amp;Itemid=8&amp;page=show_problem&amp;problem=129","UVA 193")</f>
        <v>UVA 193</v>
      </c>
      <c r="B5029" s="29" t="s">
        <v>703</v>
      </c>
      <c r="C5029" s="17">
        <v>4</v>
      </c>
      <c r="D5029" s="18"/>
      <c r="E5029" s="17" t="s">
        <v>655</v>
      </c>
      <c r="F5029" s="17"/>
      <c r="G5029" s="18"/>
      <c r="H5029" s="18"/>
    </row>
    <row r="5030" spans="1:8" ht="13.2">
      <c r="A5030" s="15" t="s">
        <v>704</v>
      </c>
      <c r="B5030" s="29" t="s">
        <v>705</v>
      </c>
      <c r="C5030" s="24">
        <v>4</v>
      </c>
      <c r="D5030" s="18"/>
      <c r="E5030" s="17" t="s">
        <v>655</v>
      </c>
      <c r="F5030" s="17"/>
      <c r="G5030" s="18"/>
      <c r="H5030" s="18"/>
    </row>
    <row r="5031" spans="1:8" ht="13.2">
      <c r="A5031" s="15" t="s">
        <v>706</v>
      </c>
      <c r="B5031" s="28" t="s">
        <v>707</v>
      </c>
      <c r="C5031" s="17">
        <v>4</v>
      </c>
      <c r="D5031" s="18"/>
      <c r="E5031" s="24" t="s">
        <v>655</v>
      </c>
      <c r="F5031" s="17"/>
      <c r="G5031" s="18"/>
      <c r="H5031" s="18"/>
    </row>
    <row r="5032" spans="1:8" ht="13.2">
      <c r="A5032" s="15" t="s">
        <v>708</v>
      </c>
      <c r="B5032" s="28" t="s">
        <v>663</v>
      </c>
      <c r="C5032" s="24">
        <v>4</v>
      </c>
      <c r="D5032" s="26" t="str">
        <f>HYPERLINK("https://github.com/MohamedNabil97/CompetitiveProgramming/blob/master/UVA/10624.cpp","Sol")</f>
        <v>Sol</v>
      </c>
      <c r="E5032" s="24" t="s">
        <v>655</v>
      </c>
      <c r="F5032" s="17"/>
      <c r="G5032" s="18"/>
      <c r="H5032" s="18"/>
    </row>
    <row r="5033" spans="1:8" ht="13.2">
      <c r="A5033" s="19" t="str">
        <f>HYPERLINK("http://codeforces.com/contest/216/problem/B","CF216-D2-B")</f>
        <v>CF216-D2-B</v>
      </c>
      <c r="B5033" s="15" t="s">
        <v>3649</v>
      </c>
      <c r="C5033" s="17">
        <v>4</v>
      </c>
      <c r="D5033" s="18"/>
      <c r="E5033" s="17" t="s">
        <v>3650</v>
      </c>
      <c r="F5033" s="17"/>
      <c r="G5033" s="18"/>
      <c r="H5033" s="18"/>
    </row>
    <row r="5034" spans="1:8" ht="13.2">
      <c r="A5034" s="19" t="str">
        <f>HYPERLINK("http://codeforces.com/contest/327/problem/D","CF327-D2-D")</f>
        <v>CF327-D2-D</v>
      </c>
      <c r="B5034" s="29" t="s">
        <v>3649</v>
      </c>
      <c r="C5034" s="17">
        <v>4</v>
      </c>
      <c r="D5034" s="18"/>
      <c r="E5034" s="17" t="s">
        <v>3650</v>
      </c>
      <c r="F5034" s="17"/>
      <c r="G5034" s="18"/>
      <c r="H5034" s="18"/>
    </row>
    <row r="5035" spans="1:8" ht="13.2">
      <c r="A5035" s="19" t="str">
        <f>HYPERLINK("http://codeforces.com/contest/979/problem/C","CF979-D2-C")</f>
        <v>CF979-D2-C</v>
      </c>
      <c r="B5035" s="20" t="s">
        <v>3649</v>
      </c>
      <c r="C5035" s="21">
        <v>4</v>
      </c>
      <c r="D5035" s="18"/>
      <c r="E5035" s="17" t="s">
        <v>3650</v>
      </c>
      <c r="F5035" s="17"/>
      <c r="G5035" s="18"/>
      <c r="H5035" s="18"/>
    </row>
    <row r="5036" spans="1:8" ht="13.2">
      <c r="A5036" s="15" t="s">
        <v>3756</v>
      </c>
      <c r="B5036" s="37" t="s">
        <v>3649</v>
      </c>
      <c r="C5036" s="40">
        <v>4</v>
      </c>
      <c r="D5036" s="18"/>
      <c r="E5036" s="17" t="s">
        <v>3650</v>
      </c>
      <c r="F5036" s="17"/>
      <c r="G5036" s="18"/>
      <c r="H5036" s="18"/>
    </row>
    <row r="5037" spans="1:8" ht="13.2">
      <c r="A5037" s="15" t="s">
        <v>3757</v>
      </c>
      <c r="B5037" s="28" t="s">
        <v>3649</v>
      </c>
      <c r="C5037" s="24">
        <v>4</v>
      </c>
      <c r="D5037" s="18"/>
      <c r="E5037" s="17" t="s">
        <v>3650</v>
      </c>
      <c r="F5037" s="17"/>
      <c r="G5037" s="18"/>
      <c r="H5037" s="18"/>
    </row>
    <row r="5038" spans="1:8" ht="13.2">
      <c r="A5038" s="15" t="s">
        <v>3758</v>
      </c>
      <c r="B5038" s="28" t="s">
        <v>3759</v>
      </c>
      <c r="C5038" s="24">
        <v>4</v>
      </c>
      <c r="D5038" s="18"/>
      <c r="E5038" s="17" t="s">
        <v>3650</v>
      </c>
      <c r="F5038" s="17"/>
      <c r="G5038" s="18"/>
      <c r="H5038" s="18"/>
    </row>
    <row r="5039" spans="1:8" ht="13.2">
      <c r="A5039" s="15" t="s">
        <v>3760</v>
      </c>
      <c r="B5039" s="30" t="s">
        <v>3746</v>
      </c>
      <c r="C5039" s="17">
        <v>4</v>
      </c>
      <c r="D5039" s="18"/>
      <c r="E5039" s="17" t="s">
        <v>3650</v>
      </c>
      <c r="F5039" s="17"/>
      <c r="G5039" s="18"/>
      <c r="H5039" s="18"/>
    </row>
    <row r="5040" spans="1:8" ht="13.2">
      <c r="A5040" s="19" t="str">
        <f>HYPERLINK("http://codeforces.com/contest/382/problem/D","CF382-D2-D")</f>
        <v>CF382-D2-D</v>
      </c>
      <c r="B5040" s="29" t="s">
        <v>3660</v>
      </c>
      <c r="C5040" s="33">
        <v>4</v>
      </c>
      <c r="D5040" s="18"/>
      <c r="E5040" s="17" t="s">
        <v>3650</v>
      </c>
      <c r="F5040" s="17"/>
      <c r="G5040" s="18"/>
      <c r="H5040" s="18"/>
    </row>
    <row r="5041" spans="1:8" ht="13.2">
      <c r="A5041" s="19" t="str">
        <f>HYPERLINK("http://codeforces.com/contest/699/problem/D","CF699-D2-D")</f>
        <v>CF699-D2-D</v>
      </c>
      <c r="B5041" s="18" t="s">
        <v>3660</v>
      </c>
      <c r="C5041" s="17">
        <v>4</v>
      </c>
      <c r="D5041" s="18"/>
      <c r="E5041" s="17" t="s">
        <v>3650</v>
      </c>
      <c r="F5041" s="17"/>
      <c r="G5041" s="18"/>
      <c r="H5041" s="18"/>
    </row>
    <row r="5042" spans="1:8" ht="13.2">
      <c r="A5042" s="19" t="str">
        <f>HYPERLINK("https://www.hackerrank.com/challenges/synchronous-shopping","HACKER synchronous-shopping")</f>
        <v>HACKER synchronous-shopping</v>
      </c>
      <c r="B5042" s="29" t="s">
        <v>3791</v>
      </c>
      <c r="C5042" s="17">
        <v>4</v>
      </c>
      <c r="D5042" s="18"/>
      <c r="E5042" s="17" t="s">
        <v>3784</v>
      </c>
      <c r="F5042" s="17"/>
      <c r="G5042" s="18"/>
      <c r="H5042" s="18"/>
    </row>
    <row r="5043" spans="1:8" ht="13.2">
      <c r="A5043" s="15" t="s">
        <v>3860</v>
      </c>
      <c r="B5043" s="29" t="s">
        <v>3791</v>
      </c>
      <c r="C5043" s="33">
        <v>4</v>
      </c>
      <c r="D5043" s="18"/>
      <c r="E5043" s="17" t="s">
        <v>3784</v>
      </c>
      <c r="F5043" s="17"/>
      <c r="G5043" s="18"/>
      <c r="H5043" s="18"/>
    </row>
    <row r="5044" spans="1:8" ht="13.2">
      <c r="A5044" s="15" t="s">
        <v>3861</v>
      </c>
      <c r="B5044" s="15" t="s">
        <v>3791</v>
      </c>
      <c r="C5044" s="24">
        <v>4</v>
      </c>
      <c r="D5044" s="18"/>
      <c r="E5044" s="17" t="s">
        <v>3784</v>
      </c>
      <c r="F5044" s="17"/>
      <c r="G5044" s="18"/>
      <c r="H5044" s="18"/>
    </row>
    <row r="5045" spans="1:8" ht="13.2">
      <c r="A5045" s="19" t="str">
        <f>HYPERLINK("https://uva.onlinejudge.org/index.php?option=com_onlinejudge&amp;Itemid=8&amp;page=show_problem&amp;problem=703","UVA 762")</f>
        <v>UVA 762</v>
      </c>
      <c r="B5045" s="18" t="s">
        <v>3862</v>
      </c>
      <c r="C5045" s="17">
        <v>4</v>
      </c>
      <c r="D5045" s="18"/>
      <c r="E5045" s="17" t="s">
        <v>3784</v>
      </c>
      <c r="F5045" s="17"/>
      <c r="G5045" s="18"/>
      <c r="H5045" s="18"/>
    </row>
    <row r="5046" spans="1:8" ht="13.2">
      <c r="A5046" s="15" t="s">
        <v>3863</v>
      </c>
      <c r="B5046" s="18" t="s">
        <v>3864</v>
      </c>
      <c r="C5046" s="17">
        <v>4</v>
      </c>
      <c r="D5046" s="26" t="str">
        <f>HYPERLINK("https://github.com/magdy-hasan/competitive-programming/blob/master/uva-/uva%2011813%20-%20Shopping.cpp","Sol")</f>
        <v>Sol</v>
      </c>
      <c r="E5046" s="17" t="s">
        <v>3784</v>
      </c>
      <c r="F5046" s="17"/>
      <c r="G5046" s="18"/>
      <c r="H5046" s="18"/>
    </row>
    <row r="5047" spans="1:8" ht="13.2">
      <c r="A5047" s="15" t="s">
        <v>3865</v>
      </c>
      <c r="B5047" s="28" t="s">
        <v>3866</v>
      </c>
      <c r="C5047" s="33">
        <v>4</v>
      </c>
      <c r="D5047" s="26" t="str">
        <f>HYPERLINK("https://github.com/AbdelrahmanRamadan/competitive-programming/blob/master/Topcoder/SRM368%20Jumping%20Board.cpp","Sol")</f>
        <v>Sol</v>
      </c>
      <c r="E5047" s="17" t="s">
        <v>3784</v>
      </c>
      <c r="F5047" s="17"/>
      <c r="G5047" s="18"/>
      <c r="H5047" s="18"/>
    </row>
    <row r="5048" spans="1:8" ht="13.2">
      <c r="A5048" s="15" t="s">
        <v>3867</v>
      </c>
      <c r="B5048" s="30" t="s">
        <v>3868</v>
      </c>
      <c r="C5048" s="33">
        <v>4</v>
      </c>
      <c r="D5048" s="18"/>
      <c r="E5048" s="17" t="s">
        <v>3784</v>
      </c>
      <c r="F5048" s="17"/>
      <c r="G5048" s="18"/>
      <c r="H5048" s="18"/>
    </row>
    <row r="5049" spans="1:8" ht="13.2">
      <c r="A5049" s="19" t="str">
        <f>HYPERLINK("http://codeforces.com/contest/278/problem/C","CF278-D2-C")</f>
        <v>CF278-D2-C</v>
      </c>
      <c r="B5049" s="29" t="s">
        <v>3886</v>
      </c>
      <c r="C5049" s="17">
        <v>4</v>
      </c>
      <c r="D5049" s="18"/>
      <c r="E5049" s="17" t="s">
        <v>3883</v>
      </c>
      <c r="F5049" s="17"/>
      <c r="G5049" s="18"/>
      <c r="H5049" s="18"/>
    </row>
    <row r="5050" spans="1:8" ht="13.2">
      <c r="A5050" s="15" t="s">
        <v>3937</v>
      </c>
      <c r="B5050" s="28" t="s">
        <v>3886</v>
      </c>
      <c r="C5050" s="33">
        <v>4</v>
      </c>
      <c r="D5050" s="18"/>
      <c r="E5050" s="24" t="s">
        <v>3883</v>
      </c>
      <c r="F5050" s="17"/>
      <c r="G5050" s="18"/>
      <c r="H5050" s="18"/>
    </row>
    <row r="5051" spans="1:8" ht="13.2">
      <c r="A5051" s="19" t="str">
        <f>HYPERLINK("https://uva.onlinejudge.org/index.php?option=onlinejudge&amp;page=show_problem&amp;problem=2498","UVA 11503")</f>
        <v>UVA 11503</v>
      </c>
      <c r="B5051" s="29" t="s">
        <v>3886</v>
      </c>
      <c r="C5051" s="17">
        <v>4</v>
      </c>
      <c r="D5051" s="18"/>
      <c r="E5051" s="17" t="s">
        <v>3883</v>
      </c>
      <c r="F5051" s="17"/>
      <c r="G5051" s="18"/>
      <c r="H5051" s="18"/>
    </row>
    <row r="5052" spans="1:8" ht="13.2">
      <c r="A5052" s="15" t="s">
        <v>3938</v>
      </c>
      <c r="B5052" s="30" t="s">
        <v>3886</v>
      </c>
      <c r="C5052" s="24">
        <v>4</v>
      </c>
      <c r="D5052" s="18"/>
      <c r="E5052" s="17" t="s">
        <v>3883</v>
      </c>
      <c r="F5052" s="17"/>
      <c r="G5052" s="18"/>
      <c r="H5052" s="18"/>
    </row>
    <row r="5053" spans="1:8" ht="13.2">
      <c r="A5053" s="15" t="s">
        <v>3939</v>
      </c>
      <c r="B5053" s="30" t="s">
        <v>3886</v>
      </c>
      <c r="C5053" s="40">
        <v>4</v>
      </c>
      <c r="D5053" s="18"/>
      <c r="E5053" s="17" t="s">
        <v>3883</v>
      </c>
      <c r="F5053" s="17"/>
      <c r="G5053" s="18"/>
      <c r="H5053" s="18"/>
    </row>
    <row r="5054" spans="1:8" ht="13.2">
      <c r="A5054" s="15" t="s">
        <v>3940</v>
      </c>
      <c r="B5054" s="28" t="s">
        <v>3941</v>
      </c>
      <c r="C5054" s="24">
        <v>4</v>
      </c>
      <c r="D5054" s="18"/>
      <c r="E5054" s="17" t="s">
        <v>3883</v>
      </c>
      <c r="F5054" s="17"/>
      <c r="G5054" s="18"/>
      <c r="H5054" s="18"/>
    </row>
    <row r="5055" spans="1:8" ht="13.2">
      <c r="A5055" s="15" t="s">
        <v>4039</v>
      </c>
      <c r="B5055" s="30" t="s">
        <v>4031</v>
      </c>
      <c r="C5055" s="24">
        <v>4</v>
      </c>
      <c r="D5055" s="26" t="str">
        <f>HYPERLINK("https://github.com/ahmedcpbl/CompetitiveProgramming/blob/master/UVA/12319.cpp","Sol")</f>
        <v>Sol</v>
      </c>
      <c r="E5055" s="17" t="s">
        <v>3998</v>
      </c>
      <c r="F5055" s="17"/>
      <c r="G5055" s="18"/>
      <c r="H5055" s="18"/>
    </row>
    <row r="5056" spans="1:8" ht="13.2">
      <c r="A5056" s="15" t="s">
        <v>4040</v>
      </c>
      <c r="B5056" s="37" t="s">
        <v>4041</v>
      </c>
      <c r="C5056" s="17">
        <v>4</v>
      </c>
      <c r="D5056" s="18"/>
      <c r="E5056" s="17" t="s">
        <v>3998</v>
      </c>
      <c r="F5056" s="17"/>
      <c r="G5056" s="18"/>
      <c r="H5056" s="18"/>
    </row>
    <row r="5057" spans="1:8" ht="13.2">
      <c r="A5057" s="15" t="s">
        <v>4042</v>
      </c>
      <c r="B5057" s="18" t="s">
        <v>4043</v>
      </c>
      <c r="C5057" s="17">
        <v>4</v>
      </c>
      <c r="D5057" s="18"/>
      <c r="E5057" s="17" t="s">
        <v>3998</v>
      </c>
      <c r="F5057" s="17"/>
      <c r="G5057" s="18"/>
      <c r="H5057" s="18"/>
    </row>
    <row r="5058" spans="1:8" ht="13.2">
      <c r="A5058" s="15" t="s">
        <v>4044</v>
      </c>
      <c r="B5058" s="38" t="s">
        <v>4043</v>
      </c>
      <c r="C5058" s="17">
        <v>4</v>
      </c>
      <c r="D5058" s="26" t="str">
        <f>HYPERLINK("https://github.com/ahmedcpbl/CompetitiveProgramming/blob/master/UVA/1233.cpp","Sol")</f>
        <v>Sol</v>
      </c>
      <c r="E5058" s="17" t="s">
        <v>3998</v>
      </c>
      <c r="F5058" s="17"/>
      <c r="G5058" s="18"/>
      <c r="H5058" s="18"/>
    </row>
    <row r="5059" spans="1:8" ht="13.2">
      <c r="A5059" s="15" t="s">
        <v>4045</v>
      </c>
      <c r="B5059" s="28" t="s">
        <v>4046</v>
      </c>
      <c r="C5059" s="33">
        <v>4</v>
      </c>
      <c r="D5059" s="18"/>
      <c r="E5059" s="17" t="s">
        <v>3998</v>
      </c>
      <c r="F5059" s="17"/>
      <c r="G5059" s="18"/>
      <c r="H5059" s="18"/>
    </row>
    <row r="5060" spans="1:8" ht="13.2">
      <c r="A5060" s="15" t="s">
        <v>4047</v>
      </c>
      <c r="B5060" s="30" t="s">
        <v>4048</v>
      </c>
      <c r="C5060" s="17">
        <v>4</v>
      </c>
      <c r="D5060" s="26" t="str">
        <f>HYPERLINK("http://ideone.com/mzXQ8U","Sol")</f>
        <v>Sol</v>
      </c>
      <c r="E5060" s="17" t="s">
        <v>3998</v>
      </c>
      <c r="F5060" s="17"/>
      <c r="G5060" s="18"/>
      <c r="H5060" s="18"/>
    </row>
    <row r="5061" spans="1:8" ht="13.2">
      <c r="A5061" s="19" t="str">
        <f>HYPERLINK("https://uva.onlinejudge.org/index.php?option=onlinejudge&amp;page=show_problem&amp;problem=1271","UVA 10330")</f>
        <v>UVA 10330</v>
      </c>
      <c r="B5061" s="29" t="s">
        <v>4123</v>
      </c>
      <c r="C5061" s="17">
        <v>4</v>
      </c>
      <c r="D5061" s="26" t="str">
        <f>HYPERLINK("https://github.com/ilyesG/Competitive-Programming/blob/master/UVA/UVA%2010330.cpp","Sol")</f>
        <v>Sol</v>
      </c>
      <c r="E5061" s="17" t="s">
        <v>4060</v>
      </c>
      <c r="F5061" s="17"/>
      <c r="G5061" s="18"/>
      <c r="H5061" s="18"/>
    </row>
    <row r="5062" spans="1:8" ht="13.2">
      <c r="A5062" s="15" t="s">
        <v>4230</v>
      </c>
      <c r="B5062" s="28" t="s">
        <v>4149</v>
      </c>
      <c r="C5062" s="24">
        <v>4</v>
      </c>
      <c r="D5062" s="18"/>
      <c r="E5062" s="24" t="s">
        <v>4144</v>
      </c>
      <c r="F5062" s="17"/>
      <c r="G5062" s="18"/>
      <c r="H5062" s="18"/>
    </row>
    <row r="5063" spans="1:8" ht="13.2">
      <c r="A5063" s="15" t="s">
        <v>4231</v>
      </c>
      <c r="B5063" s="39" t="s">
        <v>4149</v>
      </c>
      <c r="C5063" s="24">
        <v>4</v>
      </c>
      <c r="D5063" s="18"/>
      <c r="E5063" s="17" t="s">
        <v>4144</v>
      </c>
      <c r="F5063" s="17"/>
      <c r="G5063" s="18"/>
      <c r="H5063" s="18"/>
    </row>
    <row r="5064" spans="1:8" ht="13.2">
      <c r="A5064" s="19" t="str">
        <f>HYPERLINK("https://uva.onlinejudge.org/index.php?option=com_onlinejudge&amp;Itemid=8&amp;page=show_problem&amp;problem=1021","UVA 10080")</f>
        <v>UVA 10080</v>
      </c>
      <c r="B5064" s="29" t="s">
        <v>4149</v>
      </c>
      <c r="C5064" s="17">
        <v>4</v>
      </c>
      <c r="D5064" s="26" t="str">
        <f>HYPERLINK("https://github.com/ilyesG/Competitive-Programming/blob/master/UVA/UVA%2010080.cpp","Sol")</f>
        <v>Sol</v>
      </c>
      <c r="E5064" s="17" t="s">
        <v>4144</v>
      </c>
      <c r="F5064" s="17"/>
      <c r="G5064" s="18"/>
      <c r="H5064" s="18"/>
    </row>
    <row r="5065" spans="1:8" ht="13.2">
      <c r="A5065" s="15" t="s">
        <v>4232</v>
      </c>
      <c r="B5065" s="29" t="s">
        <v>4203</v>
      </c>
      <c r="C5065" s="17">
        <v>4</v>
      </c>
      <c r="D5065" s="18"/>
      <c r="E5065" s="17" t="s">
        <v>4144</v>
      </c>
      <c r="F5065" s="17"/>
      <c r="G5065" s="18"/>
      <c r="H5065" s="18"/>
    </row>
    <row r="5066" spans="1:8" ht="13.2">
      <c r="A5066" s="15" t="s">
        <v>4233</v>
      </c>
      <c r="B5066" s="39" t="s">
        <v>4234</v>
      </c>
      <c r="C5066" s="24">
        <v>4</v>
      </c>
      <c r="D5066" s="26" t="str">
        <f>HYPERLINK("https://github.com/3agwa/CompetitiveProgramming/blob/master/SPOJ/SPOJ%20MATCHING.cpp","Sol")</f>
        <v>Sol</v>
      </c>
      <c r="E5066" s="17" t="s">
        <v>4144</v>
      </c>
      <c r="F5066" s="17"/>
      <c r="G5066" s="18"/>
      <c r="H5066" s="18"/>
    </row>
    <row r="5067" spans="1:8" ht="13.2">
      <c r="A5067" s="15" t="s">
        <v>4331</v>
      </c>
      <c r="B5067" s="28" t="s">
        <v>4279</v>
      </c>
      <c r="C5067" s="24">
        <v>4</v>
      </c>
      <c r="D5067" s="18"/>
      <c r="E5067" s="24" t="s">
        <v>4275</v>
      </c>
      <c r="F5067" s="17"/>
      <c r="G5067" s="18"/>
      <c r="H5067" s="18"/>
    </row>
    <row r="5068" spans="1:8" ht="13.2">
      <c r="A5068" s="15" t="s">
        <v>4332</v>
      </c>
      <c r="B5068" s="30" t="s">
        <v>4279</v>
      </c>
      <c r="C5068" s="24">
        <v>4</v>
      </c>
      <c r="D5068" s="18"/>
      <c r="E5068" s="17" t="s">
        <v>4275</v>
      </c>
      <c r="F5068" s="17"/>
      <c r="G5068" s="18"/>
      <c r="H5068" s="18"/>
    </row>
    <row r="5069" spans="1:8" ht="13.2">
      <c r="A5069" s="15" t="s">
        <v>4333</v>
      </c>
      <c r="B5069" s="28" t="s">
        <v>4334</v>
      </c>
      <c r="C5069" s="17">
        <v>4</v>
      </c>
      <c r="D5069" s="26" t="str">
        <f>HYPERLINK("https://github.com/AbdelrahmanRamadan/competitive-programming/blob/master/Topcoder/SRM368%20Jumping%20Board.cpp","Sol")</f>
        <v>Sol</v>
      </c>
      <c r="E5069" s="17" t="s">
        <v>4275</v>
      </c>
      <c r="F5069" s="17"/>
      <c r="G5069" s="18"/>
      <c r="H5069" s="18"/>
    </row>
    <row r="5070" spans="1:8" ht="13.2">
      <c r="A5070" s="19" t="str">
        <f>HYPERLINK("https://www.spoj.com/problems/BUGLIFE/","SPOJ BUGLIFE")</f>
        <v>SPOJ BUGLIFE</v>
      </c>
      <c r="B5070" s="15" t="s">
        <v>4406</v>
      </c>
      <c r="C5070" s="17">
        <v>4</v>
      </c>
      <c r="D5070" s="26" t="str">
        <f>HYPERLINK("https://github.com/miguelAlessandro/CompetitiveProgramming/blob/master/spoj/BUGLIFE.cpp","Sol")</f>
        <v>Sol</v>
      </c>
      <c r="E5070" s="17" t="s">
        <v>4379</v>
      </c>
      <c r="F5070" s="17"/>
      <c r="G5070" s="18"/>
      <c r="H5070" s="18"/>
    </row>
    <row r="5071" spans="1:8" ht="13.2">
      <c r="A5071" s="15" t="s">
        <v>4451</v>
      </c>
      <c r="B5071" s="43" t="s">
        <v>4427</v>
      </c>
      <c r="C5071" s="24">
        <v>4</v>
      </c>
      <c r="D5071" s="18"/>
      <c r="E5071" s="17" t="s">
        <v>4423</v>
      </c>
      <c r="F5071" s="17"/>
      <c r="G5071" s="18"/>
      <c r="H5071" s="18"/>
    </row>
    <row r="5072" spans="1:8" ht="13.2">
      <c r="A5072" s="15" t="s">
        <v>4498</v>
      </c>
      <c r="B5072" s="43" t="s">
        <v>4499</v>
      </c>
      <c r="C5072" s="40">
        <v>4</v>
      </c>
      <c r="D5072" s="26" t="str">
        <f>HYPERLINK("https://github.com/ahmedsamir221/CompetitiveProgramming/blob/master/SPOJ/SPOJ%20QTREE2.cpp","Sol")</f>
        <v>Sol</v>
      </c>
      <c r="E5072" s="17" t="s">
        <v>4454</v>
      </c>
      <c r="F5072" s="17"/>
      <c r="G5072" s="18"/>
      <c r="H5072" s="18"/>
    </row>
    <row r="5073" spans="1:8" ht="13.2">
      <c r="A5073" s="15" t="s">
        <v>4509</v>
      </c>
      <c r="B5073" s="28" t="s">
        <v>4503</v>
      </c>
      <c r="C5073" s="24">
        <v>4</v>
      </c>
      <c r="D5073" s="18"/>
      <c r="E5073" s="17" t="s">
        <v>4504</v>
      </c>
      <c r="F5073" s="17"/>
      <c r="G5073" s="18"/>
      <c r="H5073" s="18"/>
    </row>
    <row r="5074" spans="1:8" ht="13.2">
      <c r="A5074" s="19" t="str">
        <f>HYPERLINK("http://codeforces.com/contest/182/problem/D","CF182-D2-D")</f>
        <v>CF182-D2-D</v>
      </c>
      <c r="B5074" s="29" t="s">
        <v>4530</v>
      </c>
      <c r="C5074" s="17">
        <v>4</v>
      </c>
      <c r="D5074" s="18"/>
      <c r="E5074" s="17" t="s">
        <v>4531</v>
      </c>
      <c r="F5074" s="17"/>
      <c r="G5074" s="18"/>
      <c r="H5074" s="18"/>
    </row>
    <row r="5075" spans="1:8" ht="13.2">
      <c r="A5075" s="19" t="str">
        <f>HYPERLINK("http://codeforces.com/contest/186/problem/C","CF186-D2-C")</f>
        <v>CF186-D2-C</v>
      </c>
      <c r="B5075" s="29" t="s">
        <v>4530</v>
      </c>
      <c r="C5075" s="17">
        <v>4</v>
      </c>
      <c r="D5075" s="18"/>
      <c r="E5075" s="17" t="s">
        <v>4531</v>
      </c>
      <c r="F5075" s="17"/>
      <c r="G5075" s="18"/>
      <c r="H5075" s="18"/>
    </row>
    <row r="5076" spans="1:8" ht="13.2">
      <c r="A5076" s="19" t="str">
        <f>HYPERLINK("http://codeforces.com/contest/424/problem/C","CF424-D2-C")</f>
        <v>CF424-D2-C</v>
      </c>
      <c r="B5076" s="29" t="s">
        <v>4530</v>
      </c>
      <c r="C5076" s="17">
        <v>4</v>
      </c>
      <c r="D5076" s="18"/>
      <c r="E5076" s="17" t="s">
        <v>4531</v>
      </c>
      <c r="F5076" s="17"/>
      <c r="G5076" s="18"/>
      <c r="H5076" s="18"/>
    </row>
    <row r="5077" spans="1:8" ht="13.2">
      <c r="A5077" s="19" t="str">
        <f>HYPERLINK("http://codeforces.com/contest/588/problem/B","CF588-D2-B")</f>
        <v>CF588-D2-B</v>
      </c>
      <c r="B5077" s="29" t="s">
        <v>4530</v>
      </c>
      <c r="C5077" s="17">
        <v>4</v>
      </c>
      <c r="D5077" s="18"/>
      <c r="E5077" s="17" t="s">
        <v>4531</v>
      </c>
      <c r="F5077" s="17"/>
      <c r="G5077" s="18"/>
      <c r="H5077" s="18"/>
    </row>
    <row r="5078" spans="1:8" ht="13.2">
      <c r="A5078" s="19" t="str">
        <f>HYPERLINK("https://uva.onlinejudge.org/index.php?option=com_onlinejudge&amp;Itemid=8&amp;page=show_problem&amp;problem=1051","UVA 10110")</f>
        <v>UVA 10110</v>
      </c>
      <c r="B5078" s="29" t="s">
        <v>4530</v>
      </c>
      <c r="C5078" s="17">
        <v>4</v>
      </c>
      <c r="D5078" s="18"/>
      <c r="E5078" s="17" t="s">
        <v>4531</v>
      </c>
      <c r="F5078" s="17"/>
      <c r="G5078" s="18"/>
      <c r="H5078" s="18"/>
    </row>
    <row r="5079" spans="1:8" ht="13.2">
      <c r="A5079" s="15" t="s">
        <v>4716</v>
      </c>
      <c r="B5079" s="28" t="s">
        <v>4530</v>
      </c>
      <c r="C5079" s="33">
        <v>4</v>
      </c>
      <c r="D5079" s="18"/>
      <c r="E5079" s="17" t="s">
        <v>4531</v>
      </c>
      <c r="F5079" s="17"/>
      <c r="G5079" s="18"/>
      <c r="H5079" s="18"/>
    </row>
    <row r="5080" spans="1:8" ht="13.2">
      <c r="A5080" s="19" t="str">
        <f>HYPERLINK("http://codeforces.com/contest/71/problem/C","CF71-D2-C")</f>
        <v>CF71-D2-C</v>
      </c>
      <c r="B5080" s="29" t="s">
        <v>4595</v>
      </c>
      <c r="C5080" s="17">
        <v>4</v>
      </c>
      <c r="D5080" s="18"/>
      <c r="E5080" s="17" t="s">
        <v>4531</v>
      </c>
      <c r="F5080" s="17"/>
      <c r="G5080" s="18"/>
      <c r="H5080" s="18"/>
    </row>
    <row r="5081" spans="1:8" ht="13.2">
      <c r="A5081" s="15" t="s">
        <v>4717</v>
      </c>
      <c r="B5081" s="18" t="s">
        <v>4718</v>
      </c>
      <c r="C5081" s="17">
        <v>4</v>
      </c>
      <c r="D5081" s="18"/>
      <c r="E5081" s="17" t="s">
        <v>4531</v>
      </c>
      <c r="F5081" s="17"/>
      <c r="G5081" s="18"/>
      <c r="H5081" s="18"/>
    </row>
    <row r="5082" spans="1:8" ht="13.2">
      <c r="A5082" s="19" t="str">
        <f>HYPERLINK("http://codeforces.com/contest/978/problem/E","CF978-D3-E")</f>
        <v>CF978-D3-E</v>
      </c>
      <c r="B5082" s="20" t="s">
        <v>4719</v>
      </c>
      <c r="C5082" s="21">
        <v>4</v>
      </c>
      <c r="D5082" s="18"/>
      <c r="E5082" s="17" t="s">
        <v>4531</v>
      </c>
      <c r="F5082" s="17"/>
      <c r="G5082" s="18"/>
      <c r="H5082" s="18"/>
    </row>
    <row r="5083" spans="1:8" ht="13.2">
      <c r="A5083" s="19" t="str">
        <f>HYPERLINK("https://csacademy.com/contest/round-59/task/win-percentages/","CSA59-B")</f>
        <v>CSA59-B</v>
      </c>
      <c r="B5083" s="15" t="s">
        <v>4535</v>
      </c>
      <c r="C5083" s="17">
        <v>4</v>
      </c>
      <c r="D5083" s="18"/>
      <c r="E5083" s="17" t="s">
        <v>4531</v>
      </c>
      <c r="F5083" s="17"/>
      <c r="G5083" s="18"/>
      <c r="H5083" s="18"/>
    </row>
    <row r="5084" spans="1:8" ht="13.2">
      <c r="A5084" s="19" t="str">
        <f>HYPERLINK("http://codeforces.com/contest/304/problem/C","CF304-D2-C")</f>
        <v>CF304-D2-C</v>
      </c>
      <c r="B5084" s="29" t="s">
        <v>4710</v>
      </c>
      <c r="C5084" s="17">
        <v>4</v>
      </c>
      <c r="D5084" s="18"/>
      <c r="E5084" s="17" t="s">
        <v>4531</v>
      </c>
      <c r="F5084" s="17"/>
      <c r="G5084" s="18"/>
      <c r="H5084" s="18"/>
    </row>
    <row r="5085" spans="1:8" ht="13.2">
      <c r="A5085" s="15" t="s">
        <v>4720</v>
      </c>
      <c r="B5085" s="29" t="s">
        <v>4606</v>
      </c>
      <c r="C5085" s="24">
        <v>4</v>
      </c>
      <c r="D5085" s="18"/>
      <c r="E5085" s="17" t="s">
        <v>4531</v>
      </c>
      <c r="F5085" s="17"/>
      <c r="G5085" s="18"/>
      <c r="H5085" s="18"/>
    </row>
    <row r="5086" spans="1:8" ht="13.2">
      <c r="A5086" s="19" t="str">
        <f>HYPERLINK("http://codeforces.com/contest/488/problem/B","CF488-D2-B")</f>
        <v>CF488-D2-B</v>
      </c>
      <c r="B5086" s="29" t="s">
        <v>4562</v>
      </c>
      <c r="C5086" s="17">
        <v>4</v>
      </c>
      <c r="D5086" s="18"/>
      <c r="E5086" s="17" t="s">
        <v>4531</v>
      </c>
      <c r="F5086" s="17"/>
      <c r="G5086" s="18"/>
      <c r="H5086" s="18"/>
    </row>
    <row r="5087" spans="1:8" ht="13.2">
      <c r="A5087" s="15" t="s">
        <v>4721</v>
      </c>
      <c r="B5087" s="41" t="s">
        <v>4722</v>
      </c>
      <c r="C5087" s="17">
        <v>4</v>
      </c>
      <c r="D5087" s="18"/>
      <c r="E5087" s="17" t="s">
        <v>4531</v>
      </c>
      <c r="F5087" s="17"/>
      <c r="G5087" s="18"/>
      <c r="H5087" s="18"/>
    </row>
    <row r="5088" spans="1:8" ht="13.2">
      <c r="A5088" s="15" t="s">
        <v>4723</v>
      </c>
      <c r="B5088" s="48" t="s">
        <v>4564</v>
      </c>
      <c r="C5088" s="31">
        <v>4</v>
      </c>
      <c r="D5088" s="18"/>
      <c r="E5088" s="17" t="s">
        <v>4531</v>
      </c>
      <c r="F5088" s="17"/>
      <c r="G5088" s="18"/>
      <c r="H5088" s="18"/>
    </row>
    <row r="5089" spans="1:8" ht="13.2">
      <c r="A5089" s="15" t="s">
        <v>789</v>
      </c>
      <c r="B5089" s="16" t="s">
        <v>740</v>
      </c>
      <c r="C5089" s="31">
        <v>4</v>
      </c>
      <c r="D5089" s="18"/>
      <c r="E5089" s="17" t="s">
        <v>741</v>
      </c>
      <c r="F5089" s="17"/>
      <c r="G5089" s="18"/>
      <c r="H5089" s="18"/>
    </row>
    <row r="5090" spans="1:8" ht="13.2">
      <c r="A5090" s="15" t="s">
        <v>790</v>
      </c>
      <c r="B5090" s="18" t="s">
        <v>791</v>
      </c>
      <c r="C5090" s="33">
        <v>4</v>
      </c>
      <c r="D5090" s="18"/>
      <c r="E5090" s="17" t="s">
        <v>741</v>
      </c>
      <c r="F5090" s="17"/>
      <c r="G5090" s="18"/>
      <c r="H5090" s="18"/>
    </row>
    <row r="5091" spans="1:8" ht="13.2">
      <c r="A5091" s="15" t="s">
        <v>4760</v>
      </c>
      <c r="B5091" s="29" t="s">
        <v>4761</v>
      </c>
      <c r="C5091" s="24">
        <v>4</v>
      </c>
      <c r="D5091" s="26" t="str">
        <f>HYPERLINK("https://github.com/MedoN11/CompetitiveProgramming/blob/master/UVA/11415.cpp","Sol")</f>
        <v>Sol</v>
      </c>
      <c r="E5091" s="17" t="s">
        <v>4751</v>
      </c>
      <c r="F5091" s="17"/>
      <c r="G5091" s="18"/>
      <c r="H5091" s="18"/>
    </row>
    <row r="5092" spans="1:8" ht="13.2">
      <c r="A5092" s="19" t="str">
        <f>HYPERLINK("https://agc004.contest.atcoder.jp/tasks/agc004_a","AtCoder004-AGC-A")</f>
        <v>AtCoder004-AGC-A</v>
      </c>
      <c r="B5092" s="15" t="s">
        <v>4799</v>
      </c>
      <c r="C5092" s="17">
        <v>4</v>
      </c>
      <c r="D5092" s="18"/>
      <c r="E5092" s="17" t="s">
        <v>4778</v>
      </c>
      <c r="F5092" s="17"/>
      <c r="G5092" s="18"/>
      <c r="H5092" s="18"/>
    </row>
    <row r="5093" spans="1:8" ht="13.2">
      <c r="A5093" s="15" t="s">
        <v>4800</v>
      </c>
      <c r="B5093" s="38" t="s">
        <v>4801</v>
      </c>
      <c r="C5093" s="24">
        <v>4</v>
      </c>
      <c r="D5093" s="18"/>
      <c r="E5093" s="17" t="s">
        <v>4778</v>
      </c>
      <c r="F5093" s="17"/>
      <c r="G5093" s="18"/>
      <c r="H5093" s="18"/>
    </row>
    <row r="5094" spans="1:8" ht="13.2">
      <c r="A5094" s="19" t="str">
        <f>HYPERLINK("https://uva.onlinejudge.org/index.php?option=onlinejudge&amp;page=show_problem&amp;problem=1658","UVA 10717")</f>
        <v>UVA 10717</v>
      </c>
      <c r="B5094" s="29" t="s">
        <v>4812</v>
      </c>
      <c r="C5094" s="17">
        <v>4</v>
      </c>
      <c r="D5094" s="26" t="str">
        <f>HYPERLINK("https://github.com/magdy-hasan/competitive-programming/blob/master/uva-/uva%2010717%20-%20Mint.cpp","Sol")</f>
        <v>Sol</v>
      </c>
      <c r="E5094" s="17" t="s">
        <v>4809</v>
      </c>
      <c r="F5094" s="17"/>
      <c r="G5094" s="18"/>
      <c r="H5094" s="18"/>
    </row>
    <row r="5095" spans="1:8" ht="13.2">
      <c r="A5095" s="15" t="s">
        <v>4857</v>
      </c>
      <c r="B5095" s="29" t="s">
        <v>4858</v>
      </c>
      <c r="C5095" s="24">
        <v>4</v>
      </c>
      <c r="D5095" s="26" t="str">
        <f>HYPERLINK("https://ideone.com/TwEO76","Sol")</f>
        <v>Sol</v>
      </c>
      <c r="E5095" s="17" t="s">
        <v>4809</v>
      </c>
      <c r="F5095" s="17"/>
      <c r="G5095" s="18"/>
      <c r="H5095" s="18"/>
    </row>
    <row r="5096" spans="1:8" ht="13.2">
      <c r="A5096" s="15" t="s">
        <v>4872</v>
      </c>
      <c r="B5096" s="28" t="s">
        <v>4866</v>
      </c>
      <c r="C5096" s="17">
        <v>4</v>
      </c>
      <c r="D5096" s="18"/>
      <c r="E5096" s="24" t="s">
        <v>4867</v>
      </c>
      <c r="F5096" s="17"/>
      <c r="G5096" s="18"/>
      <c r="H5096" s="18"/>
    </row>
    <row r="5097" spans="1:8" ht="13.2">
      <c r="A5097" s="15" t="s">
        <v>4925</v>
      </c>
      <c r="B5097" s="30" t="s">
        <v>4926</v>
      </c>
      <c r="C5097" s="17">
        <v>4</v>
      </c>
      <c r="D5097" s="18"/>
      <c r="E5097" s="17" t="s">
        <v>4893</v>
      </c>
      <c r="F5097" s="17"/>
      <c r="G5097" s="18"/>
      <c r="H5097" s="18"/>
    </row>
    <row r="5098" spans="1:8" ht="13.2">
      <c r="A5098" s="19" t="str">
        <f>HYPERLINK("https://uva.onlinejudge.org/index.php?option=com_onlinejudge&amp;Itemid=8&amp;page=show_problem&amp;problem=668","UVA 727")</f>
        <v>UVA 727</v>
      </c>
      <c r="B5098" s="29" t="s">
        <v>4931</v>
      </c>
      <c r="C5098" s="17">
        <v>4</v>
      </c>
      <c r="D5098" s="18"/>
      <c r="E5098" s="17" t="s">
        <v>4932</v>
      </c>
      <c r="F5098" s="17"/>
      <c r="G5098" s="18"/>
      <c r="H5098" s="18"/>
    </row>
    <row r="5099" spans="1:8" ht="13.2">
      <c r="A5099" s="15" t="s">
        <v>4944</v>
      </c>
      <c r="B5099" s="29" t="s">
        <v>4945</v>
      </c>
      <c r="C5099" s="17">
        <v>4</v>
      </c>
      <c r="D5099" s="18"/>
      <c r="E5099" s="17" t="s">
        <v>4941</v>
      </c>
      <c r="F5099" s="17"/>
      <c r="G5099" s="18"/>
      <c r="H5099" s="18"/>
    </row>
    <row r="5100" spans="1:8" ht="13.2">
      <c r="A5100" s="15" t="s">
        <v>4953</v>
      </c>
      <c r="B5100" s="30" t="s">
        <v>4954</v>
      </c>
      <c r="C5100" s="24">
        <v>4</v>
      </c>
      <c r="D5100" s="18"/>
      <c r="E5100" s="17" t="s">
        <v>4950</v>
      </c>
      <c r="F5100" s="17"/>
      <c r="G5100" s="18"/>
      <c r="H5100" s="18"/>
    </row>
    <row r="5101" spans="1:8" ht="13.2">
      <c r="A5101" s="19" t="str">
        <f>HYPERLINK("http://codeforces.com/contest/131/problem/C","CF131-D2-C")</f>
        <v>CF131-D2-C</v>
      </c>
      <c r="B5101" s="29" t="s">
        <v>4964</v>
      </c>
      <c r="C5101" s="17">
        <v>4</v>
      </c>
      <c r="D5101" s="18"/>
      <c r="E5101" s="17" t="s">
        <v>4958</v>
      </c>
      <c r="F5101" s="17"/>
      <c r="G5101" s="18"/>
      <c r="H5101" s="18"/>
    </row>
    <row r="5102" spans="1:8" ht="13.2">
      <c r="A5102" s="19" t="str">
        <f>HYPERLINK("http://codeforces.com/contest/152/problem/C","CF152-D2-C")</f>
        <v>CF152-D2-C</v>
      </c>
      <c r="B5102" s="29" t="s">
        <v>4964</v>
      </c>
      <c r="C5102" s="17">
        <v>4</v>
      </c>
      <c r="D5102" s="18"/>
      <c r="E5102" s="17" t="s">
        <v>4958</v>
      </c>
      <c r="F5102" s="17"/>
      <c r="G5102" s="18"/>
      <c r="H5102" s="18"/>
    </row>
    <row r="5103" spans="1:8" ht="13.2">
      <c r="A5103" s="19" t="str">
        <f>HYPERLINK("https://uva.onlinejudge.org/index.php?option=onlinejudge&amp;page=show_problem&amp;problem=2172","UVA 11231")</f>
        <v>UVA 11231</v>
      </c>
      <c r="B5103" s="29" t="s">
        <v>4983</v>
      </c>
      <c r="C5103" s="17">
        <v>4</v>
      </c>
      <c r="D5103" s="18"/>
      <c r="E5103" s="17" t="s">
        <v>4958</v>
      </c>
      <c r="F5103" s="17"/>
      <c r="G5103" s="18"/>
      <c r="H5103" s="18"/>
    </row>
    <row r="5104" spans="1:8" ht="13.2">
      <c r="A5104" s="19" t="str">
        <f>HYPERLINK("https://www.hackerrank.com/challenges/number-list","HACKR number-list")</f>
        <v>HACKR number-list</v>
      </c>
      <c r="B5104" s="29" t="s">
        <v>5009</v>
      </c>
      <c r="C5104" s="17">
        <v>4</v>
      </c>
      <c r="D5104" s="18"/>
      <c r="E5104" s="17" t="s">
        <v>4958</v>
      </c>
      <c r="F5104" s="17"/>
      <c r="G5104" s="18"/>
      <c r="H5104" s="18"/>
    </row>
    <row r="5105" spans="1:8" ht="13.2">
      <c r="A5105" s="15" t="s">
        <v>5118</v>
      </c>
      <c r="B5105" s="28" t="s">
        <v>5077</v>
      </c>
      <c r="C5105" s="24">
        <v>4</v>
      </c>
      <c r="D5105" s="18"/>
      <c r="E5105" s="17" t="s">
        <v>5075</v>
      </c>
      <c r="F5105" s="17"/>
      <c r="G5105" s="18"/>
      <c r="H5105" s="18"/>
    </row>
    <row r="5106" spans="1:8" ht="13.2">
      <c r="A5106" s="15" t="s">
        <v>5119</v>
      </c>
      <c r="B5106" s="29" t="s">
        <v>5120</v>
      </c>
      <c r="C5106" s="24">
        <v>4</v>
      </c>
      <c r="D5106" s="18"/>
      <c r="E5106" s="17" t="s">
        <v>5075</v>
      </c>
      <c r="F5106" s="17"/>
      <c r="G5106" s="18"/>
      <c r="H5106" s="18"/>
    </row>
    <row r="5107" spans="1:8" ht="13.2">
      <c r="A5107" s="19" t="str">
        <f>HYPERLINK("https://uva.onlinejudge.org/index.php?option=onlinejudge&amp;Itemid=8&amp;page=show_problem&amp;problem=1080","UVA 10139")</f>
        <v>UVA 10139</v>
      </c>
      <c r="B5107" s="29" t="s">
        <v>5121</v>
      </c>
      <c r="C5107" s="17">
        <v>4</v>
      </c>
      <c r="D5107" s="18"/>
      <c r="E5107" s="17" t="s">
        <v>5075</v>
      </c>
      <c r="F5107" s="17"/>
      <c r="G5107" s="18"/>
      <c r="H5107" s="18"/>
    </row>
    <row r="5108" spans="1:8" ht="13.2">
      <c r="A5108" s="19" t="str">
        <f>HYPERLINK("https://codeforces.com/gym/101933/problem/K","CF101933-GYM-K")</f>
        <v>CF101933-GYM-K</v>
      </c>
      <c r="B5108" s="15" t="s">
        <v>5139</v>
      </c>
      <c r="C5108" s="17">
        <v>4</v>
      </c>
      <c r="D5108" s="26" t="str">
        <f>HYPERLINK("https://github.com/pranavjangir/CompetitiveProgramming/blob/master/CodeForces/CF101933-GYM-K.cpp","Sol")</f>
        <v>Sol</v>
      </c>
      <c r="E5108" s="17" t="s">
        <v>5134</v>
      </c>
      <c r="F5108" s="17"/>
      <c r="G5108" s="18"/>
      <c r="H5108" s="18"/>
    </row>
    <row r="5109" spans="1:8" ht="13.2">
      <c r="A5109" s="15" t="s">
        <v>5211</v>
      </c>
      <c r="B5109" s="28" t="s">
        <v>5179</v>
      </c>
      <c r="C5109" s="24">
        <v>4</v>
      </c>
      <c r="D5109" s="18"/>
      <c r="E5109" s="17" t="s">
        <v>5168</v>
      </c>
      <c r="F5109" s="17"/>
      <c r="G5109" s="18"/>
      <c r="H5109" s="18"/>
    </row>
    <row r="5110" spans="1:8" ht="13.2">
      <c r="A5110" s="15" t="s">
        <v>5212</v>
      </c>
      <c r="B5110" s="18" t="s">
        <v>5213</v>
      </c>
      <c r="C5110" s="17">
        <v>4</v>
      </c>
      <c r="D5110" s="18"/>
      <c r="E5110" s="17" t="s">
        <v>5168</v>
      </c>
      <c r="F5110" s="17"/>
      <c r="G5110" s="18"/>
      <c r="H5110" s="18"/>
    </row>
    <row r="5111" spans="1:8" ht="13.2">
      <c r="A5111" s="19" t="str">
        <f>HYPERLINK("http://codeforces.com/contest/202/problem/C","CF202-D2-C")</f>
        <v>CF202-D2-C</v>
      </c>
      <c r="B5111" s="29" t="s">
        <v>5241</v>
      </c>
      <c r="C5111" s="17">
        <v>4</v>
      </c>
      <c r="D5111" s="18"/>
      <c r="E5111" s="17" t="s">
        <v>5235</v>
      </c>
      <c r="F5111" s="17"/>
      <c r="G5111" s="18"/>
      <c r="H5111" s="18"/>
    </row>
    <row r="5112" spans="1:8" ht="13.2">
      <c r="A5112" s="15" t="s">
        <v>5300</v>
      </c>
      <c r="B5112" s="28" t="s">
        <v>5298</v>
      </c>
      <c r="C5112" s="24">
        <v>4</v>
      </c>
      <c r="D5112" s="26" t="str">
        <f>HYPERLINK("https://github.com/t3nsor/SPOJ/blob/master/rabbit1.cpp","Sol")</f>
        <v>Sol</v>
      </c>
      <c r="E5112" s="17" t="s">
        <v>5246</v>
      </c>
      <c r="F5112" s="17"/>
      <c r="G5112" s="18"/>
      <c r="H5112" s="18"/>
    </row>
    <row r="5113" spans="1:8" ht="13.2">
      <c r="A5113" s="19" t="str">
        <f>HYPERLINK("http://codeforces.com/contest/779/problem/D","CF779-D2-D")</f>
        <v>CF779-D2-D</v>
      </c>
      <c r="B5113" s="16" t="s">
        <v>814</v>
      </c>
      <c r="C5113" s="17">
        <v>4</v>
      </c>
      <c r="D5113" s="18"/>
      <c r="E5113" s="17" t="s">
        <v>805</v>
      </c>
      <c r="F5113" s="17"/>
      <c r="G5113" s="18"/>
      <c r="H5113" s="18"/>
    </row>
    <row r="5114" spans="1:8" ht="13.2">
      <c r="A5114" s="19" t="str">
        <f>HYPERLINK("http://www.spoj.com/problems/ICPCS/","SPOJ ICPCS")</f>
        <v>SPOJ ICPCS</v>
      </c>
      <c r="B5114" s="29" t="s">
        <v>814</v>
      </c>
      <c r="C5114" s="17">
        <v>4</v>
      </c>
      <c r="D5114" s="26" t="str">
        <f>HYPERLINK("https://github.com/VAMPIER000001/CompetitiveProgramming/blob/226e94ab8fa69f40d7ac989589a98dbc148a4468/Spoj/SPOJ%20ICPCS.Cpp","Sol")</f>
        <v>Sol</v>
      </c>
      <c r="E5114" s="17" t="s">
        <v>805</v>
      </c>
      <c r="F5114" s="17"/>
      <c r="G5114" s="18"/>
      <c r="H5114" s="18"/>
    </row>
    <row r="5115" spans="1:8" ht="13.2">
      <c r="A5115" s="19" t="str">
        <f>HYPERLINK("https://uva.onlinejudge.org/index.php?option=com_onlinejudge&amp;Itemid=8&amp;page=show_problem&amp;problem=1552","UVA 10611")</f>
        <v>UVA 10611</v>
      </c>
      <c r="B5115" s="29" t="s">
        <v>814</v>
      </c>
      <c r="C5115" s="17">
        <v>4</v>
      </c>
      <c r="D5115" s="18"/>
      <c r="E5115" s="17" t="s">
        <v>805</v>
      </c>
      <c r="F5115" s="17"/>
      <c r="G5115" s="18"/>
      <c r="H5115" s="18"/>
    </row>
    <row r="5116" spans="1:8" ht="13.2">
      <c r="A5116" s="15" t="s">
        <v>894</v>
      </c>
      <c r="B5116" s="30" t="s">
        <v>814</v>
      </c>
      <c r="C5116" s="24">
        <v>4</v>
      </c>
      <c r="D5116" s="18"/>
      <c r="E5116" s="17" t="s">
        <v>805</v>
      </c>
      <c r="F5116" s="17"/>
      <c r="G5116" s="18"/>
      <c r="H5116" s="18"/>
    </row>
    <row r="5117" spans="1:8" ht="13.2">
      <c r="A5117" s="15" t="s">
        <v>895</v>
      </c>
      <c r="B5117" s="30" t="s">
        <v>896</v>
      </c>
      <c r="C5117" s="24">
        <v>4</v>
      </c>
      <c r="D5117" s="18"/>
      <c r="E5117" s="17" t="s">
        <v>805</v>
      </c>
      <c r="F5117" s="17"/>
      <c r="G5117" s="18"/>
      <c r="H5117" s="18"/>
    </row>
    <row r="5118" spans="1:8" ht="13.2">
      <c r="A5118" s="15" t="s">
        <v>897</v>
      </c>
      <c r="B5118" s="16" t="s">
        <v>898</v>
      </c>
      <c r="C5118" s="17">
        <v>4</v>
      </c>
      <c r="D5118" s="18"/>
      <c r="E5118" s="17" t="s">
        <v>805</v>
      </c>
      <c r="F5118" s="17"/>
      <c r="G5118" s="18"/>
      <c r="H5118" s="18"/>
    </row>
    <row r="5119" spans="1:8" ht="13.2">
      <c r="A5119" s="15" t="s">
        <v>899</v>
      </c>
      <c r="B5119" s="15" t="s">
        <v>900</v>
      </c>
      <c r="C5119" s="33">
        <v>4</v>
      </c>
      <c r="D5119" s="18"/>
      <c r="E5119" s="17" t="s">
        <v>805</v>
      </c>
      <c r="F5119" s="17"/>
      <c r="G5119" s="18"/>
      <c r="H5119" s="18"/>
    </row>
    <row r="5120" spans="1:8" ht="13.2">
      <c r="A5120" s="15" t="s">
        <v>5401</v>
      </c>
      <c r="B5120" s="29" t="s">
        <v>5402</v>
      </c>
      <c r="C5120" s="17">
        <v>4</v>
      </c>
      <c r="D5120" s="26" t="str">
        <f>HYPERLINK("https://github.com/mostafa-saad/MyCompetitiveProgramming/blob/master/UVA/UVA_11628.txt","Sol")</f>
        <v>Sol</v>
      </c>
      <c r="E5120" s="17" t="s">
        <v>5346</v>
      </c>
      <c r="F5120" s="17"/>
      <c r="G5120" s="18"/>
      <c r="H5120" s="18"/>
    </row>
    <row r="5121" spans="1:8" ht="13.2">
      <c r="A5121" s="19" t="str">
        <f>HYPERLINK("http://codeforces.com/contest/584/problem/D","CF584-D2-D")</f>
        <v>CF584-D2-D</v>
      </c>
      <c r="B5121" s="29" t="s">
        <v>5416</v>
      </c>
      <c r="C5121" s="17">
        <v>4</v>
      </c>
      <c r="D5121" s="18"/>
      <c r="E5121" s="17" t="s">
        <v>5414</v>
      </c>
      <c r="F5121" s="17"/>
      <c r="G5121" s="18"/>
      <c r="H5121" s="18"/>
    </row>
    <row r="5122" spans="1:8" ht="13.2">
      <c r="A5122" s="15" t="s">
        <v>5472</v>
      </c>
      <c r="B5122" s="30" t="s">
        <v>5416</v>
      </c>
      <c r="C5122" s="24">
        <v>4</v>
      </c>
      <c r="D5122" s="18"/>
      <c r="E5122" s="17" t="s">
        <v>5414</v>
      </c>
      <c r="F5122" s="17"/>
      <c r="G5122" s="18"/>
      <c r="H5122" s="18"/>
    </row>
    <row r="5123" spans="1:8" ht="13.2">
      <c r="A5123" s="15" t="s">
        <v>5473</v>
      </c>
      <c r="B5123" s="28" t="s">
        <v>5416</v>
      </c>
      <c r="C5123" s="24">
        <v>4</v>
      </c>
      <c r="D5123" s="18"/>
      <c r="E5123" s="17" t="s">
        <v>5414</v>
      </c>
      <c r="F5123" s="17"/>
      <c r="G5123" s="18"/>
      <c r="H5123" s="18"/>
    </row>
    <row r="5124" spans="1:8" ht="13.2">
      <c r="A5124" s="15" t="s">
        <v>5474</v>
      </c>
      <c r="B5124" s="29" t="s">
        <v>5416</v>
      </c>
      <c r="C5124" s="17">
        <v>4</v>
      </c>
      <c r="D5124" s="18"/>
      <c r="E5124" s="17" t="s">
        <v>5414</v>
      </c>
      <c r="F5124" s="17"/>
      <c r="G5124" s="18"/>
      <c r="H5124" s="18"/>
    </row>
    <row r="5125" spans="1:8" ht="13.2">
      <c r="A5125" s="15" t="s">
        <v>5475</v>
      </c>
      <c r="B5125" s="30" t="s">
        <v>5476</v>
      </c>
      <c r="C5125" s="24">
        <v>4</v>
      </c>
      <c r="D5125" s="18"/>
      <c r="E5125" s="17" t="s">
        <v>5414</v>
      </c>
      <c r="F5125" s="17"/>
      <c r="G5125" s="18"/>
      <c r="H5125" s="18"/>
    </row>
    <row r="5126" spans="1:8" ht="13.2">
      <c r="A5126" s="15" t="s">
        <v>5477</v>
      </c>
      <c r="B5126" s="30" t="s">
        <v>5420</v>
      </c>
      <c r="C5126" s="17">
        <v>4</v>
      </c>
      <c r="D5126" s="18"/>
      <c r="E5126" s="17" t="s">
        <v>5414</v>
      </c>
      <c r="F5126" s="17"/>
      <c r="G5126" s="18"/>
      <c r="H5126" s="18"/>
    </row>
    <row r="5127" spans="1:8" ht="13.2">
      <c r="A5127" s="15" t="s">
        <v>5478</v>
      </c>
      <c r="B5127" s="30" t="s">
        <v>5479</v>
      </c>
      <c r="C5127" s="24">
        <v>4</v>
      </c>
      <c r="D5127" s="18"/>
      <c r="E5127" s="17" t="s">
        <v>5414</v>
      </c>
      <c r="F5127" s="17"/>
      <c r="G5127" s="18"/>
      <c r="H5127" s="18"/>
    </row>
    <row r="5128" spans="1:8" ht="13.2">
      <c r="A5128" s="15" t="s">
        <v>5480</v>
      </c>
      <c r="B5128" s="30" t="s">
        <v>5435</v>
      </c>
      <c r="C5128" s="24">
        <v>4</v>
      </c>
      <c r="D5128" s="18"/>
      <c r="E5128" s="17" t="s">
        <v>5414</v>
      </c>
      <c r="F5128" s="17"/>
      <c r="G5128" s="18"/>
      <c r="H5128" s="18"/>
    </row>
    <row r="5129" spans="1:8" ht="13.2">
      <c r="A5129" s="15" t="s">
        <v>5481</v>
      </c>
      <c r="B5129" s="30" t="s">
        <v>5482</v>
      </c>
      <c r="C5129" s="33">
        <v>4</v>
      </c>
      <c r="D5129" s="18"/>
      <c r="E5129" s="17" t="s">
        <v>5414</v>
      </c>
      <c r="F5129" s="17"/>
      <c r="G5129" s="18"/>
      <c r="H5129" s="18"/>
    </row>
    <row r="5130" spans="1:8" ht="13.2">
      <c r="A5130" s="15" t="s">
        <v>5571</v>
      </c>
      <c r="B5130" s="30" t="s">
        <v>5540</v>
      </c>
      <c r="C5130" s="33">
        <v>4</v>
      </c>
      <c r="D5130" s="26" t="str">
        <f>HYPERLINK("https://github.com/yazanKabbany/CompetitiveProgramming/blob/master/LIVEARCHIVE/LIVEARCHIVE%205990.cpp","Sol")</f>
        <v>Sol</v>
      </c>
      <c r="E5130" s="17" t="s">
        <v>5524</v>
      </c>
      <c r="F5130" s="17"/>
      <c r="G5130" s="18"/>
      <c r="H5130" s="18"/>
    </row>
    <row r="5131" spans="1:8" ht="13.2">
      <c r="A5131" s="19" t="str">
        <f>HYPERLINK("https://www.hackerrank.com/challenges/game-of-throne-ii","HACKR game-of-throne-ii")</f>
        <v>HACKR game-of-throne-ii</v>
      </c>
      <c r="B5131" s="29" t="s">
        <v>5572</v>
      </c>
      <c r="C5131" s="33">
        <v>4</v>
      </c>
      <c r="D5131" s="18"/>
      <c r="E5131" s="17" t="s">
        <v>5524</v>
      </c>
      <c r="F5131" s="17"/>
      <c r="G5131" s="18"/>
      <c r="H5131" s="18"/>
    </row>
    <row r="5132" spans="1:8" ht="13.2">
      <c r="A5132" s="15" t="s">
        <v>5623</v>
      </c>
      <c r="B5132" s="30" t="s">
        <v>5620</v>
      </c>
      <c r="C5132" s="54">
        <v>4</v>
      </c>
      <c r="D5132" s="18"/>
      <c r="E5132" s="17" t="s">
        <v>5616</v>
      </c>
      <c r="F5132" s="17"/>
      <c r="G5132" s="18"/>
      <c r="H5132" s="18"/>
    </row>
    <row r="5133" spans="1:8" ht="13.2">
      <c r="A5133" s="15" t="s">
        <v>5640</v>
      </c>
      <c r="B5133" s="28" t="s">
        <v>5641</v>
      </c>
      <c r="C5133" s="24">
        <v>4</v>
      </c>
      <c r="D5133" s="18"/>
      <c r="E5133" s="17" t="s">
        <v>5626</v>
      </c>
      <c r="F5133" s="17"/>
      <c r="G5133" s="18"/>
      <c r="H5133" s="18"/>
    </row>
    <row r="5134" spans="1:8" ht="13.2">
      <c r="A5134" s="19" t="str">
        <f>HYPERLINK("http://codeforces.com/problemset/gymProblem/101064/H","CF101064-GYM-H")</f>
        <v>CF101064-GYM-H</v>
      </c>
      <c r="B5134" s="29" t="s">
        <v>994</v>
      </c>
      <c r="C5134" s="17">
        <v>3.6</v>
      </c>
      <c r="D5134" s="18"/>
      <c r="E5134" s="17" t="s">
        <v>951</v>
      </c>
      <c r="F5134" s="17"/>
      <c r="G5134" s="18"/>
      <c r="H5134" s="18"/>
    </row>
    <row r="5135" spans="1:8" ht="13.2">
      <c r="A5135" s="19" t="str">
        <f>HYPERLINK("http://www.spoj.com/problems/CHMAZE/","SPOJ CHMAZE")</f>
        <v>SPOJ CHMAZE</v>
      </c>
      <c r="B5135" s="18" t="s">
        <v>3577</v>
      </c>
      <c r="C5135" s="17">
        <v>3.5</v>
      </c>
      <c r="D5135" s="18"/>
      <c r="E5135" s="17" t="s">
        <v>3467</v>
      </c>
      <c r="F5135" s="17" t="s">
        <v>229</v>
      </c>
      <c r="G5135" s="18"/>
      <c r="H5135" s="18"/>
    </row>
    <row r="5136" spans="1:8" ht="13.2">
      <c r="A5136" s="15" t="s">
        <v>4270</v>
      </c>
      <c r="B5136" s="28" t="s">
        <v>4245</v>
      </c>
      <c r="C5136" s="24">
        <v>3.5</v>
      </c>
      <c r="D5136" s="18"/>
      <c r="E5136" s="24" t="s">
        <v>4238</v>
      </c>
      <c r="F5136" s="17" t="s">
        <v>229</v>
      </c>
      <c r="G5136" s="18"/>
      <c r="H5136" s="18"/>
    </row>
    <row r="5137" spans="1:8" ht="13.2">
      <c r="A5137" s="15" t="s">
        <v>476</v>
      </c>
      <c r="B5137" s="30" t="s">
        <v>359</v>
      </c>
      <c r="C5137" s="17">
        <v>3.5</v>
      </c>
      <c r="D5137" s="18"/>
      <c r="E5137" s="17" t="s">
        <v>332</v>
      </c>
      <c r="F5137" s="17" t="s">
        <v>306</v>
      </c>
      <c r="G5137" s="18"/>
      <c r="H5137" s="18"/>
    </row>
    <row r="5138" spans="1:8" ht="13.2">
      <c r="A5138" s="15" t="s">
        <v>477</v>
      </c>
      <c r="B5138" s="16" t="s">
        <v>389</v>
      </c>
      <c r="C5138" s="24">
        <v>3.5</v>
      </c>
      <c r="D5138" s="18"/>
      <c r="E5138" s="17" t="s">
        <v>332</v>
      </c>
      <c r="F5138" s="17" t="s">
        <v>306</v>
      </c>
      <c r="G5138" s="18"/>
      <c r="H5138" s="18"/>
    </row>
    <row r="5139" spans="1:8" ht="13.2">
      <c r="A5139" s="19" t="str">
        <f>HYPERLINK("http://codeforces.com/contest/78/problem/C","CF78-D2-C")</f>
        <v>CF78-D2-C</v>
      </c>
      <c r="B5139" s="29" t="s">
        <v>2433</v>
      </c>
      <c r="C5139" s="17">
        <v>3.5</v>
      </c>
      <c r="D5139" s="18"/>
      <c r="E5139" s="17" t="s">
        <v>2394</v>
      </c>
      <c r="F5139" s="17" t="s">
        <v>306</v>
      </c>
      <c r="G5139" s="18"/>
      <c r="H5139" s="18"/>
    </row>
    <row r="5140" spans="1:8" ht="13.2">
      <c r="A5140" s="15" t="s">
        <v>3463</v>
      </c>
      <c r="B5140" s="29" t="s">
        <v>3448</v>
      </c>
      <c r="C5140" s="24">
        <v>3.5</v>
      </c>
      <c r="D5140" s="18"/>
      <c r="E5140" s="17" t="s">
        <v>3439</v>
      </c>
      <c r="F5140" s="17" t="s">
        <v>306</v>
      </c>
      <c r="G5140" s="18"/>
      <c r="H5140" s="18"/>
    </row>
    <row r="5141" spans="1:8" ht="13.2">
      <c r="A5141" s="15" t="s">
        <v>3988</v>
      </c>
      <c r="B5141" s="28" t="s">
        <v>3989</v>
      </c>
      <c r="C5141" s="24">
        <v>3.5</v>
      </c>
      <c r="D5141" s="18"/>
      <c r="E5141" s="17" t="s">
        <v>3955</v>
      </c>
      <c r="F5141" s="17" t="s">
        <v>306</v>
      </c>
      <c r="G5141" s="18"/>
      <c r="H5141" s="18"/>
    </row>
    <row r="5142" spans="1:8" ht="13.2">
      <c r="A5142" s="19" t="str">
        <f>HYPERLINK("http://codeforces.com/problemset/problem/900/C","CF900-D2-C")</f>
        <v>CF900-D2-C</v>
      </c>
      <c r="B5142" s="18" t="s">
        <v>299</v>
      </c>
      <c r="C5142" s="17">
        <v>3.5</v>
      </c>
      <c r="D5142" s="26" t="str">
        <f>HYPERLINK("https://github.com/MedoN11/CompetitiveProgramming/blob/master/CodeForces/CF450-D2-C.cpp","Sol")</f>
        <v>Sol</v>
      </c>
      <c r="E5142" s="17" t="s">
        <v>125</v>
      </c>
      <c r="F5142" s="17" t="s">
        <v>196</v>
      </c>
      <c r="G5142" s="18"/>
      <c r="H5142" s="18"/>
    </row>
    <row r="5143" spans="1:8" ht="13.2">
      <c r="A5143" s="19" t="str">
        <f>HYPERLINK("http://codeforces.com/contest/21/problem/C","CF21-D12-C")</f>
        <v>CF21-D12-C</v>
      </c>
      <c r="B5143" s="37" t="s">
        <v>300</v>
      </c>
      <c r="C5143" s="17">
        <v>3.5</v>
      </c>
      <c r="D5143" s="26" t="str">
        <f>HYPERLINK("https://github.com/AhmedElsisy/CompetitiveProgramming/blob/master/Codeforces/CF21-D12-C.cpp","Sol")</f>
        <v>Sol</v>
      </c>
      <c r="E5143" s="17" t="s">
        <v>125</v>
      </c>
      <c r="F5143" s="17" t="s">
        <v>139</v>
      </c>
      <c r="G5143" s="18"/>
      <c r="H5143" s="18"/>
    </row>
    <row r="5144" spans="1:8" ht="13.2">
      <c r="A5144" s="15" t="s">
        <v>301</v>
      </c>
      <c r="B5144" s="15" t="s">
        <v>231</v>
      </c>
      <c r="C5144" s="17">
        <v>3.5</v>
      </c>
      <c r="D5144" s="18"/>
      <c r="E5144" s="17" t="s">
        <v>125</v>
      </c>
      <c r="F5144" s="17" t="s">
        <v>139</v>
      </c>
      <c r="G5144" s="18"/>
      <c r="H5144" s="18"/>
    </row>
    <row r="5145" spans="1:8" ht="13.2">
      <c r="A5145" s="19" t="str">
        <f>HYPERLINK("https://codeforces.com/contest/1136/problem/C","CF1136-D2-C")</f>
        <v>CF1136-D2-C</v>
      </c>
      <c r="B5145" s="15" t="s">
        <v>5961</v>
      </c>
      <c r="C5145" s="17">
        <v>3.5</v>
      </c>
      <c r="D5145" s="18"/>
      <c r="E5145" s="17" t="s">
        <v>5958</v>
      </c>
      <c r="F5145" s="17" t="s">
        <v>139</v>
      </c>
      <c r="G5145" s="18"/>
      <c r="H5145" s="18"/>
    </row>
    <row r="5146" spans="1:8" ht="13.2">
      <c r="A5146" s="19" t="str">
        <f>HYPERLINK("https://uva.onlinejudge.org/index.php?option=com_onlinejudge&amp;Itemid=8&amp;page=show_problem&amp;problem=1394","UVA 10453")</f>
        <v>UVA 10453</v>
      </c>
      <c r="B5146" s="29" t="s">
        <v>6096</v>
      </c>
      <c r="C5146" s="17">
        <v>3.5</v>
      </c>
      <c r="D5146" s="26" t="str">
        <f>HYPERLINK("https://github.com/ilyesG/Competitive-Programming/blob/master/UVA/UVA%2010453.cpp","Sol")</f>
        <v>Sol</v>
      </c>
      <c r="E5146" s="17" t="s">
        <v>6075</v>
      </c>
      <c r="F5146" s="17" t="s">
        <v>139</v>
      </c>
      <c r="G5146" s="18"/>
      <c r="H5146" s="18"/>
    </row>
    <row r="5147" spans="1:8" ht="13.2">
      <c r="A5147" s="19" t="str">
        <f>HYPERLINK("https://codeforces.com/gym/101609/problem/G","CF101609-GYM-G")</f>
        <v>CF101609-GYM-G</v>
      </c>
      <c r="B5147" s="20" t="s">
        <v>359</v>
      </c>
      <c r="C5147" s="21">
        <v>3.5</v>
      </c>
      <c r="D5147" s="18"/>
      <c r="E5147" s="17" t="s">
        <v>332</v>
      </c>
      <c r="F5147" s="17" t="s">
        <v>139</v>
      </c>
      <c r="G5147" s="18"/>
      <c r="H5147" s="18"/>
    </row>
    <row r="5148" spans="1:8" ht="13.2">
      <c r="A5148" s="19" t="str">
        <f>HYPERLINK("https://codeforces.com/contest/1104/problem/C","CF1104-D2-C")</f>
        <v>CF1104-D2-C</v>
      </c>
      <c r="B5148" s="20" t="s">
        <v>2163</v>
      </c>
      <c r="C5148" s="21">
        <v>3.5</v>
      </c>
      <c r="D5148" s="18"/>
      <c r="E5148" s="17" t="s">
        <v>2153</v>
      </c>
      <c r="F5148" s="17" t="s">
        <v>139</v>
      </c>
      <c r="G5148" s="18"/>
      <c r="H5148" s="18"/>
    </row>
    <row r="5149" spans="1:8" ht="13.2">
      <c r="A5149" s="19" t="str">
        <f>HYPERLINK("http://codeforces.com/contest/416/problem/C","CF416-D2-C")</f>
        <v>CF416-D2-C</v>
      </c>
      <c r="B5149" s="29" t="s">
        <v>2363</v>
      </c>
      <c r="C5149" s="17">
        <v>3.5</v>
      </c>
      <c r="D5149" s="18"/>
      <c r="E5149" s="17" t="s">
        <v>2153</v>
      </c>
      <c r="F5149" s="17" t="s">
        <v>139</v>
      </c>
      <c r="G5149" s="18"/>
      <c r="H5149" s="18"/>
    </row>
    <row r="5150" spans="1:8" ht="13.2">
      <c r="A5150" s="19" t="str">
        <f>HYPERLINK("http://www.spoj.com/problems/BOTTOM/","SPOJ BOTTOM")</f>
        <v>SPOJ BOTTOM</v>
      </c>
      <c r="B5150" s="29" t="s">
        <v>4370</v>
      </c>
      <c r="C5150" s="17">
        <v>3.5</v>
      </c>
      <c r="D5150" s="26" t="str">
        <f>HYPERLINK("https://github.com/BRAINOOOO/CompetitiveProgramming/blob/master/Spoj/SPOJ%20BOTTOM.Cpp","Sol")</f>
        <v>Sol</v>
      </c>
      <c r="E5150" s="17" t="s">
        <v>4344</v>
      </c>
      <c r="F5150" s="17" t="s">
        <v>139</v>
      </c>
      <c r="G5150" s="18"/>
      <c r="H5150" s="18"/>
    </row>
    <row r="5151" spans="1:8" ht="13.2">
      <c r="A5151" s="15" t="s">
        <v>5301</v>
      </c>
      <c r="B5151" s="18" t="s">
        <v>5248</v>
      </c>
      <c r="C5151" s="17">
        <v>3.5</v>
      </c>
      <c r="D5151" s="18"/>
      <c r="E5151" s="17" t="s">
        <v>5246</v>
      </c>
      <c r="F5151" s="17" t="s">
        <v>139</v>
      </c>
      <c r="G5151" s="18"/>
      <c r="H5151" s="18"/>
    </row>
    <row r="5152" spans="1:8" ht="13.2">
      <c r="A5152" s="19" t="str">
        <f>HYPERLINK("http://codeforces.com/contest/1062/problem/A", "CF1062-D2-A")</f>
        <v>CF1062-D2-A</v>
      </c>
      <c r="B5152" s="20" t="s">
        <v>5961</v>
      </c>
      <c r="C5152" s="21">
        <v>3.5</v>
      </c>
      <c r="D5152" s="18"/>
      <c r="E5152" s="17" t="s">
        <v>5958</v>
      </c>
      <c r="F5152" s="17" t="s">
        <v>201</v>
      </c>
      <c r="G5152" s="18"/>
      <c r="H5152" s="18"/>
    </row>
    <row r="5153" spans="1:8" ht="13.2">
      <c r="A5153" s="19" t="str">
        <f>HYPERLINK("https://www.codechef.com/LOCJUL17/problems/AMITNITI","CODECHEF AMITNITI")</f>
        <v>CODECHEF AMITNITI</v>
      </c>
      <c r="B5153" s="29" t="s">
        <v>995</v>
      </c>
      <c r="C5153" s="17">
        <v>3.5</v>
      </c>
      <c r="D5153" s="26" t="str">
        <f>HYPERLINK("https://github.com/shashank0107/CompetitiveProgramming/blob/master/CODECHEF/AMITNITI.cpp","Sol")</f>
        <v>Sol</v>
      </c>
      <c r="E5153" s="17" t="s">
        <v>951</v>
      </c>
      <c r="F5153" s="17" t="s">
        <v>201</v>
      </c>
      <c r="G5153" s="18"/>
      <c r="H5153" s="18"/>
    </row>
    <row r="5154" spans="1:8" ht="13.2">
      <c r="A5154" s="19" t="str">
        <f>HYPERLINK("https://uva.onlinejudge.org/index.php?option=onlinejudge&amp;page=show_problem&amp;problem=1309","UVA 10368")</f>
        <v>UVA 10368</v>
      </c>
      <c r="B5154" s="29" t="s">
        <v>2434</v>
      </c>
      <c r="C5154" s="17">
        <v>3.5</v>
      </c>
      <c r="D5154" s="26" t="str">
        <f>HYPERLINK("https://github.com/mostafa-saad/MyCompetitiveProgramming/blob/master/UVA/UVA_10368.txt","Sol")</f>
        <v>Sol</v>
      </c>
      <c r="E5154" s="17" t="s">
        <v>2394</v>
      </c>
      <c r="F5154" s="17" t="s">
        <v>201</v>
      </c>
      <c r="G5154" s="18"/>
      <c r="H5154" s="18"/>
    </row>
    <row r="5155" spans="1:8" ht="13.2">
      <c r="A5155" s="19" t="str">
        <f>HYPERLINK("http://codeforces.com/contest/474/problem/C","CF474-D2-C")</f>
        <v>CF474-D2-C</v>
      </c>
      <c r="B5155" s="29" t="s">
        <v>2760</v>
      </c>
      <c r="C5155" s="17">
        <v>3.5</v>
      </c>
      <c r="D5155" s="26" t="str">
        <f>HYPERLINK("https://www.youtube.com/watch?v=TpRObCQT9Lw","My video")</f>
        <v>My video</v>
      </c>
      <c r="E5155" s="17" t="s">
        <v>2510</v>
      </c>
      <c r="F5155" s="17" t="s">
        <v>201</v>
      </c>
      <c r="G5155" s="18"/>
      <c r="H5155" s="18"/>
    </row>
    <row r="5156" spans="1:8" ht="13.2">
      <c r="A5156" s="15" t="s">
        <v>3990</v>
      </c>
      <c r="B5156" s="30" t="s">
        <v>3991</v>
      </c>
      <c r="C5156" s="24">
        <v>3.5</v>
      </c>
      <c r="D5156" s="18"/>
      <c r="E5156" s="17" t="s">
        <v>3955</v>
      </c>
      <c r="F5156" s="17" t="s">
        <v>201</v>
      </c>
      <c r="G5156" s="18"/>
      <c r="H5156" s="18"/>
    </row>
    <row r="5157" spans="1:8" ht="13.2">
      <c r="A5157" s="15" t="s">
        <v>3992</v>
      </c>
      <c r="B5157" s="29" t="s">
        <v>3993</v>
      </c>
      <c r="C5157" s="24">
        <v>3.5</v>
      </c>
      <c r="D5157" s="18"/>
      <c r="E5157" s="17" t="s">
        <v>3955</v>
      </c>
      <c r="F5157" s="17" t="s">
        <v>201</v>
      </c>
      <c r="G5157" s="18"/>
      <c r="H5157" s="18"/>
    </row>
    <row r="5158" spans="1:8" ht="13.2">
      <c r="A5158" s="19" t="str">
        <f>HYPERLINK("http://codeforces.com/contest/1076/problem/C","CF1076-D12-C")</f>
        <v>CF1076-D12-C</v>
      </c>
      <c r="B5158" s="15" t="s">
        <v>4724</v>
      </c>
      <c r="C5158" s="17">
        <v>3.5</v>
      </c>
      <c r="D5158" s="18"/>
      <c r="E5158" s="17" t="s">
        <v>4531</v>
      </c>
      <c r="F5158" s="17" t="s">
        <v>201</v>
      </c>
      <c r="G5158" s="18"/>
      <c r="H5158" s="18"/>
    </row>
    <row r="5159" spans="1:8" ht="13.2">
      <c r="A5159" s="19" t="str">
        <f>HYPERLINK("http://codeforces.com/contest/52/problem/B","CF52-D12-B")</f>
        <v>CF52-D12-B</v>
      </c>
      <c r="B5159" s="15" t="s">
        <v>5037</v>
      </c>
      <c r="C5159" s="17">
        <v>3.5</v>
      </c>
      <c r="D5159" s="18"/>
      <c r="E5159" s="17" t="s">
        <v>4958</v>
      </c>
      <c r="F5159" s="17" t="s">
        <v>201</v>
      </c>
      <c r="G5159" s="18"/>
      <c r="H5159" s="18"/>
    </row>
    <row r="5160" spans="1:8" ht="13.2">
      <c r="A5160" s="19" t="str">
        <f>HYPERLINK("https://codeforces.com/contest/1146/problem/C","CF1146-D12-C")</f>
        <v>CF1146-D12-C</v>
      </c>
      <c r="B5160" s="15" t="s">
        <v>808</v>
      </c>
      <c r="C5160" s="17">
        <v>3.5</v>
      </c>
      <c r="D5160" s="18"/>
      <c r="E5160" s="17" t="s">
        <v>805</v>
      </c>
      <c r="F5160" s="17" t="s">
        <v>201</v>
      </c>
      <c r="G5160" s="18"/>
      <c r="H5160" s="18"/>
    </row>
    <row r="5161" spans="1:8" ht="13.2">
      <c r="A5161" s="19" t="str">
        <f>HYPERLINK("http://codeforces.com/contest/979/problem/B","CF979-D2-B")</f>
        <v>CF979-D2-B</v>
      </c>
      <c r="B5161" s="29" t="s">
        <v>2187</v>
      </c>
      <c r="C5161" s="21">
        <v>3.5</v>
      </c>
      <c r="D5161" s="18"/>
      <c r="E5161" s="17" t="s">
        <v>2153</v>
      </c>
      <c r="F5161" s="17" t="s">
        <v>242</v>
      </c>
      <c r="G5161" s="18"/>
      <c r="H5161" s="18"/>
    </row>
    <row r="5162" spans="1:8" ht="13.2">
      <c r="A5162" s="19" t="str">
        <f>HYPERLINK("http://codeforces.com/problemset/problem/869/A","CF869-D2-A")</f>
        <v>CF869-D2-A</v>
      </c>
      <c r="B5162" s="36" t="s">
        <v>124</v>
      </c>
      <c r="C5162" s="17">
        <v>3.5</v>
      </c>
      <c r="D5162" s="18"/>
      <c r="E5162" s="17" t="s">
        <v>125</v>
      </c>
      <c r="F5162" s="17"/>
      <c r="G5162" s="18"/>
      <c r="H5162" s="18"/>
    </row>
    <row r="5163" spans="1:8" ht="13.2">
      <c r="A5163" s="19" t="str">
        <f>HYPERLINK("http://codeforces.com/contest/897/problem/B","CF897-D2-B")</f>
        <v>CF897-D2-B</v>
      </c>
      <c r="B5163" s="36" t="s">
        <v>124</v>
      </c>
      <c r="C5163" s="24">
        <v>3.5</v>
      </c>
      <c r="D5163" s="18"/>
      <c r="E5163" s="17" t="s">
        <v>125</v>
      </c>
      <c r="F5163" s="17"/>
      <c r="G5163" s="18"/>
      <c r="H5163" s="18"/>
    </row>
    <row r="5164" spans="1:8" ht="13.2">
      <c r="A5164" s="19" t="str">
        <f>HYPERLINK("https://csacademy.com/contest/round-59/task/triangular-matrix/","CSA59-C")</f>
        <v>CSA59-C</v>
      </c>
      <c r="B5164" s="18" t="s">
        <v>124</v>
      </c>
      <c r="C5164" s="17">
        <v>3.5</v>
      </c>
      <c r="D5164" s="18"/>
      <c r="E5164" s="17" t="s">
        <v>125</v>
      </c>
      <c r="F5164" s="17"/>
      <c r="G5164" s="18"/>
      <c r="H5164" s="18"/>
    </row>
    <row r="5165" spans="1:8" ht="13.2">
      <c r="A5165" s="15" t="s">
        <v>302</v>
      </c>
      <c r="B5165" s="34" t="s">
        <v>212</v>
      </c>
      <c r="C5165" s="17">
        <v>3.5</v>
      </c>
      <c r="D5165" s="18"/>
      <c r="E5165" s="17" t="s">
        <v>125</v>
      </c>
      <c r="F5165" s="17"/>
      <c r="G5165" s="18"/>
      <c r="H5165" s="18"/>
    </row>
    <row r="5166" spans="1:8" ht="13.2">
      <c r="A5166" s="19" t="str">
        <f>HYPERLINK("http://codeforces.com/contest/439/problem/D","CF439-D2-D")</f>
        <v>CF439-D2-D</v>
      </c>
      <c r="B5166" s="29" t="s">
        <v>927</v>
      </c>
      <c r="C5166" s="17">
        <v>3.5</v>
      </c>
      <c r="D5166" s="18" t="s">
        <v>943</v>
      </c>
      <c r="E5166" s="17" t="s">
        <v>910</v>
      </c>
      <c r="F5166" s="17"/>
      <c r="G5166" s="18"/>
      <c r="H5166" s="18"/>
    </row>
    <row r="5167" spans="1:8" ht="13.2">
      <c r="A5167" s="19" t="str">
        <f>HYPERLINK("http://www.spoj.com/problems/PHONELST/","SPOJ PHONELST")</f>
        <v>SPOJ PHONELST</v>
      </c>
      <c r="B5167" s="29" t="s">
        <v>5642</v>
      </c>
      <c r="C5167" s="17">
        <v>3.5</v>
      </c>
      <c r="D5167" s="18"/>
      <c r="E5167" s="17" t="s">
        <v>5643</v>
      </c>
      <c r="F5167" s="17"/>
      <c r="G5167" s="18"/>
      <c r="H5167" s="18"/>
    </row>
    <row r="5168" spans="1:8" ht="13.2">
      <c r="A5168" s="15" t="s">
        <v>6021</v>
      </c>
      <c r="B5168" s="29" t="s">
        <v>5961</v>
      </c>
      <c r="C5168" s="17">
        <v>3.5</v>
      </c>
      <c r="D5168" s="18"/>
      <c r="E5168" s="17" t="s">
        <v>5958</v>
      </c>
      <c r="F5168" s="17"/>
      <c r="G5168" s="18"/>
      <c r="H5168" s="18"/>
    </row>
    <row r="5169" spans="1:8" ht="13.2">
      <c r="A5169" s="19" t="str">
        <f>HYPERLINK("http://codeforces.com/contest/61/problem/C","CF61-D2-C")</f>
        <v>CF61-D2-C</v>
      </c>
      <c r="B5169" s="29" t="s">
        <v>5992</v>
      </c>
      <c r="C5169" s="17">
        <v>3.5</v>
      </c>
      <c r="D5169" s="18"/>
      <c r="E5169" s="17" t="s">
        <v>5958</v>
      </c>
      <c r="F5169" s="17"/>
      <c r="G5169" s="18"/>
      <c r="H5169" s="18"/>
    </row>
    <row r="5170" spans="1:8" ht="13.2">
      <c r="A5170" s="15" t="s">
        <v>6022</v>
      </c>
      <c r="B5170" s="15" t="s">
        <v>6023</v>
      </c>
      <c r="C5170" s="17">
        <v>3.5</v>
      </c>
      <c r="D5170" s="18"/>
      <c r="E5170" s="17" t="s">
        <v>5958</v>
      </c>
      <c r="F5170" s="17"/>
      <c r="G5170" s="18"/>
      <c r="H5170" s="18"/>
    </row>
    <row r="5171" spans="1:8" ht="13.2">
      <c r="A5171" s="19" t="str">
        <f>HYPERLINK("http://codeforces.com/contest/47/problem/C","CF47-D2-C")</f>
        <v>CF47-D2-C</v>
      </c>
      <c r="B5171" s="29" t="s">
        <v>6024</v>
      </c>
      <c r="C5171" s="17">
        <v>3.5</v>
      </c>
      <c r="D5171" s="18"/>
      <c r="E5171" s="17" t="s">
        <v>5958</v>
      </c>
      <c r="F5171" s="17"/>
      <c r="G5171" s="18"/>
      <c r="H5171" s="18"/>
    </row>
    <row r="5172" spans="1:8" ht="13.2">
      <c r="A5172" s="19" t="str">
        <f>HYPERLINK("https://uva.onlinejudge.org/index.php?option=com_onlinejudge&amp;Itemid=8&amp;page=show_problem&amp;problem=3104","UVA 11953")</f>
        <v>UVA 11953</v>
      </c>
      <c r="B5172" s="29" t="s">
        <v>6168</v>
      </c>
      <c r="C5172" s="17">
        <v>3.5</v>
      </c>
      <c r="D5172" s="18"/>
      <c r="E5172" s="17" t="s">
        <v>6169</v>
      </c>
      <c r="F5172" s="17"/>
      <c r="G5172" s="18"/>
      <c r="H5172" s="18"/>
    </row>
    <row r="5173" spans="1:8" ht="13.2">
      <c r="A5173" s="15" t="s">
        <v>6183</v>
      </c>
      <c r="B5173" s="29" t="s">
        <v>6168</v>
      </c>
      <c r="C5173" s="17">
        <v>3.5</v>
      </c>
      <c r="D5173" s="18"/>
      <c r="E5173" s="17" t="s">
        <v>6169</v>
      </c>
      <c r="F5173" s="17"/>
      <c r="G5173" s="18"/>
      <c r="H5173" s="18"/>
    </row>
    <row r="5174" spans="1:8" ht="13.2">
      <c r="A5174" s="19" t="str">
        <f>HYPERLINK("https://uva.onlinejudge.org/index.php?option=onlinejudge&amp;page=show_problem&amp;problem=725","UVA 784")</f>
        <v>UVA 784</v>
      </c>
      <c r="B5174" s="29" t="s">
        <v>6168</v>
      </c>
      <c r="C5174" s="17">
        <v>3.5</v>
      </c>
      <c r="D5174" s="18"/>
      <c r="E5174" s="17" t="s">
        <v>6169</v>
      </c>
      <c r="F5174" s="17"/>
      <c r="G5174" s="18"/>
      <c r="H5174" s="18"/>
    </row>
    <row r="5175" spans="1:8" ht="13.2">
      <c r="A5175" s="15" t="s">
        <v>6184</v>
      </c>
      <c r="B5175" s="29" t="s">
        <v>6185</v>
      </c>
      <c r="C5175" s="17">
        <v>3.5</v>
      </c>
      <c r="D5175" s="18"/>
      <c r="E5175" s="17" t="s">
        <v>6169</v>
      </c>
      <c r="F5175" s="17"/>
      <c r="G5175" s="18"/>
      <c r="H5175" s="18"/>
    </row>
    <row r="5176" spans="1:8" ht="13.2">
      <c r="A5176" s="15" t="s">
        <v>6242</v>
      </c>
      <c r="B5176" s="29" t="s">
        <v>6204</v>
      </c>
      <c r="C5176" s="33">
        <v>3.5</v>
      </c>
      <c r="D5176" s="26" t="str">
        <f>HYPERLINK("https://github.com/BRAINOOO/CompetitiveProgramming/blob/1519e5f21442182e46b6cdec30b7f4a90fc74063/Spoj/SPOJ%20DEPEND.Cpp","Sol")</f>
        <v>Sol</v>
      </c>
      <c r="E5176" s="17" t="s">
        <v>6205</v>
      </c>
      <c r="F5176" s="17"/>
      <c r="G5176" s="18"/>
      <c r="H5176" s="18"/>
    </row>
    <row r="5177" spans="1:8" ht="13.2">
      <c r="A5177" s="19" t="str">
        <f>HYPERLINK("http://www.spoj.com/problems/CDC12_H","SPOJ CDC12_H")</f>
        <v>SPOJ CDC12_H</v>
      </c>
      <c r="B5177" s="29" t="s">
        <v>1017</v>
      </c>
      <c r="C5177" s="17">
        <v>3.5</v>
      </c>
      <c r="D5177" s="18"/>
      <c r="E5177" s="17" t="s">
        <v>1018</v>
      </c>
      <c r="F5177" s="17"/>
      <c r="G5177" s="18"/>
      <c r="H5177" s="18"/>
    </row>
    <row r="5178" spans="1:8" ht="13.2">
      <c r="A5178" s="15" t="s">
        <v>1326</v>
      </c>
      <c r="B5178" s="28" t="s">
        <v>1327</v>
      </c>
      <c r="C5178" s="24">
        <v>3.5</v>
      </c>
      <c r="D5178" s="18"/>
      <c r="E5178" s="24" t="s">
        <v>1223</v>
      </c>
      <c r="F5178" s="17"/>
      <c r="G5178" s="18"/>
      <c r="H5178" s="18"/>
    </row>
    <row r="5179" spans="1:8" ht="13.2">
      <c r="A5179" s="15" t="s">
        <v>1656</v>
      </c>
      <c r="B5179" s="30" t="s">
        <v>1348</v>
      </c>
      <c r="C5179" s="17">
        <v>3.5</v>
      </c>
      <c r="D5179" s="18"/>
      <c r="E5179" s="17" t="s">
        <v>1337</v>
      </c>
      <c r="F5179" s="17"/>
      <c r="G5179" s="18"/>
      <c r="H5179" s="18"/>
    </row>
    <row r="5180" spans="1:8" ht="13.2">
      <c r="A5180" s="15" t="s">
        <v>1657</v>
      </c>
      <c r="B5180" s="29" t="s">
        <v>1658</v>
      </c>
      <c r="C5180" s="24">
        <v>3.5</v>
      </c>
      <c r="D5180" s="18"/>
      <c r="E5180" s="17" t="s">
        <v>1337</v>
      </c>
      <c r="F5180" s="17"/>
      <c r="G5180" s="18"/>
      <c r="H5180" s="18"/>
    </row>
    <row r="5181" spans="1:8" ht="13.2">
      <c r="A5181" s="15" t="s">
        <v>1659</v>
      </c>
      <c r="B5181" s="28" t="s">
        <v>1660</v>
      </c>
      <c r="C5181" s="24">
        <v>3.5</v>
      </c>
      <c r="D5181" s="26" t="str">
        <f>HYPERLINK("https://github.com/Ownography/CP/blob/master/SPOJ%20UOFTAB","Sol")</f>
        <v>Sol</v>
      </c>
      <c r="E5181" s="17" t="s">
        <v>1337</v>
      </c>
      <c r="F5181" s="17"/>
      <c r="G5181" s="18"/>
      <c r="H5181" s="18"/>
    </row>
    <row r="5182" spans="1:8" ht="13.2">
      <c r="A5182" s="19" t="str">
        <f>HYPERLINK("https://uva.onlinejudge.org/index.php?option=onlinejudge&amp;page=show_problem&amp;problem=1041","UVA 10100")</f>
        <v>UVA 10100</v>
      </c>
      <c r="B5182" s="29" t="s">
        <v>1661</v>
      </c>
      <c r="C5182" s="17">
        <v>3.5</v>
      </c>
      <c r="D5182" s="18"/>
      <c r="E5182" s="17" t="s">
        <v>1337</v>
      </c>
      <c r="F5182" s="17"/>
      <c r="G5182" s="18"/>
      <c r="H5182" s="18"/>
    </row>
    <row r="5183" spans="1:8" ht="13.2">
      <c r="A5183" s="15" t="s">
        <v>1662</v>
      </c>
      <c r="B5183" s="29" t="s">
        <v>1663</v>
      </c>
      <c r="C5183" s="17">
        <v>3.5</v>
      </c>
      <c r="D5183" s="18"/>
      <c r="E5183" s="17" t="s">
        <v>1337</v>
      </c>
      <c r="F5183" s="17"/>
      <c r="G5183" s="18"/>
      <c r="H5183" s="18"/>
    </row>
    <row r="5184" spans="1:8" ht="13.2">
      <c r="A5184" s="15" t="s">
        <v>478</v>
      </c>
      <c r="B5184" s="30" t="s">
        <v>359</v>
      </c>
      <c r="C5184" s="17">
        <v>3.5</v>
      </c>
      <c r="D5184" s="18"/>
      <c r="E5184" s="17" t="s">
        <v>332</v>
      </c>
      <c r="F5184" s="17"/>
      <c r="G5184" s="18"/>
      <c r="H5184" s="18"/>
    </row>
    <row r="5185" spans="1:8" ht="13.2">
      <c r="A5185" s="15" t="s">
        <v>479</v>
      </c>
      <c r="B5185" s="35" t="s">
        <v>480</v>
      </c>
      <c r="C5185" s="17">
        <v>3.5</v>
      </c>
      <c r="D5185" s="18"/>
      <c r="E5185" s="17" t="s">
        <v>332</v>
      </c>
      <c r="F5185" s="17"/>
      <c r="G5185" s="18"/>
      <c r="H5185" s="18"/>
    </row>
    <row r="5186" spans="1:8" ht="13.2">
      <c r="A5186" s="15" t="s">
        <v>481</v>
      </c>
      <c r="B5186" s="29" t="s">
        <v>482</v>
      </c>
      <c r="C5186" s="17">
        <v>3.5</v>
      </c>
      <c r="D5186" s="18"/>
      <c r="E5186" s="17" t="s">
        <v>332</v>
      </c>
      <c r="F5186" s="17"/>
      <c r="G5186" s="18"/>
      <c r="H5186" s="18"/>
    </row>
    <row r="5187" spans="1:8" ht="13.2">
      <c r="A5187" s="15" t="s">
        <v>1744</v>
      </c>
      <c r="B5187" s="30" t="s">
        <v>1745</v>
      </c>
      <c r="C5187" s="17">
        <v>3.5</v>
      </c>
      <c r="D5187" s="18"/>
      <c r="E5187" s="17" t="s">
        <v>1734</v>
      </c>
      <c r="F5187" s="17"/>
      <c r="G5187" s="18"/>
      <c r="H5187" s="18"/>
    </row>
    <row r="5188" spans="1:8" ht="13.2">
      <c r="A5188" s="15" t="s">
        <v>1901</v>
      </c>
      <c r="B5188" s="30" t="s">
        <v>1902</v>
      </c>
      <c r="C5188" s="24">
        <v>3.5</v>
      </c>
      <c r="D5188" s="26" t="str">
        <f>HYPERLINK("https://ideone.com/UPTPfz","Sol")</f>
        <v>Sol</v>
      </c>
      <c r="E5188" s="17" t="s">
        <v>1819</v>
      </c>
      <c r="F5188" s="17"/>
      <c r="G5188" s="18"/>
      <c r="H5188" s="18"/>
    </row>
    <row r="5189" spans="1:8" ht="13.2">
      <c r="A5189" s="19" t="str">
        <f>HYPERLINK("http://codeforces.com/contest/431/problem/C","CF431-D2-C")</f>
        <v>CF431-D2-C</v>
      </c>
      <c r="B5189" s="29" t="s">
        <v>1984</v>
      </c>
      <c r="C5189" s="17">
        <v>3.5</v>
      </c>
      <c r="D5189" s="18"/>
      <c r="E5189" s="17" t="s">
        <v>1909</v>
      </c>
      <c r="F5189" s="17"/>
      <c r="G5189" s="18"/>
      <c r="H5189" s="18"/>
    </row>
    <row r="5190" spans="1:8" ht="13.2">
      <c r="A5190" s="15" t="s">
        <v>2071</v>
      </c>
      <c r="B5190" s="51" t="s">
        <v>2025</v>
      </c>
      <c r="C5190" s="24">
        <v>3.5</v>
      </c>
      <c r="D5190" s="18"/>
      <c r="E5190" s="17" t="s">
        <v>2026</v>
      </c>
      <c r="F5190" s="17"/>
      <c r="G5190" s="18"/>
      <c r="H5190" s="18"/>
    </row>
    <row r="5191" spans="1:8" ht="13.2">
      <c r="A5191" s="19" t="str">
        <f>HYPERLINK("https://github.com/3agwa/CompetitiveProgramming/blob/master/UVA/UVA%2012457","UVA 12457")</f>
        <v>UVA 12457</v>
      </c>
      <c r="B5191" s="30" t="s">
        <v>2072</v>
      </c>
      <c r="C5191" s="24">
        <v>3.5</v>
      </c>
      <c r="D5191" s="26" t="str">
        <f>HYPERLINK("https://github.com/3agwa/CompetitiveProgramming/blob/master/UVA/UVA%2012457","Sol")</f>
        <v>Sol</v>
      </c>
      <c r="E5191" s="17" t="s">
        <v>2026</v>
      </c>
      <c r="F5191" s="17"/>
      <c r="G5191" s="18"/>
      <c r="H5191" s="18"/>
    </row>
    <row r="5192" spans="1:8" ht="13.2">
      <c r="A5192" s="15" t="s">
        <v>559</v>
      </c>
      <c r="B5192" s="16" t="s">
        <v>544</v>
      </c>
      <c r="C5192" s="24">
        <v>3.5</v>
      </c>
      <c r="D5192" s="18"/>
      <c r="E5192" s="17" t="s">
        <v>503</v>
      </c>
      <c r="F5192" s="17"/>
      <c r="G5192" s="18"/>
      <c r="H5192" s="18"/>
    </row>
    <row r="5193" spans="1:8" ht="13.2">
      <c r="A5193" s="19" t="str">
        <f>HYPERLINK("http://codeforces.com/contest/30/problem/C","CF30-D12-C")</f>
        <v>CF30-D12-C</v>
      </c>
      <c r="B5193" s="29" t="s">
        <v>2077</v>
      </c>
      <c r="C5193" s="17">
        <v>3.5</v>
      </c>
      <c r="D5193" s="18"/>
      <c r="E5193" s="17" t="s">
        <v>2074</v>
      </c>
      <c r="F5193" s="17"/>
      <c r="G5193" s="18"/>
      <c r="H5193" s="18"/>
    </row>
    <row r="5194" spans="1:8" ht="13.2">
      <c r="A5194" s="19" t="str">
        <f>HYPERLINK("http://www.spoj.com/problems/CHOCOLA/","SPOJ CHOCOLA")</f>
        <v>SPOJ CHOCOLA</v>
      </c>
      <c r="B5194" s="18" t="s">
        <v>2163</v>
      </c>
      <c r="C5194" s="17">
        <v>3.5</v>
      </c>
      <c r="D5194" s="18"/>
      <c r="E5194" s="17" t="s">
        <v>2153</v>
      </c>
      <c r="F5194" s="17"/>
      <c r="G5194" s="18"/>
      <c r="H5194" s="18"/>
    </row>
    <row r="5195" spans="1:8" ht="13.2">
      <c r="A5195" s="19" t="str">
        <f>HYPERLINK("http://codeforces.com/contest/234/problem/G","CF234-D2-G")</f>
        <v>CF234-D2-G</v>
      </c>
      <c r="B5195" s="29" t="s">
        <v>2381</v>
      </c>
      <c r="C5195" s="17">
        <v>3.5</v>
      </c>
      <c r="D5195" s="18"/>
      <c r="E5195" s="17" t="s">
        <v>2153</v>
      </c>
      <c r="F5195" s="17"/>
      <c r="G5195" s="18"/>
      <c r="H5195" s="18"/>
    </row>
    <row r="5196" spans="1:8" ht="13.2">
      <c r="A5196" s="19" t="str">
        <f>HYPERLINK("https://uva.onlinejudge.org/index.php?option=onlinejudge&amp;page=show_problem&amp;problem=401","UVA 460")</f>
        <v>UVA 460</v>
      </c>
      <c r="B5196" s="29" t="s">
        <v>2509</v>
      </c>
      <c r="C5196" s="17">
        <v>3.5</v>
      </c>
      <c r="D5196" s="18"/>
      <c r="E5196" s="17" t="s">
        <v>2510</v>
      </c>
      <c r="F5196" s="17"/>
      <c r="G5196" s="18"/>
      <c r="H5196" s="18"/>
    </row>
    <row r="5197" spans="1:8" ht="13.2">
      <c r="A5197" s="15" t="s">
        <v>2761</v>
      </c>
      <c r="B5197" s="15" t="s">
        <v>2509</v>
      </c>
      <c r="C5197" s="17">
        <v>3.5</v>
      </c>
      <c r="D5197" s="18"/>
      <c r="E5197" s="17" t="s">
        <v>2510</v>
      </c>
      <c r="F5197" s="17"/>
      <c r="G5197" s="18"/>
      <c r="H5197" s="18"/>
    </row>
    <row r="5198" spans="1:8" ht="13.2">
      <c r="A5198" s="15" t="s">
        <v>2762</v>
      </c>
      <c r="B5198" s="15" t="s">
        <v>2561</v>
      </c>
      <c r="C5198" s="17">
        <v>3.5</v>
      </c>
      <c r="D5198" s="26" t="str">
        <f>HYPERLINK("https://github.com/mostafa-saad/MyCompetitiveProgramming/blob/master/UVA/UVA_10466.txt","Sol")</f>
        <v>Sol</v>
      </c>
      <c r="E5198" s="17" t="s">
        <v>2510</v>
      </c>
      <c r="F5198" s="17"/>
      <c r="G5198" s="18"/>
      <c r="H5198" s="18"/>
    </row>
    <row r="5199" spans="1:8" ht="13.2">
      <c r="A5199" s="19" t="str">
        <f>HYPERLINK("http://codeforces.com/contest/136/problem/D","CF136-D2-D")</f>
        <v>CF136-D2-D</v>
      </c>
      <c r="B5199" s="15" t="s">
        <v>2763</v>
      </c>
      <c r="C5199" s="17">
        <v>3.5</v>
      </c>
      <c r="D5199" s="18"/>
      <c r="E5199" s="17" t="s">
        <v>2510</v>
      </c>
      <c r="F5199" s="17"/>
      <c r="G5199" s="18"/>
      <c r="H5199" s="18"/>
    </row>
    <row r="5200" spans="1:8" ht="13.2">
      <c r="A5200" s="15" t="s">
        <v>2764</v>
      </c>
      <c r="B5200" s="15" t="s">
        <v>2650</v>
      </c>
      <c r="C5200" s="24">
        <v>3.5</v>
      </c>
      <c r="D5200" s="18"/>
      <c r="E5200" s="17" t="s">
        <v>2510</v>
      </c>
      <c r="F5200" s="17"/>
      <c r="G5200" s="18"/>
      <c r="H5200" s="18"/>
    </row>
    <row r="5201" spans="1:8" ht="13.2">
      <c r="A5201" s="19" t="str">
        <f>HYPERLINK("https://uva.onlinejudge.org/index.php?option=com_onlinejudge&amp;Itemid=8&amp;page=show_problem&amp;problem=418","UVA 477")</f>
        <v>UVA 477</v>
      </c>
      <c r="B5201" s="29" t="s">
        <v>2800</v>
      </c>
      <c r="C5201" s="17">
        <v>3.5</v>
      </c>
      <c r="D5201" s="26" t="str">
        <f>HYPERLINK("https://github.com/MeGaCrazy/CompetitiveProgramming/blob/5343b4e1aabd67db25a4864de4eb81eb094709e3/UVA/UVA_477.cpp","Sol")</f>
        <v>Sol</v>
      </c>
      <c r="E5201" s="17" t="s">
        <v>2798</v>
      </c>
      <c r="F5201" s="17"/>
      <c r="G5201" s="18"/>
      <c r="H5201" s="18"/>
    </row>
    <row r="5202" spans="1:8" ht="13.2">
      <c r="A5202" s="19" t="str">
        <f>HYPERLINK("https://uva.onlinejudge.org/index.php?option=com_onlinejudge&amp;Itemid=8&amp;page=show_problem&amp;problem=314","UVA 378")</f>
        <v>UVA 378</v>
      </c>
      <c r="B5202" s="29" t="s">
        <v>2891</v>
      </c>
      <c r="C5202" s="17">
        <v>3.5</v>
      </c>
      <c r="D5202" s="18"/>
      <c r="E5202" s="17" t="s">
        <v>2865</v>
      </c>
      <c r="F5202" s="17"/>
      <c r="G5202" s="18"/>
      <c r="H5202" s="18"/>
    </row>
    <row r="5203" spans="1:8" ht="13.2">
      <c r="A5203" s="15" t="s">
        <v>2926</v>
      </c>
      <c r="B5203" s="15" t="s">
        <v>2927</v>
      </c>
      <c r="C5203" s="24">
        <v>3.5</v>
      </c>
      <c r="D5203" s="26" t="str">
        <f>HYPERLINK("https://github.com/AbdelrahmanRamadan/competitive-programming/blob/master/UVA/10902-Pick-up-Sticks.cpp","Sol")</f>
        <v>Sol</v>
      </c>
      <c r="E5203" s="17" t="s">
        <v>2865</v>
      </c>
      <c r="F5203" s="17"/>
      <c r="G5203" s="18"/>
      <c r="H5203" s="18"/>
    </row>
    <row r="5204" spans="1:8" ht="13.2">
      <c r="A5204" s="15" t="s">
        <v>2928</v>
      </c>
      <c r="B5204" s="28" t="s">
        <v>2929</v>
      </c>
      <c r="C5204" s="24">
        <v>3.5</v>
      </c>
      <c r="D5204" s="26" t="str">
        <f>HYPERLINK("https://github.com/mostafa-saad/MyCompetitiveProgramming/blob/master/LiveArchive/LiveArchive_3381.txt","Sol")</f>
        <v>Sol</v>
      </c>
      <c r="E5204" s="24" t="s">
        <v>2865</v>
      </c>
      <c r="F5204" s="17"/>
      <c r="G5204" s="18"/>
      <c r="H5204" s="18"/>
    </row>
    <row r="5205" spans="1:8" ht="13.2">
      <c r="A5205" s="15" t="s">
        <v>2930</v>
      </c>
      <c r="B5205" s="28" t="s">
        <v>2931</v>
      </c>
      <c r="C5205" s="17">
        <v>3.5</v>
      </c>
      <c r="D5205" s="26" t="str">
        <f>HYPERLINK("https://github.com/Maverick10/Competitive-Programming/blob/master/Solutions/UVa/UVa%20-%2011783.cpp","Sl")</f>
        <v>Sl</v>
      </c>
      <c r="E5205" s="17" t="s">
        <v>2865</v>
      </c>
      <c r="F5205" s="17"/>
      <c r="G5205" s="18"/>
      <c r="H5205" s="18"/>
    </row>
    <row r="5206" spans="1:8" ht="13.2">
      <c r="A5206" s="15" t="s">
        <v>648</v>
      </c>
      <c r="B5206" s="28" t="s">
        <v>649</v>
      </c>
      <c r="C5206" s="24">
        <v>3.5</v>
      </c>
      <c r="D5206" s="18"/>
      <c r="E5206" s="17" t="s">
        <v>575</v>
      </c>
      <c r="F5206" s="17"/>
      <c r="G5206" s="18"/>
      <c r="H5206" s="18"/>
    </row>
    <row r="5207" spans="1:8" ht="13.2">
      <c r="A5207" s="19" t="str">
        <f>HYPERLINK("https://www.hackerrank.com/contests/hourrank-26/challenges/cloudy-day/problem","HACKR cloudy-day")</f>
        <v>HACKR cloudy-day</v>
      </c>
      <c r="B5207" s="15" t="s">
        <v>3139</v>
      </c>
      <c r="C5207" s="17">
        <v>3.5</v>
      </c>
      <c r="D5207" s="18"/>
      <c r="E5207" s="17" t="s">
        <v>3140</v>
      </c>
      <c r="F5207" s="17"/>
      <c r="G5207" s="18"/>
      <c r="H5207" s="18"/>
    </row>
    <row r="5208" spans="1:8" ht="13.2">
      <c r="A5208" s="15" t="s">
        <v>3209</v>
      </c>
      <c r="B5208" s="28" t="s">
        <v>3210</v>
      </c>
      <c r="C5208" s="24">
        <v>3.5</v>
      </c>
      <c r="D5208" s="26" t="str">
        <f>HYPERLINK("https://github.com/aboodJAD/CompetitiveProgramming/blob/master/UVA/UVA%2010750.cpp","Sol")</f>
        <v>Sol</v>
      </c>
      <c r="E5208" s="17" t="s">
        <v>3140</v>
      </c>
      <c r="F5208" s="17"/>
      <c r="G5208" s="18"/>
      <c r="H5208" s="18"/>
    </row>
    <row r="5209" spans="1:8" ht="13.2">
      <c r="A5209" s="19" t="str">
        <f>HYPERLINK("https://www.hackerrank.com/challenges/spheres","HACKR spheres")</f>
        <v>HACKR spheres</v>
      </c>
      <c r="B5209" s="28" t="s">
        <v>3254</v>
      </c>
      <c r="C5209" s="17">
        <v>3.5</v>
      </c>
      <c r="D5209" s="26" t="str">
        <f>HYPERLINK("https://github.com/osamahatem/CompetitiveProgramming/blob/master/Hackerrank/spheres.cpp","Sol")</f>
        <v>Sol</v>
      </c>
      <c r="E5209" s="17" t="s">
        <v>3214</v>
      </c>
      <c r="F5209" s="17"/>
      <c r="G5209" s="18"/>
      <c r="H5209" s="18"/>
    </row>
    <row r="5210" spans="1:8" ht="13.2">
      <c r="A5210" s="15" t="s">
        <v>3614</v>
      </c>
      <c r="B5210" s="30" t="s">
        <v>3615</v>
      </c>
      <c r="C5210" s="17">
        <v>3.5</v>
      </c>
      <c r="D5210" s="18"/>
      <c r="E5210" s="17" t="s">
        <v>3467</v>
      </c>
      <c r="F5210" s="17"/>
      <c r="G5210" s="18"/>
      <c r="H5210" s="18"/>
    </row>
    <row r="5211" spans="1:8" ht="13.2">
      <c r="A5211" s="19" t="str">
        <f>HYPERLINK("http://codeforces.com/contest/682/problem/C","CF682-D2-C")</f>
        <v>CF682-D2-C</v>
      </c>
      <c r="B5211" s="29" t="s">
        <v>3649</v>
      </c>
      <c r="C5211" s="17">
        <v>3.5</v>
      </c>
      <c r="D5211" s="18"/>
      <c r="E5211" s="17" t="s">
        <v>3650</v>
      </c>
      <c r="F5211" s="17"/>
      <c r="G5211" s="18"/>
      <c r="H5211" s="18"/>
    </row>
    <row r="5212" spans="1:8" ht="13.2">
      <c r="A5212" s="15" t="s">
        <v>3761</v>
      </c>
      <c r="B5212" s="18" t="s">
        <v>3726</v>
      </c>
      <c r="C5212" s="24">
        <v>3.5</v>
      </c>
      <c r="D5212" s="18"/>
      <c r="E5212" s="17" t="s">
        <v>3650</v>
      </c>
      <c r="F5212" s="17"/>
      <c r="G5212" s="18"/>
      <c r="H5212" s="18"/>
    </row>
    <row r="5213" spans="1:8" ht="13.2">
      <c r="A5213" s="15" t="s">
        <v>3762</v>
      </c>
      <c r="B5213" s="30" t="s">
        <v>3763</v>
      </c>
      <c r="C5213" s="17">
        <v>3.5</v>
      </c>
      <c r="D5213" s="18"/>
      <c r="E5213" s="17" t="s">
        <v>3650</v>
      </c>
      <c r="F5213" s="17"/>
      <c r="G5213" s="18"/>
      <c r="H5213" s="18"/>
    </row>
    <row r="5214" spans="1:8" ht="13.2">
      <c r="A5214" s="19" t="str">
        <f>HYPERLINK("http://www.spoj.com/problems/HIGHWAYS/","SPOJ HIGHWAYS")</f>
        <v>SPOJ HIGHWAYS</v>
      </c>
      <c r="B5214" s="29" t="s">
        <v>3791</v>
      </c>
      <c r="C5214" s="17">
        <v>3.5</v>
      </c>
      <c r="D5214" s="18"/>
      <c r="E5214" s="17" t="s">
        <v>3784</v>
      </c>
      <c r="F5214" s="17"/>
      <c r="G5214" s="18"/>
      <c r="H5214" s="18"/>
    </row>
    <row r="5215" spans="1:8" ht="13.2">
      <c r="A5215" s="15" t="s">
        <v>3869</v>
      </c>
      <c r="B5215" s="28" t="s">
        <v>3870</v>
      </c>
      <c r="C5215" s="17">
        <v>3.5</v>
      </c>
      <c r="D5215" s="18"/>
      <c r="E5215" s="17" t="s">
        <v>3784</v>
      </c>
      <c r="F5215" s="17"/>
      <c r="G5215" s="18"/>
      <c r="H5215" s="18"/>
    </row>
    <row r="5216" spans="1:8" ht="13.2">
      <c r="A5216" s="19" t="str">
        <f>HYPERLINK("http://codeforces.com/contest/25/problem/D","CF25-D2-D")</f>
        <v>CF25-D2-D</v>
      </c>
      <c r="B5216" s="18" t="s">
        <v>3886</v>
      </c>
      <c r="C5216" s="17">
        <v>3.5</v>
      </c>
      <c r="D5216" s="18"/>
      <c r="E5216" s="17" t="s">
        <v>3883</v>
      </c>
      <c r="F5216" s="17"/>
      <c r="G5216" s="18"/>
      <c r="H5216" s="18"/>
    </row>
    <row r="5217" spans="1:8" ht="13.2">
      <c r="A5217" s="15" t="s">
        <v>3994</v>
      </c>
      <c r="B5217" s="30" t="s">
        <v>3995</v>
      </c>
      <c r="C5217" s="17">
        <v>3.5</v>
      </c>
      <c r="D5217" s="26" t="str">
        <f>HYPERLINK("https://github.com/shashank0107/CompetitiveProgramming/blob/master/TIMUS/1137.cpp","Sol")</f>
        <v>Sol</v>
      </c>
      <c r="E5217" s="17" t="s">
        <v>3955</v>
      </c>
      <c r="F5217" s="17"/>
      <c r="G5217" s="18"/>
      <c r="H5217" s="18"/>
    </row>
    <row r="5218" spans="1:8" ht="13.2">
      <c r="A5218" s="15" t="s">
        <v>4049</v>
      </c>
      <c r="B5218" s="29" t="s">
        <v>4006</v>
      </c>
      <c r="C5218" s="17">
        <v>3.5</v>
      </c>
      <c r="D5218" s="18"/>
      <c r="E5218" s="17" t="s">
        <v>3998</v>
      </c>
      <c r="F5218" s="17"/>
      <c r="G5218" s="18"/>
      <c r="H5218" s="18"/>
    </row>
    <row r="5219" spans="1:8" ht="13.2">
      <c r="A5219" s="15" t="s">
        <v>4335</v>
      </c>
      <c r="B5219" s="28" t="s">
        <v>4279</v>
      </c>
      <c r="C5219" s="24">
        <v>3.5</v>
      </c>
      <c r="D5219" s="18"/>
      <c r="E5219" s="24" t="s">
        <v>4275</v>
      </c>
      <c r="F5219" s="17"/>
      <c r="G5219" s="18"/>
      <c r="H5219" s="18"/>
    </row>
    <row r="5220" spans="1:8" ht="13.2">
      <c r="A5220" s="15" t="s">
        <v>4336</v>
      </c>
      <c r="B5220" s="16" t="s">
        <v>4279</v>
      </c>
      <c r="C5220" s="17">
        <v>3.5</v>
      </c>
      <c r="D5220" s="18"/>
      <c r="E5220" s="17" t="s">
        <v>4275</v>
      </c>
      <c r="F5220" s="17"/>
      <c r="G5220" s="18"/>
      <c r="H5220" s="18"/>
    </row>
    <row r="5221" spans="1:8" ht="13.2">
      <c r="A5221" s="19" t="str">
        <f>HYPERLINK("https://uva.onlinejudge.org/index.php?option=onlinejudge&amp;page=show_problem&amp;problem=1672","UVA 10731")</f>
        <v>UVA 10731</v>
      </c>
      <c r="B5221" s="29" t="s">
        <v>4346</v>
      </c>
      <c r="C5221" s="17">
        <v>3.5</v>
      </c>
      <c r="D5221" s="26" t="str">
        <f>HYPERLINK("https://github.com/ilyesLtifi/Competitive-Programming/blob/master/UVA/UVA%2010731.cpp","Sol")</f>
        <v>Sol</v>
      </c>
      <c r="E5221" s="17" t="s">
        <v>4344</v>
      </c>
      <c r="F5221" s="17"/>
      <c r="G5221" s="18"/>
      <c r="H5221" s="18"/>
    </row>
    <row r="5222" spans="1:8" ht="13.2">
      <c r="A5222" s="15" t="s">
        <v>4371</v>
      </c>
      <c r="B5222" s="43" t="s">
        <v>4346</v>
      </c>
      <c r="C5222" s="17">
        <v>3.5</v>
      </c>
      <c r="D5222" s="18"/>
      <c r="E5222" s="17" t="s">
        <v>4344</v>
      </c>
      <c r="F5222" s="17"/>
      <c r="G5222" s="18"/>
      <c r="H5222" s="18"/>
    </row>
    <row r="5223" spans="1:8" ht="13.2">
      <c r="A5223" s="15" t="s">
        <v>4725</v>
      </c>
      <c r="B5223" s="15" t="s">
        <v>4726</v>
      </c>
      <c r="C5223" s="17">
        <v>3.5</v>
      </c>
      <c r="D5223" s="18"/>
      <c r="E5223" s="17" t="s">
        <v>4531</v>
      </c>
      <c r="F5223" s="17"/>
      <c r="G5223" s="18"/>
      <c r="H5223" s="18"/>
    </row>
    <row r="5224" spans="1:8" ht="13.2">
      <c r="A5224" s="15" t="s">
        <v>4727</v>
      </c>
      <c r="B5224" s="16" t="s">
        <v>4541</v>
      </c>
      <c r="C5224" s="17">
        <v>3.5</v>
      </c>
      <c r="D5224" s="18"/>
      <c r="E5224" s="17" t="s">
        <v>4531</v>
      </c>
      <c r="F5224" s="17"/>
      <c r="G5224" s="18"/>
      <c r="H5224" s="18"/>
    </row>
    <row r="5225" spans="1:8" ht="13.2">
      <c r="A5225" s="15" t="s">
        <v>4802</v>
      </c>
      <c r="B5225" s="28" t="s">
        <v>4803</v>
      </c>
      <c r="C5225" s="24">
        <v>3.5</v>
      </c>
      <c r="D5225" s="18"/>
      <c r="E5225" s="17" t="s">
        <v>4778</v>
      </c>
      <c r="F5225" s="17"/>
      <c r="G5225" s="18"/>
      <c r="H5225" s="18"/>
    </row>
    <row r="5226" spans="1:8" ht="13.2">
      <c r="A5226" s="15" t="s">
        <v>4936</v>
      </c>
      <c r="B5226" s="28" t="s">
        <v>4937</v>
      </c>
      <c r="C5226" s="17">
        <v>3.5</v>
      </c>
      <c r="D5226" s="18"/>
      <c r="E5226" s="17" t="s">
        <v>4932</v>
      </c>
      <c r="F5226" s="17"/>
      <c r="G5226" s="18"/>
      <c r="H5226" s="18"/>
    </row>
    <row r="5227" spans="1:8" ht="13.2">
      <c r="A5227" s="19" t="str">
        <f>HYPERLINK("https://www.hackerrank.com/challenges/a-chocolate-fiesta","HACKR a-chocolate-fiesta")</f>
        <v>HACKR a-chocolate-fiesta</v>
      </c>
      <c r="B5227" s="29" t="s">
        <v>4964</v>
      </c>
      <c r="C5227" s="17">
        <v>3.5</v>
      </c>
      <c r="D5227" s="18"/>
      <c r="E5227" s="17" t="s">
        <v>4958</v>
      </c>
      <c r="F5227" s="17"/>
      <c r="G5227" s="18"/>
      <c r="H5227" s="18"/>
    </row>
    <row r="5228" spans="1:8" ht="13.2">
      <c r="A5228" s="15" t="s">
        <v>5122</v>
      </c>
      <c r="B5228" s="15" t="s">
        <v>5085</v>
      </c>
      <c r="C5228" s="17">
        <v>3.5</v>
      </c>
      <c r="D5228" s="18"/>
      <c r="E5228" s="17" t="s">
        <v>5075</v>
      </c>
      <c r="F5228" s="17"/>
      <c r="G5228" s="18"/>
      <c r="H5228" s="18"/>
    </row>
    <row r="5229" spans="1:8" ht="13.2">
      <c r="A5229" s="15" t="s">
        <v>5123</v>
      </c>
      <c r="B5229" s="28" t="s">
        <v>5124</v>
      </c>
      <c r="C5229" s="17">
        <v>3.5</v>
      </c>
      <c r="D5229" s="18"/>
      <c r="E5229" s="17" t="s">
        <v>5075</v>
      </c>
      <c r="F5229" s="17"/>
      <c r="G5229" s="18"/>
      <c r="H5229" s="18"/>
    </row>
    <row r="5230" spans="1:8" ht="13.2">
      <c r="A5230" s="19" t="str">
        <f>HYPERLINK("http://www.spoj.com/problems/NGM2/","SPOJ NGM2")</f>
        <v>SPOJ NGM2</v>
      </c>
      <c r="B5230" s="29" t="s">
        <v>5139</v>
      </c>
      <c r="C5230" s="17">
        <v>3.5</v>
      </c>
      <c r="D5230" s="18"/>
      <c r="E5230" s="17" t="s">
        <v>5134</v>
      </c>
      <c r="F5230" s="17"/>
      <c r="G5230" s="18"/>
      <c r="H5230" s="18"/>
    </row>
    <row r="5231" spans="1:8" ht="13.2">
      <c r="A5231" s="19" t="str">
        <f>HYPERLINK("https://uva.onlinejudge.org/index.php?option=onlinejudge&amp;page=show_problem&amp;problem=1266","UVA 10325")</f>
        <v>UVA 10325</v>
      </c>
      <c r="B5231" s="29" t="s">
        <v>5161</v>
      </c>
      <c r="C5231" s="17">
        <v>3.5</v>
      </c>
      <c r="D5231" s="26" t="str">
        <f>HYPERLINK("https://github.com/ilyesG/Competitive-Programming/blob/master/UVA/UVA%2010325.cpp","Sol")</f>
        <v>Sol</v>
      </c>
      <c r="E5231" s="17" t="s">
        <v>5134</v>
      </c>
      <c r="F5231" s="17"/>
      <c r="G5231" s="18"/>
      <c r="H5231" s="18"/>
    </row>
    <row r="5232" spans="1:8" ht="13.2">
      <c r="A5232" s="19" t="str">
        <f>HYPERLINK("https://uva.onlinejudge.org/index.php?option=onlinejudge&amp;page=show_problem&amp;problem=1450","UVA 10509")</f>
        <v>UVA 10509</v>
      </c>
      <c r="B5232" s="29" t="s">
        <v>5214</v>
      </c>
      <c r="C5232" s="17">
        <v>3.5</v>
      </c>
      <c r="D5232" s="18"/>
      <c r="E5232" s="17" t="s">
        <v>5168</v>
      </c>
      <c r="F5232" s="17"/>
      <c r="G5232" s="18"/>
      <c r="H5232" s="18"/>
    </row>
    <row r="5233" spans="1:8" ht="13.2">
      <c r="A5233" s="15" t="s">
        <v>5215</v>
      </c>
      <c r="B5233" s="28" t="s">
        <v>5216</v>
      </c>
      <c r="C5233" s="17">
        <v>3.5</v>
      </c>
      <c r="D5233" s="18"/>
      <c r="E5233" s="17" t="s">
        <v>5168</v>
      </c>
      <c r="F5233" s="17"/>
      <c r="G5233" s="18"/>
      <c r="H5233" s="18"/>
    </row>
    <row r="5234" spans="1:8" ht="13.2">
      <c r="A5234" s="19" t="str">
        <f>HYPERLINK("https://uva.onlinejudge.org/index.php?option=com_onlinejudge&amp;Itemid=8&amp;page=show_problem&amp;problem=439","UVA 498")</f>
        <v>UVA 498</v>
      </c>
      <c r="B5234" s="29" t="s">
        <v>5216</v>
      </c>
      <c r="C5234" s="17">
        <v>3.5</v>
      </c>
      <c r="D5234" s="18"/>
      <c r="E5234" s="17" t="s">
        <v>5168</v>
      </c>
      <c r="F5234" s="17"/>
      <c r="G5234" s="18"/>
      <c r="H5234" s="18"/>
    </row>
    <row r="5235" spans="1:8" ht="13.2">
      <c r="A5235" s="15" t="s">
        <v>5242</v>
      </c>
      <c r="B5235" s="29" t="s">
        <v>5243</v>
      </c>
      <c r="C5235" s="17">
        <v>3.5</v>
      </c>
      <c r="D5235" s="18"/>
      <c r="E5235" s="17" t="s">
        <v>5235</v>
      </c>
      <c r="F5235" s="17"/>
      <c r="G5235" s="18"/>
      <c r="H5235" s="18"/>
    </row>
    <row r="5236" spans="1:8" ht="13.2">
      <c r="A5236" s="15" t="s">
        <v>5302</v>
      </c>
      <c r="B5236" s="28" t="s">
        <v>5248</v>
      </c>
      <c r="C5236" s="17">
        <v>3.5</v>
      </c>
      <c r="D5236" s="18"/>
      <c r="E5236" s="17" t="s">
        <v>5246</v>
      </c>
      <c r="F5236" s="17"/>
      <c r="G5236" s="18"/>
      <c r="H5236" s="18"/>
    </row>
    <row r="5237" spans="1:8" ht="13.2">
      <c r="A5237" s="15" t="s">
        <v>901</v>
      </c>
      <c r="B5237" s="29" t="s">
        <v>814</v>
      </c>
      <c r="C5237" s="17">
        <v>3.5</v>
      </c>
      <c r="D5237" s="18"/>
      <c r="E5237" s="24" t="s">
        <v>805</v>
      </c>
      <c r="F5237" s="17"/>
      <c r="G5237" s="18"/>
      <c r="H5237" s="18"/>
    </row>
    <row r="5238" spans="1:8" ht="13.2">
      <c r="A5238" s="19" t="str">
        <f>HYPERLINK("https://uva.onlinejudge.org/index.php?option=onlinejudge&amp;page=show_problem&amp;problem=1217","UVA 10276")</f>
        <v>UVA 10276</v>
      </c>
      <c r="B5238" s="29" t="s">
        <v>902</v>
      </c>
      <c r="C5238" s="17">
        <v>3.5</v>
      </c>
      <c r="D5238" s="18"/>
      <c r="E5238" s="17" t="s">
        <v>805</v>
      </c>
      <c r="F5238" s="17"/>
      <c r="G5238" s="18"/>
      <c r="H5238" s="18"/>
    </row>
    <row r="5239" spans="1:8" ht="13.2">
      <c r="A5239" s="19" t="str">
        <f>HYPERLINK("https://uva.onlinejudge.org/index.php?option=com_onlinejudge&amp;Itemid=8&amp;page=show_problem&amp;problem=1018","UVA 10077")</f>
        <v>UVA 10077</v>
      </c>
      <c r="B5239" s="29" t="s">
        <v>872</v>
      </c>
      <c r="C5239" s="17">
        <v>3.5</v>
      </c>
      <c r="D5239" s="18"/>
      <c r="E5239" s="17" t="s">
        <v>805</v>
      </c>
      <c r="F5239" s="17"/>
      <c r="G5239" s="18"/>
      <c r="H5239" s="18"/>
    </row>
    <row r="5240" spans="1:8" ht="13.2">
      <c r="A5240" s="19" t="str">
        <f>HYPERLINK("https://uva.onlinejudge.org/index.php?option=com_onlinejudge&amp;Itemid=8&amp;page=show_problem&amp;problem=825","UVA 884")</f>
        <v>UVA 884</v>
      </c>
      <c r="B5240" s="29" t="s">
        <v>5424</v>
      </c>
      <c r="C5240" s="17">
        <v>3.5</v>
      </c>
      <c r="D5240" s="18"/>
      <c r="E5240" s="17" t="s">
        <v>5414</v>
      </c>
      <c r="F5240" s="17"/>
      <c r="G5240" s="18"/>
      <c r="H5240" s="18"/>
    </row>
    <row r="5241" spans="1:8" ht="13.2">
      <c r="A5241" s="15" t="s">
        <v>5483</v>
      </c>
      <c r="B5241" s="30" t="s">
        <v>5484</v>
      </c>
      <c r="C5241" s="17">
        <v>3.5</v>
      </c>
      <c r="D5241" s="18"/>
      <c r="E5241" s="17" t="s">
        <v>5414</v>
      </c>
      <c r="F5241" s="17"/>
      <c r="G5241" s="18"/>
      <c r="H5241" s="18"/>
    </row>
    <row r="5242" spans="1:8" ht="13.2">
      <c r="A5242" s="19" t="str">
        <f>HYPERLINK("https://codeforces.com/gym/101609/problem/E","CF101609-GYM-E")</f>
        <v>CF101609-GYM-E</v>
      </c>
      <c r="B5242" s="20" t="s">
        <v>6054</v>
      </c>
      <c r="C5242" s="21">
        <v>3.25</v>
      </c>
      <c r="D5242" s="18"/>
      <c r="E5242" s="17" t="s">
        <v>6040</v>
      </c>
      <c r="F5242" s="17"/>
      <c r="G5242" s="18"/>
      <c r="H5242" s="18"/>
    </row>
    <row r="5243" spans="1:8" ht="13.2">
      <c r="A5243" s="15" t="s">
        <v>2150</v>
      </c>
      <c r="B5243" s="29" t="s">
        <v>2114</v>
      </c>
      <c r="C5243" s="24">
        <v>3</v>
      </c>
      <c r="D5243" s="26" t="str">
        <f>HYPERLINK("https://github.com/MichaelMounir12/CompetitiveProgramming/blob/7a8bea8c513222833368c1c475d51b705ced5fbf/Topcoder/SRM367-D2-1000.cpp","Sol")</f>
        <v>Sol</v>
      </c>
      <c r="E5243" s="17" t="s">
        <v>2113</v>
      </c>
      <c r="F5243" s="17" t="s">
        <v>255</v>
      </c>
      <c r="G5243" s="18"/>
      <c r="H5243" s="18"/>
    </row>
    <row r="5244" spans="1:8" ht="13.2">
      <c r="A5244" s="15" t="s">
        <v>303</v>
      </c>
      <c r="B5244" s="15" t="s">
        <v>304</v>
      </c>
      <c r="C5244" s="24">
        <v>3</v>
      </c>
      <c r="D5244" s="18"/>
      <c r="E5244" s="17" t="s">
        <v>125</v>
      </c>
      <c r="F5244" s="17" t="s">
        <v>229</v>
      </c>
      <c r="G5244" s="18"/>
      <c r="H5244" s="18"/>
    </row>
    <row r="5245" spans="1:8" ht="13.2">
      <c r="A5245" s="15" t="s">
        <v>1664</v>
      </c>
      <c r="B5245" s="29" t="s">
        <v>1348</v>
      </c>
      <c r="C5245" s="24">
        <v>3</v>
      </c>
      <c r="D5245" s="18"/>
      <c r="E5245" s="24" t="s">
        <v>1337</v>
      </c>
      <c r="F5245" s="17" t="s">
        <v>229</v>
      </c>
      <c r="G5245" s="18"/>
      <c r="H5245" s="18"/>
    </row>
    <row r="5246" spans="1:8" ht="13.2">
      <c r="A5246" s="15" t="s">
        <v>1903</v>
      </c>
      <c r="B5246" s="28" t="s">
        <v>1904</v>
      </c>
      <c r="C5246" s="24">
        <v>3</v>
      </c>
      <c r="D5246" s="18"/>
      <c r="E5246" s="17" t="s">
        <v>1819</v>
      </c>
      <c r="F5246" s="17" t="s">
        <v>229</v>
      </c>
      <c r="G5246" s="18"/>
      <c r="H5246" s="18"/>
    </row>
    <row r="5247" spans="1:8" ht="13.2">
      <c r="A5247" s="15" t="s">
        <v>3616</v>
      </c>
      <c r="B5247" s="16" t="s">
        <v>3466</v>
      </c>
      <c r="C5247" s="24">
        <v>3</v>
      </c>
      <c r="D5247" s="18"/>
      <c r="E5247" s="17" t="s">
        <v>3467</v>
      </c>
      <c r="F5247" s="17" t="s">
        <v>229</v>
      </c>
      <c r="G5247" s="18"/>
      <c r="H5247" s="18"/>
    </row>
    <row r="5248" spans="1:8" ht="13.2">
      <c r="A5248" s="15" t="s">
        <v>3617</v>
      </c>
      <c r="B5248" s="16" t="s">
        <v>3618</v>
      </c>
      <c r="C5248" s="17">
        <v>3</v>
      </c>
      <c r="D5248" s="18"/>
      <c r="E5248" s="17" t="s">
        <v>3467</v>
      </c>
      <c r="F5248" s="17" t="s">
        <v>229</v>
      </c>
      <c r="G5248" s="18"/>
      <c r="H5248" s="18"/>
    </row>
    <row r="5249" spans="1:8" ht="13.2">
      <c r="A5249" s="15" t="s">
        <v>3642</v>
      </c>
      <c r="B5249" s="28" t="s">
        <v>3643</v>
      </c>
      <c r="C5249" s="24">
        <v>3</v>
      </c>
      <c r="D5249" s="18"/>
      <c r="E5249" s="17" t="s">
        <v>3633</v>
      </c>
      <c r="F5249" s="17" t="s">
        <v>229</v>
      </c>
      <c r="G5249" s="18"/>
      <c r="H5249" s="18"/>
    </row>
    <row r="5250" spans="1:8" ht="13.2">
      <c r="A5250" s="15" t="s">
        <v>5162</v>
      </c>
      <c r="B5250" s="29" t="s">
        <v>5163</v>
      </c>
      <c r="C5250" s="24">
        <v>3</v>
      </c>
      <c r="D5250" s="18"/>
      <c r="E5250" s="17" t="s">
        <v>5134</v>
      </c>
      <c r="F5250" s="17" t="s">
        <v>229</v>
      </c>
      <c r="G5250" s="18"/>
      <c r="H5250" s="18"/>
    </row>
    <row r="5251" spans="1:8" ht="13.2">
      <c r="A5251" s="15" t="s">
        <v>5485</v>
      </c>
      <c r="B5251" s="16" t="s">
        <v>5416</v>
      </c>
      <c r="C5251" s="31">
        <v>3</v>
      </c>
      <c r="D5251" s="18"/>
      <c r="E5251" s="17" t="s">
        <v>5414</v>
      </c>
      <c r="F5251" s="17" t="s">
        <v>229</v>
      </c>
      <c r="G5251" s="18"/>
      <c r="H5251" s="18"/>
    </row>
    <row r="5252" spans="1:8" ht="13.2">
      <c r="A5252" s="15" t="s">
        <v>5611</v>
      </c>
      <c r="B5252" s="43" t="s">
        <v>5596</v>
      </c>
      <c r="C5252" s="24">
        <v>3</v>
      </c>
      <c r="D5252" s="18"/>
      <c r="E5252" s="17" t="s">
        <v>5575</v>
      </c>
      <c r="F5252" s="17" t="s">
        <v>229</v>
      </c>
      <c r="G5252" s="18"/>
      <c r="H5252" s="18"/>
    </row>
    <row r="5253" spans="1:8" ht="13.2">
      <c r="A5253" s="15" t="s">
        <v>305</v>
      </c>
      <c r="B5253" s="34" t="s">
        <v>212</v>
      </c>
      <c r="C5253" s="24">
        <v>3</v>
      </c>
      <c r="D5253" s="18"/>
      <c r="E5253" s="17" t="s">
        <v>125</v>
      </c>
      <c r="F5253" s="17" t="s">
        <v>306</v>
      </c>
      <c r="G5253" s="18"/>
      <c r="H5253" s="18"/>
    </row>
    <row r="5254" spans="1:8" ht="13.2">
      <c r="A5254" s="15" t="s">
        <v>944</v>
      </c>
      <c r="B5254" s="29" t="s">
        <v>945</v>
      </c>
      <c r="C5254" s="24">
        <v>3</v>
      </c>
      <c r="D5254" s="18"/>
      <c r="E5254" s="17" t="s">
        <v>910</v>
      </c>
      <c r="F5254" s="17" t="s">
        <v>306</v>
      </c>
      <c r="G5254" s="18"/>
      <c r="H5254" s="18"/>
    </row>
    <row r="5255" spans="1:8" ht="13.2">
      <c r="A5255" s="15" t="s">
        <v>6186</v>
      </c>
      <c r="B5255" s="29" t="s">
        <v>6168</v>
      </c>
      <c r="C5255" s="24">
        <v>3</v>
      </c>
      <c r="D5255" s="18"/>
      <c r="E5255" s="17" t="s">
        <v>6169</v>
      </c>
      <c r="F5255" s="17" t="s">
        <v>306</v>
      </c>
      <c r="G5255" s="18"/>
      <c r="H5255" s="18"/>
    </row>
    <row r="5256" spans="1:8" ht="13.2">
      <c r="A5256" s="15" t="s">
        <v>2455</v>
      </c>
      <c r="B5256" s="28" t="s">
        <v>2441</v>
      </c>
      <c r="C5256" s="17">
        <v>3</v>
      </c>
      <c r="D5256" s="26" t="str">
        <f>HYPERLINK("https://github.com/AmrMorsySuperVision/-CompetitiveProgramming/blob/master/SRM558-D2-1000.cpp","Sol")</f>
        <v>Sol</v>
      </c>
      <c r="E5256" s="24" t="s">
        <v>2442</v>
      </c>
      <c r="F5256" s="17" t="s">
        <v>306</v>
      </c>
      <c r="G5256" s="18"/>
      <c r="H5256" s="18"/>
    </row>
    <row r="5257" spans="1:8" ht="13.2">
      <c r="A5257" s="15" t="s">
        <v>2502</v>
      </c>
      <c r="B5257" s="18" t="s">
        <v>2503</v>
      </c>
      <c r="C5257" s="24">
        <v>3</v>
      </c>
      <c r="D5257" s="18"/>
      <c r="E5257" s="17" t="s">
        <v>2467</v>
      </c>
      <c r="F5257" s="17" t="s">
        <v>306</v>
      </c>
      <c r="G5257" s="18"/>
      <c r="H5257" s="18"/>
    </row>
    <row r="5258" spans="1:8" ht="13.2">
      <c r="A5258" s="19" t="str">
        <f>HYPERLINK("https://www.hackerrank.com/challenges/hyperspace-travel","HACKR hyperspace-travel")</f>
        <v>HACKR hyperspace-travel</v>
      </c>
      <c r="B5258" s="28" t="s">
        <v>2765</v>
      </c>
      <c r="C5258" s="17">
        <v>3</v>
      </c>
      <c r="D5258" s="18"/>
      <c r="E5258" s="17" t="s">
        <v>2510</v>
      </c>
      <c r="F5258" s="17" t="s">
        <v>306</v>
      </c>
      <c r="G5258" s="18"/>
      <c r="H5258" s="18"/>
    </row>
    <row r="5259" spans="1:8" ht="13.2">
      <c r="A5259" s="19" t="str">
        <f>HYPERLINK("https://www.hackerrank.com/challenges/circle-city","HACKR circle-city")</f>
        <v>HACKR circle-city</v>
      </c>
      <c r="B5259" s="28" t="s">
        <v>2857</v>
      </c>
      <c r="C5259" s="24">
        <v>3</v>
      </c>
      <c r="D5259" s="18"/>
      <c r="E5259" s="17" t="s">
        <v>2798</v>
      </c>
      <c r="F5259" s="17" t="s">
        <v>306</v>
      </c>
      <c r="G5259" s="18"/>
      <c r="H5259" s="18"/>
    </row>
    <row r="5260" spans="1:8" ht="13.2">
      <c r="A5260" s="15" t="s">
        <v>3464</v>
      </c>
      <c r="B5260" s="30" t="s">
        <v>3448</v>
      </c>
      <c r="C5260" s="17">
        <v>3</v>
      </c>
      <c r="D5260" s="18"/>
      <c r="E5260" s="17" t="s">
        <v>3439</v>
      </c>
      <c r="F5260" s="17" t="s">
        <v>306</v>
      </c>
      <c r="G5260" s="18"/>
      <c r="H5260" s="18"/>
    </row>
    <row r="5261" spans="1:8" ht="13.2">
      <c r="A5261" s="15" t="s">
        <v>3942</v>
      </c>
      <c r="B5261" s="28" t="s">
        <v>3943</v>
      </c>
      <c r="C5261" s="24">
        <v>3</v>
      </c>
      <c r="D5261" s="18"/>
      <c r="E5261" s="17" t="s">
        <v>3883</v>
      </c>
      <c r="F5261" s="17" t="s">
        <v>306</v>
      </c>
      <c r="G5261" s="18"/>
      <c r="H5261" s="18"/>
    </row>
    <row r="5262" spans="1:8" ht="13.2">
      <c r="A5262" s="15" t="s">
        <v>4418</v>
      </c>
      <c r="B5262" s="30" t="s">
        <v>4414</v>
      </c>
      <c r="C5262" s="24">
        <v>3</v>
      </c>
      <c r="D5262" s="18"/>
      <c r="E5262" s="24" t="s">
        <v>4411</v>
      </c>
      <c r="F5262" s="17" t="s">
        <v>306</v>
      </c>
      <c r="G5262" s="18"/>
      <c r="H5262" s="18"/>
    </row>
    <row r="5263" spans="1:8" ht="13.2">
      <c r="A5263" s="15" t="s">
        <v>4804</v>
      </c>
      <c r="B5263" s="30" t="s">
        <v>4779</v>
      </c>
      <c r="C5263" s="17">
        <v>3</v>
      </c>
      <c r="D5263" s="18"/>
      <c r="E5263" s="17" t="s">
        <v>4778</v>
      </c>
      <c r="F5263" s="17" t="s">
        <v>306</v>
      </c>
      <c r="G5263" s="18"/>
      <c r="H5263" s="18"/>
    </row>
    <row r="5264" spans="1:8" ht="13.2">
      <c r="A5264" s="15" t="s">
        <v>4859</v>
      </c>
      <c r="B5264" s="18" t="s">
        <v>4856</v>
      </c>
      <c r="C5264" s="17">
        <v>3</v>
      </c>
      <c r="D5264" s="18"/>
      <c r="E5264" s="17" t="s">
        <v>4809</v>
      </c>
      <c r="F5264" s="17" t="s">
        <v>306</v>
      </c>
      <c r="G5264" s="18"/>
      <c r="H5264" s="18"/>
    </row>
    <row r="5265" spans="1:8" ht="13.2">
      <c r="A5265" s="15" t="s">
        <v>650</v>
      </c>
      <c r="B5265" s="15" t="s">
        <v>640</v>
      </c>
      <c r="C5265" s="17">
        <v>3</v>
      </c>
      <c r="D5265" s="26" t="str">
        <f>HYPERLINK("https://github.com/Ownography/CP/blob/master/SPOJ%20POSTERIN", "Sol")</f>
        <v>Sol</v>
      </c>
      <c r="E5265" s="17" t="s">
        <v>575</v>
      </c>
      <c r="F5265" s="17" t="s">
        <v>154</v>
      </c>
      <c r="G5265" s="18"/>
      <c r="H5265" s="18"/>
    </row>
    <row r="5266" spans="1:8" ht="13.2">
      <c r="A5266" s="15" t="s">
        <v>5852</v>
      </c>
      <c r="B5266" s="29" t="s">
        <v>5853</v>
      </c>
      <c r="C5266" s="24">
        <v>3</v>
      </c>
      <c r="D5266" s="26" t="str">
        <f>HYPERLINK("http://web.stanford.edu/class/cs97si/suffix-array.pdf","Coach doc or stamford suffix array document - problem 4. Similar:  SPOJ DISUBSTR, TIMUS 1590")</f>
        <v>Coach doc or stamford suffix array document - problem 4. Similar:  SPOJ DISUBSTR, TIMUS 1590</v>
      </c>
      <c r="E5266" s="17" t="s">
        <v>5794</v>
      </c>
      <c r="F5266" s="17" t="s">
        <v>139</v>
      </c>
      <c r="G5266" s="18"/>
      <c r="H5266" s="18"/>
    </row>
    <row r="5267" spans="1:8" ht="13.2">
      <c r="A5267" s="15" t="s">
        <v>2017</v>
      </c>
      <c r="B5267" s="29" t="s">
        <v>2001</v>
      </c>
      <c r="C5267" s="17">
        <v>3</v>
      </c>
      <c r="D5267" s="18"/>
      <c r="E5267" s="17" t="s">
        <v>1989</v>
      </c>
      <c r="F5267" s="17" t="s">
        <v>139</v>
      </c>
      <c r="G5267" s="18"/>
      <c r="H5267" s="18"/>
    </row>
    <row r="5268" spans="1:8" ht="13.2">
      <c r="A5268" s="19" t="str">
        <f>HYPERLINK("http://acm.tju.edu.cn/toj/showp3051.html","TJU 3051")</f>
        <v>TJU 3051</v>
      </c>
      <c r="B5268" s="29" t="s">
        <v>2025</v>
      </c>
      <c r="C5268" s="17">
        <v>3</v>
      </c>
      <c r="D5268" s="18"/>
      <c r="E5268" s="17" t="s">
        <v>2026</v>
      </c>
      <c r="F5268" s="17" t="s">
        <v>139</v>
      </c>
      <c r="G5268" s="18"/>
      <c r="H5268" s="18"/>
    </row>
    <row r="5269" spans="1:8" ht="13.2">
      <c r="A5269" s="15" t="s">
        <v>2456</v>
      </c>
      <c r="B5269" s="28" t="s">
        <v>2457</v>
      </c>
      <c r="C5269" s="17">
        <v>3</v>
      </c>
      <c r="D5269" s="18"/>
      <c r="E5269" s="17" t="s">
        <v>2442</v>
      </c>
      <c r="F5269" s="17" t="s">
        <v>139</v>
      </c>
      <c r="G5269" s="18"/>
      <c r="H5269" s="18"/>
    </row>
    <row r="5270" spans="1:8" ht="13.2">
      <c r="A5270" s="15" t="s">
        <v>2504</v>
      </c>
      <c r="B5270" s="28" t="s">
        <v>2468</v>
      </c>
      <c r="C5270" s="17">
        <v>3</v>
      </c>
      <c r="D5270" s="18"/>
      <c r="E5270" s="17" t="s">
        <v>2467</v>
      </c>
      <c r="F5270" s="17" t="s">
        <v>139</v>
      </c>
      <c r="G5270" s="18"/>
      <c r="H5270" s="18"/>
    </row>
    <row r="5271" spans="1:8" ht="13.2">
      <c r="A5271" s="19" t="str">
        <f>HYPERLINK("https://uva.onlinejudge.org/index.php?option=onlinejudge&amp;page=show_problem&amp;problem=1204","UVA 10263")</f>
        <v>UVA 10263</v>
      </c>
      <c r="B5271" s="29" t="s">
        <v>2932</v>
      </c>
      <c r="C5271" s="17">
        <v>3</v>
      </c>
      <c r="D5271" s="18"/>
      <c r="E5271" s="17" t="s">
        <v>2865</v>
      </c>
      <c r="F5271" s="17" t="s">
        <v>139</v>
      </c>
      <c r="G5271" s="18"/>
      <c r="H5271" s="18"/>
    </row>
    <row r="5272" spans="1:8" ht="13.2">
      <c r="A5272" s="19" t="str">
        <f>HYPERLINK("https://uva.onlinejudge.org/index.php?option=com_onlinejudge&amp;Itemid=8&amp;page=show_problem&amp;problem=206","UVA 270")</f>
        <v>UVA 270</v>
      </c>
      <c r="B5272" s="29" t="s">
        <v>2933</v>
      </c>
      <c r="C5272" s="17">
        <v>3</v>
      </c>
      <c r="D5272" s="26" t="str">
        <f>HYPERLINK("https://github.com/mostafa-saad/MyCompetitiveProgramming/blob/master/UVA/UVA_270.txt","Don't code O(N^3). Sols to read.")</f>
        <v>Don't code O(N^3). Sols to read.</v>
      </c>
      <c r="E5272" s="17" t="s">
        <v>2865</v>
      </c>
      <c r="F5272" s="17" t="s">
        <v>139</v>
      </c>
      <c r="G5272" s="18"/>
      <c r="H5272" s="18"/>
    </row>
    <row r="5273" spans="1:8" ht="13.2">
      <c r="A5273" s="19" t="str">
        <f>HYPERLINK("http://www.spoj.com/problems/BITMAP/","SPOJ BITMAP")</f>
        <v>SPOJ BITMAP</v>
      </c>
      <c r="B5273" s="29" t="s">
        <v>3619</v>
      </c>
      <c r="C5273" s="17">
        <v>3</v>
      </c>
      <c r="D5273" s="18"/>
      <c r="E5273" s="17" t="s">
        <v>3467</v>
      </c>
      <c r="F5273" s="17" t="s">
        <v>139</v>
      </c>
      <c r="G5273" s="18"/>
      <c r="H5273" s="18"/>
    </row>
    <row r="5274" spans="1:8" ht="13.2">
      <c r="A5274" s="15" t="s">
        <v>4419</v>
      </c>
      <c r="B5274" s="43" t="s">
        <v>4414</v>
      </c>
      <c r="C5274" s="24">
        <v>3</v>
      </c>
      <c r="D5274" s="18"/>
      <c r="E5274" s="17" t="s">
        <v>4411</v>
      </c>
      <c r="F5274" s="17" t="s">
        <v>139</v>
      </c>
      <c r="G5274" s="18"/>
      <c r="H5274" s="18"/>
    </row>
    <row r="5275" spans="1:8" ht="13.2">
      <c r="A5275" s="19" t="str">
        <f>HYPERLINK("https://www.codechef.com/problems/GCDMOD", "CODECHEF GCDMOD")</f>
        <v>CODECHEF GCDMOD</v>
      </c>
      <c r="B5275" s="29" t="s">
        <v>4728</v>
      </c>
      <c r="C5275" s="21">
        <v>3</v>
      </c>
      <c r="D5275" s="26" t="str">
        <f>HYPERLINK("https://github.com/tmwilliamlin168/CompetitiveProgramming/blob/master/CodeChef/GCDMOD.cpp", "Sol. Learn __int128")</f>
        <v>Sol. Learn __int128</v>
      </c>
      <c r="E5275" s="17" t="s">
        <v>4531</v>
      </c>
      <c r="F5275" s="17" t="s">
        <v>139</v>
      </c>
      <c r="G5275" s="18"/>
      <c r="H5275" s="18"/>
    </row>
    <row r="5276" spans="1:8" ht="13.2">
      <c r="A5276" s="19" t="str">
        <f>HYPERLINK("http://codeforces.com/contest/534/problem/C","CF534-D2-C")</f>
        <v>CF534-D2-C</v>
      </c>
      <c r="B5276" s="29" t="s">
        <v>4729</v>
      </c>
      <c r="C5276" s="17">
        <v>3</v>
      </c>
      <c r="D5276" s="18"/>
      <c r="E5276" s="17" t="s">
        <v>4531</v>
      </c>
      <c r="F5276" s="17" t="s">
        <v>139</v>
      </c>
      <c r="G5276" s="18"/>
      <c r="H5276" s="18"/>
    </row>
    <row r="5277" spans="1:8" ht="13.2">
      <c r="A5277" s="19" t="str">
        <f>HYPERLINK("https://uva.onlinejudge.org/index.php?option=onlinejudge&amp;page=show_problem&amp;problem=2468","UVA 11473")</f>
        <v>UVA 11473</v>
      </c>
      <c r="B5277" s="29" t="s">
        <v>2934</v>
      </c>
      <c r="C5277" s="17">
        <v>3</v>
      </c>
      <c r="D5277" s="26" t="str">
        <f>HYPERLINK("https://github.com/osamahatem/CompetitiveProgramming/blob/master/UVA/11473%20-%20Campus%20Roads.cpp","Sol")</f>
        <v>Sol</v>
      </c>
      <c r="E5277" s="17" t="s">
        <v>2865</v>
      </c>
      <c r="F5277" s="17" t="s">
        <v>613</v>
      </c>
      <c r="G5277" s="18"/>
      <c r="H5277" s="18"/>
    </row>
    <row r="5278" spans="1:8" ht="13.2">
      <c r="A5278" s="19" t="str">
        <f>HYPERLINK("http://codeforces.com/contest/740/problem/C","CF740-D2-C")</f>
        <v>CF740-D2-C</v>
      </c>
      <c r="B5278" s="18" t="s">
        <v>138</v>
      </c>
      <c r="C5278" s="17">
        <v>3</v>
      </c>
      <c r="D5278" s="18"/>
      <c r="E5278" s="17" t="s">
        <v>125</v>
      </c>
      <c r="F5278" s="17" t="s">
        <v>201</v>
      </c>
      <c r="G5278" s="18"/>
      <c r="H5278" s="18"/>
    </row>
    <row r="5279" spans="1:8" ht="13.2">
      <c r="A5279" s="15" t="s">
        <v>307</v>
      </c>
      <c r="B5279" s="28" t="s">
        <v>308</v>
      </c>
      <c r="C5279" s="24">
        <v>3</v>
      </c>
      <c r="D5279" s="26" t="str">
        <f>HYPERLINK("https://en.wikipedia.org/wiki/Cycle_detection#Floyd.27s_Tortoise_and_Hare","Find O(n) Solution")</f>
        <v>Find O(n) Solution</v>
      </c>
      <c r="E5279" s="17" t="s">
        <v>125</v>
      </c>
      <c r="F5279" s="17" t="s">
        <v>201</v>
      </c>
      <c r="G5279" s="18"/>
      <c r="H5279" s="18"/>
    </row>
    <row r="5280" spans="1:8" ht="13.2">
      <c r="A5280" s="15" t="s">
        <v>309</v>
      </c>
      <c r="B5280" s="15" t="s">
        <v>310</v>
      </c>
      <c r="C5280" s="17">
        <v>3</v>
      </c>
      <c r="D5280" s="26" t="str">
        <f>HYPERLINK("https://github.com/AhmedElsisy/CompetitiveProgramming/blob/master/SPOJ/SPOJ%20MAIN8_E.cpp","Sol")</f>
        <v>Sol</v>
      </c>
      <c r="E5280" s="17" t="s">
        <v>125</v>
      </c>
      <c r="F5280" s="17" t="s">
        <v>201</v>
      </c>
      <c r="G5280" s="18"/>
      <c r="H5280" s="18"/>
    </row>
    <row r="5281" spans="1:8" ht="13.2">
      <c r="A5281" s="19" t="str">
        <f>HYPERLINK("https://www.codechef.com/problems/TASHIFT","CODECHEF TASHIFT")</f>
        <v>CODECHEF TASHIFT</v>
      </c>
      <c r="B5281" s="28" t="s">
        <v>5714</v>
      </c>
      <c r="C5281" s="40">
        <v>3</v>
      </c>
      <c r="D5281" s="18"/>
      <c r="E5281" s="17" t="s">
        <v>5702</v>
      </c>
      <c r="F5281" s="17" t="s">
        <v>201</v>
      </c>
      <c r="G5281" s="18"/>
      <c r="H5281" s="18"/>
    </row>
    <row r="5282" spans="1:8" ht="13.2">
      <c r="A5282" s="15" t="s">
        <v>6025</v>
      </c>
      <c r="B5282" s="29" t="s">
        <v>6026</v>
      </c>
      <c r="C5282" s="24">
        <v>3</v>
      </c>
      <c r="D5282" s="26" t="str">
        <f>HYPERLINK("https://github.com/MeGaCrazy/CompetitiveProgramming/blob/9ebf16b4239c8f58c694f2ae22c8f07d1fa70864/Timus/TIMUS_1054.cpp","Sol")</f>
        <v>Sol</v>
      </c>
      <c r="E5282" s="17" t="s">
        <v>5958</v>
      </c>
      <c r="F5282" s="17" t="s">
        <v>201</v>
      </c>
      <c r="G5282" s="18"/>
      <c r="H5282" s="18"/>
    </row>
    <row r="5283" spans="1:8" ht="13.2">
      <c r="A5283" s="15" t="s">
        <v>1665</v>
      </c>
      <c r="B5283" s="15" t="s">
        <v>1348</v>
      </c>
      <c r="C5283" s="17">
        <v>3</v>
      </c>
      <c r="D5283" s="26" t="str">
        <f>HYPERLINK("https://github.com/AhmedElsisy/CompetitiveProgramming/blob/master/SPOJ/SPOJ%20NOVICE63.cpp","Sol")</f>
        <v>Sol</v>
      </c>
      <c r="E5283" s="17" t="s">
        <v>1337</v>
      </c>
      <c r="F5283" s="17" t="s">
        <v>201</v>
      </c>
      <c r="G5283" s="18"/>
      <c r="H5283" s="18"/>
    </row>
    <row r="5284" spans="1:8" ht="13.2">
      <c r="A5284" s="19" t="str">
        <f>HYPERLINK("https://uva.onlinejudge.org/index.php?option=com_onlinejudge&amp;Itemid=8&amp;page=show_problem&amp;problem=944","UVA 10003")</f>
        <v>UVA 10003</v>
      </c>
      <c r="B5284" s="29" t="s">
        <v>1666</v>
      </c>
      <c r="C5284" s="17">
        <v>3</v>
      </c>
      <c r="D5284" s="18"/>
      <c r="E5284" s="17" t="s">
        <v>1337</v>
      </c>
      <c r="F5284" s="17" t="s">
        <v>201</v>
      </c>
      <c r="G5284" s="18"/>
      <c r="H5284" s="18"/>
    </row>
    <row r="5285" spans="1:8" ht="13.2">
      <c r="A5285" s="19" t="str">
        <f>HYPERLINK("https://codeforces.com/contest/1102/problem/E","CF1102-D3-E")</f>
        <v>CF1102-D3-E</v>
      </c>
      <c r="B5285" s="15" t="s">
        <v>2163</v>
      </c>
      <c r="C5285" s="21">
        <v>3</v>
      </c>
      <c r="D5285" s="18"/>
      <c r="E5285" s="17" t="s">
        <v>2153</v>
      </c>
      <c r="F5285" s="17" t="s">
        <v>201</v>
      </c>
      <c r="G5285" s="18"/>
      <c r="H5285" s="18"/>
    </row>
    <row r="5286" spans="1:8" ht="13.2">
      <c r="A5286" s="19" t="str">
        <f>HYPERLINK("http://codeforces.com/contest/597/problem/B","CF597-D12-B")</f>
        <v>CF597-D12-B</v>
      </c>
      <c r="B5286" s="15" t="s">
        <v>2163</v>
      </c>
      <c r="C5286" s="17">
        <v>3</v>
      </c>
      <c r="D5286" s="18"/>
      <c r="E5286" s="17" t="s">
        <v>2153</v>
      </c>
      <c r="F5286" s="17" t="s">
        <v>201</v>
      </c>
      <c r="G5286" s="18"/>
      <c r="H5286" s="18"/>
    </row>
    <row r="5287" spans="1:8" ht="13.2">
      <c r="A5287" s="19" t="str">
        <f>HYPERLINK("http://codeforces.com/contest/637/problem/B","CF637-D12-B")</f>
        <v>CF637-D12-B</v>
      </c>
      <c r="B5287" s="15" t="s">
        <v>2163</v>
      </c>
      <c r="C5287" s="17">
        <v>3</v>
      </c>
      <c r="D5287" s="18"/>
      <c r="E5287" s="17" t="s">
        <v>2153</v>
      </c>
      <c r="F5287" s="17" t="s">
        <v>201</v>
      </c>
      <c r="G5287" s="18"/>
      <c r="H5287" s="18"/>
    </row>
    <row r="5288" spans="1:8" ht="13.2">
      <c r="A5288" s="19" t="str">
        <f>HYPERLINK("http://codeforces.com/contest/51/problem/C","CF51-D12-C")</f>
        <v>CF51-D12-C</v>
      </c>
      <c r="B5288" s="15" t="s">
        <v>2382</v>
      </c>
      <c r="C5288" s="17">
        <v>3</v>
      </c>
      <c r="D5288" s="18"/>
      <c r="E5288" s="17" t="s">
        <v>2153</v>
      </c>
      <c r="F5288" s="17" t="s">
        <v>201</v>
      </c>
      <c r="G5288" s="18"/>
      <c r="H5288" s="18"/>
    </row>
    <row r="5289" spans="1:8" ht="13.2">
      <c r="A5289" s="19" t="str">
        <f>HYPERLINK("http://codeforces.com/contest/847/problem/K","CF847-D12-K")</f>
        <v>CF847-D12-K</v>
      </c>
      <c r="B5289" s="15" t="s">
        <v>2331</v>
      </c>
      <c r="C5289" s="17">
        <v>3</v>
      </c>
      <c r="D5289" s="18"/>
      <c r="E5289" s="17" t="s">
        <v>2153</v>
      </c>
      <c r="F5289" s="17" t="s">
        <v>201</v>
      </c>
      <c r="G5289" s="18"/>
      <c r="H5289" s="18"/>
    </row>
    <row r="5290" spans="1:8" ht="13.2">
      <c r="A5290" s="19" t="str">
        <f>HYPERLINK("https://uva.onlinejudge.org/index.php?option=com_onlinejudge&amp;Itemid=8&amp;page=show_problem&amp;problem=209","UVA 273")</f>
        <v>UVA 273</v>
      </c>
      <c r="B5290" s="29" t="s">
        <v>2935</v>
      </c>
      <c r="C5290" s="17">
        <v>3</v>
      </c>
      <c r="D5290" s="26" t="str">
        <f>HYPERLINK("https://github.com/MeGaCrazy/CompetitiveProgramming/blob/6c8e6d79950bbe406f56e3b990159810fcca7431/UVA/UVA_273.cpp","Sol")</f>
        <v>Sol</v>
      </c>
      <c r="E5290" s="17" t="s">
        <v>2865</v>
      </c>
      <c r="F5290" s="17" t="s">
        <v>201</v>
      </c>
      <c r="G5290" s="18"/>
      <c r="H5290" s="18"/>
    </row>
    <row r="5291" spans="1:8" ht="13.2">
      <c r="A5291" s="19" t="str">
        <f>HYPERLINK("http://codeforces.com/contest/357/problem/C","CF357-D2-C")</f>
        <v>CF357-D2-C</v>
      </c>
      <c r="B5291" s="29" t="s">
        <v>628</v>
      </c>
      <c r="C5291" s="17">
        <v>3</v>
      </c>
      <c r="D5291" s="18"/>
      <c r="E5291" s="17" t="s">
        <v>575</v>
      </c>
      <c r="F5291" s="17" t="s">
        <v>201</v>
      </c>
      <c r="G5291" s="18"/>
      <c r="H5291" s="18"/>
    </row>
    <row r="5292" spans="1:8" ht="13.2">
      <c r="A5292" s="15" t="s">
        <v>3620</v>
      </c>
      <c r="B5292" s="15" t="s">
        <v>3466</v>
      </c>
      <c r="C5292" s="17">
        <v>3</v>
      </c>
      <c r="D5292" s="26" t="str">
        <f>HYPERLINK("https://github.com/A7medgamal/SPOJ__-DCEPC706---Meeting-For-Party/blob/master/main.cpp","Sol")</f>
        <v>Sol</v>
      </c>
      <c r="E5292" s="17" t="s">
        <v>3467</v>
      </c>
      <c r="F5292" s="17" t="s">
        <v>201</v>
      </c>
      <c r="G5292" s="18"/>
      <c r="H5292" s="18"/>
    </row>
    <row r="5293" spans="1:8" ht="13.2">
      <c r="A5293" s="15" t="s">
        <v>3644</v>
      </c>
      <c r="B5293" s="28" t="s">
        <v>3645</v>
      </c>
      <c r="C5293" s="24">
        <v>3</v>
      </c>
      <c r="D5293" s="18"/>
      <c r="E5293" s="24" t="s">
        <v>3633</v>
      </c>
      <c r="F5293" s="17" t="s">
        <v>201</v>
      </c>
      <c r="G5293" s="18"/>
      <c r="H5293" s="18"/>
    </row>
    <row r="5294" spans="1:8" ht="13.2">
      <c r="A5294" s="15" t="s">
        <v>3764</v>
      </c>
      <c r="B5294" s="15" t="s">
        <v>3649</v>
      </c>
      <c r="C5294" s="17">
        <v>3</v>
      </c>
      <c r="D5294" s="26" t="str">
        <f>HYPERLINK("https://github.com/AhmedElsisy/CompetitiveProgramming/blob/master/SPOJ/SPOJ%20LEXSTR.cpp","Sol")</f>
        <v>Sol</v>
      </c>
      <c r="E5294" s="17" t="s">
        <v>3650</v>
      </c>
      <c r="F5294" s="17" t="s">
        <v>201</v>
      </c>
      <c r="G5294" s="18"/>
      <c r="H5294" s="18"/>
    </row>
    <row r="5295" spans="1:8" ht="13.2">
      <c r="A5295" s="15" t="s">
        <v>4730</v>
      </c>
      <c r="B5295" s="15" t="s">
        <v>4530</v>
      </c>
      <c r="C5295" s="21">
        <v>3</v>
      </c>
      <c r="D5295" s="18"/>
      <c r="E5295" s="17" t="s">
        <v>4531</v>
      </c>
      <c r="F5295" s="17" t="s">
        <v>201</v>
      </c>
      <c r="G5295" s="18"/>
      <c r="H5295" s="18"/>
    </row>
    <row r="5296" spans="1:8" ht="13.2">
      <c r="A5296" s="19" t="str">
        <f>HYPERLINK("https://www.codechef.com/problems/MULTHREE","CODECHEF MULTHREE")</f>
        <v>CODECHEF MULTHREE</v>
      </c>
      <c r="B5296" s="15" t="s">
        <v>4731</v>
      </c>
      <c r="C5296" s="17">
        <v>3</v>
      </c>
      <c r="D5296" s="18"/>
      <c r="E5296" s="17" t="s">
        <v>4531</v>
      </c>
      <c r="F5296" s="17" t="s">
        <v>201</v>
      </c>
      <c r="G5296" s="18"/>
      <c r="H5296" s="18"/>
    </row>
    <row r="5297" spans="1:8" ht="13.2">
      <c r="A5297" s="19" t="str">
        <f>HYPERLINK("https://uva.onlinejudge.org/index.php?option=onlinejudge&amp;page=show_problem&amp;problem=1243","UVA 10302")</f>
        <v>UVA 10302</v>
      </c>
      <c r="B5297" s="29" t="s">
        <v>5216</v>
      </c>
      <c r="C5297" s="17">
        <v>3</v>
      </c>
      <c r="D5297" s="18"/>
      <c r="E5297" s="17" t="s">
        <v>5168</v>
      </c>
      <c r="F5297" s="17" t="s">
        <v>201</v>
      </c>
      <c r="G5297" s="18"/>
      <c r="H5297" s="18"/>
    </row>
    <row r="5298" spans="1:8" ht="13.2">
      <c r="A5298" s="15" t="s">
        <v>5303</v>
      </c>
      <c r="B5298" s="18" t="s">
        <v>5248</v>
      </c>
      <c r="C5298" s="17">
        <v>3</v>
      </c>
      <c r="D5298" s="26" t="str">
        <f>HYPERLINK("https://github.com/ahmedsamir221/CompetitiveProgramming/blob/master/SPOJ/SPOJ%20SEQ.cpp","Sol")</f>
        <v>Sol</v>
      </c>
      <c r="E5298" s="17" t="s">
        <v>5246</v>
      </c>
      <c r="F5298" s="17" t="s">
        <v>201</v>
      </c>
      <c r="G5298" s="18"/>
      <c r="H5298" s="18"/>
    </row>
    <row r="5299" spans="1:8" ht="13.2">
      <c r="A5299" s="15" t="s">
        <v>5304</v>
      </c>
      <c r="B5299" s="18" t="s">
        <v>5298</v>
      </c>
      <c r="C5299" s="17">
        <v>3</v>
      </c>
      <c r="D5299" s="26" t="str">
        <f>HYPERLINK("https://github.com/ahmedsamir221/CompetitiveProgramming/blob/master/SPOJ/SPOJ%20FIBTWIST.cpp","Sol")</f>
        <v>Sol</v>
      </c>
      <c r="E5299" s="17" t="s">
        <v>5246</v>
      </c>
      <c r="F5299" s="17" t="s">
        <v>201</v>
      </c>
      <c r="G5299" s="18"/>
      <c r="H5299" s="18"/>
    </row>
    <row r="5300" spans="1:8" ht="13.2">
      <c r="A5300" s="19" t="str">
        <f>HYPERLINK("https://uva.onlinejudge.org/index.php?option=com_onlinejudge&amp;Itemid=8&amp;page=show_problem&amp;problem=977","UVA 10036")</f>
        <v>UVA 10036</v>
      </c>
      <c r="B5300" s="29" t="s">
        <v>1667</v>
      </c>
      <c r="C5300" s="17">
        <v>3</v>
      </c>
      <c r="D5300" s="18"/>
      <c r="E5300" s="17" t="s">
        <v>1337</v>
      </c>
      <c r="F5300" s="17" t="s">
        <v>242</v>
      </c>
      <c r="G5300" s="18"/>
      <c r="H5300" s="18"/>
    </row>
    <row r="5301" spans="1:8" ht="13.2">
      <c r="A5301" s="15" t="s">
        <v>2766</v>
      </c>
      <c r="B5301" s="29" t="s">
        <v>2767</v>
      </c>
      <c r="C5301" s="40">
        <v>3</v>
      </c>
      <c r="D5301" s="18"/>
      <c r="E5301" s="17" t="s">
        <v>2510</v>
      </c>
      <c r="F5301" s="17" t="s">
        <v>242</v>
      </c>
      <c r="G5301" s="18"/>
      <c r="H5301" s="18"/>
    </row>
    <row r="5302" spans="1:8" ht="13.2">
      <c r="A5302" s="19" t="str">
        <f>HYPERLINK("https://uva.onlinejudge.org/index.php?option=onlinejudge&amp;page=show_problem&amp;problem=1242","UVA 10301")</f>
        <v>UVA 10301</v>
      </c>
      <c r="B5302" s="29" t="s">
        <v>2858</v>
      </c>
      <c r="C5302" s="17">
        <v>3</v>
      </c>
      <c r="D5302" s="26" t="str">
        <f>HYPERLINK("https://github.com/MeGaCrazy/CompetitiveProgramming/blob/51252e18803855ed2eacedc50f53b90fe8d184e6/UVA/UVA_10301.cpp","Sol")</f>
        <v>Sol</v>
      </c>
      <c r="E5302" s="17" t="s">
        <v>2798</v>
      </c>
      <c r="F5302" s="17" t="s">
        <v>242</v>
      </c>
      <c r="G5302" s="18"/>
      <c r="H5302" s="18"/>
    </row>
    <row r="5303" spans="1:8" ht="13.2">
      <c r="A5303" s="15" t="s">
        <v>3765</v>
      </c>
      <c r="B5303" s="29" t="s">
        <v>3766</v>
      </c>
      <c r="C5303" s="24">
        <v>3</v>
      </c>
      <c r="D5303" s="18"/>
      <c r="E5303" s="17" t="s">
        <v>3650</v>
      </c>
      <c r="F5303" s="17" t="s">
        <v>242</v>
      </c>
      <c r="G5303" s="18"/>
      <c r="H5303" s="18"/>
    </row>
    <row r="5304" spans="1:8" ht="13.2">
      <c r="A5304" s="15" t="s">
        <v>4372</v>
      </c>
      <c r="B5304" s="30" t="s">
        <v>4373</v>
      </c>
      <c r="C5304" s="24">
        <v>3</v>
      </c>
      <c r="D5304" s="26" t="str">
        <f>HYPERLINK("https://github.com/ahmedsamir221/CompetitiveProgramming/blob/master/SPOJ/SPOJ%20MOWS.cpp","Sol")</f>
        <v>Sol</v>
      </c>
      <c r="E5304" s="17" t="s">
        <v>4344</v>
      </c>
      <c r="F5304" s="17" t="s">
        <v>242</v>
      </c>
      <c r="G5304" s="18"/>
      <c r="H5304" s="18"/>
    </row>
    <row r="5305" spans="1:8" ht="13.2">
      <c r="A5305" s="19" t="str">
        <f>HYPERLINK("https://www.hackerrank.com/contests/infinitum18/challenges/tower-3-coloring","HACKR tower-3-coloring")</f>
        <v>HACKR tower-3-coloring</v>
      </c>
      <c r="B5305" s="29" t="s">
        <v>5217</v>
      </c>
      <c r="C5305" s="17">
        <v>3</v>
      </c>
      <c r="D5305" s="18"/>
      <c r="E5305" s="17" t="s">
        <v>5168</v>
      </c>
      <c r="F5305" s="17" t="s">
        <v>242</v>
      </c>
      <c r="G5305" s="18"/>
      <c r="H5305" s="18"/>
    </row>
    <row r="5306" spans="1:8" ht="13.2">
      <c r="A5306" s="19" t="str">
        <f>HYPERLINK("https://uva.onlinejudge.org/index.php?option=com_onlinejudge&amp;Itemid=8&amp;page=show_problem&amp;problem=407","UVA 466")</f>
        <v>UVA 466</v>
      </c>
      <c r="B5306" s="29" t="s">
        <v>5244</v>
      </c>
      <c r="C5306" s="17">
        <v>3</v>
      </c>
      <c r="D5306" s="18"/>
      <c r="E5306" s="17" t="s">
        <v>5235</v>
      </c>
      <c r="F5306" s="17" t="s">
        <v>242</v>
      </c>
      <c r="G5306" s="18"/>
      <c r="H5306" s="18"/>
    </row>
    <row r="5307" spans="1:8" ht="13.2">
      <c r="A5307" s="15" t="s">
        <v>903</v>
      </c>
      <c r="B5307" s="41" t="s">
        <v>904</v>
      </c>
      <c r="C5307" s="24">
        <v>3</v>
      </c>
      <c r="D5307" s="26" t="str">
        <f>HYPERLINK("https://github.com/MichaelMounir12/CompetitiveProgramming/blob/master/Contests/SuperVision-Contest-33139/UVA_12791.cpp","Sol")</f>
        <v>Sol</v>
      </c>
      <c r="E5307" s="17" t="s">
        <v>805</v>
      </c>
      <c r="F5307" s="17" t="s">
        <v>242</v>
      </c>
      <c r="G5307" s="18"/>
      <c r="H5307" s="18"/>
    </row>
    <row r="5308" spans="1:8" ht="13.2">
      <c r="A5308" s="19" t="str">
        <f>HYPERLINK("http://codeforces.com/contest/975/problem/C","CF975-D2-C")</f>
        <v>CF975-D2-C</v>
      </c>
      <c r="B5308" s="29" t="s">
        <v>905</v>
      </c>
      <c r="C5308" s="17">
        <v>3</v>
      </c>
      <c r="D5308" s="18"/>
      <c r="E5308" s="17" t="s">
        <v>805</v>
      </c>
      <c r="F5308" s="17" t="s">
        <v>242</v>
      </c>
      <c r="G5308" s="18"/>
      <c r="H5308" s="18"/>
    </row>
    <row r="5309" spans="1:8" ht="13.2">
      <c r="A5309" s="19" t="str">
        <f>HYPERLINK("https://atcoder.jp/contests/abc134/tasks/abc134_d","AtCoder134-ABC-D")</f>
        <v>AtCoder134-ABC-D</v>
      </c>
      <c r="B5309" s="15" t="s">
        <v>124</v>
      </c>
      <c r="C5309" s="17">
        <v>3</v>
      </c>
      <c r="D5309" s="18"/>
      <c r="E5309" s="17" t="s">
        <v>125</v>
      </c>
      <c r="F5309" s="17"/>
      <c r="G5309" s="18"/>
      <c r="H5309" s="18"/>
    </row>
    <row r="5310" spans="1:8" ht="13.2">
      <c r="A5310" s="19" t="str">
        <f>HYPERLINK("http://codeforces.com/contest/88/problem/D","CF88-D2-D")</f>
        <v>CF88-D2-D</v>
      </c>
      <c r="B5310" s="18" t="s">
        <v>124</v>
      </c>
      <c r="C5310" s="17">
        <v>3</v>
      </c>
      <c r="D5310" s="18"/>
      <c r="E5310" s="17" t="s">
        <v>125</v>
      </c>
      <c r="F5310" s="17"/>
      <c r="G5310" s="18"/>
      <c r="H5310" s="18"/>
    </row>
    <row r="5311" spans="1:8" ht="13.2">
      <c r="A5311" s="15" t="s">
        <v>311</v>
      </c>
      <c r="B5311" s="29" t="s">
        <v>124</v>
      </c>
      <c r="C5311" s="17">
        <v>3</v>
      </c>
      <c r="D5311" s="18"/>
      <c r="E5311" s="17" t="s">
        <v>125</v>
      </c>
      <c r="F5311" s="17"/>
      <c r="G5311" s="18"/>
      <c r="H5311" s="18"/>
    </row>
    <row r="5312" spans="1:8" ht="13.2">
      <c r="A5312" s="19" t="str">
        <f>HYPERLINK("https://uva.onlinejudge.org/index.php?option=com_onlinejudge&amp;Itemid=8&amp;page=show_problem&amp;problem=163","UVA 227")</f>
        <v>UVA 227</v>
      </c>
      <c r="B5312" s="18" t="s">
        <v>124</v>
      </c>
      <c r="C5312" s="17">
        <v>3</v>
      </c>
      <c r="D5312" s="18"/>
      <c r="E5312" s="17" t="s">
        <v>125</v>
      </c>
      <c r="F5312" s="17"/>
      <c r="G5312" s="18"/>
      <c r="H5312" s="18"/>
    </row>
    <row r="5313" spans="1:8" ht="13.2">
      <c r="A5313" s="19" t="str">
        <f>HYPERLINK("https://codeforces.com/contest/42/problem/B","CF42-D12-B")</f>
        <v>CF42-D12-B</v>
      </c>
      <c r="B5313" s="15" t="s">
        <v>312</v>
      </c>
      <c r="C5313" s="17">
        <v>3</v>
      </c>
      <c r="D5313" s="18"/>
      <c r="E5313" s="17" t="s">
        <v>125</v>
      </c>
      <c r="F5313" s="17"/>
      <c r="G5313" s="18"/>
      <c r="H5313" s="18"/>
    </row>
    <row r="5314" spans="1:8" ht="13.2">
      <c r="A5314" s="15" t="s">
        <v>313</v>
      </c>
      <c r="B5314" s="15" t="s">
        <v>314</v>
      </c>
      <c r="C5314" s="24">
        <v>3</v>
      </c>
      <c r="D5314" s="18"/>
      <c r="E5314" s="17" t="s">
        <v>125</v>
      </c>
      <c r="F5314" s="17"/>
      <c r="G5314" s="18"/>
      <c r="H5314" s="18"/>
    </row>
    <row r="5315" spans="1:8" ht="13.2">
      <c r="A5315" s="19" t="str">
        <f>HYPERLINK("https://uva.onlinejudge.org/index.php?option=com_onlinejudge&amp;Itemid=8&amp;page=show_problem&amp;problem=124","UVA 188")</f>
        <v>UVA 188</v>
      </c>
      <c r="B5315" s="18" t="s">
        <v>147</v>
      </c>
      <c r="C5315" s="17">
        <v>3</v>
      </c>
      <c r="D5315" s="18"/>
      <c r="E5315" s="17" t="s">
        <v>125</v>
      </c>
      <c r="F5315" s="17"/>
      <c r="G5315" s="18"/>
      <c r="H5315" s="18"/>
    </row>
    <row r="5316" spans="1:8" ht="13.2">
      <c r="A5316" s="19" t="str">
        <f>HYPERLINK("https://csacademy.com/contest/round-27/task/huge-matrix/","CSA27-C")</f>
        <v>CSA27-C</v>
      </c>
      <c r="B5316" s="29" t="s">
        <v>245</v>
      </c>
      <c r="C5316" s="24">
        <v>3</v>
      </c>
      <c r="D5316" s="18"/>
      <c r="E5316" s="17" t="s">
        <v>125</v>
      </c>
      <c r="F5316" s="17"/>
      <c r="G5316" s="18"/>
      <c r="H5316" s="18"/>
    </row>
    <row r="5317" spans="1:8" ht="13.2">
      <c r="A5317" s="15" t="s">
        <v>315</v>
      </c>
      <c r="B5317" s="15" t="s">
        <v>316</v>
      </c>
      <c r="C5317" s="24">
        <v>3</v>
      </c>
      <c r="D5317" s="26" t="str">
        <f>HYPERLINK("https://github.com/MedoN11/CompetitiveProgramming/blob/master/Timus/1059.java","Sol")</f>
        <v>Sol</v>
      </c>
      <c r="E5317" s="17" t="s">
        <v>125</v>
      </c>
      <c r="F5317" s="17"/>
      <c r="G5317" s="18"/>
      <c r="H5317" s="18"/>
    </row>
    <row r="5318" spans="1:8" ht="13.2">
      <c r="A5318" s="15" t="s">
        <v>946</v>
      </c>
      <c r="B5318" s="29" t="s">
        <v>927</v>
      </c>
      <c r="C5318" s="17">
        <v>3</v>
      </c>
      <c r="D5318" s="18"/>
      <c r="E5318" s="17" t="s">
        <v>910</v>
      </c>
      <c r="F5318" s="17"/>
      <c r="G5318" s="18"/>
      <c r="H5318" s="18"/>
    </row>
    <row r="5319" spans="1:8" ht="13.2">
      <c r="A5319" s="15" t="s">
        <v>947</v>
      </c>
      <c r="B5319" s="29" t="s">
        <v>927</v>
      </c>
      <c r="C5319" s="17">
        <v>3</v>
      </c>
      <c r="D5319" s="18"/>
      <c r="E5319" s="17" t="s">
        <v>910</v>
      </c>
      <c r="F5319" s="17"/>
      <c r="G5319" s="18"/>
      <c r="H5319" s="18"/>
    </row>
    <row r="5320" spans="1:8" ht="13.2">
      <c r="A5320" s="15" t="s">
        <v>5699</v>
      </c>
      <c r="B5320" s="28" t="s">
        <v>5642</v>
      </c>
      <c r="C5320" s="24">
        <v>3</v>
      </c>
      <c r="D5320" s="26" t="str">
        <f>HYPERLINK("https://github.com/HosamEissa/Competitive-programming-/blob/master/TJU/3753.cpp","Sol")</f>
        <v>Sol</v>
      </c>
      <c r="E5320" s="24" t="s">
        <v>5643</v>
      </c>
      <c r="F5320" s="17"/>
      <c r="G5320" s="18"/>
      <c r="H5320" s="18"/>
    </row>
    <row r="5321" spans="1:8" ht="13.2">
      <c r="A5321" s="15" t="s">
        <v>5745</v>
      </c>
      <c r="B5321" s="37" t="s">
        <v>5714</v>
      </c>
      <c r="C5321" s="17">
        <v>3</v>
      </c>
      <c r="D5321" s="18"/>
      <c r="E5321" s="17" t="s">
        <v>5702</v>
      </c>
      <c r="F5321" s="17"/>
      <c r="G5321" s="18"/>
      <c r="H5321" s="18"/>
    </row>
    <row r="5322" spans="1:8" ht="13.2">
      <c r="A5322" s="15" t="s">
        <v>5746</v>
      </c>
      <c r="B5322" s="37" t="s">
        <v>5714</v>
      </c>
      <c r="C5322" s="17">
        <v>3</v>
      </c>
      <c r="D5322" s="18"/>
      <c r="E5322" s="17" t="s">
        <v>5702</v>
      </c>
      <c r="F5322" s="17"/>
      <c r="G5322" s="18"/>
      <c r="H5322" s="18"/>
    </row>
    <row r="5323" spans="1:8" ht="13.2">
      <c r="A5323" s="15" t="s">
        <v>5747</v>
      </c>
      <c r="B5323" s="37" t="s">
        <v>5714</v>
      </c>
      <c r="C5323" s="17">
        <v>3</v>
      </c>
      <c r="D5323" s="18"/>
      <c r="E5323" s="17" t="s">
        <v>5702</v>
      </c>
      <c r="F5323" s="17"/>
      <c r="G5323" s="18"/>
      <c r="H5323" s="18"/>
    </row>
    <row r="5324" spans="1:8" ht="13.2">
      <c r="A5324" s="15" t="s">
        <v>5748</v>
      </c>
      <c r="B5324" s="29" t="s">
        <v>5714</v>
      </c>
      <c r="C5324" s="17">
        <v>3</v>
      </c>
      <c r="D5324" s="18"/>
      <c r="E5324" s="17" t="s">
        <v>5702</v>
      </c>
      <c r="F5324" s="17"/>
      <c r="G5324" s="18"/>
      <c r="H5324" s="18"/>
    </row>
    <row r="5325" spans="1:8" ht="13.2">
      <c r="A5325" s="15" t="s">
        <v>5749</v>
      </c>
      <c r="B5325" s="28" t="s">
        <v>5714</v>
      </c>
      <c r="C5325" s="24">
        <v>3</v>
      </c>
      <c r="D5325" s="18"/>
      <c r="E5325" s="24" t="s">
        <v>5702</v>
      </c>
      <c r="F5325" s="17"/>
      <c r="G5325" s="18"/>
      <c r="H5325" s="18"/>
    </row>
    <row r="5326" spans="1:8" ht="13.2">
      <c r="A5326" s="15" t="s">
        <v>5750</v>
      </c>
      <c r="B5326" s="28" t="s">
        <v>5704</v>
      </c>
      <c r="C5326" s="24">
        <v>3</v>
      </c>
      <c r="D5326" s="18" t="s">
        <v>5740</v>
      </c>
      <c r="E5326" s="17" t="s">
        <v>5702</v>
      </c>
      <c r="F5326" s="17"/>
      <c r="G5326" s="18"/>
      <c r="H5326" s="18"/>
    </row>
    <row r="5327" spans="1:8" ht="13.2">
      <c r="A5327" s="15" t="s">
        <v>5751</v>
      </c>
      <c r="B5327" s="28" t="s">
        <v>5704</v>
      </c>
      <c r="C5327" s="24">
        <v>3</v>
      </c>
      <c r="D5327" s="18"/>
      <c r="E5327" s="24" t="s">
        <v>5702</v>
      </c>
      <c r="F5327" s="17"/>
      <c r="G5327" s="18"/>
      <c r="H5327" s="18"/>
    </row>
    <row r="5328" spans="1:8" ht="13.2">
      <c r="A5328" s="15" t="s">
        <v>5752</v>
      </c>
      <c r="B5328" s="28" t="s">
        <v>5753</v>
      </c>
      <c r="C5328" s="40">
        <v>3</v>
      </c>
      <c r="D5328" s="18"/>
      <c r="E5328" s="17" t="s">
        <v>5702</v>
      </c>
      <c r="F5328" s="17"/>
      <c r="G5328" s="18"/>
      <c r="H5328" s="18"/>
    </row>
    <row r="5329" spans="1:8" ht="13.2">
      <c r="A5329" s="19" t="str">
        <f>HYPERLINK("http://www.spoj.com/problems/NHAY","SPOJ NHAY")</f>
        <v>SPOJ NHAY</v>
      </c>
      <c r="B5329" s="29" t="s">
        <v>5754</v>
      </c>
      <c r="C5329" s="17">
        <v>3</v>
      </c>
      <c r="D5329" s="18"/>
      <c r="E5329" s="17" t="s">
        <v>5702</v>
      </c>
      <c r="F5329" s="17"/>
      <c r="G5329" s="18"/>
      <c r="H5329" s="18"/>
    </row>
    <row r="5330" spans="1:8" ht="13.2">
      <c r="A5330" s="15" t="s">
        <v>5755</v>
      </c>
      <c r="B5330" s="37" t="s">
        <v>5756</v>
      </c>
      <c r="C5330" s="17">
        <v>3</v>
      </c>
      <c r="D5330" s="18"/>
      <c r="E5330" s="17" t="s">
        <v>5702</v>
      </c>
      <c r="F5330" s="17"/>
      <c r="G5330" s="18"/>
      <c r="H5330" s="18"/>
    </row>
    <row r="5331" spans="1:8" ht="13.2">
      <c r="A5331" s="15" t="s">
        <v>5757</v>
      </c>
      <c r="B5331" s="18" t="s">
        <v>5758</v>
      </c>
      <c r="C5331" s="17">
        <v>3</v>
      </c>
      <c r="D5331" s="26" t="str">
        <f>HYPERLINK("https://github.com/ilyesG/Competitive-Programming/blob/master/SPOJ/SPOJ%20FILRTEST.cpp","Sol")</f>
        <v>Sol</v>
      </c>
      <c r="E5331" s="17" t="s">
        <v>5702</v>
      </c>
      <c r="F5331" s="17"/>
      <c r="G5331" s="18"/>
      <c r="H5331" s="18"/>
    </row>
    <row r="5332" spans="1:8" ht="13.2">
      <c r="A5332" s="15" t="s">
        <v>5854</v>
      </c>
      <c r="B5332" s="28" t="s">
        <v>5855</v>
      </c>
      <c r="C5332" s="40">
        <v>3</v>
      </c>
      <c r="D5332" s="26" t="str">
        <f>HYPERLINK("https://github.com/HosamEissa/Competitive-programming-/blob/master/UVA/11576.cpp","Sol")</f>
        <v>Sol</v>
      </c>
      <c r="E5332" s="17" t="s">
        <v>5794</v>
      </c>
      <c r="F5332" s="17"/>
      <c r="G5332" s="18"/>
      <c r="H5332" s="18"/>
    </row>
    <row r="5333" spans="1:8" ht="13.2">
      <c r="A5333" s="15" t="s">
        <v>5872</v>
      </c>
      <c r="B5333" s="30" t="s">
        <v>5866</v>
      </c>
      <c r="C5333" s="40">
        <v>3</v>
      </c>
      <c r="D5333" s="18"/>
      <c r="E5333" s="17" t="s">
        <v>5857</v>
      </c>
      <c r="F5333" s="17"/>
      <c r="G5333" s="18"/>
      <c r="H5333" s="18"/>
    </row>
    <row r="5334" spans="1:8" ht="13.2">
      <c r="A5334" s="15" t="s">
        <v>6027</v>
      </c>
      <c r="B5334" s="29" t="s">
        <v>5961</v>
      </c>
      <c r="C5334" s="17">
        <v>3</v>
      </c>
      <c r="D5334" s="18"/>
      <c r="E5334" s="17" t="s">
        <v>5958</v>
      </c>
      <c r="F5334" s="17"/>
      <c r="G5334" s="18"/>
      <c r="H5334" s="18"/>
    </row>
    <row r="5335" spans="1:8" ht="13.2">
      <c r="A5335" s="15" t="s">
        <v>6028</v>
      </c>
      <c r="B5335" s="29" t="s">
        <v>5961</v>
      </c>
      <c r="C5335" s="17">
        <v>3</v>
      </c>
      <c r="D5335" s="18"/>
      <c r="E5335" s="17" t="s">
        <v>5958</v>
      </c>
      <c r="F5335" s="17"/>
      <c r="G5335" s="18"/>
      <c r="H5335" s="18"/>
    </row>
    <row r="5336" spans="1:8" ht="13.2">
      <c r="A5336" s="15" t="s">
        <v>6029</v>
      </c>
      <c r="B5336" s="29" t="s">
        <v>6030</v>
      </c>
      <c r="C5336" s="40">
        <v>3</v>
      </c>
      <c r="D5336" s="18"/>
      <c r="E5336" s="17" t="s">
        <v>5958</v>
      </c>
      <c r="F5336" s="17"/>
      <c r="G5336" s="18"/>
      <c r="H5336" s="18"/>
    </row>
    <row r="5337" spans="1:8" ht="13.2">
      <c r="A5337" s="15" t="s">
        <v>6031</v>
      </c>
      <c r="B5337" s="34" t="s">
        <v>6032</v>
      </c>
      <c r="C5337" s="17">
        <v>3</v>
      </c>
      <c r="D5337" s="18"/>
      <c r="E5337" s="17" t="s">
        <v>5958</v>
      </c>
      <c r="F5337" s="17"/>
      <c r="G5337" s="18"/>
      <c r="H5337" s="18"/>
    </row>
    <row r="5338" spans="1:8" ht="13.2">
      <c r="A5338" s="15" t="s">
        <v>6033</v>
      </c>
      <c r="B5338" s="30" t="s">
        <v>6034</v>
      </c>
      <c r="C5338" s="40">
        <v>3</v>
      </c>
      <c r="D5338" s="18"/>
      <c r="E5338" s="17" t="s">
        <v>5958</v>
      </c>
      <c r="F5338" s="17"/>
      <c r="G5338" s="18"/>
      <c r="H5338" s="18"/>
    </row>
    <row r="5339" spans="1:8" ht="13.2">
      <c r="A5339" s="15" t="s">
        <v>6035</v>
      </c>
      <c r="B5339" s="28" t="s">
        <v>5992</v>
      </c>
      <c r="C5339" s="24">
        <v>3</v>
      </c>
      <c r="D5339" s="18"/>
      <c r="E5339" s="17" t="s">
        <v>5958</v>
      </c>
      <c r="F5339" s="17"/>
      <c r="G5339" s="18"/>
      <c r="H5339" s="18"/>
    </row>
    <row r="5340" spans="1:8" ht="13.2">
      <c r="A5340" s="19" t="str">
        <f>HYPERLINK("http://codeforces.com/contest/216/problem/D","CF216-D2-D")</f>
        <v>CF216-D2-D</v>
      </c>
      <c r="B5340" s="29" t="s">
        <v>6059</v>
      </c>
      <c r="C5340" s="17">
        <v>3</v>
      </c>
      <c r="D5340" s="18"/>
      <c r="E5340" s="17" t="s">
        <v>6040</v>
      </c>
      <c r="F5340" s="17"/>
      <c r="G5340" s="18"/>
      <c r="H5340" s="18"/>
    </row>
    <row r="5341" spans="1:8" ht="13.2">
      <c r="A5341" s="15" t="s">
        <v>6070</v>
      </c>
      <c r="B5341" s="48" t="s">
        <v>6071</v>
      </c>
      <c r="C5341" s="31">
        <v>3</v>
      </c>
      <c r="D5341" s="18"/>
      <c r="E5341" s="17" t="s">
        <v>6040</v>
      </c>
      <c r="F5341" s="17"/>
      <c r="G5341" s="18"/>
      <c r="H5341" s="18"/>
    </row>
    <row r="5342" spans="1:8" ht="13.2">
      <c r="A5342" s="19" t="str">
        <f>HYPERLINK("https://uva.onlinejudge.org/index.php?option=com_onlinejudge&amp;Itemid=8&amp;page=show_problem&amp;problem=698","UVA 757")</f>
        <v>UVA 757</v>
      </c>
      <c r="B5342" s="29" t="s">
        <v>6074</v>
      </c>
      <c r="C5342" s="17">
        <v>3</v>
      </c>
      <c r="D5342" s="18"/>
      <c r="E5342" s="17" t="s">
        <v>6075</v>
      </c>
      <c r="F5342" s="17"/>
      <c r="G5342" s="18"/>
      <c r="H5342" s="18"/>
    </row>
    <row r="5343" spans="1:8" ht="13.2">
      <c r="A5343" s="19" t="str">
        <f>HYPERLINK("https://uva.onlinejudge.org/index.php?option=onlinejudge&amp;page=show_problem&amp;problem=2035","UVA 11094")</f>
        <v>UVA 11094</v>
      </c>
      <c r="B5343" s="29" t="s">
        <v>6168</v>
      </c>
      <c r="C5343" s="17">
        <v>3</v>
      </c>
      <c r="D5343" s="18"/>
      <c r="E5343" s="17" t="s">
        <v>6169</v>
      </c>
      <c r="F5343" s="17"/>
      <c r="G5343" s="18"/>
      <c r="H5343" s="18"/>
    </row>
    <row r="5344" spans="1:8" ht="13.2">
      <c r="A5344" s="19" t="str">
        <f>HYPERLINK("https://uva.onlinejudge.org/index.php?option=com_onlinejudge&amp;Itemid=8&amp;page=show_problem&amp;problem=793","UVA 852")</f>
        <v>UVA 852</v>
      </c>
      <c r="B5344" s="29" t="s">
        <v>6168</v>
      </c>
      <c r="C5344" s="17">
        <v>3</v>
      </c>
      <c r="D5344" s="18"/>
      <c r="E5344" s="17" t="s">
        <v>6169</v>
      </c>
      <c r="F5344" s="17"/>
      <c r="G5344" s="18"/>
      <c r="H5344" s="18"/>
    </row>
    <row r="5345" spans="1:8" ht="13.2">
      <c r="A5345" s="15" t="s">
        <v>6187</v>
      </c>
      <c r="B5345" s="28" t="s">
        <v>6188</v>
      </c>
      <c r="C5345" s="24">
        <v>3</v>
      </c>
      <c r="D5345" s="18"/>
      <c r="E5345" s="17" t="s">
        <v>6169</v>
      </c>
      <c r="F5345" s="17"/>
      <c r="G5345" s="18"/>
      <c r="H5345" s="18"/>
    </row>
    <row r="5346" spans="1:8" ht="13.2">
      <c r="A5346" s="15" t="s">
        <v>6189</v>
      </c>
      <c r="B5346" s="38" t="s">
        <v>6190</v>
      </c>
      <c r="C5346" s="24">
        <v>3</v>
      </c>
      <c r="D5346" s="18"/>
      <c r="E5346" s="17" t="s">
        <v>6169</v>
      </c>
      <c r="F5346" s="17"/>
      <c r="G5346" s="18"/>
      <c r="H5346" s="18"/>
    </row>
    <row r="5347" spans="1:8" ht="13.2">
      <c r="A5347" s="19" t="str">
        <f>HYPERLINK("https://uva.onlinejudge.org/index.php?option=onlinejudge&amp;page=show_problem&amp;problem=542","UVA 601")</f>
        <v>UVA 601</v>
      </c>
      <c r="B5347" s="18" t="s">
        <v>6181</v>
      </c>
      <c r="C5347" s="17">
        <v>3</v>
      </c>
      <c r="D5347" s="18"/>
      <c r="E5347" s="17" t="s">
        <v>6169</v>
      </c>
      <c r="F5347" s="17"/>
      <c r="G5347" s="18"/>
      <c r="H5347" s="18"/>
    </row>
    <row r="5348" spans="1:8" ht="13.2">
      <c r="A5348" s="15" t="s">
        <v>6243</v>
      </c>
      <c r="B5348" s="29" t="s">
        <v>6204</v>
      </c>
      <c r="C5348" s="17">
        <v>3</v>
      </c>
      <c r="D5348" s="26" t="str">
        <f>HYPERLINK("https://github.com/BidhanRoy/Algorithm-Code-Library/blob/master/Sample%20Codes/Knuth%20Optimization%20(%20Uva%2010304%20).cpp","Use knuth")</f>
        <v>Use knuth</v>
      </c>
      <c r="E5348" s="17" t="s">
        <v>6205</v>
      </c>
      <c r="F5348" s="17"/>
      <c r="G5348" s="18"/>
      <c r="H5348" s="18"/>
    </row>
    <row r="5349" spans="1:8" ht="13.2">
      <c r="A5349" s="15" t="s">
        <v>1014</v>
      </c>
      <c r="B5349" s="28" t="s">
        <v>1015</v>
      </c>
      <c r="C5349" s="24">
        <v>3</v>
      </c>
      <c r="D5349" s="18"/>
      <c r="E5349" s="17" t="s">
        <v>997</v>
      </c>
      <c r="F5349" s="17"/>
      <c r="G5349" s="18"/>
      <c r="H5349" s="18"/>
    </row>
    <row r="5350" spans="1:8" ht="13.2">
      <c r="A5350" s="19" t="str">
        <f>HYPERLINK("https://www.codechef.com/problems/FLIPCOIN","CODECHEF FLIPCOIN")</f>
        <v>CODECHEF FLIPCOIN</v>
      </c>
      <c r="B5350" s="37" t="s">
        <v>1208</v>
      </c>
      <c r="C5350" s="24">
        <v>3</v>
      </c>
      <c r="D5350" s="18"/>
      <c r="E5350" s="17" t="s">
        <v>1018</v>
      </c>
      <c r="F5350" s="17"/>
      <c r="G5350" s="18"/>
      <c r="H5350" s="18"/>
    </row>
    <row r="5351" spans="1:8" ht="13.2">
      <c r="A5351" s="15" t="s">
        <v>1328</v>
      </c>
      <c r="B5351" s="18" t="s">
        <v>1329</v>
      </c>
      <c r="C5351" s="17">
        <v>3</v>
      </c>
      <c r="D5351" s="26" t="str">
        <f>HYPERLINK("https://github.com/shashank0107/CompetitiveProgramming/blob/master/SPOJ/MATSUM.cpp","Sol")</f>
        <v>Sol</v>
      </c>
      <c r="E5351" s="17" t="s">
        <v>1223</v>
      </c>
      <c r="F5351" s="17"/>
      <c r="G5351" s="18"/>
      <c r="H5351" s="18"/>
    </row>
    <row r="5352" spans="1:8" ht="13.2">
      <c r="A5352" s="15" t="s">
        <v>1330</v>
      </c>
      <c r="B5352" s="28" t="s">
        <v>1271</v>
      </c>
      <c r="C5352" s="24">
        <v>3</v>
      </c>
      <c r="D5352" s="18" t="s">
        <v>1272</v>
      </c>
      <c r="E5352" s="17" t="s">
        <v>1223</v>
      </c>
      <c r="F5352" s="17"/>
      <c r="G5352" s="18"/>
      <c r="H5352" s="18"/>
    </row>
    <row r="5353" spans="1:8" ht="13.2">
      <c r="A5353" s="15" t="s">
        <v>1331</v>
      </c>
      <c r="B5353" s="15" t="s">
        <v>1332</v>
      </c>
      <c r="C5353" s="17">
        <v>3</v>
      </c>
      <c r="D5353" s="26" t="str">
        <f>HYPERLINK("https://github.com/shashank0107/CompetitiveProgramming/blob/master/SPOJ/SAS001.cpp","Sol")</f>
        <v>Sol</v>
      </c>
      <c r="E5353" s="17" t="s">
        <v>1223</v>
      </c>
      <c r="F5353" s="17"/>
      <c r="G5353" s="18"/>
      <c r="H5353" s="18"/>
    </row>
    <row r="5354" spans="1:8" ht="13.2">
      <c r="A5354" s="15" t="s">
        <v>1668</v>
      </c>
      <c r="B5354" s="15" t="s">
        <v>1348</v>
      </c>
      <c r="C5354" s="17">
        <v>3</v>
      </c>
      <c r="D5354" s="26" t="str">
        <f>HYPERLINK("https://github.com/MonaAhmed810/CompetitiveProgramming/blob/master/SPOJ/DCOWS.cpp","Sol")</f>
        <v>Sol</v>
      </c>
      <c r="E5354" s="17" t="s">
        <v>1337</v>
      </c>
      <c r="F5354" s="17"/>
      <c r="G5354" s="18"/>
      <c r="H5354" s="18"/>
    </row>
    <row r="5355" spans="1:8" ht="13.2">
      <c r="A5355" s="19" t="str">
        <f>HYPERLINK("http://www.spoj.com/problems/TRT/","SPOJ TRT")</f>
        <v>SPOJ TRT</v>
      </c>
      <c r="B5355" s="18" t="s">
        <v>1348</v>
      </c>
      <c r="C5355" s="17">
        <v>3</v>
      </c>
      <c r="D5355" s="18"/>
      <c r="E5355" s="17" t="s">
        <v>1337</v>
      </c>
      <c r="F5355" s="17"/>
      <c r="G5355" s="18"/>
      <c r="H5355" s="18"/>
    </row>
    <row r="5356" spans="1:8" ht="13.2">
      <c r="A5356" s="15" t="s">
        <v>1669</v>
      </c>
      <c r="B5356" s="18" t="s">
        <v>1348</v>
      </c>
      <c r="C5356" s="31">
        <v>3</v>
      </c>
      <c r="D5356" s="18"/>
      <c r="E5356" s="17" t="s">
        <v>1337</v>
      </c>
      <c r="F5356" s="17"/>
      <c r="G5356" s="18"/>
      <c r="H5356" s="18"/>
    </row>
    <row r="5357" spans="1:8" ht="13.2">
      <c r="A5357" s="15" t="s">
        <v>1670</v>
      </c>
      <c r="B5357" s="28" t="s">
        <v>1348</v>
      </c>
      <c r="C5357" s="24">
        <v>3</v>
      </c>
      <c r="D5357" s="18"/>
      <c r="E5357" s="17" t="s">
        <v>1337</v>
      </c>
      <c r="F5357" s="17"/>
      <c r="G5357" s="18"/>
      <c r="H5357" s="18"/>
    </row>
    <row r="5358" spans="1:8" ht="13.2">
      <c r="A5358" s="15" t="s">
        <v>1671</v>
      </c>
      <c r="B5358" s="30" t="s">
        <v>1348</v>
      </c>
      <c r="C5358" s="17">
        <v>3</v>
      </c>
      <c r="D5358" s="18"/>
      <c r="E5358" s="17" t="s">
        <v>1337</v>
      </c>
      <c r="F5358" s="17"/>
      <c r="G5358" s="18"/>
      <c r="H5358" s="18"/>
    </row>
    <row r="5359" spans="1:8" ht="13.2">
      <c r="A5359" s="15" t="s">
        <v>1672</v>
      </c>
      <c r="B5359" s="29" t="s">
        <v>1348</v>
      </c>
      <c r="C5359" s="17">
        <v>3</v>
      </c>
      <c r="D5359" s="26" t="str">
        <f>HYPERLINK("https://github.com/Maverick10/Competitive-Programming/blob/master/Solutions/UVa/UVa%20-%201231.cpp","Sol")</f>
        <v>Sol</v>
      </c>
      <c r="E5359" s="17" t="s">
        <v>1337</v>
      </c>
      <c r="F5359" s="17"/>
      <c r="G5359" s="18"/>
      <c r="H5359" s="18"/>
    </row>
    <row r="5360" spans="1:8" ht="13.2">
      <c r="A5360" s="15" t="s">
        <v>1673</v>
      </c>
      <c r="B5360" s="30" t="s">
        <v>1348</v>
      </c>
      <c r="C5360" s="24">
        <v>3</v>
      </c>
      <c r="D5360" s="18"/>
      <c r="E5360" s="17" t="s">
        <v>1337</v>
      </c>
      <c r="F5360" s="17"/>
      <c r="G5360" s="18"/>
      <c r="H5360" s="18"/>
    </row>
    <row r="5361" spans="1:8" ht="13.2">
      <c r="A5361" s="19" t="str">
        <f>HYPERLINK("https://uva.onlinejudge.org/index.php?option=com_onlinejudge&amp;Itemid=8&amp;page=show_problem&amp;problem=503","UVA 562")</f>
        <v>UVA 562</v>
      </c>
      <c r="B5361" s="29" t="s">
        <v>1348</v>
      </c>
      <c r="C5361" s="17">
        <v>3</v>
      </c>
      <c r="D5361" s="18"/>
      <c r="E5361" s="17" t="s">
        <v>1337</v>
      </c>
      <c r="F5361" s="17"/>
      <c r="G5361" s="18"/>
      <c r="H5361" s="18"/>
    </row>
    <row r="5362" spans="1:8" ht="13.2">
      <c r="A5362" s="15" t="s">
        <v>1674</v>
      </c>
      <c r="B5362" s="29" t="s">
        <v>1675</v>
      </c>
      <c r="C5362" s="24">
        <v>3</v>
      </c>
      <c r="D5362" s="18"/>
      <c r="E5362" s="17" t="s">
        <v>1337</v>
      </c>
      <c r="F5362" s="17"/>
      <c r="G5362" s="18"/>
      <c r="H5362" s="18"/>
    </row>
    <row r="5363" spans="1:8" ht="13.2">
      <c r="A5363" s="15" t="s">
        <v>1676</v>
      </c>
      <c r="B5363" s="35" t="s">
        <v>1677</v>
      </c>
      <c r="C5363" s="40">
        <v>3</v>
      </c>
      <c r="D5363" s="18"/>
      <c r="E5363" s="17" t="s">
        <v>1337</v>
      </c>
      <c r="F5363" s="17"/>
      <c r="G5363" s="18"/>
      <c r="H5363" s="18"/>
    </row>
    <row r="5364" spans="1:8" ht="13.2">
      <c r="A5364" s="19" t="str">
        <f>HYPERLINK("http://codeforces.com/contest/677/problem/A","CF67-D2-A")</f>
        <v>CF67-D2-A</v>
      </c>
      <c r="B5364" s="18" t="s">
        <v>1358</v>
      </c>
      <c r="C5364" s="17">
        <v>3</v>
      </c>
      <c r="D5364" s="18"/>
      <c r="E5364" s="17" t="s">
        <v>1337</v>
      </c>
      <c r="F5364" s="17"/>
      <c r="G5364" s="18"/>
      <c r="H5364" s="18"/>
    </row>
    <row r="5365" spans="1:8" ht="13.2">
      <c r="A5365" s="15" t="s">
        <v>1678</v>
      </c>
      <c r="B5365" s="18" t="s">
        <v>1358</v>
      </c>
      <c r="C5365" s="31">
        <v>3</v>
      </c>
      <c r="D5365" s="18"/>
      <c r="E5365" s="17" t="s">
        <v>1337</v>
      </c>
      <c r="F5365" s="17"/>
      <c r="G5365" s="18"/>
      <c r="H5365" s="18"/>
    </row>
    <row r="5366" spans="1:8" ht="13.2">
      <c r="A5366" s="19" t="str">
        <f>HYPERLINK("https://uva.onlinejudge.org/index.php?option=onlinejudge&amp;page=show_problem&amp;problem=1133","UVA 10192")</f>
        <v>UVA 10192</v>
      </c>
      <c r="B5366" s="29" t="s">
        <v>1661</v>
      </c>
      <c r="C5366" s="17">
        <v>3</v>
      </c>
      <c r="D5366" s="18"/>
      <c r="E5366" s="17" t="s">
        <v>1337</v>
      </c>
      <c r="F5366" s="17"/>
      <c r="G5366" s="18"/>
      <c r="H5366" s="18"/>
    </row>
    <row r="5367" spans="1:8" ht="13.2">
      <c r="A5367" s="15" t="s">
        <v>1679</v>
      </c>
      <c r="B5367" s="30" t="s">
        <v>1680</v>
      </c>
      <c r="C5367" s="24">
        <v>3</v>
      </c>
      <c r="D5367" s="18"/>
      <c r="E5367" s="17" t="s">
        <v>1337</v>
      </c>
      <c r="F5367" s="17"/>
      <c r="G5367" s="18"/>
      <c r="H5367" s="18"/>
    </row>
    <row r="5368" spans="1:8" ht="13.2">
      <c r="A5368" s="15" t="s">
        <v>1681</v>
      </c>
      <c r="B5368" s="29" t="s">
        <v>1346</v>
      </c>
      <c r="C5368" s="31">
        <v>3</v>
      </c>
      <c r="D5368" s="18"/>
      <c r="E5368" s="24" t="s">
        <v>1337</v>
      </c>
      <c r="F5368" s="17"/>
      <c r="G5368" s="18"/>
      <c r="H5368" s="18"/>
    </row>
    <row r="5369" spans="1:8" ht="13.2">
      <c r="A5369" s="15" t="s">
        <v>1682</v>
      </c>
      <c r="B5369" s="18" t="s">
        <v>1683</v>
      </c>
      <c r="C5369" s="40">
        <v>3</v>
      </c>
      <c r="D5369" s="18"/>
      <c r="E5369" s="17" t="s">
        <v>1337</v>
      </c>
      <c r="F5369" s="17"/>
      <c r="G5369" s="18"/>
      <c r="H5369" s="18"/>
    </row>
    <row r="5370" spans="1:8" ht="13.2">
      <c r="A5370" s="15" t="s">
        <v>1684</v>
      </c>
      <c r="B5370" s="35" t="s">
        <v>1441</v>
      </c>
      <c r="C5370" s="40">
        <v>3</v>
      </c>
      <c r="D5370" s="18"/>
      <c r="E5370" s="17" t="s">
        <v>1337</v>
      </c>
      <c r="F5370" s="17"/>
      <c r="G5370" s="18"/>
      <c r="H5370" s="18"/>
    </row>
    <row r="5371" spans="1:8" ht="13.2">
      <c r="A5371" s="19" t="str">
        <f>HYPERLINK("http://codeforces.com/contest/189/problem/A","CF189-D2-A")</f>
        <v>CF189-D2-A</v>
      </c>
      <c r="B5371" s="29" t="s">
        <v>359</v>
      </c>
      <c r="C5371" s="17">
        <v>3</v>
      </c>
      <c r="D5371" s="18"/>
      <c r="E5371" s="17" t="s">
        <v>332</v>
      </c>
      <c r="F5371" s="17"/>
      <c r="G5371" s="18"/>
      <c r="H5371" s="18"/>
    </row>
    <row r="5372" spans="1:8" ht="13.2">
      <c r="A5372" s="15" t="s">
        <v>483</v>
      </c>
      <c r="B5372" s="34" t="s">
        <v>359</v>
      </c>
      <c r="C5372" s="24">
        <v>3</v>
      </c>
      <c r="D5372" s="18"/>
      <c r="E5372" s="17" t="s">
        <v>332</v>
      </c>
      <c r="F5372" s="17"/>
      <c r="G5372" s="18"/>
      <c r="H5372" s="18"/>
    </row>
    <row r="5373" spans="1:8" ht="13.2">
      <c r="A5373" s="15" t="s">
        <v>484</v>
      </c>
      <c r="B5373" s="35" t="s">
        <v>359</v>
      </c>
      <c r="C5373" s="40">
        <v>3</v>
      </c>
      <c r="D5373" s="18"/>
      <c r="E5373" s="17" t="s">
        <v>332</v>
      </c>
      <c r="F5373" s="17"/>
      <c r="G5373" s="18"/>
      <c r="H5373" s="18"/>
    </row>
    <row r="5374" spans="1:8" ht="13.2">
      <c r="A5374" s="15" t="s">
        <v>485</v>
      </c>
      <c r="B5374" s="30" t="s">
        <v>359</v>
      </c>
      <c r="C5374" s="24">
        <v>3</v>
      </c>
      <c r="D5374" s="18"/>
      <c r="E5374" s="17" t="s">
        <v>332</v>
      </c>
      <c r="F5374" s="17"/>
      <c r="G5374" s="18"/>
      <c r="H5374" s="18"/>
    </row>
    <row r="5375" spans="1:8" ht="13.2">
      <c r="A5375" s="15" t="s">
        <v>486</v>
      </c>
      <c r="B5375" s="30" t="s">
        <v>359</v>
      </c>
      <c r="C5375" s="24">
        <v>3</v>
      </c>
      <c r="D5375" s="18"/>
      <c r="E5375" s="17" t="s">
        <v>332</v>
      </c>
      <c r="F5375" s="17"/>
      <c r="G5375" s="18"/>
      <c r="H5375" s="18"/>
    </row>
    <row r="5376" spans="1:8" ht="13.2">
      <c r="A5376" s="15" t="s">
        <v>487</v>
      </c>
      <c r="B5376" s="28" t="s">
        <v>359</v>
      </c>
      <c r="C5376" s="17">
        <v>3</v>
      </c>
      <c r="D5376" s="18"/>
      <c r="E5376" s="17" t="s">
        <v>332</v>
      </c>
      <c r="F5376" s="17"/>
      <c r="G5376" s="18"/>
      <c r="H5376" s="18"/>
    </row>
    <row r="5377" spans="1:8" ht="13.2">
      <c r="A5377" s="15" t="s">
        <v>488</v>
      </c>
      <c r="B5377" s="29" t="s">
        <v>347</v>
      </c>
      <c r="C5377" s="17">
        <v>3</v>
      </c>
      <c r="D5377" s="18"/>
      <c r="E5377" s="17" t="s">
        <v>332</v>
      </c>
      <c r="F5377" s="17"/>
      <c r="G5377" s="18"/>
      <c r="H5377" s="18"/>
    </row>
    <row r="5378" spans="1:8" ht="13.2">
      <c r="A5378" s="15" t="s">
        <v>489</v>
      </c>
      <c r="B5378" s="16" t="s">
        <v>490</v>
      </c>
      <c r="C5378" s="17">
        <v>3</v>
      </c>
      <c r="D5378" s="18"/>
      <c r="E5378" s="17" t="s">
        <v>332</v>
      </c>
      <c r="F5378" s="17"/>
      <c r="G5378" s="18"/>
      <c r="H5378" s="18"/>
    </row>
    <row r="5379" spans="1:8" ht="13.2">
      <c r="A5379" s="19" t="str">
        <f>HYPERLINK("http://codeforces.com/contest/402/problem/C","CF402-D2-C")</f>
        <v>CF402-D2-C</v>
      </c>
      <c r="B5379" s="29" t="s">
        <v>438</v>
      </c>
      <c r="C5379" s="17">
        <v>3</v>
      </c>
      <c r="D5379" s="18"/>
      <c r="E5379" s="17" t="s">
        <v>332</v>
      </c>
      <c r="F5379" s="17"/>
      <c r="G5379" s="18"/>
      <c r="H5379" s="18"/>
    </row>
    <row r="5380" spans="1:8" ht="13.2">
      <c r="A5380" s="15" t="s">
        <v>491</v>
      </c>
      <c r="B5380" s="35" t="s">
        <v>482</v>
      </c>
      <c r="C5380" s="24">
        <v>3</v>
      </c>
      <c r="D5380" s="18"/>
      <c r="E5380" s="17" t="s">
        <v>332</v>
      </c>
      <c r="F5380" s="17"/>
      <c r="G5380" s="18"/>
      <c r="H5380" s="18"/>
    </row>
    <row r="5381" spans="1:8" ht="13.2">
      <c r="A5381" s="15" t="s">
        <v>1746</v>
      </c>
      <c r="B5381" s="29" t="s">
        <v>1747</v>
      </c>
      <c r="C5381" s="17">
        <v>3</v>
      </c>
      <c r="D5381" s="18"/>
      <c r="E5381" s="17" t="s">
        <v>1734</v>
      </c>
      <c r="F5381" s="17"/>
      <c r="G5381" s="18"/>
      <c r="H5381" s="18"/>
    </row>
    <row r="5382" spans="1:8" ht="13.2">
      <c r="A5382" s="15" t="s">
        <v>1748</v>
      </c>
      <c r="B5382" s="29" t="s">
        <v>1737</v>
      </c>
      <c r="C5382" s="17">
        <v>3</v>
      </c>
      <c r="D5382" s="18"/>
      <c r="E5382" s="17" t="s">
        <v>1734</v>
      </c>
      <c r="F5382" s="17"/>
      <c r="G5382" s="18"/>
      <c r="H5382" s="18"/>
    </row>
    <row r="5383" spans="1:8" ht="13.2">
      <c r="A5383" s="15" t="s">
        <v>1764</v>
      </c>
      <c r="B5383" s="29" t="s">
        <v>1765</v>
      </c>
      <c r="C5383" s="24">
        <v>3</v>
      </c>
      <c r="D5383" s="18"/>
      <c r="E5383" s="17" t="s">
        <v>1751</v>
      </c>
      <c r="F5383" s="17"/>
      <c r="G5383" s="18"/>
      <c r="H5383" s="18"/>
    </row>
    <row r="5384" spans="1:8" ht="13.2">
      <c r="A5384" s="15" t="s">
        <v>1766</v>
      </c>
      <c r="B5384" s="18" t="s">
        <v>1765</v>
      </c>
      <c r="C5384" s="24">
        <v>3</v>
      </c>
      <c r="D5384" s="18"/>
      <c r="E5384" s="17" t="s">
        <v>1751</v>
      </c>
      <c r="F5384" s="17"/>
      <c r="G5384" s="18"/>
      <c r="H5384" s="18"/>
    </row>
    <row r="5385" spans="1:8" ht="13.2">
      <c r="A5385" s="15" t="s">
        <v>1817</v>
      </c>
      <c r="B5385" s="18" t="s">
        <v>1797</v>
      </c>
      <c r="C5385" s="40">
        <v>3</v>
      </c>
      <c r="D5385" s="18"/>
      <c r="E5385" s="17" t="s">
        <v>1793</v>
      </c>
      <c r="F5385" s="17"/>
      <c r="G5385" s="18"/>
      <c r="H5385" s="18"/>
    </row>
    <row r="5386" spans="1:8" ht="13.2">
      <c r="A5386" s="15" t="s">
        <v>1905</v>
      </c>
      <c r="B5386" s="29" t="s">
        <v>1818</v>
      </c>
      <c r="C5386" s="24">
        <v>3</v>
      </c>
      <c r="D5386" s="18"/>
      <c r="E5386" s="17" t="s">
        <v>1819</v>
      </c>
      <c r="F5386" s="17"/>
      <c r="G5386" s="18"/>
      <c r="H5386" s="18"/>
    </row>
    <row r="5387" spans="1:8" ht="13.2">
      <c r="A5387" s="15" t="s">
        <v>1906</v>
      </c>
      <c r="B5387" s="18" t="s">
        <v>1907</v>
      </c>
      <c r="C5387" s="40">
        <v>3</v>
      </c>
      <c r="D5387" s="18"/>
      <c r="E5387" s="17" t="s">
        <v>1819</v>
      </c>
      <c r="F5387" s="17"/>
      <c r="G5387" s="18"/>
      <c r="H5387" s="18"/>
    </row>
    <row r="5388" spans="1:8" ht="13.2">
      <c r="A5388" s="19" t="str">
        <f>HYPERLINK("http://codeforces.com/contest/118/problem/D","CF118-D2-D")</f>
        <v>CF118-D2-D</v>
      </c>
      <c r="B5388" s="29" t="s">
        <v>1913</v>
      </c>
      <c r="C5388" s="17">
        <v>3</v>
      </c>
      <c r="D5388" s="18"/>
      <c r="E5388" s="17" t="s">
        <v>1909</v>
      </c>
      <c r="F5388" s="17"/>
      <c r="G5388" s="18"/>
      <c r="H5388" s="18"/>
    </row>
    <row r="5389" spans="1:8" ht="13.2">
      <c r="A5389" s="15" t="s">
        <v>1985</v>
      </c>
      <c r="B5389" s="34" t="s">
        <v>1913</v>
      </c>
      <c r="C5389" s="24">
        <v>3</v>
      </c>
      <c r="D5389" s="18"/>
      <c r="E5389" s="17" t="s">
        <v>1909</v>
      </c>
      <c r="F5389" s="17"/>
      <c r="G5389" s="18"/>
      <c r="H5389" s="18"/>
    </row>
    <row r="5390" spans="1:8" ht="13.2">
      <c r="A5390" s="15" t="s">
        <v>1986</v>
      </c>
      <c r="B5390" s="29" t="s">
        <v>1913</v>
      </c>
      <c r="C5390" s="17">
        <v>3</v>
      </c>
      <c r="D5390" s="18"/>
      <c r="E5390" s="17" t="s">
        <v>1909</v>
      </c>
      <c r="F5390" s="17"/>
      <c r="G5390" s="18"/>
      <c r="H5390" s="18"/>
    </row>
    <row r="5391" spans="1:8" ht="13.2">
      <c r="A5391" s="19" t="str">
        <f>HYPERLINK("https://www.hackerrank.com/challenges/lexicographic-steps","HACKR lexicographic-steps")</f>
        <v>HACKR lexicographic-steps</v>
      </c>
      <c r="B5391" s="29" t="s">
        <v>1987</v>
      </c>
      <c r="C5391" s="17">
        <v>3</v>
      </c>
      <c r="D5391" s="18"/>
      <c r="E5391" s="17" t="s">
        <v>1909</v>
      </c>
      <c r="F5391" s="17"/>
      <c r="G5391" s="18"/>
      <c r="H5391" s="18"/>
    </row>
    <row r="5392" spans="1:8" ht="13.2">
      <c r="A5392" s="19" t="str">
        <f>HYPERLINK("https://uva.onlinejudge.org/index.php?option=com_onlinejudge&amp;Itemid=8&amp;page=show_problem&amp;problem=1345","UVA 10404")</f>
        <v>UVA 10404</v>
      </c>
      <c r="B5392" s="29" t="s">
        <v>2004</v>
      </c>
      <c r="C5392" s="17">
        <v>3</v>
      </c>
      <c r="D5392" s="26" t="str">
        <f>HYPERLINK("https://github.com/VAMPIER000001/CompetitiveProgramming/blob/58946d0dcba06adfc2c5ec0b423546a6a0c6da9c/UVA/V-104/UVA%2010404.Cpp","Sol")</f>
        <v>Sol</v>
      </c>
      <c r="E5392" s="17" t="s">
        <v>1989</v>
      </c>
      <c r="F5392" s="17"/>
      <c r="G5392" s="18"/>
      <c r="H5392" s="18"/>
    </row>
    <row r="5393" spans="1:8" ht="13.2">
      <c r="A5393" s="15" t="s">
        <v>2018</v>
      </c>
      <c r="B5393" s="35" t="s">
        <v>2019</v>
      </c>
      <c r="C5393" s="24">
        <v>3</v>
      </c>
      <c r="D5393" s="18"/>
      <c r="E5393" s="17" t="s">
        <v>1989</v>
      </c>
      <c r="F5393" s="17"/>
      <c r="G5393" s="18"/>
      <c r="H5393" s="18"/>
    </row>
    <row r="5394" spans="1:8" ht="13.2">
      <c r="A5394" s="15" t="s">
        <v>2020</v>
      </c>
      <c r="B5394" s="28" t="s">
        <v>2019</v>
      </c>
      <c r="C5394" s="24">
        <v>3</v>
      </c>
      <c r="D5394" s="26" t="str">
        <f>HYPERLINK("https://github.com/MeGaCrazy/CompetitiveProgramming/blob/fb2f21b7a3300927d3790593246856405b038276/UVA/UVA_12469.cpp","Sol")</f>
        <v>Sol</v>
      </c>
      <c r="E5394" s="17" t="s">
        <v>1989</v>
      </c>
      <c r="F5394" s="17"/>
      <c r="G5394" s="18"/>
      <c r="H5394" s="18"/>
    </row>
    <row r="5395" spans="1:8" ht="13.2">
      <c r="A5395" s="15" t="s">
        <v>2021</v>
      </c>
      <c r="B5395" s="28" t="s">
        <v>2022</v>
      </c>
      <c r="C5395" s="24">
        <v>3</v>
      </c>
      <c r="D5395" s="18"/>
      <c r="E5395" s="17" t="s">
        <v>1989</v>
      </c>
      <c r="F5395" s="17"/>
      <c r="G5395" s="18"/>
      <c r="H5395" s="18"/>
    </row>
    <row r="5396" spans="1:8" ht="13.2">
      <c r="A5396" s="15" t="s">
        <v>2023</v>
      </c>
      <c r="B5396" s="29" t="s">
        <v>2024</v>
      </c>
      <c r="C5396" s="17">
        <v>3</v>
      </c>
      <c r="D5396" s="18"/>
      <c r="E5396" s="17" t="s">
        <v>1989</v>
      </c>
      <c r="F5396" s="17"/>
      <c r="G5396" s="18"/>
      <c r="H5396" s="18"/>
    </row>
    <row r="5397" spans="1:8" ht="13.2">
      <c r="A5397" s="15" t="s">
        <v>560</v>
      </c>
      <c r="B5397" s="18" t="s">
        <v>502</v>
      </c>
      <c r="C5397" s="17">
        <v>3</v>
      </c>
      <c r="D5397" s="18"/>
      <c r="E5397" s="17" t="s">
        <v>503</v>
      </c>
      <c r="F5397" s="17"/>
      <c r="G5397" s="18"/>
      <c r="H5397" s="18"/>
    </row>
    <row r="5398" spans="1:8" ht="13.2">
      <c r="A5398" s="19" t="str">
        <f>HYPERLINK("https://uva.onlinejudge.org/index.php?option=com_onlinejudge&amp;Itemid=8&amp;page=show_problem&amp;problem=37","UVA 101")</f>
        <v>UVA 101</v>
      </c>
      <c r="B5398" s="29" t="s">
        <v>502</v>
      </c>
      <c r="C5398" s="17">
        <v>3</v>
      </c>
      <c r="D5398" s="18"/>
      <c r="E5398" s="17" t="s">
        <v>503</v>
      </c>
      <c r="F5398" s="17"/>
      <c r="G5398" s="18"/>
      <c r="H5398" s="18"/>
    </row>
    <row r="5399" spans="1:8" ht="13.2">
      <c r="A5399" s="15" t="s">
        <v>561</v>
      </c>
      <c r="B5399" s="15" t="s">
        <v>562</v>
      </c>
      <c r="C5399" s="24">
        <v>3</v>
      </c>
      <c r="D5399" s="26" t="str">
        <f>HYPERLINK("https://ideone.com/VPYfS0","Sol")</f>
        <v>Sol</v>
      </c>
      <c r="E5399" s="17" t="s">
        <v>503</v>
      </c>
      <c r="F5399" s="17"/>
      <c r="G5399" s="18"/>
      <c r="H5399" s="18"/>
    </row>
    <row r="5400" spans="1:8" ht="13.2">
      <c r="A5400" s="15" t="s">
        <v>563</v>
      </c>
      <c r="B5400" s="29" t="s">
        <v>564</v>
      </c>
      <c r="C5400" s="17">
        <v>3</v>
      </c>
      <c r="D5400" s="18" t="s">
        <v>118</v>
      </c>
      <c r="E5400" s="17" t="s">
        <v>503</v>
      </c>
      <c r="F5400" s="17"/>
      <c r="G5400" s="18"/>
      <c r="H5400" s="18"/>
    </row>
    <row r="5401" spans="1:8" ht="13.2">
      <c r="A5401" s="19" t="str">
        <f>HYPERLINK("http://codeforces.com/contest/518/problem/D","CF518-D2-D")</f>
        <v>CF518-D2-D</v>
      </c>
      <c r="B5401" s="29" t="s">
        <v>2110</v>
      </c>
      <c r="C5401" s="24">
        <v>3</v>
      </c>
      <c r="D5401" s="18"/>
      <c r="E5401" s="17" t="s">
        <v>2074</v>
      </c>
      <c r="F5401" s="17"/>
      <c r="G5401" s="18"/>
      <c r="H5401" s="18"/>
    </row>
    <row r="5402" spans="1:8" ht="13.2">
      <c r="A5402" s="15" t="s">
        <v>2383</v>
      </c>
      <c r="B5402" s="29" t="s">
        <v>2163</v>
      </c>
      <c r="C5402" s="24">
        <v>3</v>
      </c>
      <c r="D5402" s="18"/>
      <c r="E5402" s="17" t="s">
        <v>2153</v>
      </c>
      <c r="F5402" s="17"/>
      <c r="G5402" s="18"/>
      <c r="H5402" s="18"/>
    </row>
    <row r="5403" spans="1:8" ht="13.2">
      <c r="A5403" s="15" t="s">
        <v>2384</v>
      </c>
      <c r="B5403" s="28" t="s">
        <v>2385</v>
      </c>
      <c r="C5403" s="24">
        <v>3</v>
      </c>
      <c r="D5403" s="18"/>
      <c r="E5403" s="17" t="s">
        <v>2153</v>
      </c>
      <c r="F5403" s="17"/>
      <c r="G5403" s="18"/>
      <c r="H5403" s="18"/>
    </row>
    <row r="5404" spans="1:8" ht="13.2">
      <c r="A5404" s="15" t="s">
        <v>2386</v>
      </c>
      <c r="B5404" s="28" t="s">
        <v>2387</v>
      </c>
      <c r="C5404" s="24">
        <v>3</v>
      </c>
      <c r="D5404" s="18"/>
      <c r="E5404" s="17" t="s">
        <v>2153</v>
      </c>
      <c r="F5404" s="17"/>
      <c r="G5404" s="18"/>
      <c r="H5404" s="18"/>
    </row>
    <row r="5405" spans="1:8" ht="13.2">
      <c r="A5405" s="15" t="s">
        <v>2388</v>
      </c>
      <c r="B5405" s="18" t="s">
        <v>2232</v>
      </c>
      <c r="C5405" s="33">
        <v>3</v>
      </c>
      <c r="D5405" s="18"/>
      <c r="E5405" s="17" t="s">
        <v>2153</v>
      </c>
      <c r="F5405" s="17"/>
      <c r="G5405" s="18"/>
      <c r="H5405" s="18"/>
    </row>
    <row r="5406" spans="1:8" ht="13.2">
      <c r="A5406" s="19" t="str">
        <f>HYPERLINK("http://codeforces.com/contest/140/problem/C","CF140-D12-C")</f>
        <v>CF140-D12-C</v>
      </c>
      <c r="B5406" s="15" t="s">
        <v>2157</v>
      </c>
      <c r="C5406" s="17">
        <v>3</v>
      </c>
      <c r="D5406" s="18"/>
      <c r="E5406" s="17" t="s">
        <v>2153</v>
      </c>
      <c r="F5406" s="17"/>
      <c r="G5406" s="18"/>
      <c r="H5406" s="18"/>
    </row>
    <row r="5407" spans="1:8" ht="13.2">
      <c r="A5407" s="19" t="str">
        <f>HYPERLINK("http://codeforces.com/contest/265/problem/C","CF265-D2-C")</f>
        <v>CF265-D2-C</v>
      </c>
      <c r="B5407" s="29" t="s">
        <v>2225</v>
      </c>
      <c r="C5407" s="17">
        <v>3</v>
      </c>
      <c r="D5407" s="18"/>
      <c r="E5407" s="17" t="s">
        <v>2153</v>
      </c>
      <c r="F5407" s="17"/>
      <c r="G5407" s="18"/>
      <c r="H5407" s="18"/>
    </row>
    <row r="5408" spans="1:8" ht="13.2">
      <c r="A5408" s="19" t="str">
        <f>HYPERLINK("http://codeforces.com/contest/350/problem/C","CF350-D2-C")</f>
        <v>CF350-D2-C</v>
      </c>
      <c r="B5408" s="18" t="s">
        <v>2225</v>
      </c>
      <c r="C5408" s="17">
        <v>3</v>
      </c>
      <c r="D5408" s="18"/>
      <c r="E5408" s="17" t="s">
        <v>2153</v>
      </c>
      <c r="F5408" s="17"/>
      <c r="G5408" s="18"/>
      <c r="H5408" s="18"/>
    </row>
    <row r="5409" spans="1:8" ht="13.2">
      <c r="A5409" s="19" t="str">
        <f>HYPERLINK("http://codeforces.com/contest/363/problem/C","CF363-D2-C")</f>
        <v>CF363-D2-C</v>
      </c>
      <c r="B5409" s="29" t="s">
        <v>2225</v>
      </c>
      <c r="C5409" s="17">
        <v>3</v>
      </c>
      <c r="D5409" s="18"/>
      <c r="E5409" s="17" t="s">
        <v>2153</v>
      </c>
      <c r="F5409" s="17"/>
      <c r="G5409" s="18"/>
      <c r="H5409" s="18"/>
    </row>
    <row r="5410" spans="1:8" ht="13.2">
      <c r="A5410" s="19" t="str">
        <f>HYPERLINK("http://codeforces.com/contest/659/problem/C","CF659-D2-C")</f>
        <v>CF659-D2-C</v>
      </c>
      <c r="B5410" s="18" t="s">
        <v>2225</v>
      </c>
      <c r="C5410" s="17">
        <v>3</v>
      </c>
      <c r="D5410" s="18"/>
      <c r="E5410" s="17" t="s">
        <v>2153</v>
      </c>
      <c r="F5410" s="17"/>
      <c r="G5410" s="18"/>
      <c r="H5410" s="18"/>
    </row>
    <row r="5411" spans="1:8" ht="13.2">
      <c r="A5411" s="19" t="str">
        <f>HYPERLINK("http://codeforces.com/contest/112/problem/C","CF112-D2-C")</f>
        <v>CF112-D2-C</v>
      </c>
      <c r="B5411" s="18" t="s">
        <v>2200</v>
      </c>
      <c r="C5411" s="17">
        <v>3</v>
      </c>
      <c r="D5411" s="18"/>
      <c r="E5411" s="17" t="s">
        <v>2153</v>
      </c>
      <c r="F5411" s="17"/>
      <c r="G5411" s="18"/>
      <c r="H5411" s="18"/>
    </row>
    <row r="5412" spans="1:8" ht="13.2">
      <c r="A5412" s="15" t="s">
        <v>2389</v>
      </c>
      <c r="B5412" s="16" t="s">
        <v>2390</v>
      </c>
      <c r="C5412" s="17">
        <v>3</v>
      </c>
      <c r="D5412" s="18"/>
      <c r="E5412" s="17" t="s">
        <v>2153</v>
      </c>
      <c r="F5412" s="17"/>
      <c r="G5412" s="18"/>
      <c r="H5412" s="18"/>
    </row>
    <row r="5413" spans="1:8" ht="13.2">
      <c r="A5413" s="19" t="str">
        <f>HYPERLINK("http://codeforces.com/contest/203/problem/C","CF203-D2-C")</f>
        <v>CF203-D2-C</v>
      </c>
      <c r="B5413" s="29" t="s">
        <v>2248</v>
      </c>
      <c r="C5413" s="17">
        <v>3</v>
      </c>
      <c r="D5413" s="18"/>
      <c r="E5413" s="17" t="s">
        <v>2153</v>
      </c>
      <c r="F5413" s="17"/>
      <c r="G5413" s="18"/>
      <c r="H5413" s="18"/>
    </row>
    <row r="5414" spans="1:8" ht="13.2">
      <c r="A5414" s="15" t="s">
        <v>2391</v>
      </c>
      <c r="B5414" s="35" t="s">
        <v>2248</v>
      </c>
      <c r="C5414" s="24">
        <v>3</v>
      </c>
      <c r="D5414" s="18"/>
      <c r="E5414" s="17" t="s">
        <v>2153</v>
      </c>
      <c r="F5414" s="17"/>
      <c r="G5414" s="18"/>
      <c r="H5414" s="18"/>
    </row>
    <row r="5415" spans="1:8" ht="13.2">
      <c r="A5415" s="15" t="s">
        <v>2392</v>
      </c>
      <c r="B5415" s="15" t="s">
        <v>2248</v>
      </c>
      <c r="C5415" s="24">
        <v>3</v>
      </c>
      <c r="D5415" s="18"/>
      <c r="E5415" s="17" t="s">
        <v>2153</v>
      </c>
      <c r="F5415" s="17"/>
      <c r="G5415" s="18"/>
      <c r="H5415" s="18"/>
    </row>
    <row r="5416" spans="1:8" ht="13.2">
      <c r="A5416" s="19" t="str">
        <f>HYPERLINK("http://codeforces.com/contest/914/problem/B","CF914-D2-B")</f>
        <v>CF914-D2-B</v>
      </c>
      <c r="B5416" s="20" t="s">
        <v>2400</v>
      </c>
      <c r="C5416" s="17">
        <v>3</v>
      </c>
      <c r="D5416" s="18"/>
      <c r="E5416" s="17" t="s">
        <v>2394</v>
      </c>
      <c r="F5416" s="17"/>
      <c r="G5416" s="18"/>
      <c r="H5416" s="18"/>
    </row>
    <row r="5417" spans="1:8" ht="13.2">
      <c r="A5417" s="19" t="str">
        <f>HYPERLINK("https://www.codechef.com/problems/NUMGAME","CODECHEF NUMGAME")</f>
        <v>CODECHEF NUMGAME</v>
      </c>
      <c r="B5417" s="15" t="s">
        <v>2400</v>
      </c>
      <c r="C5417" s="17">
        <v>3</v>
      </c>
      <c r="D5417" s="18"/>
      <c r="E5417" s="17" t="s">
        <v>2394</v>
      </c>
      <c r="F5417" s="17"/>
      <c r="G5417" s="18"/>
      <c r="H5417" s="18"/>
    </row>
    <row r="5418" spans="1:8" ht="13.2">
      <c r="A5418" s="19" t="str">
        <f>HYPERLINK("https://www.codechef.com/problems/NUMGAME2","CODECHEF NUMGAME2")</f>
        <v>CODECHEF NUMGAME2</v>
      </c>
      <c r="B5418" s="15" t="s">
        <v>2400</v>
      </c>
      <c r="C5418" s="17">
        <v>3</v>
      </c>
      <c r="D5418" s="18"/>
      <c r="E5418" s="17" t="s">
        <v>2394</v>
      </c>
      <c r="F5418" s="17"/>
      <c r="G5418" s="18"/>
      <c r="H5418" s="18"/>
    </row>
    <row r="5419" spans="1:8" ht="13.2">
      <c r="A5419" s="15" t="s">
        <v>2435</v>
      </c>
      <c r="B5419" s="30" t="s">
        <v>2400</v>
      </c>
      <c r="C5419" s="17">
        <v>3</v>
      </c>
      <c r="D5419" s="18"/>
      <c r="E5419" s="17" t="s">
        <v>2394</v>
      </c>
      <c r="F5419" s="17"/>
      <c r="G5419" s="18"/>
      <c r="H5419" s="18"/>
    </row>
    <row r="5420" spans="1:8" ht="13.2">
      <c r="A5420" s="15" t="s">
        <v>2436</v>
      </c>
      <c r="B5420" s="28" t="s">
        <v>2400</v>
      </c>
      <c r="C5420" s="24">
        <v>3</v>
      </c>
      <c r="D5420" s="18"/>
      <c r="E5420" s="17" t="s">
        <v>2394</v>
      </c>
      <c r="F5420" s="17"/>
      <c r="G5420" s="18"/>
      <c r="H5420" s="18"/>
    </row>
    <row r="5421" spans="1:8" ht="13.2">
      <c r="A5421" s="15" t="s">
        <v>2437</v>
      </c>
      <c r="B5421" s="43" t="s">
        <v>2400</v>
      </c>
      <c r="C5421" s="24">
        <v>3</v>
      </c>
      <c r="D5421" s="18"/>
      <c r="E5421" s="17" t="s">
        <v>2394</v>
      </c>
      <c r="F5421" s="17"/>
      <c r="G5421" s="18"/>
      <c r="H5421" s="18"/>
    </row>
    <row r="5422" spans="1:8" ht="13.2">
      <c r="A5422" s="19" t="str">
        <f>HYPERLINK("http://codeforces.com/contest/55/problem/C","CF55-D12-C")</f>
        <v>CF55-D12-C</v>
      </c>
      <c r="B5422" s="29" t="s">
        <v>2412</v>
      </c>
      <c r="C5422" s="24">
        <v>3</v>
      </c>
      <c r="D5422" s="18"/>
      <c r="E5422" s="17" t="s">
        <v>2394</v>
      </c>
      <c r="F5422" s="17"/>
      <c r="G5422" s="18"/>
      <c r="H5422" s="18"/>
    </row>
    <row r="5423" spans="1:8" ht="13.2">
      <c r="A5423" s="15" t="s">
        <v>2458</v>
      </c>
      <c r="B5423" s="30" t="s">
        <v>2441</v>
      </c>
      <c r="C5423" s="24">
        <v>3</v>
      </c>
      <c r="D5423" s="18"/>
      <c r="E5423" s="17" t="s">
        <v>2442</v>
      </c>
      <c r="F5423" s="17"/>
      <c r="G5423" s="18"/>
      <c r="H5423" s="18"/>
    </row>
    <row r="5424" spans="1:8" ht="13.2">
      <c r="A5424" s="15" t="s">
        <v>2459</v>
      </c>
      <c r="B5424" s="28" t="s">
        <v>2460</v>
      </c>
      <c r="C5424" s="17">
        <v>3</v>
      </c>
      <c r="D5424" s="26" t="str">
        <f>HYPERLINK("https://www.quora.com/what-is-the-intuition-behind-this-spoj-com-problem-hubullu","Notes to read")</f>
        <v>Notes to read</v>
      </c>
      <c r="E5424" s="17" t="s">
        <v>2442</v>
      </c>
      <c r="F5424" s="17"/>
      <c r="G5424" s="18"/>
      <c r="H5424" s="18"/>
    </row>
    <row r="5425" spans="1:8" ht="13.2">
      <c r="A5425" s="19" t="str">
        <f>HYPERLINK("http://codeforces.com/gym/100500/","CF100500-GYM-E")</f>
        <v>CF100500-GYM-E</v>
      </c>
      <c r="B5425" s="28" t="s">
        <v>2468</v>
      </c>
      <c r="C5425" s="24">
        <v>3</v>
      </c>
      <c r="D5425" s="18"/>
      <c r="E5425" s="17" t="s">
        <v>2467</v>
      </c>
      <c r="F5425" s="17"/>
      <c r="G5425" s="18"/>
      <c r="H5425" s="18"/>
    </row>
    <row r="5426" spans="1:8" ht="13.2">
      <c r="A5426" s="19" t="str">
        <f>HYPERLINK("http://codeforces.com/gym/101492/problem/F","CF101492-GYM-F")</f>
        <v>CF101492-GYM-F</v>
      </c>
      <c r="B5426" s="15" t="s">
        <v>2509</v>
      </c>
      <c r="C5426" s="17">
        <v>3</v>
      </c>
      <c r="D5426" s="18"/>
      <c r="E5426" s="17" t="s">
        <v>2510</v>
      </c>
      <c r="F5426" s="17"/>
      <c r="G5426" s="18"/>
      <c r="H5426" s="18"/>
    </row>
    <row r="5427" spans="1:8" ht="13.2">
      <c r="A5427" s="19" t="str">
        <f>HYPERLINK("http://codeforces.com/problemset/problem/135/B","CF135-D1-B")</f>
        <v>CF135-D1-B</v>
      </c>
      <c r="B5427" s="29" t="s">
        <v>2509</v>
      </c>
      <c r="C5427" s="24">
        <v>3</v>
      </c>
      <c r="D5427" s="18"/>
      <c r="E5427" s="17" t="s">
        <v>2510</v>
      </c>
      <c r="F5427" s="17"/>
      <c r="G5427" s="18"/>
      <c r="H5427" s="18"/>
    </row>
    <row r="5428" spans="1:8" ht="13.2">
      <c r="A5428" s="19" t="str">
        <f>HYPERLINK("http://codeforces.com/contest/498/problem/A","CF498-D1-A")</f>
        <v>CF498-D1-A</v>
      </c>
      <c r="B5428" s="37" t="s">
        <v>2509</v>
      </c>
      <c r="C5428" s="24">
        <v>3</v>
      </c>
      <c r="D5428" s="18"/>
      <c r="E5428" s="17" t="s">
        <v>2510</v>
      </c>
      <c r="F5428" s="17"/>
      <c r="G5428" s="18"/>
      <c r="H5428" s="18"/>
    </row>
    <row r="5429" spans="1:8" ht="13.2">
      <c r="A5429" s="19" t="str">
        <f>HYPERLINK("http://codeforces.com/problemset/problem/559/A","CF559-D1-A")</f>
        <v>CF559-D1-A</v>
      </c>
      <c r="B5429" s="29" t="s">
        <v>2509</v>
      </c>
      <c r="C5429" s="24">
        <v>3</v>
      </c>
      <c r="D5429" s="18"/>
      <c r="E5429" s="17" t="s">
        <v>2510</v>
      </c>
      <c r="F5429" s="17"/>
      <c r="G5429" s="18"/>
      <c r="H5429" s="18"/>
    </row>
    <row r="5430" spans="1:8" ht="13.2">
      <c r="A5430" s="15" t="s">
        <v>2768</v>
      </c>
      <c r="B5430" s="29" t="s">
        <v>2509</v>
      </c>
      <c r="C5430" s="24">
        <v>3</v>
      </c>
      <c r="D5430" s="18"/>
      <c r="E5430" s="17" t="s">
        <v>2510</v>
      </c>
      <c r="F5430" s="17"/>
      <c r="G5430" s="18"/>
      <c r="H5430" s="18"/>
    </row>
    <row r="5431" spans="1:8" ht="13.2">
      <c r="A5431" s="15" t="s">
        <v>2769</v>
      </c>
      <c r="B5431" s="15" t="s">
        <v>2509</v>
      </c>
      <c r="C5431" s="40">
        <v>3</v>
      </c>
      <c r="D5431" s="18"/>
      <c r="E5431" s="17" t="s">
        <v>2510</v>
      </c>
      <c r="F5431" s="17"/>
      <c r="G5431" s="18"/>
      <c r="H5431" s="18"/>
    </row>
    <row r="5432" spans="1:8" ht="13.2">
      <c r="A5432" s="15" t="s">
        <v>2770</v>
      </c>
      <c r="B5432" s="18" t="s">
        <v>2509</v>
      </c>
      <c r="C5432" s="17">
        <v>3</v>
      </c>
      <c r="D5432" s="26" t="str">
        <f>HYPERLINK("https://github.com/osamahatem/CompetitiveProgramming/blob/master/Timus/1020.%20Rope.cpp","Sol")</f>
        <v>Sol</v>
      </c>
      <c r="E5432" s="17" t="s">
        <v>2510</v>
      </c>
      <c r="F5432" s="17"/>
      <c r="G5432" s="18"/>
      <c r="H5432" s="18"/>
    </row>
    <row r="5433" spans="1:8" ht="13.2">
      <c r="A5433" s="15" t="s">
        <v>2771</v>
      </c>
      <c r="B5433" s="28" t="s">
        <v>2509</v>
      </c>
      <c r="C5433" s="24">
        <v>3</v>
      </c>
      <c r="D5433" s="26" t="str">
        <f>HYPERLINK("https://github.com/AbdelrahmanRamadan/competitive-programming/blob/master/Timus/1405-goat-in-the-garden-5.cpp","Sol")</f>
        <v>Sol</v>
      </c>
      <c r="E5433" s="17" t="s">
        <v>2510</v>
      </c>
      <c r="F5433" s="17"/>
      <c r="G5433" s="18"/>
      <c r="H5433" s="18"/>
    </row>
    <row r="5434" spans="1:8" ht="13.2">
      <c r="A5434" s="15" t="s">
        <v>2772</v>
      </c>
      <c r="B5434" s="28" t="s">
        <v>2509</v>
      </c>
      <c r="C5434" s="24">
        <v>3</v>
      </c>
      <c r="D5434" s="18"/>
      <c r="E5434" s="24" t="s">
        <v>2510</v>
      </c>
      <c r="F5434" s="17"/>
      <c r="G5434" s="18"/>
      <c r="H5434" s="18"/>
    </row>
    <row r="5435" spans="1:8" ht="13.2">
      <c r="A5435" s="15" t="s">
        <v>2773</v>
      </c>
      <c r="B5435" s="15" t="s">
        <v>2509</v>
      </c>
      <c r="C5435" s="24">
        <v>3</v>
      </c>
      <c r="D5435" s="18"/>
      <c r="E5435" s="17" t="s">
        <v>2510</v>
      </c>
      <c r="F5435" s="17"/>
      <c r="G5435" s="18"/>
      <c r="H5435" s="18"/>
    </row>
    <row r="5436" spans="1:8" ht="13.2">
      <c r="A5436" s="19" t="str">
        <f>HYPERLINK("https://uva.onlinejudge.org/index.php?option=onlinejudge&amp;page=show_problem&amp;problem=417","UVA 476")</f>
        <v>UVA 476</v>
      </c>
      <c r="B5436" s="29" t="s">
        <v>2509</v>
      </c>
      <c r="C5436" s="17">
        <v>3</v>
      </c>
      <c r="D5436" s="18"/>
      <c r="E5436" s="17" t="s">
        <v>2510</v>
      </c>
      <c r="F5436" s="17"/>
      <c r="G5436" s="18"/>
      <c r="H5436" s="18"/>
    </row>
    <row r="5437" spans="1:8" ht="13.2">
      <c r="A5437" s="15" t="s">
        <v>2774</v>
      </c>
      <c r="B5437" s="28" t="s">
        <v>2509</v>
      </c>
      <c r="C5437" s="40">
        <v>3</v>
      </c>
      <c r="D5437" s="18"/>
      <c r="E5437" s="17" t="s">
        <v>2510</v>
      </c>
      <c r="F5437" s="17"/>
      <c r="G5437" s="18"/>
      <c r="H5437" s="18"/>
    </row>
    <row r="5438" spans="1:8" ht="13.2">
      <c r="A5438" s="19" t="str">
        <f>HYPERLINK("http://codeforces.com/contest/617/problem/C","CF617-D2-C")</f>
        <v>CF617-D2-C</v>
      </c>
      <c r="B5438" s="29" t="s">
        <v>2565</v>
      </c>
      <c r="C5438" s="17">
        <v>3</v>
      </c>
      <c r="D5438" s="18"/>
      <c r="E5438" s="17" t="s">
        <v>2510</v>
      </c>
      <c r="F5438" s="17"/>
      <c r="G5438" s="18"/>
      <c r="H5438" s="18"/>
    </row>
    <row r="5439" spans="1:8" ht="13.2">
      <c r="A5439" s="19" t="str">
        <f>HYPERLINK("http://codeforces.com/contest/908/problem/C","CF908-D12-C")</f>
        <v>CF908-D12-C</v>
      </c>
      <c r="B5439" s="18" t="s">
        <v>2763</v>
      </c>
      <c r="C5439" s="17">
        <v>3</v>
      </c>
      <c r="D5439" s="26" t="str">
        <f>HYPERLINK("https://github.com/osamahatem/CompetitiveProgramming/blob/master/Codeforces/908C.%20New%20Year%20and%20Curling.cpp","Sol")</f>
        <v>Sol</v>
      </c>
      <c r="E5439" s="17" t="s">
        <v>2510</v>
      </c>
      <c r="F5439" s="17"/>
      <c r="G5439" s="18"/>
      <c r="H5439" s="18"/>
    </row>
    <row r="5440" spans="1:8" ht="13.2">
      <c r="A5440" s="19" t="str">
        <f>HYPERLINK("http://codeforces.com/contest/667/problem/A","CF667-D2-A")</f>
        <v>CF667-D2-A</v>
      </c>
      <c r="B5440" s="29" t="s">
        <v>2623</v>
      </c>
      <c r="C5440" s="17">
        <v>3</v>
      </c>
      <c r="D5440" s="18"/>
      <c r="E5440" s="17" t="s">
        <v>2510</v>
      </c>
      <c r="F5440" s="17"/>
      <c r="G5440" s="18"/>
      <c r="H5440" s="18"/>
    </row>
    <row r="5441" spans="1:8" ht="13.2">
      <c r="A5441" s="15" t="s">
        <v>2775</v>
      </c>
      <c r="B5441" s="15" t="s">
        <v>2650</v>
      </c>
      <c r="C5441" s="24">
        <v>3</v>
      </c>
      <c r="D5441" s="18"/>
      <c r="E5441" s="17" t="s">
        <v>2510</v>
      </c>
      <c r="F5441" s="17"/>
      <c r="G5441" s="18"/>
      <c r="H5441" s="18"/>
    </row>
    <row r="5442" spans="1:8" ht="13.2">
      <c r="A5442" s="15" t="s">
        <v>2776</v>
      </c>
      <c r="B5442" s="29" t="s">
        <v>2777</v>
      </c>
      <c r="C5442" s="40">
        <v>3</v>
      </c>
      <c r="D5442" s="18"/>
      <c r="E5442" s="17" t="s">
        <v>2510</v>
      </c>
      <c r="F5442" s="17"/>
      <c r="G5442" s="18"/>
      <c r="H5442" s="18"/>
    </row>
    <row r="5443" spans="1:8" ht="13.2">
      <c r="A5443" s="15" t="s">
        <v>2778</v>
      </c>
      <c r="B5443" s="15" t="s">
        <v>2779</v>
      </c>
      <c r="C5443" s="24">
        <v>3</v>
      </c>
      <c r="D5443" s="18"/>
      <c r="E5443" s="17" t="s">
        <v>2510</v>
      </c>
      <c r="F5443" s="17"/>
      <c r="G5443" s="18"/>
      <c r="H5443" s="18"/>
    </row>
    <row r="5444" spans="1:8" ht="13.2">
      <c r="A5444" s="19" t="str">
        <f>HYPERLINK("https://www.hackerrank.com/challenges/baby-step-giant-step","HACKR baby-step-giant-step")</f>
        <v>HACKR baby-step-giant-step</v>
      </c>
      <c r="B5444" s="28" t="s">
        <v>2780</v>
      </c>
      <c r="C5444" s="24">
        <v>3</v>
      </c>
      <c r="D5444" s="18"/>
      <c r="E5444" s="17" t="s">
        <v>2510</v>
      </c>
      <c r="F5444" s="17"/>
      <c r="G5444" s="18"/>
      <c r="H5444" s="18"/>
    </row>
    <row r="5445" spans="1:8" ht="13.2">
      <c r="A5445" s="19" t="str">
        <f>HYPERLINK("https://uva.onlinejudge.org/index.php?option=onlinejudge&amp;page=show_problem&amp;problem=1183","UVA 10242")</f>
        <v>UVA 10242</v>
      </c>
      <c r="B5445" s="29" t="s">
        <v>2781</v>
      </c>
      <c r="C5445" s="17">
        <v>3</v>
      </c>
      <c r="D5445" s="18"/>
      <c r="E5445" s="17" t="s">
        <v>2510</v>
      </c>
      <c r="F5445" s="17"/>
      <c r="G5445" s="18"/>
      <c r="H5445" s="18"/>
    </row>
    <row r="5446" spans="1:8" ht="13.2">
      <c r="A5446" s="19" t="str">
        <f>HYPERLINK("https://uva.onlinejudge.org/index.php?option=onlinejudge&amp;page=show_problem&amp;problem=292","UVA 356")</f>
        <v>UVA 356</v>
      </c>
      <c r="B5446" s="29" t="s">
        <v>2800</v>
      </c>
      <c r="C5446" s="17">
        <v>3</v>
      </c>
      <c r="D5446" s="18"/>
      <c r="E5446" s="17" t="s">
        <v>2798</v>
      </c>
      <c r="F5446" s="17"/>
      <c r="G5446" s="18"/>
      <c r="H5446" s="18"/>
    </row>
    <row r="5447" spans="1:8" ht="13.2">
      <c r="A5447" s="19" t="str">
        <f>HYPERLINK("https://uva.onlinejudge.org/index.php?option=onlinejudge&amp;page=show_problem&amp;problem=379","UVA 438")</f>
        <v>UVA 438</v>
      </c>
      <c r="B5447" s="29" t="s">
        <v>2800</v>
      </c>
      <c r="C5447" s="17">
        <v>3</v>
      </c>
      <c r="D5447" s="26" t="str">
        <f>HYPERLINK("https://github.com/hosamk92/CompetitiveProgramming/blob/master/UVA/UVA%20438.cpp","Sol")</f>
        <v>Sol</v>
      </c>
      <c r="E5447" s="17" t="s">
        <v>2798</v>
      </c>
      <c r="F5447" s="17"/>
      <c r="G5447" s="18"/>
      <c r="H5447" s="18"/>
    </row>
    <row r="5448" spans="1:8" ht="13.2">
      <c r="A5448" s="19" t="str">
        <f>HYPERLINK("https://www.hackerrank.com/challenges/jim-beam","HACKR jim-beam")</f>
        <v>HACKR jim-beam</v>
      </c>
      <c r="B5448" s="28" t="s">
        <v>2891</v>
      </c>
      <c r="C5448" s="24">
        <v>3</v>
      </c>
      <c r="D5448" s="18"/>
      <c r="E5448" s="17" t="s">
        <v>2865</v>
      </c>
      <c r="F5448" s="17"/>
      <c r="G5448" s="18"/>
      <c r="H5448" s="18"/>
    </row>
    <row r="5449" spans="1:8" ht="13.2">
      <c r="A5449" s="15" t="s">
        <v>2936</v>
      </c>
      <c r="B5449" s="15" t="s">
        <v>2937</v>
      </c>
      <c r="C5449" s="24">
        <v>3</v>
      </c>
      <c r="D5449" s="26" t="str">
        <f>HYPERLINK("https://github.com/yazanKabbany/CompetitiveProgramming/blob/master/ZOJ/1560.cpp","Sol")</f>
        <v>Sol</v>
      </c>
      <c r="E5449" s="17" t="s">
        <v>2865</v>
      </c>
      <c r="F5449" s="17"/>
      <c r="G5449" s="18"/>
      <c r="H5449" s="18"/>
    </row>
    <row r="5450" spans="1:8" ht="13.2">
      <c r="A5450" s="15" t="s">
        <v>2938</v>
      </c>
      <c r="B5450" s="30" t="s">
        <v>2939</v>
      </c>
      <c r="C5450" s="40">
        <v>3</v>
      </c>
      <c r="D5450" s="18"/>
      <c r="E5450" s="17" t="s">
        <v>2865</v>
      </c>
      <c r="F5450" s="17"/>
      <c r="G5450" s="18"/>
      <c r="H5450" s="18"/>
    </row>
    <row r="5451" spans="1:8" ht="13.2">
      <c r="A5451" s="15" t="s">
        <v>2940</v>
      </c>
      <c r="B5451" s="29" t="s">
        <v>2878</v>
      </c>
      <c r="C5451" s="24">
        <v>3</v>
      </c>
      <c r="D5451" s="26" t="str">
        <f>HYPERLINK("https://github.com/MeGaCrazy/CompetitiveProgramming/blob/05160f4c6128ab550de31f62b5ac6d1c0c266d12/UVA/UVA_10357.cpp","Sol")</f>
        <v>Sol</v>
      </c>
      <c r="E5451" s="17" t="s">
        <v>2865</v>
      </c>
      <c r="F5451" s="17"/>
      <c r="G5451" s="18"/>
      <c r="H5451" s="18"/>
    </row>
    <row r="5452" spans="1:8" ht="13.2">
      <c r="A5452" s="19" t="str">
        <f>HYPERLINK("http://codeforces.com/contest/617/problem/D","CF617-D2-D")</f>
        <v>CF617-D2-D</v>
      </c>
      <c r="B5452" s="29" t="s">
        <v>2941</v>
      </c>
      <c r="C5452" s="17">
        <v>3</v>
      </c>
      <c r="D5452" s="18"/>
      <c r="E5452" s="17" t="s">
        <v>2865</v>
      </c>
      <c r="F5452" s="17"/>
      <c r="G5452" s="18"/>
      <c r="H5452" s="18"/>
    </row>
    <row r="5453" spans="1:8" ht="13.2">
      <c r="A5453" s="19" t="str">
        <f>HYPERLINK("https://uva.onlinejudge.org/index.php?option=onlinejudge&amp;page=show_problem&amp;problem=127","UVA 191")</f>
        <v>UVA 191</v>
      </c>
      <c r="B5453" s="29" t="s">
        <v>2871</v>
      </c>
      <c r="C5453" s="17">
        <v>3</v>
      </c>
      <c r="D5453" s="26" t="str">
        <f>HYPERLINK("https://github.com/ajahuang/UVa/blob/master/UVa%20191%20-%20Intersection.cpp","Sol")</f>
        <v>Sol</v>
      </c>
      <c r="E5453" s="17" t="s">
        <v>2865</v>
      </c>
      <c r="F5453" s="17"/>
      <c r="G5453" s="18"/>
      <c r="H5453" s="18"/>
    </row>
    <row r="5454" spans="1:8" ht="13.2">
      <c r="A5454" s="19" t="str">
        <f>HYPERLINK("https://uva.onlinejudge.org/index.php?option=com_onlinejudge&amp;Itemid=8&amp;page=show_problem&amp;problem=2318","UVA 11343")</f>
        <v>UVA 11343</v>
      </c>
      <c r="B5454" s="29" t="s">
        <v>2942</v>
      </c>
      <c r="C5454" s="17">
        <v>3</v>
      </c>
      <c r="D5454" s="26" t="str">
        <f>HYPERLINK("https://github.com/hosamk92/CompetitiveProgramming/blob/master/UVA/UVA%2011343.cpp","Sol")</f>
        <v>Sol</v>
      </c>
      <c r="E5454" s="17" t="s">
        <v>2865</v>
      </c>
      <c r="F5454" s="17"/>
      <c r="G5454" s="18"/>
      <c r="H5454" s="18"/>
    </row>
    <row r="5455" spans="1:8" ht="13.2">
      <c r="A5455" s="19" t="str">
        <f>HYPERLINK("http://codeforces.com/contest/272/problem/C","CF272-D2-C")</f>
        <v>CF272-D2-C</v>
      </c>
      <c r="B5455" s="18" t="s">
        <v>616</v>
      </c>
      <c r="C5455" s="17">
        <v>3</v>
      </c>
      <c r="D5455" s="18"/>
      <c r="E5455" s="17" t="s">
        <v>575</v>
      </c>
      <c r="F5455" s="17"/>
      <c r="G5455" s="18"/>
      <c r="H5455" s="18"/>
    </row>
    <row r="5456" spans="1:8" ht="13.2">
      <c r="A5456" s="19" t="str">
        <f>HYPERLINK("http://codeforces.com/contest/518/problem/C","CF518-D2-C")</f>
        <v>CF518-D2-C</v>
      </c>
      <c r="B5456" s="29" t="s">
        <v>616</v>
      </c>
      <c r="C5456" s="17">
        <v>3</v>
      </c>
      <c r="D5456" s="18"/>
      <c r="E5456" s="17" t="s">
        <v>575</v>
      </c>
      <c r="F5456" s="17"/>
      <c r="G5456" s="18"/>
      <c r="H5456" s="18"/>
    </row>
    <row r="5457" spans="1:8" ht="13.2">
      <c r="A5457" s="19" t="str">
        <f>HYPERLINK("http://codeforces.com/contest/527/problem/C","CF527-D2-C")</f>
        <v>CF527-D2-C</v>
      </c>
      <c r="B5457" s="29" t="s">
        <v>651</v>
      </c>
      <c r="C5457" s="17">
        <v>3</v>
      </c>
      <c r="D5457" s="18"/>
      <c r="E5457" s="17" t="s">
        <v>575</v>
      </c>
      <c r="F5457" s="17"/>
      <c r="G5457" s="18"/>
      <c r="H5457" s="18"/>
    </row>
    <row r="5458" spans="1:8" ht="13.2">
      <c r="A5458" s="19" t="str">
        <f>HYPERLINK("http://codeforces.com/contest/1/problem/C","CF1-D12-C")</f>
        <v>CF1-D12-C</v>
      </c>
      <c r="B5458" s="15" t="s">
        <v>3036</v>
      </c>
      <c r="C5458" s="24">
        <v>3</v>
      </c>
      <c r="D5458" s="18"/>
      <c r="E5458" s="17" t="s">
        <v>2948</v>
      </c>
      <c r="F5458" s="17"/>
      <c r="G5458" s="18"/>
      <c r="H5458" s="18"/>
    </row>
    <row r="5459" spans="1:8" ht="13.2">
      <c r="A5459" s="19" t="str">
        <f>HYPERLINK("http://codeforces.com/problemset/problem/845/C","CF845-D12-C")</f>
        <v>CF845-D12-C</v>
      </c>
      <c r="B5459" s="15" t="s">
        <v>3187</v>
      </c>
      <c r="C5459" s="40">
        <v>3</v>
      </c>
      <c r="D5459" s="18"/>
      <c r="E5459" s="17" t="s">
        <v>3140</v>
      </c>
      <c r="F5459" s="17"/>
      <c r="G5459" s="18"/>
      <c r="H5459" s="18"/>
    </row>
    <row r="5460" spans="1:8" ht="13.2">
      <c r="A5460" s="19" t="str">
        <f>HYPERLINK("https://uva.onlinejudge.org/index.php?option=com_onlinejudge&amp;Itemid=8&amp;page=show_problem&amp;problem=41","UVA 105")</f>
        <v>UVA 105</v>
      </c>
      <c r="B5460" s="29" t="s">
        <v>3211</v>
      </c>
      <c r="C5460" s="17">
        <v>3</v>
      </c>
      <c r="D5460" s="26" t="str">
        <f>HYPERLINK("https://github.com/MohamedNabil97/CompetitiveProgramming/blob/master/UVA/105.cpp","Use sweep algorithm. Sol")</f>
        <v>Use sweep algorithm. Sol</v>
      </c>
      <c r="E5460" s="17" t="s">
        <v>3140</v>
      </c>
      <c r="F5460" s="17"/>
      <c r="G5460" s="18"/>
      <c r="H5460" s="18"/>
    </row>
    <row r="5461" spans="1:8" ht="13.2">
      <c r="A5461" s="15" t="s">
        <v>3430</v>
      </c>
      <c r="B5461" s="16" t="s">
        <v>3256</v>
      </c>
      <c r="C5461" s="17">
        <v>3</v>
      </c>
      <c r="D5461" s="18"/>
      <c r="E5461" s="17" t="s">
        <v>3257</v>
      </c>
      <c r="F5461" s="17"/>
      <c r="G5461" s="18"/>
      <c r="H5461" s="18"/>
    </row>
    <row r="5462" spans="1:8" ht="13.2">
      <c r="A5462" s="19" t="str">
        <f>HYPERLINK("https://uva.onlinejudge.org/index.php?option=onlinejudge&amp;page=show_problem&amp;problem=1393","UVA 10452")</f>
        <v>UVA 10452</v>
      </c>
      <c r="B5462" s="29" t="s">
        <v>3256</v>
      </c>
      <c r="C5462" s="17">
        <v>3</v>
      </c>
      <c r="D5462" s="18"/>
      <c r="E5462" s="17" t="s">
        <v>3257</v>
      </c>
      <c r="F5462" s="17"/>
      <c r="G5462" s="18"/>
      <c r="H5462" s="18"/>
    </row>
    <row r="5463" spans="1:8" ht="13.2">
      <c r="A5463" s="15" t="s">
        <v>3431</v>
      </c>
      <c r="B5463" s="29" t="s">
        <v>3432</v>
      </c>
      <c r="C5463" s="24">
        <v>3</v>
      </c>
      <c r="D5463" s="18"/>
      <c r="E5463" s="17" t="s">
        <v>3257</v>
      </c>
      <c r="F5463" s="17"/>
      <c r="G5463" s="18"/>
      <c r="H5463" s="18"/>
    </row>
    <row r="5464" spans="1:8" ht="13.2">
      <c r="A5464" s="15" t="s">
        <v>3433</v>
      </c>
      <c r="B5464" s="29" t="s">
        <v>3284</v>
      </c>
      <c r="C5464" s="17">
        <v>3</v>
      </c>
      <c r="D5464" s="18"/>
      <c r="E5464" s="17" t="s">
        <v>3257</v>
      </c>
      <c r="F5464" s="17"/>
      <c r="G5464" s="18"/>
      <c r="H5464" s="18"/>
    </row>
    <row r="5465" spans="1:8" ht="13.2">
      <c r="A5465" s="19" t="str">
        <f>HYPERLINK("https://uva.onlinejudge.org/index.php?option=com_onlinejudge&amp;Itemid=8&amp;page=show_problem&amp;problem=58","UVA 122")</f>
        <v>UVA 122</v>
      </c>
      <c r="B5465" s="29" t="s">
        <v>3368</v>
      </c>
      <c r="C5465" s="17">
        <v>3</v>
      </c>
      <c r="D5465" s="18"/>
      <c r="E5465" s="17" t="s">
        <v>3257</v>
      </c>
      <c r="F5465" s="17"/>
      <c r="G5465" s="18"/>
      <c r="H5465" s="18"/>
    </row>
    <row r="5466" spans="1:8" ht="13.2">
      <c r="A5466" s="19" t="str">
        <f>HYPERLINK("http://codeforces.com/contest/199/problem/D","CF199-D2-D")</f>
        <v>CF199-D2-D</v>
      </c>
      <c r="B5466" s="18" t="s">
        <v>3466</v>
      </c>
      <c r="C5466" s="17">
        <v>3</v>
      </c>
      <c r="D5466" s="18"/>
      <c r="E5466" s="17" t="s">
        <v>3467</v>
      </c>
      <c r="F5466" s="17"/>
      <c r="G5466" s="18"/>
      <c r="H5466" s="18"/>
    </row>
    <row r="5467" spans="1:8" ht="13.2">
      <c r="A5467" s="19" t="str">
        <f>HYPERLINK("http://codeforces.com/contest/330/problem/D","CF330-D2-D")</f>
        <v>CF330-D2-D</v>
      </c>
      <c r="B5467" s="18" t="s">
        <v>3466</v>
      </c>
      <c r="C5467" s="17">
        <v>3</v>
      </c>
      <c r="D5467" s="18"/>
      <c r="E5467" s="17" t="s">
        <v>3467</v>
      </c>
      <c r="F5467" s="17"/>
      <c r="G5467" s="18"/>
      <c r="H5467" s="18"/>
    </row>
    <row r="5468" spans="1:8" ht="13.2">
      <c r="A5468" s="15" t="s">
        <v>3621</v>
      </c>
      <c r="B5468" s="30" t="s">
        <v>3466</v>
      </c>
      <c r="C5468" s="24">
        <v>3</v>
      </c>
      <c r="D5468" s="18"/>
      <c r="E5468" s="17" t="s">
        <v>3467</v>
      </c>
      <c r="F5468" s="17"/>
      <c r="G5468" s="18"/>
      <c r="H5468" s="18"/>
    </row>
    <row r="5469" spans="1:8" ht="13.2">
      <c r="A5469" s="19" t="str">
        <f>HYPERLINK("http://www.spoj.com/problems/POUR1/","SPOJ POUR1")</f>
        <v>SPOJ POUR1</v>
      </c>
      <c r="B5469" s="29" t="s">
        <v>3466</v>
      </c>
      <c r="C5469" s="17">
        <v>3</v>
      </c>
      <c r="D5469" s="18"/>
      <c r="E5469" s="17" t="s">
        <v>3467</v>
      </c>
      <c r="F5469" s="17"/>
      <c r="G5469" s="18"/>
      <c r="H5469" s="18"/>
    </row>
    <row r="5470" spans="1:8" ht="13.2">
      <c r="A5470" s="15" t="s">
        <v>3622</v>
      </c>
      <c r="B5470" s="28" t="s">
        <v>3466</v>
      </c>
      <c r="C5470" s="40">
        <v>3</v>
      </c>
      <c r="D5470" s="18"/>
      <c r="E5470" s="17" t="s">
        <v>3467</v>
      </c>
      <c r="F5470" s="17"/>
      <c r="G5470" s="18"/>
      <c r="H5470" s="18"/>
    </row>
    <row r="5471" spans="1:8" ht="13.2">
      <c r="A5471" s="15" t="s">
        <v>3623</v>
      </c>
      <c r="B5471" s="30" t="s">
        <v>3466</v>
      </c>
      <c r="C5471" s="24">
        <v>3</v>
      </c>
      <c r="D5471" s="18"/>
      <c r="E5471" s="17" t="s">
        <v>3467</v>
      </c>
      <c r="F5471" s="17"/>
      <c r="G5471" s="18"/>
      <c r="H5471" s="18"/>
    </row>
    <row r="5472" spans="1:8" ht="13.2">
      <c r="A5472" s="15" t="s">
        <v>3624</v>
      </c>
      <c r="B5472" s="30" t="s">
        <v>3615</v>
      </c>
      <c r="C5472" s="24">
        <v>3</v>
      </c>
      <c r="D5472" s="18"/>
      <c r="E5472" s="17" t="s">
        <v>3467</v>
      </c>
      <c r="F5472" s="17"/>
      <c r="G5472" s="18"/>
      <c r="H5472" s="18"/>
    </row>
    <row r="5473" spans="1:8" ht="13.2">
      <c r="A5473" s="15" t="s">
        <v>3625</v>
      </c>
      <c r="B5473" s="43" t="s">
        <v>3626</v>
      </c>
      <c r="C5473" s="24">
        <v>3</v>
      </c>
      <c r="D5473" s="18"/>
      <c r="E5473" s="17" t="s">
        <v>3467</v>
      </c>
      <c r="F5473" s="17"/>
      <c r="G5473" s="18"/>
      <c r="H5473" s="18"/>
    </row>
    <row r="5474" spans="1:8" ht="13.2">
      <c r="A5474" s="15" t="s">
        <v>3627</v>
      </c>
      <c r="B5474" s="28" t="s">
        <v>3628</v>
      </c>
      <c r="C5474" s="17">
        <v>3</v>
      </c>
      <c r="D5474" s="18"/>
      <c r="E5474" s="17" t="s">
        <v>3467</v>
      </c>
      <c r="F5474" s="17"/>
      <c r="G5474" s="18"/>
      <c r="H5474" s="18"/>
    </row>
    <row r="5475" spans="1:8" ht="13.2">
      <c r="A5475" s="15" t="s">
        <v>3629</v>
      </c>
      <c r="B5475" s="28" t="s">
        <v>3630</v>
      </c>
      <c r="C5475" s="24">
        <v>3</v>
      </c>
      <c r="D5475" s="18"/>
      <c r="E5475" s="17" t="s">
        <v>3467</v>
      </c>
      <c r="F5475" s="17"/>
      <c r="G5475" s="18"/>
      <c r="H5475" s="18"/>
    </row>
    <row r="5476" spans="1:8" ht="13.2">
      <c r="A5476" s="15" t="s">
        <v>3646</v>
      </c>
      <c r="B5476" s="28" t="s">
        <v>3635</v>
      </c>
      <c r="C5476" s="40">
        <v>3</v>
      </c>
      <c r="D5476" s="18"/>
      <c r="E5476" s="17" t="s">
        <v>3633</v>
      </c>
      <c r="F5476" s="17"/>
      <c r="G5476" s="18"/>
      <c r="H5476" s="18"/>
    </row>
    <row r="5477" spans="1:8" ht="13.2">
      <c r="A5477" s="19" t="str">
        <f>HYPERLINK("https://uva.onlinejudge.org/index.php?option=com_onlinejudge&amp;Itemid=8&amp;page=show_problem&amp;problem=1249","UVA 10308")</f>
        <v>UVA 10308</v>
      </c>
      <c r="B5477" s="29" t="s">
        <v>3635</v>
      </c>
      <c r="C5477" s="17">
        <v>3</v>
      </c>
      <c r="D5477" s="26" t="str">
        <f>HYPERLINK("https://github.com/ilyesG/Competitive-Programming/blob/master/UVA/UVA%2010308.cpp","Sol")</f>
        <v>Sol</v>
      </c>
      <c r="E5477" s="17" t="s">
        <v>3633</v>
      </c>
      <c r="F5477" s="17"/>
      <c r="G5477" s="18"/>
      <c r="H5477" s="18"/>
    </row>
    <row r="5478" spans="1:8" ht="13.2">
      <c r="A5478" s="19" t="str">
        <f>HYPERLINK("http://www.spoj.com/problems/PT07Z/","SPOJ PT07Z")</f>
        <v>SPOJ PT07Z</v>
      </c>
      <c r="B5478" s="29" t="s">
        <v>3647</v>
      </c>
      <c r="C5478" s="17">
        <v>3</v>
      </c>
      <c r="D5478" s="26" t="str">
        <f>HYPERLINK("https://github.com/abdullaAshraf/Problem-Solving/blob/master/SPOJ/PT07Z.cpp","Sol")</f>
        <v>Sol</v>
      </c>
      <c r="E5478" s="17" t="s">
        <v>3633</v>
      </c>
      <c r="F5478" s="17"/>
      <c r="G5478" s="18"/>
      <c r="H5478" s="18"/>
    </row>
    <row r="5479" spans="1:8" ht="13.2">
      <c r="A5479" s="15" t="s">
        <v>709</v>
      </c>
      <c r="B5479" s="43" t="s">
        <v>657</v>
      </c>
      <c r="C5479" s="24">
        <v>3</v>
      </c>
      <c r="D5479" s="18"/>
      <c r="E5479" s="17" t="s">
        <v>655</v>
      </c>
      <c r="F5479" s="17"/>
      <c r="G5479" s="18"/>
      <c r="H5479" s="18"/>
    </row>
    <row r="5480" spans="1:8" ht="13.2">
      <c r="A5480" s="15" t="s">
        <v>710</v>
      </c>
      <c r="B5480" s="28" t="s">
        <v>711</v>
      </c>
      <c r="C5480" s="24">
        <v>3</v>
      </c>
      <c r="D5480" s="18"/>
      <c r="E5480" s="17" t="s">
        <v>655</v>
      </c>
      <c r="F5480" s="17"/>
      <c r="G5480" s="18"/>
      <c r="H5480" s="18"/>
    </row>
    <row r="5481" spans="1:8" ht="13.2">
      <c r="A5481" s="15" t="s">
        <v>712</v>
      </c>
      <c r="B5481" s="30" t="s">
        <v>713</v>
      </c>
      <c r="C5481" s="24">
        <v>3</v>
      </c>
      <c r="D5481" s="18"/>
      <c r="E5481" s="17" t="s">
        <v>655</v>
      </c>
      <c r="F5481" s="17"/>
      <c r="G5481" s="18"/>
      <c r="H5481" s="18"/>
    </row>
    <row r="5482" spans="1:8" ht="13.2">
      <c r="A5482" s="15" t="s">
        <v>714</v>
      </c>
      <c r="B5482" s="29" t="s">
        <v>715</v>
      </c>
      <c r="C5482" s="24">
        <v>3</v>
      </c>
      <c r="D5482" s="18"/>
      <c r="E5482" s="17" t="s">
        <v>655</v>
      </c>
      <c r="F5482" s="17"/>
      <c r="G5482" s="18"/>
      <c r="H5482" s="18"/>
    </row>
    <row r="5483" spans="1:8" ht="13.2">
      <c r="A5483" s="15" t="s">
        <v>3767</v>
      </c>
      <c r="B5483" s="30" t="s">
        <v>3649</v>
      </c>
      <c r="C5483" s="24">
        <v>3</v>
      </c>
      <c r="D5483" s="18"/>
      <c r="E5483" s="17" t="s">
        <v>3650</v>
      </c>
      <c r="F5483" s="17"/>
      <c r="G5483" s="18"/>
      <c r="H5483" s="18"/>
    </row>
    <row r="5484" spans="1:8" ht="13.2">
      <c r="A5484" s="15" t="s">
        <v>3768</v>
      </c>
      <c r="B5484" s="18" t="s">
        <v>3769</v>
      </c>
      <c r="C5484" s="17">
        <v>3</v>
      </c>
      <c r="D5484" s="18"/>
      <c r="E5484" s="17" t="s">
        <v>3650</v>
      </c>
      <c r="F5484" s="17"/>
      <c r="G5484" s="18"/>
      <c r="H5484" s="18"/>
    </row>
    <row r="5485" spans="1:8" ht="13.2">
      <c r="A5485" s="15" t="s">
        <v>3770</v>
      </c>
      <c r="B5485" s="30" t="s">
        <v>3771</v>
      </c>
      <c r="C5485" s="40">
        <v>3</v>
      </c>
      <c r="D5485" s="18"/>
      <c r="E5485" s="17" t="s">
        <v>3650</v>
      </c>
      <c r="F5485" s="17"/>
      <c r="G5485" s="18"/>
      <c r="H5485" s="18"/>
    </row>
    <row r="5486" spans="1:8" ht="13.2">
      <c r="A5486" s="15" t="s">
        <v>3772</v>
      </c>
      <c r="B5486" s="30" t="s">
        <v>3773</v>
      </c>
      <c r="C5486" s="24">
        <v>3</v>
      </c>
      <c r="D5486" s="18"/>
      <c r="E5486" s="17" t="s">
        <v>3650</v>
      </c>
      <c r="F5486" s="17"/>
      <c r="G5486" s="18"/>
      <c r="H5486" s="18"/>
    </row>
    <row r="5487" spans="1:8" ht="13.2">
      <c r="A5487" s="15" t="s">
        <v>3774</v>
      </c>
      <c r="B5487" s="28" t="s">
        <v>3775</v>
      </c>
      <c r="C5487" s="24">
        <v>3</v>
      </c>
      <c r="D5487" s="18"/>
      <c r="E5487" s="17" t="s">
        <v>3650</v>
      </c>
      <c r="F5487" s="17"/>
      <c r="G5487" s="18"/>
      <c r="H5487" s="18"/>
    </row>
    <row r="5488" spans="1:8" ht="13.2">
      <c r="A5488" s="15" t="s">
        <v>3776</v>
      </c>
      <c r="B5488" s="29" t="s">
        <v>3777</v>
      </c>
      <c r="C5488" s="24">
        <v>3</v>
      </c>
      <c r="D5488" s="26" t="str">
        <f>HYPERLINK("https://ideone.com/DiPcFo","Sol")</f>
        <v>Sol</v>
      </c>
      <c r="E5488" s="17" t="s">
        <v>3650</v>
      </c>
      <c r="F5488" s="17"/>
      <c r="G5488" s="18"/>
      <c r="H5488" s="18"/>
    </row>
    <row r="5489" spans="1:8" ht="13.2">
      <c r="A5489" s="15" t="s">
        <v>3778</v>
      </c>
      <c r="B5489" s="29" t="s">
        <v>3746</v>
      </c>
      <c r="C5489" s="17">
        <v>3</v>
      </c>
      <c r="D5489" s="26" t="str">
        <f>HYPERLINK("https://github.com/Maverick10/Competitive-Programming/blob/master/Solutions/UVa/UVa%20-%2010687.cpp","Sol")</f>
        <v>Sol</v>
      </c>
      <c r="E5489" s="17" t="s">
        <v>3650</v>
      </c>
      <c r="F5489" s="17"/>
      <c r="G5489" s="18"/>
      <c r="H5489" s="18"/>
    </row>
    <row r="5490" spans="1:8" ht="13.2">
      <c r="A5490" s="19" t="str">
        <f>HYPERLINK("http://www.spoj.com/problems/SHOP/","SPOJ SHOP")</f>
        <v>SPOJ SHOP</v>
      </c>
      <c r="B5490" s="29" t="s">
        <v>3791</v>
      </c>
      <c r="C5490" s="17">
        <v>3</v>
      </c>
      <c r="D5490" s="18"/>
      <c r="E5490" s="17" t="s">
        <v>3784</v>
      </c>
      <c r="F5490" s="17"/>
      <c r="G5490" s="18"/>
      <c r="H5490" s="18"/>
    </row>
    <row r="5491" spans="1:8" ht="13.2">
      <c r="A5491" s="19" t="str">
        <f>HYPERLINK("https://uva.onlinejudge.org/index.php?option=com_onlinejudge&amp;Itemid=8&amp;page=show_problem&amp;problem=1927","UVA 10986")</f>
        <v>UVA 10986</v>
      </c>
      <c r="B5491" s="29" t="s">
        <v>3791</v>
      </c>
      <c r="C5491" s="17">
        <v>3</v>
      </c>
      <c r="D5491" s="18"/>
      <c r="E5491" s="17" t="s">
        <v>3784</v>
      </c>
      <c r="F5491" s="17"/>
      <c r="G5491" s="18"/>
      <c r="H5491" s="18"/>
    </row>
    <row r="5492" spans="1:8" ht="13.2">
      <c r="A5492" s="15" t="s">
        <v>3871</v>
      </c>
      <c r="B5492" s="30" t="s">
        <v>3791</v>
      </c>
      <c r="C5492" s="24">
        <v>3</v>
      </c>
      <c r="D5492" s="18"/>
      <c r="E5492" s="17" t="s">
        <v>3784</v>
      </c>
      <c r="F5492" s="17"/>
      <c r="G5492" s="18"/>
      <c r="H5492" s="18"/>
    </row>
    <row r="5493" spans="1:8" ht="13.2">
      <c r="A5493" s="15" t="s">
        <v>3872</v>
      </c>
      <c r="B5493" s="28" t="s">
        <v>3862</v>
      </c>
      <c r="C5493" s="40">
        <v>3</v>
      </c>
      <c r="D5493" s="18"/>
      <c r="E5493" s="17" t="s">
        <v>3784</v>
      </c>
      <c r="F5493" s="17"/>
      <c r="G5493" s="18"/>
      <c r="H5493" s="18"/>
    </row>
    <row r="5494" spans="1:8" ht="13.2">
      <c r="A5494" s="15" t="s">
        <v>3873</v>
      </c>
      <c r="B5494" s="28" t="s">
        <v>3874</v>
      </c>
      <c r="C5494" s="24">
        <v>3</v>
      </c>
      <c r="D5494" s="18"/>
      <c r="E5494" s="17" t="s">
        <v>3784</v>
      </c>
      <c r="F5494" s="17"/>
      <c r="G5494" s="18"/>
      <c r="H5494" s="18"/>
    </row>
    <row r="5495" spans="1:8" ht="13.2">
      <c r="A5495" s="15" t="s">
        <v>3944</v>
      </c>
      <c r="B5495" s="28" t="s">
        <v>3886</v>
      </c>
      <c r="C5495" s="24">
        <v>3</v>
      </c>
      <c r="D5495" s="26" t="str">
        <f>HYPERLINK("https://github.com/Maverick10/Competitive-Programming/blob/master/Solutions/SPOJ/SPOJ%20IITWPC4I.cpp","Sol")</f>
        <v>Sol</v>
      </c>
      <c r="E5495" s="17" t="s">
        <v>3883</v>
      </c>
      <c r="F5495" s="17"/>
      <c r="G5495" s="18"/>
      <c r="H5495" s="18"/>
    </row>
    <row r="5496" spans="1:8" ht="13.2">
      <c r="A5496" s="15" t="s">
        <v>3945</v>
      </c>
      <c r="B5496" s="30" t="s">
        <v>3886</v>
      </c>
      <c r="C5496" s="24">
        <v>3</v>
      </c>
      <c r="D5496" s="18"/>
      <c r="E5496" s="17" t="s">
        <v>3883</v>
      </c>
      <c r="F5496" s="17"/>
      <c r="G5496" s="18"/>
      <c r="H5496" s="18"/>
    </row>
    <row r="5497" spans="1:8" ht="13.2">
      <c r="A5497" s="15" t="s">
        <v>3946</v>
      </c>
      <c r="B5497" s="28" t="s">
        <v>3886</v>
      </c>
      <c r="C5497" s="24">
        <v>3</v>
      </c>
      <c r="D5497" s="18"/>
      <c r="E5497" s="17" t="s">
        <v>3883</v>
      </c>
      <c r="F5497" s="17"/>
      <c r="G5497" s="18"/>
      <c r="H5497" s="18"/>
    </row>
    <row r="5498" spans="1:8" ht="13.2">
      <c r="A5498" s="15" t="s">
        <v>3947</v>
      </c>
      <c r="B5498" s="30" t="s">
        <v>3948</v>
      </c>
      <c r="C5498" s="24">
        <v>3</v>
      </c>
      <c r="D5498" s="26" t="str">
        <f>HYPERLINK("https://discuss.codechef.com/questions/50257/spoj-question-iitkwpci-wrong-answer","Test case")</f>
        <v>Test case</v>
      </c>
      <c r="E5498" s="17" t="s">
        <v>3883</v>
      </c>
      <c r="F5498" s="17"/>
      <c r="G5498" s="18"/>
      <c r="H5498" s="18"/>
    </row>
    <row r="5499" spans="1:8" ht="13.2">
      <c r="A5499" s="15" t="s">
        <v>3949</v>
      </c>
      <c r="B5499" s="35" t="s">
        <v>3950</v>
      </c>
      <c r="C5499" s="24">
        <v>3</v>
      </c>
      <c r="D5499" s="18"/>
      <c r="E5499" s="17" t="s">
        <v>3883</v>
      </c>
      <c r="F5499" s="17"/>
      <c r="G5499" s="18"/>
      <c r="H5499" s="18"/>
    </row>
    <row r="5500" spans="1:8" ht="13.2">
      <c r="A5500" s="15" t="s">
        <v>4050</v>
      </c>
      <c r="B5500" s="28" t="s">
        <v>4006</v>
      </c>
      <c r="C5500" s="24">
        <v>3</v>
      </c>
      <c r="D5500" s="18" t="s">
        <v>4051</v>
      </c>
      <c r="E5500" s="24" t="s">
        <v>3998</v>
      </c>
      <c r="F5500" s="17"/>
      <c r="G5500" s="18"/>
      <c r="H5500" s="18"/>
    </row>
    <row r="5501" spans="1:8" ht="13.2">
      <c r="A5501" s="15" t="s">
        <v>4052</v>
      </c>
      <c r="B5501" s="35" t="s">
        <v>4006</v>
      </c>
      <c r="C5501" s="17">
        <v>3</v>
      </c>
      <c r="D5501" s="18"/>
      <c r="E5501" s="17" t="s">
        <v>3998</v>
      </c>
      <c r="F5501" s="17"/>
      <c r="G5501" s="18"/>
      <c r="H5501" s="18"/>
    </row>
    <row r="5502" spans="1:8" ht="13.2">
      <c r="A5502" s="15" t="s">
        <v>4053</v>
      </c>
      <c r="B5502" s="16" t="s">
        <v>4031</v>
      </c>
      <c r="C5502" s="17">
        <v>3</v>
      </c>
      <c r="D5502" s="18"/>
      <c r="E5502" s="17" t="s">
        <v>3998</v>
      </c>
      <c r="F5502" s="17"/>
      <c r="G5502" s="18"/>
      <c r="H5502" s="18"/>
    </row>
    <row r="5503" spans="1:8" ht="13.2">
      <c r="A5503" s="15" t="s">
        <v>4054</v>
      </c>
      <c r="B5503" s="30" t="s">
        <v>4055</v>
      </c>
      <c r="C5503" s="24">
        <v>3</v>
      </c>
      <c r="D5503" s="18"/>
      <c r="E5503" s="17" t="s">
        <v>3998</v>
      </c>
      <c r="F5503" s="17"/>
      <c r="G5503" s="18"/>
      <c r="H5503" s="18"/>
    </row>
    <row r="5504" spans="1:8" ht="13.2">
      <c r="A5504" s="19" t="str">
        <f>HYPERLINK("http://www.spoj.com/problems/POTHOLE/","SPOJ POTHOLE")</f>
        <v>SPOJ POTHOLE</v>
      </c>
      <c r="B5504" s="29" t="s">
        <v>4059</v>
      </c>
      <c r="C5504" s="17">
        <v>3</v>
      </c>
      <c r="D5504" s="26" t="str">
        <f>HYPERLINK("https://github.com/BRAINOOOO/CompetitiveProgramming/blob/682cdb2f527d2ab262a9f616687b53a158b281a4/Spoj/SPOJ%20POTHOLE.Cpp","Sol")</f>
        <v>Sol</v>
      </c>
      <c r="E5504" s="17" t="s">
        <v>4060</v>
      </c>
      <c r="F5504" s="17"/>
      <c r="G5504" s="18"/>
      <c r="H5504" s="18"/>
    </row>
    <row r="5505" spans="1:8" ht="13.2">
      <c r="A5505" s="15" t="s">
        <v>4138</v>
      </c>
      <c r="B5505" s="37" t="s">
        <v>4139</v>
      </c>
      <c r="C5505" s="17">
        <v>3</v>
      </c>
      <c r="D5505" s="18"/>
      <c r="E5505" s="17" t="s">
        <v>4060</v>
      </c>
      <c r="F5505" s="17"/>
      <c r="G5505" s="18"/>
      <c r="H5505" s="18"/>
    </row>
    <row r="5506" spans="1:8" ht="13.2">
      <c r="A5506" s="15" t="s">
        <v>4235</v>
      </c>
      <c r="B5506" s="29" t="s">
        <v>4149</v>
      </c>
      <c r="C5506" s="24">
        <v>3</v>
      </c>
      <c r="D5506" s="18"/>
      <c r="E5506" s="17" t="s">
        <v>4144</v>
      </c>
      <c r="F5506" s="17"/>
      <c r="G5506" s="18"/>
      <c r="H5506" s="18"/>
    </row>
    <row r="5507" spans="1:8" ht="13.2">
      <c r="A5507" s="15" t="s">
        <v>4271</v>
      </c>
      <c r="B5507" s="30" t="s">
        <v>4272</v>
      </c>
      <c r="C5507" s="40">
        <v>3</v>
      </c>
      <c r="D5507" s="18" t="s">
        <v>4262</v>
      </c>
      <c r="E5507" s="17" t="s">
        <v>4238</v>
      </c>
      <c r="F5507" s="17"/>
      <c r="G5507" s="18"/>
      <c r="H5507" s="18"/>
    </row>
    <row r="5508" spans="1:8" ht="13.2">
      <c r="A5508" s="15" t="s">
        <v>4337</v>
      </c>
      <c r="B5508" s="28" t="s">
        <v>4279</v>
      </c>
      <c r="C5508" s="24">
        <v>3</v>
      </c>
      <c r="D5508" s="18"/>
      <c r="E5508" s="24" t="s">
        <v>4275</v>
      </c>
      <c r="F5508" s="17"/>
      <c r="G5508" s="18"/>
      <c r="H5508" s="18"/>
    </row>
    <row r="5509" spans="1:8" ht="13.2">
      <c r="A5509" s="15" t="s">
        <v>4338</v>
      </c>
      <c r="B5509" s="28" t="s">
        <v>4279</v>
      </c>
      <c r="C5509" s="24">
        <v>3</v>
      </c>
      <c r="D5509" s="18"/>
      <c r="E5509" s="24" t="s">
        <v>4275</v>
      </c>
      <c r="F5509" s="17"/>
      <c r="G5509" s="18"/>
      <c r="H5509" s="18"/>
    </row>
    <row r="5510" spans="1:8" ht="13.2">
      <c r="A5510" s="19" t="str">
        <f>HYPERLINK("https://uva.onlinejudge.org/index.php?option=com_onlinejudge&amp;Itemid=8&amp;page=show_problem&amp;problem=1088","UVA 10147")</f>
        <v>UVA 10147</v>
      </c>
      <c r="B5510" s="29" t="s">
        <v>4279</v>
      </c>
      <c r="C5510" s="17">
        <v>3</v>
      </c>
      <c r="D5510" s="18"/>
      <c r="E5510" s="17" t="s">
        <v>4275</v>
      </c>
      <c r="F5510" s="17"/>
      <c r="G5510" s="18"/>
      <c r="H5510" s="18"/>
    </row>
    <row r="5511" spans="1:8" ht="13.2">
      <c r="A5511" s="15" t="s">
        <v>4339</v>
      </c>
      <c r="B5511" s="30" t="s">
        <v>4279</v>
      </c>
      <c r="C5511" s="24">
        <v>3</v>
      </c>
      <c r="D5511" s="18"/>
      <c r="E5511" s="17" t="s">
        <v>4275</v>
      </c>
      <c r="F5511" s="17"/>
      <c r="G5511" s="18"/>
      <c r="H5511" s="18"/>
    </row>
    <row r="5512" spans="1:8" ht="13.2">
      <c r="A5512" s="15" t="s">
        <v>4340</v>
      </c>
      <c r="B5512" s="30" t="s">
        <v>4341</v>
      </c>
      <c r="C5512" s="24">
        <v>3</v>
      </c>
      <c r="D5512" s="18"/>
      <c r="E5512" s="17" t="s">
        <v>4275</v>
      </c>
      <c r="F5512" s="17"/>
      <c r="G5512" s="18"/>
      <c r="H5512" s="18"/>
    </row>
    <row r="5513" spans="1:8" ht="13.2">
      <c r="A5513" s="19" t="str">
        <f>HYPERLINK("https://uva.onlinejudge.org/index.php?option=onlinejudge&amp;page=show_problem&amp;problem=1403","UVA 10462")</f>
        <v>UVA 10462</v>
      </c>
      <c r="B5513" s="29" t="s">
        <v>4326</v>
      </c>
      <c r="C5513" s="17">
        <v>3</v>
      </c>
      <c r="D5513" s="18"/>
      <c r="E5513" s="17" t="s">
        <v>4275</v>
      </c>
      <c r="F5513" s="17"/>
      <c r="G5513" s="18"/>
      <c r="H5513" s="18"/>
    </row>
    <row r="5514" spans="1:8" ht="13.2">
      <c r="A5514" s="19" t="str">
        <f>HYPERLINK("http://codeforces.com/contest/427/problem/C","CF427-D2-C")</f>
        <v>CF427-D2-C</v>
      </c>
      <c r="B5514" s="18" t="s">
        <v>4346</v>
      </c>
      <c r="C5514" s="17">
        <v>3</v>
      </c>
      <c r="D5514" s="18"/>
      <c r="E5514" s="17" t="s">
        <v>4344</v>
      </c>
      <c r="F5514" s="17"/>
      <c r="G5514" s="18"/>
      <c r="H5514" s="18"/>
    </row>
    <row r="5515" spans="1:8" ht="13.2">
      <c r="A5515" s="15" t="s">
        <v>4374</v>
      </c>
      <c r="B5515" s="29" t="s">
        <v>4375</v>
      </c>
      <c r="C5515" s="24">
        <v>3</v>
      </c>
      <c r="D5515" s="26" t="str">
        <f>HYPERLINK("https://github.com/morris821028/UVa/blob/master/volume002/247%20-%20Calling%20Circles.cpp","Sol")</f>
        <v>Sol</v>
      </c>
      <c r="E5515" s="17" t="s">
        <v>4344</v>
      </c>
      <c r="F5515" s="17"/>
      <c r="G5515" s="18"/>
      <c r="H5515" s="18"/>
    </row>
    <row r="5516" spans="1:8" ht="13.2">
      <c r="A5516" s="15" t="s">
        <v>4376</v>
      </c>
      <c r="B5516" s="29" t="s">
        <v>4377</v>
      </c>
      <c r="C5516" s="24">
        <v>3</v>
      </c>
      <c r="D5516" s="18"/>
      <c r="E5516" s="17" t="s">
        <v>4344</v>
      </c>
      <c r="F5516" s="17"/>
      <c r="G5516" s="18"/>
      <c r="H5516" s="18"/>
    </row>
    <row r="5517" spans="1:8" ht="13.2">
      <c r="A5517" s="15" t="s">
        <v>4407</v>
      </c>
      <c r="B5517" s="30" t="s">
        <v>4408</v>
      </c>
      <c r="C5517" s="40">
        <v>3</v>
      </c>
      <c r="D5517" s="18"/>
      <c r="E5517" s="17" t="s">
        <v>4379</v>
      </c>
      <c r="F5517" s="17"/>
      <c r="G5517" s="18"/>
      <c r="H5517" s="18"/>
    </row>
    <row r="5518" spans="1:8" ht="13.2">
      <c r="A5518" s="15" t="s">
        <v>4420</v>
      </c>
      <c r="B5518" s="43" t="s">
        <v>4414</v>
      </c>
      <c r="C5518" s="24">
        <v>3</v>
      </c>
      <c r="D5518" s="18"/>
      <c r="E5518" s="17" t="s">
        <v>4411</v>
      </c>
      <c r="F5518" s="17"/>
      <c r="G5518" s="18"/>
      <c r="H5518" s="18"/>
    </row>
    <row r="5519" spans="1:8" ht="13.2">
      <c r="A5519" s="15" t="s">
        <v>4452</v>
      </c>
      <c r="B5519" s="43" t="s">
        <v>4427</v>
      </c>
      <c r="C5519" s="17">
        <v>3</v>
      </c>
      <c r="D5519" s="18"/>
      <c r="E5519" s="17" t="s">
        <v>4423</v>
      </c>
      <c r="F5519" s="17"/>
      <c r="G5519" s="18"/>
      <c r="H5519" s="18"/>
    </row>
    <row r="5520" spans="1:8" ht="13.2">
      <c r="A5520" s="15" t="s">
        <v>4500</v>
      </c>
      <c r="B5520" s="43" t="s">
        <v>4501</v>
      </c>
      <c r="C5520" s="24">
        <v>3</v>
      </c>
      <c r="D5520" s="18"/>
      <c r="E5520" s="17" t="s">
        <v>4454</v>
      </c>
      <c r="F5520" s="17"/>
      <c r="G5520" s="18"/>
      <c r="H5520" s="18"/>
    </row>
    <row r="5521" spans="1:8" ht="13.2">
      <c r="A5521" s="19" t="str">
        <f>HYPERLINK("http://codeforces.com/contest/758/problem/C","CF785-D2-C")</f>
        <v>CF785-D2-C</v>
      </c>
      <c r="B5521" s="18" t="s">
        <v>4530</v>
      </c>
      <c r="C5521" s="24">
        <v>3</v>
      </c>
      <c r="D5521" s="18"/>
      <c r="E5521" s="17" t="s">
        <v>4531</v>
      </c>
      <c r="F5521" s="17"/>
      <c r="G5521" s="18"/>
      <c r="H5521" s="18"/>
    </row>
    <row r="5522" spans="1:8" ht="13.2">
      <c r="A5522" s="19" t="str">
        <f>HYPERLINK("http://codeforces.com/contest/86/problem/A","CF86-D12-A")</f>
        <v>CF86-D12-A</v>
      </c>
      <c r="B5522" s="29" t="s">
        <v>4530</v>
      </c>
      <c r="C5522" s="17">
        <v>3</v>
      </c>
      <c r="D5522" s="18"/>
      <c r="E5522" s="17" t="s">
        <v>4531</v>
      </c>
      <c r="F5522" s="17"/>
      <c r="G5522" s="18"/>
      <c r="H5522" s="18"/>
    </row>
    <row r="5523" spans="1:8" ht="13.2">
      <c r="A5523" s="15" t="s">
        <v>4732</v>
      </c>
      <c r="B5523" s="29" t="s">
        <v>4530</v>
      </c>
      <c r="C5523" s="24">
        <v>3</v>
      </c>
      <c r="D5523" s="18"/>
      <c r="E5523" s="17" t="s">
        <v>4531</v>
      </c>
      <c r="F5523" s="17"/>
      <c r="G5523" s="18"/>
      <c r="H5523" s="18"/>
    </row>
    <row r="5524" spans="1:8" ht="13.2">
      <c r="A5524" s="15" t="s">
        <v>4733</v>
      </c>
      <c r="B5524" s="29" t="s">
        <v>4530</v>
      </c>
      <c r="C5524" s="24">
        <v>3</v>
      </c>
      <c r="D5524" s="18"/>
      <c r="E5524" s="17" t="s">
        <v>4531</v>
      </c>
      <c r="F5524" s="17"/>
      <c r="G5524" s="18"/>
      <c r="H5524" s="18"/>
    </row>
    <row r="5525" spans="1:8" ht="13.2">
      <c r="A5525" s="15" t="s">
        <v>4734</v>
      </c>
      <c r="B5525" s="28" t="s">
        <v>4735</v>
      </c>
      <c r="C5525" s="24">
        <v>3</v>
      </c>
      <c r="D5525" s="18"/>
      <c r="E5525" s="17" t="s">
        <v>4531</v>
      </c>
      <c r="F5525" s="17"/>
      <c r="G5525" s="18"/>
      <c r="H5525" s="18"/>
    </row>
    <row r="5526" spans="1:8" ht="13.2">
      <c r="A5526" s="15" t="s">
        <v>4736</v>
      </c>
      <c r="B5526" s="15" t="s">
        <v>4737</v>
      </c>
      <c r="C5526" s="24">
        <v>3</v>
      </c>
      <c r="D5526" s="18"/>
      <c r="E5526" s="17" t="s">
        <v>4531</v>
      </c>
      <c r="F5526" s="17"/>
      <c r="G5526" s="18"/>
      <c r="H5526" s="18"/>
    </row>
    <row r="5527" spans="1:8" ht="13.2">
      <c r="A5527" s="19" t="str">
        <f>HYPERLINK("http://codeforces.com/contest/689/problem/C","CF689-D2-C")</f>
        <v>CF689-D2-C</v>
      </c>
      <c r="B5527" s="29" t="s">
        <v>4653</v>
      </c>
      <c r="C5527" s="17">
        <v>3</v>
      </c>
      <c r="D5527" s="18"/>
      <c r="E5527" s="17" t="s">
        <v>4531</v>
      </c>
      <c r="F5527" s="17"/>
      <c r="G5527" s="18"/>
      <c r="H5527" s="18"/>
    </row>
    <row r="5528" spans="1:8" ht="13.2">
      <c r="A5528" s="15" t="s">
        <v>4738</v>
      </c>
      <c r="B5528" s="35" t="s">
        <v>4739</v>
      </c>
      <c r="C5528" s="40">
        <v>3</v>
      </c>
      <c r="D5528" s="18"/>
      <c r="E5528" s="17" t="s">
        <v>4531</v>
      </c>
      <c r="F5528" s="17"/>
      <c r="G5528" s="18"/>
      <c r="H5528" s="18"/>
    </row>
    <row r="5529" spans="1:8" ht="13.2">
      <c r="A5529" s="15" t="s">
        <v>4740</v>
      </c>
      <c r="B5529" s="30" t="s">
        <v>4741</v>
      </c>
      <c r="C5529" s="24">
        <v>3</v>
      </c>
      <c r="D5529" s="18"/>
      <c r="E5529" s="17" t="s">
        <v>4531</v>
      </c>
      <c r="F5529" s="17"/>
      <c r="G5529" s="18"/>
      <c r="H5529" s="18"/>
    </row>
    <row r="5530" spans="1:8" ht="13.2">
      <c r="A5530" s="19" t="str">
        <f>HYPERLINK("https://uva.onlinejudge.org/index.php?option=com_onlinejudge&amp;Itemid=8&amp;page=show_problem&amp;problem=1820","UVA 10879")</f>
        <v>UVA 10879</v>
      </c>
      <c r="B5530" s="29" t="s">
        <v>4564</v>
      </c>
      <c r="C5530" s="17">
        <v>3</v>
      </c>
      <c r="D5530" s="18"/>
      <c r="E5530" s="17" t="s">
        <v>4531</v>
      </c>
      <c r="F5530" s="17"/>
      <c r="G5530" s="18"/>
      <c r="H5530" s="18"/>
    </row>
    <row r="5531" spans="1:8" ht="13.2">
      <c r="A5531" s="19" t="str">
        <f>HYPERLINK("https://uva.onlinejudge.org/index.php?option=com_onlinejudge&amp;Itemid=8&amp;page=show_problem&amp;problem=322","UVA 386")</f>
        <v>UVA 386</v>
      </c>
      <c r="B5531" s="18" t="s">
        <v>4564</v>
      </c>
      <c r="C5531" s="17">
        <v>3</v>
      </c>
      <c r="D5531" s="18"/>
      <c r="E5531" s="17" t="s">
        <v>4531</v>
      </c>
      <c r="F5531" s="17"/>
      <c r="G5531" s="18"/>
      <c r="H5531" s="18"/>
    </row>
    <row r="5532" spans="1:8" ht="13.2">
      <c r="A5532" s="15" t="s">
        <v>4742</v>
      </c>
      <c r="B5532" s="29" t="s">
        <v>4743</v>
      </c>
      <c r="C5532" s="17">
        <v>3</v>
      </c>
      <c r="D5532" s="26" t="str">
        <f>HYPERLINK("http://sound-system-79.blogspot.com/2016/06/uva-983-localized-summing-for-blurring.html","Sol")</f>
        <v>Sol</v>
      </c>
      <c r="E5532" s="17" t="s">
        <v>4531</v>
      </c>
      <c r="F5532" s="17"/>
      <c r="G5532" s="18"/>
      <c r="H5532" s="18"/>
    </row>
    <row r="5533" spans="1:8" ht="13.2">
      <c r="A5533" s="15" t="s">
        <v>792</v>
      </c>
      <c r="B5533" s="28" t="s">
        <v>740</v>
      </c>
      <c r="C5533" s="24">
        <v>3</v>
      </c>
      <c r="D5533" s="18"/>
      <c r="E5533" s="17" t="s">
        <v>741</v>
      </c>
      <c r="F5533" s="17"/>
      <c r="G5533" s="18"/>
      <c r="H5533" s="18"/>
    </row>
    <row r="5534" spans="1:8" ht="13.2">
      <c r="A5534" s="15" t="s">
        <v>793</v>
      </c>
      <c r="B5534" s="34" t="s">
        <v>794</v>
      </c>
      <c r="C5534" s="31">
        <v>3</v>
      </c>
      <c r="D5534" s="18"/>
      <c r="E5534" s="17" t="s">
        <v>741</v>
      </c>
      <c r="F5534" s="17"/>
      <c r="G5534" s="18"/>
      <c r="H5534" s="18"/>
    </row>
    <row r="5535" spans="1:8" ht="13.2">
      <c r="A5535" s="15" t="s">
        <v>4762</v>
      </c>
      <c r="B5535" s="29" t="s">
        <v>4763</v>
      </c>
      <c r="C5535" s="17">
        <v>3</v>
      </c>
      <c r="D5535" s="18"/>
      <c r="E5535" s="17" t="s">
        <v>4751</v>
      </c>
      <c r="F5535" s="17"/>
      <c r="G5535" s="18"/>
      <c r="H5535" s="18"/>
    </row>
    <row r="5536" spans="1:8" ht="13.2">
      <c r="A5536" s="15" t="s">
        <v>4805</v>
      </c>
      <c r="B5536" s="30" t="s">
        <v>4779</v>
      </c>
      <c r="C5536" s="24">
        <v>3</v>
      </c>
      <c r="D5536" s="18"/>
      <c r="E5536" s="17" t="s">
        <v>4778</v>
      </c>
      <c r="F5536" s="17"/>
      <c r="G5536" s="18"/>
      <c r="H5536" s="18"/>
    </row>
    <row r="5537" spans="1:8" ht="13.2">
      <c r="A5537" s="19" t="str">
        <f>HYPERLINK("https://uva.onlinejudge.org/index.php?option=onlinejudge&amp;page=show_problem&amp;problem=353","UVA 412")</f>
        <v>UVA 412</v>
      </c>
      <c r="B5537" s="29" t="s">
        <v>4808</v>
      </c>
      <c r="C5537" s="17">
        <v>3</v>
      </c>
      <c r="D5537" s="18"/>
      <c r="E5537" s="17" t="s">
        <v>4809</v>
      </c>
      <c r="F5537" s="17"/>
      <c r="G5537" s="18"/>
      <c r="H5537" s="18"/>
    </row>
    <row r="5538" spans="1:8" ht="13.2">
      <c r="A5538" s="15" t="s">
        <v>4860</v>
      </c>
      <c r="B5538" s="28" t="s">
        <v>4861</v>
      </c>
      <c r="C5538" s="24">
        <v>3</v>
      </c>
      <c r="D5538" s="18"/>
      <c r="E5538" s="17" t="s">
        <v>4809</v>
      </c>
      <c r="F5538" s="17"/>
      <c r="G5538" s="18"/>
      <c r="H5538" s="18"/>
    </row>
    <row r="5539" spans="1:8" ht="13.2">
      <c r="A5539" s="19" t="str">
        <f>HYPERLINK("https://uva.onlinejudge.org/index.php?option=onlinejudge&amp;page=show_problem&amp;problem=349","UVA 408")</f>
        <v>UVA 408</v>
      </c>
      <c r="B5539" s="29" t="s">
        <v>4866</v>
      </c>
      <c r="C5539" s="17">
        <v>3</v>
      </c>
      <c r="D5539" s="18"/>
      <c r="E5539" s="17" t="s">
        <v>4867</v>
      </c>
      <c r="F5539" s="17"/>
      <c r="G5539" s="18"/>
      <c r="H5539" s="18"/>
    </row>
    <row r="5540" spans="1:8" ht="13.2">
      <c r="A5540" s="19" t="str">
        <f>HYPERLINK("https://www.hackerrank.com/challenges/extremely-dangerous-virus","HACKR extremely-dangerous-virus")</f>
        <v>HACKR extremely-dangerous-virus</v>
      </c>
      <c r="B5540" s="29" t="s">
        <v>4877</v>
      </c>
      <c r="C5540" s="24">
        <v>3</v>
      </c>
      <c r="D5540" s="18"/>
      <c r="E5540" s="17" t="s">
        <v>4875</v>
      </c>
      <c r="F5540" s="17"/>
      <c r="G5540" s="18"/>
      <c r="H5540" s="18"/>
    </row>
    <row r="5541" spans="1:8" ht="13.2">
      <c r="A5541" s="19" t="str">
        <f>HYPERLINK("https://uva.onlinejudge.org/index.php?option=onlinejudge&amp;page=show_problem&amp;problem=310","UVA 374")</f>
        <v>UVA 374</v>
      </c>
      <c r="B5541" s="29" t="s">
        <v>4882</v>
      </c>
      <c r="C5541" s="17">
        <v>3</v>
      </c>
      <c r="D5541" s="18"/>
      <c r="E5541" s="17" t="s">
        <v>4875</v>
      </c>
      <c r="F5541" s="17"/>
      <c r="G5541" s="18"/>
      <c r="H5541" s="18"/>
    </row>
    <row r="5542" spans="1:8" ht="13.2">
      <c r="A5542" s="15" t="s">
        <v>4927</v>
      </c>
      <c r="B5542" s="43" t="s">
        <v>4928</v>
      </c>
      <c r="C5542" s="24">
        <v>3</v>
      </c>
      <c r="D5542" s="18"/>
      <c r="E5542" s="17" t="s">
        <v>4893</v>
      </c>
      <c r="F5542" s="17"/>
      <c r="G5542" s="18"/>
      <c r="H5542" s="18"/>
    </row>
    <row r="5543" spans="1:8" ht="13.2">
      <c r="A5543" s="15" t="s">
        <v>4938</v>
      </c>
      <c r="B5543" s="28" t="s">
        <v>4937</v>
      </c>
      <c r="C5543" s="24">
        <v>3</v>
      </c>
      <c r="D5543" s="26" t="str">
        <f>HYPERLINK("https://github.com/MohamedNabil97/CompetitiveProgramming/tree/master/UVA/12392.cpp","Sol")</f>
        <v>Sol</v>
      </c>
      <c r="E5543" s="17" t="s">
        <v>4932</v>
      </c>
      <c r="F5543" s="17"/>
      <c r="G5543" s="18"/>
      <c r="H5543" s="18"/>
    </row>
    <row r="5544" spans="1:8" ht="13.2">
      <c r="A5544" s="15" t="s">
        <v>4946</v>
      </c>
      <c r="B5544" s="28" t="s">
        <v>4947</v>
      </c>
      <c r="C5544" s="24">
        <v>3</v>
      </c>
      <c r="D5544" s="18"/>
      <c r="E5544" s="17" t="s">
        <v>4941</v>
      </c>
      <c r="F5544" s="17"/>
      <c r="G5544" s="18"/>
      <c r="H5544" s="18"/>
    </row>
    <row r="5545" spans="1:8" ht="13.2">
      <c r="A5545" s="15" t="s">
        <v>4955</v>
      </c>
      <c r="B5545" s="28" t="s">
        <v>4956</v>
      </c>
      <c r="C5545" s="24">
        <v>3</v>
      </c>
      <c r="D5545" s="18"/>
      <c r="E5545" s="17" t="s">
        <v>4950</v>
      </c>
      <c r="F5545" s="17"/>
      <c r="G5545" s="18"/>
      <c r="H5545" s="18"/>
    </row>
    <row r="5546" spans="1:8" ht="13.2">
      <c r="A5546" s="19" t="str">
        <f>HYPERLINK("https://www.hackerrank.com/challenges/picking-cards","HACKR picking-cards")</f>
        <v>HACKR picking-cards</v>
      </c>
      <c r="B5546" s="29" t="s">
        <v>4964</v>
      </c>
      <c r="C5546" s="17">
        <v>3</v>
      </c>
      <c r="D5546" s="18"/>
      <c r="E5546" s="17" t="s">
        <v>4958</v>
      </c>
      <c r="F5546" s="17"/>
      <c r="G5546" s="18"/>
      <c r="H5546" s="18"/>
    </row>
    <row r="5547" spans="1:8" ht="13.2">
      <c r="A5547" s="15" t="s">
        <v>5038</v>
      </c>
      <c r="B5547" s="30" t="s">
        <v>5039</v>
      </c>
      <c r="C5547" s="24">
        <v>3</v>
      </c>
      <c r="D5547" s="18"/>
      <c r="E5547" s="17" t="s">
        <v>4958</v>
      </c>
      <c r="F5547" s="17"/>
      <c r="G5547" s="18"/>
      <c r="H5547" s="18"/>
    </row>
    <row r="5548" spans="1:8" ht="13.2">
      <c r="A5548" s="15" t="s">
        <v>5070</v>
      </c>
      <c r="B5548" s="28" t="s">
        <v>5045</v>
      </c>
      <c r="C5548" s="24">
        <v>3</v>
      </c>
      <c r="D5548" s="18"/>
      <c r="E5548" s="17" t="s">
        <v>5043</v>
      </c>
      <c r="F5548" s="17"/>
      <c r="G5548" s="18"/>
      <c r="H5548" s="18"/>
    </row>
    <row r="5549" spans="1:8" ht="13.2">
      <c r="A5549" s="15" t="s">
        <v>5071</v>
      </c>
      <c r="B5549" s="28" t="s">
        <v>5072</v>
      </c>
      <c r="C5549" s="40">
        <v>3</v>
      </c>
      <c r="D5549" s="18"/>
      <c r="E5549" s="17" t="s">
        <v>5043</v>
      </c>
      <c r="F5549" s="17"/>
      <c r="G5549" s="18"/>
      <c r="H5549" s="18"/>
    </row>
    <row r="5550" spans="1:8" ht="13.2">
      <c r="A5550" s="19" t="str">
        <f>HYPERLINK("http://codeforces.com/problemset/problem/236/B","CF236-D2-B")</f>
        <v>CF236-D2-B</v>
      </c>
      <c r="B5550" s="37" t="s">
        <v>5085</v>
      </c>
      <c r="C5550" s="24">
        <v>3</v>
      </c>
      <c r="D5550" s="18"/>
      <c r="E5550" s="17" t="s">
        <v>5075</v>
      </c>
      <c r="F5550" s="17"/>
      <c r="G5550" s="18"/>
      <c r="H5550" s="18"/>
    </row>
    <row r="5551" spans="1:8" ht="13.2">
      <c r="A5551" s="19" t="str">
        <f>HYPERLINK("https://uva.onlinejudge.org/index.php?option=com_onlinejudge&amp;Itemid=8&amp;page=show_problem&amp;problem=1431","UVA 10490")</f>
        <v>UVA 10490</v>
      </c>
      <c r="B5551" s="29" t="s">
        <v>5085</v>
      </c>
      <c r="C5551" s="17">
        <v>3</v>
      </c>
      <c r="D5551" s="18"/>
      <c r="E5551" s="17" t="s">
        <v>5075</v>
      </c>
      <c r="F5551" s="17"/>
      <c r="G5551" s="18"/>
      <c r="H5551" s="18"/>
    </row>
    <row r="5552" spans="1:8" ht="13.2">
      <c r="A5552" s="19" t="str">
        <f>HYPERLINK("https://uva.onlinejudge.org/index.php?option=com_onlinejudge&amp;Itemid=8&amp;page=show_problem&amp;problem=457","UVA 516")</f>
        <v>UVA 516</v>
      </c>
      <c r="B5552" s="29" t="s">
        <v>5085</v>
      </c>
      <c r="C5552" s="17">
        <v>3</v>
      </c>
      <c r="D5552" s="18"/>
      <c r="E5552" s="17" t="s">
        <v>5075</v>
      </c>
      <c r="F5552" s="17"/>
      <c r="G5552" s="18"/>
      <c r="H5552" s="18"/>
    </row>
    <row r="5553" spans="1:8" ht="13.2">
      <c r="A5553" s="15" t="s">
        <v>5125</v>
      </c>
      <c r="B5553" s="29" t="s">
        <v>5126</v>
      </c>
      <c r="C5553" s="24">
        <v>3</v>
      </c>
      <c r="D5553" s="18"/>
      <c r="E5553" s="17" t="s">
        <v>5075</v>
      </c>
      <c r="F5553" s="17"/>
      <c r="G5553" s="18"/>
      <c r="H5553" s="18"/>
    </row>
    <row r="5554" spans="1:8" ht="13.2">
      <c r="A5554" s="19" t="str">
        <f>HYPERLINK("http://codeforces.com/contest/371/problem/C","CF371-D2-C")</f>
        <v>CF371-D2-C</v>
      </c>
      <c r="B5554" s="29" t="s">
        <v>5164</v>
      </c>
      <c r="C5554" s="17">
        <v>3</v>
      </c>
      <c r="D5554" s="18"/>
      <c r="E5554" s="17" t="s">
        <v>5134</v>
      </c>
      <c r="F5554" s="17"/>
      <c r="G5554" s="18"/>
      <c r="H5554" s="18"/>
    </row>
    <row r="5555" spans="1:8" ht="13.2">
      <c r="A5555" s="15" t="s">
        <v>5218</v>
      </c>
      <c r="B5555" s="28" t="s">
        <v>5179</v>
      </c>
      <c r="C5555" s="24">
        <v>3</v>
      </c>
      <c r="D5555" s="18"/>
      <c r="E5555" s="17" t="s">
        <v>5168</v>
      </c>
      <c r="F5555" s="17"/>
      <c r="G5555" s="18"/>
      <c r="H5555" s="18"/>
    </row>
    <row r="5556" spans="1:8" ht="13.2">
      <c r="A5556" s="15" t="s">
        <v>5219</v>
      </c>
      <c r="B5556" s="30" t="s">
        <v>5179</v>
      </c>
      <c r="C5556" s="24">
        <v>3</v>
      </c>
      <c r="D5556" s="18"/>
      <c r="E5556" s="17" t="s">
        <v>5168</v>
      </c>
      <c r="F5556" s="17"/>
      <c r="G5556" s="18"/>
      <c r="H5556" s="18"/>
    </row>
    <row r="5557" spans="1:8" ht="13.2">
      <c r="A5557" s="15" t="s">
        <v>5220</v>
      </c>
      <c r="B5557" s="28" t="s">
        <v>5213</v>
      </c>
      <c r="C5557" s="17">
        <v>3</v>
      </c>
      <c r="D5557" s="18"/>
      <c r="E5557" s="17" t="s">
        <v>5168</v>
      </c>
      <c r="F5557" s="17"/>
      <c r="G5557" s="18"/>
      <c r="H5557" s="18"/>
    </row>
    <row r="5558" spans="1:8" ht="13.2">
      <c r="A5558" s="15" t="s">
        <v>5221</v>
      </c>
      <c r="B5558" s="28" t="s">
        <v>5213</v>
      </c>
      <c r="C5558" s="17">
        <v>3</v>
      </c>
      <c r="D5558" s="18"/>
      <c r="E5558" s="17" t="s">
        <v>5168</v>
      </c>
      <c r="F5558" s="17"/>
      <c r="G5558" s="18"/>
      <c r="H5558" s="18"/>
    </row>
    <row r="5559" spans="1:8" ht="13.2">
      <c r="A5559" s="15" t="s">
        <v>5222</v>
      </c>
      <c r="B5559" s="43" t="s">
        <v>5223</v>
      </c>
      <c r="C5559" s="24">
        <v>3</v>
      </c>
      <c r="D5559" s="18"/>
      <c r="E5559" s="17" t="s">
        <v>5168</v>
      </c>
      <c r="F5559" s="17"/>
      <c r="G5559" s="18"/>
      <c r="H5559" s="18"/>
    </row>
    <row r="5560" spans="1:8" ht="13.2">
      <c r="A5560" s="15" t="s">
        <v>5224</v>
      </c>
      <c r="B5560" s="28" t="s">
        <v>5225</v>
      </c>
      <c r="C5560" s="17">
        <v>3</v>
      </c>
      <c r="D5560" s="18"/>
      <c r="E5560" s="17" t="s">
        <v>5168</v>
      </c>
      <c r="F5560" s="17"/>
      <c r="G5560" s="18"/>
      <c r="H5560" s="18"/>
    </row>
    <row r="5561" spans="1:8" ht="13.2">
      <c r="A5561" s="15" t="s">
        <v>5226</v>
      </c>
      <c r="B5561" s="28" t="s">
        <v>5227</v>
      </c>
      <c r="C5561" s="17">
        <v>3</v>
      </c>
      <c r="D5561" s="18"/>
      <c r="E5561" s="17" t="s">
        <v>5168</v>
      </c>
      <c r="F5561" s="17"/>
      <c r="G5561" s="18"/>
      <c r="H5561" s="18"/>
    </row>
    <row r="5562" spans="1:8" ht="13.2">
      <c r="A5562" s="19" t="str">
        <f>HYPERLINK("https://uva.onlinejudge.org/index.php?option=com_onlinejudge&amp;Itemid=8&amp;page=show_problem&amp;problem=1209","UVA 10268")</f>
        <v>UVA 10268</v>
      </c>
      <c r="B5562" s="28" t="s">
        <v>5216</v>
      </c>
      <c r="C5562" s="17">
        <v>3</v>
      </c>
      <c r="D5562" s="18"/>
      <c r="E5562" s="17" t="s">
        <v>5168</v>
      </c>
      <c r="F5562" s="17"/>
      <c r="G5562" s="18"/>
      <c r="H5562" s="18"/>
    </row>
    <row r="5563" spans="1:8" ht="13.2">
      <c r="A5563" s="15" t="s">
        <v>5228</v>
      </c>
      <c r="B5563" s="28" t="s">
        <v>5229</v>
      </c>
      <c r="C5563" s="24">
        <v>3</v>
      </c>
      <c r="D5563" s="18"/>
      <c r="E5563" s="17" t="s">
        <v>5168</v>
      </c>
      <c r="F5563" s="17"/>
      <c r="G5563" s="18"/>
      <c r="H5563" s="18"/>
    </row>
    <row r="5564" spans="1:8" ht="13.2">
      <c r="A5564" s="19" t="str">
        <f>HYPERLINK("http://codeforces.com/problemset/problem/166/E","CF166-D2-E")</f>
        <v>CF166-D2-E</v>
      </c>
      <c r="B5564" s="15" t="s">
        <v>5292</v>
      </c>
      <c r="C5564" s="17">
        <v>3</v>
      </c>
      <c r="D5564" s="18"/>
      <c r="E5564" s="17" t="s">
        <v>5246</v>
      </c>
      <c r="F5564" s="17"/>
      <c r="G5564" s="18"/>
      <c r="H5564" s="18"/>
    </row>
    <row r="5565" spans="1:8" ht="13.2">
      <c r="A5565" s="15" t="s">
        <v>5305</v>
      </c>
      <c r="B5565" s="28" t="s">
        <v>5298</v>
      </c>
      <c r="C5565" s="17">
        <v>3</v>
      </c>
      <c r="D5565" s="18"/>
      <c r="E5565" s="17" t="s">
        <v>5246</v>
      </c>
      <c r="F5565" s="17"/>
      <c r="G5565" s="18"/>
      <c r="H5565" s="18"/>
    </row>
    <row r="5566" spans="1:8" ht="13.2">
      <c r="A5566" s="15" t="s">
        <v>5306</v>
      </c>
      <c r="B5566" s="28" t="s">
        <v>5307</v>
      </c>
      <c r="C5566" s="17">
        <v>3</v>
      </c>
      <c r="D5566" s="18"/>
      <c r="E5566" s="17" t="s">
        <v>5246</v>
      </c>
      <c r="F5566" s="17"/>
      <c r="G5566" s="18"/>
      <c r="H5566" s="18"/>
    </row>
    <row r="5567" spans="1:8" ht="13.2">
      <c r="A5567" s="19" t="str">
        <f>HYPERLINK("https://atcoder.jp/contests/abc134/tasks/abc134_e","AtCoder134-ABC-E")</f>
        <v>AtCoder134-ABC-E</v>
      </c>
      <c r="B5567" s="23" t="s">
        <v>814</v>
      </c>
      <c r="C5567" s="17">
        <v>3</v>
      </c>
      <c r="D5567" s="18"/>
      <c r="E5567" s="17" t="s">
        <v>805</v>
      </c>
      <c r="F5567" s="17"/>
      <c r="G5567" s="18"/>
      <c r="H5567" s="18"/>
    </row>
    <row r="5568" spans="1:8" ht="13.2">
      <c r="A5568" s="15" t="s">
        <v>906</v>
      </c>
      <c r="B5568" s="18" t="s">
        <v>814</v>
      </c>
      <c r="C5568" s="17">
        <v>3</v>
      </c>
      <c r="D5568" s="18"/>
      <c r="E5568" s="17" t="s">
        <v>805</v>
      </c>
      <c r="F5568" s="17"/>
      <c r="G5568" s="18"/>
      <c r="H5568" s="18"/>
    </row>
    <row r="5569" spans="1:8" ht="13.2">
      <c r="A5569" s="19" t="str">
        <f>HYPERLINK("http://www.spoj.com/problems/AGGRCOW/","SPOJ AGGRCOW")</f>
        <v>SPOJ AGGRCOW</v>
      </c>
      <c r="B5569" s="29" t="s">
        <v>814</v>
      </c>
      <c r="C5569" s="17">
        <v>3</v>
      </c>
      <c r="D5569" s="18"/>
      <c r="E5569" s="17" t="s">
        <v>805</v>
      </c>
      <c r="F5569" s="17"/>
      <c r="G5569" s="18"/>
      <c r="H5569" s="18"/>
    </row>
    <row r="5570" spans="1:8" ht="13.2">
      <c r="A5570" s="19" t="str">
        <f>HYPERLINK("https://www.codechef.com/problems/SNAKEEAT","CODECHEF SNAKEEAT")</f>
        <v>CODECHEF SNAKEEAT</v>
      </c>
      <c r="B5570" s="15" t="s">
        <v>905</v>
      </c>
      <c r="C5570" s="24">
        <v>3</v>
      </c>
      <c r="D5570" s="18"/>
      <c r="E5570" s="17" t="s">
        <v>805</v>
      </c>
      <c r="F5570" s="17"/>
      <c r="G5570" s="18"/>
      <c r="H5570" s="18"/>
    </row>
    <row r="5571" spans="1:8" ht="13.2">
      <c r="A5571" s="15" t="s">
        <v>5403</v>
      </c>
      <c r="B5571" s="29" t="s">
        <v>5349</v>
      </c>
      <c r="C5571" s="17">
        <v>3</v>
      </c>
      <c r="D5571" s="18"/>
      <c r="E5571" s="17" t="s">
        <v>5346</v>
      </c>
      <c r="F5571" s="17"/>
      <c r="G5571" s="18"/>
      <c r="H5571" s="18"/>
    </row>
    <row r="5572" spans="1:8" ht="13.2">
      <c r="A5572" s="15" t="s">
        <v>5404</v>
      </c>
      <c r="B5572" s="29" t="s">
        <v>5349</v>
      </c>
      <c r="C5572" s="17">
        <v>3</v>
      </c>
      <c r="D5572" s="18"/>
      <c r="E5572" s="17" t="s">
        <v>5346</v>
      </c>
      <c r="F5572" s="17"/>
      <c r="G5572" s="18"/>
      <c r="H5572" s="18"/>
    </row>
    <row r="5573" spans="1:8" ht="13.2">
      <c r="A5573" s="15" t="s">
        <v>5405</v>
      </c>
      <c r="B5573" s="29" t="s">
        <v>5349</v>
      </c>
      <c r="C5573" s="17">
        <v>3</v>
      </c>
      <c r="D5573" s="18"/>
      <c r="E5573" s="17" t="s">
        <v>5346</v>
      </c>
      <c r="F5573" s="17"/>
      <c r="G5573" s="18"/>
      <c r="H5573" s="18"/>
    </row>
    <row r="5574" spans="1:8" ht="13.2">
      <c r="A5574" s="19" t="str">
        <f>HYPERLINK("https://github.com/3agwa/CompetitiveProgramming/blob/master/UVA/UVA%2010056.cpp","UVA 10056")</f>
        <v>UVA 10056</v>
      </c>
      <c r="B5574" s="29" t="s">
        <v>5349</v>
      </c>
      <c r="C5574" s="17">
        <v>3</v>
      </c>
      <c r="D5574" s="26" t="str">
        <f>HYPERLINK("https://github.com/mostafa-saad/MyCompetitiveProgramming/blob/master/UVA/UVA_10056.txt","Sol")</f>
        <v>Sol</v>
      </c>
      <c r="E5574" s="17" t="s">
        <v>5346</v>
      </c>
      <c r="F5574" s="17"/>
      <c r="G5574" s="18"/>
      <c r="H5574" s="18"/>
    </row>
    <row r="5575" spans="1:8" ht="13.2">
      <c r="A5575" s="19" t="str">
        <f>HYPERLINK("https://www.hackerrank.com/challenges/sherlock-and-probability","HACKR sherlock-and-probability")</f>
        <v>HACKR sherlock-and-probability</v>
      </c>
      <c r="B5575" s="29" t="s">
        <v>5406</v>
      </c>
      <c r="C5575" s="17">
        <v>3</v>
      </c>
      <c r="D5575" s="26" t="str">
        <f>HYPERLINK("https://github.com/MohamedNabil97/CompetitiveProgramming/blob/master/Hackerrank/sherlock-and-probability.cpp","Sol")</f>
        <v>Sol</v>
      </c>
      <c r="E5575" s="17" t="s">
        <v>5346</v>
      </c>
      <c r="F5575" s="17"/>
      <c r="G5575" s="18"/>
      <c r="H5575" s="18"/>
    </row>
    <row r="5576" spans="1:8" ht="13.2">
      <c r="A5576" s="15" t="s">
        <v>5407</v>
      </c>
      <c r="B5576" s="28" t="s">
        <v>5408</v>
      </c>
      <c r="C5576" s="17">
        <v>3</v>
      </c>
      <c r="D5576" s="26" t="str">
        <f>HYPERLINK("https://github.com/AliOsm/CompetitiveProgramming/blob/8f0ba8d2fea1322e1563b4b4e6f35807e9a9e73c/SPOJ/BALLSUM%20-%20Ball%20sum.cpp","Sol")</f>
        <v>Sol</v>
      </c>
      <c r="E5576" s="17" t="s">
        <v>5346</v>
      </c>
      <c r="F5576" s="17"/>
      <c r="G5576" s="18"/>
      <c r="H5576" s="18"/>
    </row>
    <row r="5577" spans="1:8" ht="13.2">
      <c r="A5577" s="15" t="s">
        <v>5486</v>
      </c>
      <c r="B5577" s="28" t="s">
        <v>5416</v>
      </c>
      <c r="C5577" s="24">
        <v>3</v>
      </c>
      <c r="D5577" s="18"/>
      <c r="E5577" s="24" t="s">
        <v>5414</v>
      </c>
      <c r="F5577" s="17"/>
      <c r="G5577" s="18"/>
      <c r="H5577" s="18"/>
    </row>
    <row r="5578" spans="1:8" ht="13.2">
      <c r="A5578" s="19" t="str">
        <f>HYPERLINK("https://uva.onlinejudge.org/index.php?option=onlinejudge&amp;page=show_problem&amp;problem=1335","UVA 10394")</f>
        <v>UVA 10394</v>
      </c>
      <c r="B5578" s="29" t="s">
        <v>5416</v>
      </c>
      <c r="C5578" s="17">
        <v>3</v>
      </c>
      <c r="D5578" s="18"/>
      <c r="E5578" s="17" t="s">
        <v>5414</v>
      </c>
      <c r="F5578" s="17"/>
      <c r="G5578" s="18"/>
      <c r="H5578" s="18"/>
    </row>
    <row r="5579" spans="1:8" ht="13.2">
      <c r="A5579" s="15" t="s">
        <v>5487</v>
      </c>
      <c r="B5579" s="30" t="s">
        <v>5416</v>
      </c>
      <c r="C5579" s="24">
        <v>3</v>
      </c>
      <c r="D5579" s="18"/>
      <c r="E5579" s="17" t="s">
        <v>5414</v>
      </c>
      <c r="F5579" s="17"/>
      <c r="G5579" s="18"/>
      <c r="H5579" s="18"/>
    </row>
    <row r="5580" spans="1:8" ht="13.2">
      <c r="A5580" s="15" t="s">
        <v>5488</v>
      </c>
      <c r="B5580" s="30" t="s">
        <v>5416</v>
      </c>
      <c r="C5580" s="17">
        <v>3</v>
      </c>
      <c r="D5580" s="18"/>
      <c r="E5580" s="17" t="s">
        <v>5414</v>
      </c>
      <c r="F5580" s="17"/>
      <c r="G5580" s="18"/>
      <c r="H5580" s="18"/>
    </row>
    <row r="5581" spans="1:8" ht="13.2">
      <c r="A5581" s="19" t="str">
        <f>HYPERLINK("https://uva.onlinejudge.org/index.php?option=com_onlinejudge&amp;Itemid=8&amp;page=show_problem&amp;problem=3253","UVA 12101")</f>
        <v>UVA 12101</v>
      </c>
      <c r="B5581" s="18" t="s">
        <v>5489</v>
      </c>
      <c r="C5581" s="17">
        <v>3</v>
      </c>
      <c r="D5581" s="26" t="str">
        <f>HYPERLINK("https://github.com/VAMPIER000001/CompetitiveProgramming/blob/master/UVA/V-121/UVA%2012101.Cpp","Sol")</f>
        <v>Sol</v>
      </c>
      <c r="E5581" s="17" t="s">
        <v>5414</v>
      </c>
      <c r="F5581" s="17"/>
      <c r="G5581" s="18"/>
      <c r="H5581" s="18"/>
    </row>
    <row r="5582" spans="1:8" ht="13.2">
      <c r="A5582" s="15" t="s">
        <v>5490</v>
      </c>
      <c r="B5582" s="30" t="s">
        <v>5491</v>
      </c>
      <c r="C5582" s="17">
        <v>3</v>
      </c>
      <c r="D5582" s="18"/>
      <c r="E5582" s="17" t="s">
        <v>5414</v>
      </c>
      <c r="F5582" s="17"/>
      <c r="G5582" s="18"/>
      <c r="H5582" s="18"/>
    </row>
    <row r="5583" spans="1:8" ht="13.2">
      <c r="A5583" s="15" t="s">
        <v>5492</v>
      </c>
      <c r="B5583" s="30" t="s">
        <v>5493</v>
      </c>
      <c r="C5583" s="17">
        <v>3</v>
      </c>
      <c r="D5583" s="18"/>
      <c r="E5583" s="17" t="s">
        <v>5414</v>
      </c>
      <c r="F5583" s="17"/>
      <c r="G5583" s="18"/>
      <c r="H5583" s="18"/>
    </row>
    <row r="5584" spans="1:8" ht="13.2">
      <c r="A5584" s="15" t="s">
        <v>5494</v>
      </c>
      <c r="B5584" s="29" t="s">
        <v>5495</v>
      </c>
      <c r="C5584" s="17">
        <v>3</v>
      </c>
      <c r="D5584" s="18"/>
      <c r="E5584" s="17" t="s">
        <v>5414</v>
      </c>
      <c r="F5584" s="17"/>
      <c r="G5584" s="18"/>
      <c r="H5584" s="18"/>
    </row>
    <row r="5585" spans="1:8" ht="13.2">
      <c r="A5585" s="15" t="s">
        <v>5507</v>
      </c>
      <c r="B5585" s="28" t="s">
        <v>5500</v>
      </c>
      <c r="C5585" s="24">
        <v>3</v>
      </c>
      <c r="D5585" s="18"/>
      <c r="E5585" s="17" t="s">
        <v>5501</v>
      </c>
      <c r="F5585" s="17"/>
      <c r="G5585" s="18"/>
      <c r="H5585" s="18"/>
    </row>
    <row r="5586" spans="1:8" ht="13.2">
      <c r="A5586" s="15" t="s">
        <v>5508</v>
      </c>
      <c r="B5586" s="30" t="s">
        <v>5509</v>
      </c>
      <c r="C5586" s="40">
        <v>3</v>
      </c>
      <c r="D5586" s="18"/>
      <c r="E5586" s="17" t="s">
        <v>5501</v>
      </c>
      <c r="F5586" s="17"/>
      <c r="G5586" s="18"/>
      <c r="H5586" s="18"/>
    </row>
    <row r="5587" spans="1:8" ht="13.2">
      <c r="A5587" s="15" t="s">
        <v>5612</v>
      </c>
      <c r="B5587" s="28" t="s">
        <v>5596</v>
      </c>
      <c r="C5587" s="54">
        <v>3</v>
      </c>
      <c r="D5587" s="18"/>
      <c r="E5587" s="17" t="s">
        <v>5575</v>
      </c>
      <c r="F5587" s="17"/>
      <c r="G5587" s="18"/>
      <c r="H5587" s="18"/>
    </row>
    <row r="5588" spans="1:8" ht="13.2">
      <c r="A5588" s="15" t="s">
        <v>5613</v>
      </c>
      <c r="B5588" s="43" t="s">
        <v>5596</v>
      </c>
      <c r="C5588" s="40">
        <v>3</v>
      </c>
      <c r="D5588" s="18"/>
      <c r="E5588" s="17" t="s">
        <v>5575</v>
      </c>
      <c r="F5588" s="17"/>
      <c r="G5588" s="18"/>
      <c r="H5588" s="18"/>
    </row>
    <row r="5589" spans="1:8" ht="13.2">
      <c r="A5589" s="19" t="str">
        <f>HYPERLINK("http://www.spoj.com/problems/ALIEN/","SPOJ ALIEN")</f>
        <v>SPOJ ALIEN</v>
      </c>
      <c r="B5589" s="48" t="s">
        <v>6072</v>
      </c>
      <c r="C5589" s="31">
        <v>2.5</v>
      </c>
      <c r="D5589" s="26" t="str">
        <f>HYPERLINK("https://github.com/mostafa-saad/MyCompetitiveProgramming/blob/master/SPOJ/SPOJ_ALIEN.txt","Sol")</f>
        <v>Sol</v>
      </c>
      <c r="E5589" s="17" t="s">
        <v>6040</v>
      </c>
      <c r="F5589" s="17"/>
      <c r="G5589" s="18"/>
      <c r="H5589" s="18"/>
    </row>
    <row r="5590" spans="1:8" ht="13.2">
      <c r="A5590" s="15" t="s">
        <v>492</v>
      </c>
      <c r="B5590" s="30" t="s">
        <v>468</v>
      </c>
      <c r="C5590" s="24">
        <v>2.5</v>
      </c>
      <c r="D5590" s="18"/>
      <c r="E5590" s="17" t="s">
        <v>332</v>
      </c>
      <c r="F5590" s="17"/>
      <c r="G5590" s="18"/>
      <c r="H5590" s="18"/>
    </row>
    <row r="5591" spans="1:8" ht="13.2">
      <c r="A5591" s="19" t="str">
        <f>HYPERLINK("https://www.hackerrank.com/challenges/sherlock-and-geometry","HACKR sherlock-and-geometry")</f>
        <v>HACKR sherlock-and-geometry</v>
      </c>
      <c r="B5591" s="28" t="s">
        <v>2859</v>
      </c>
      <c r="C5591" s="17">
        <v>2.5</v>
      </c>
      <c r="D5591" s="18"/>
      <c r="E5591" s="17" t="s">
        <v>2798</v>
      </c>
      <c r="F5591" s="17"/>
      <c r="G5591" s="18"/>
      <c r="H5591" s="18"/>
    </row>
    <row r="5592" spans="1:8" ht="13.2">
      <c r="A5592" s="15" t="s">
        <v>716</v>
      </c>
      <c r="B5592" s="29" t="s">
        <v>663</v>
      </c>
      <c r="C5592" s="40">
        <v>2.5</v>
      </c>
      <c r="D5592" s="18"/>
      <c r="E5592" s="17" t="s">
        <v>655</v>
      </c>
      <c r="F5592" s="17"/>
      <c r="G5592" s="18"/>
      <c r="H5592" s="18"/>
    </row>
    <row r="5593" spans="1:8" ht="13.2">
      <c r="A5593" s="15" t="s">
        <v>4140</v>
      </c>
      <c r="B5593" s="39" t="s">
        <v>4141</v>
      </c>
      <c r="C5593" s="24">
        <v>2.5</v>
      </c>
      <c r="D5593" s="18"/>
      <c r="E5593" s="17" t="s">
        <v>4060</v>
      </c>
      <c r="F5593" s="17"/>
      <c r="G5593" s="18"/>
      <c r="H5593" s="18"/>
    </row>
    <row r="5594" spans="1:8" ht="13.2">
      <c r="A5594" s="15" t="s">
        <v>2860</v>
      </c>
      <c r="B5594" s="29" t="s">
        <v>2861</v>
      </c>
      <c r="C5594" s="24">
        <v>2</v>
      </c>
      <c r="D5594" s="26" t="str">
        <f>HYPERLINK("https://github.com/MeGaCrazy/CompetitiveProgramming/blob/c099628e643065a7bae09af22c4cbce1216e4db9/UVA/UVA_453.cpp","Sol")</f>
        <v>Sol</v>
      </c>
      <c r="E5594" s="17" t="s">
        <v>2798</v>
      </c>
      <c r="F5594" s="17" t="s">
        <v>255</v>
      </c>
      <c r="G5594" s="18"/>
      <c r="H5594" s="18"/>
    </row>
    <row r="5595" spans="1:8" ht="13.2">
      <c r="A5595" s="15" t="s">
        <v>2782</v>
      </c>
      <c r="B5595" s="15" t="s">
        <v>2509</v>
      </c>
      <c r="C5595" s="24">
        <v>2</v>
      </c>
      <c r="D5595" s="18"/>
      <c r="E5595" s="17" t="s">
        <v>2510</v>
      </c>
      <c r="F5595" s="17" t="s">
        <v>306</v>
      </c>
      <c r="G5595" s="18"/>
      <c r="H5595" s="18"/>
    </row>
    <row r="5596" spans="1:8" ht="13.2">
      <c r="A5596" s="15" t="s">
        <v>2783</v>
      </c>
      <c r="B5596" s="28" t="s">
        <v>2784</v>
      </c>
      <c r="C5596" s="24">
        <v>2</v>
      </c>
      <c r="D5596" s="18"/>
      <c r="E5596" s="17" t="s">
        <v>2510</v>
      </c>
      <c r="F5596" s="17" t="s">
        <v>306</v>
      </c>
      <c r="G5596" s="18"/>
      <c r="H5596" s="18"/>
    </row>
    <row r="5597" spans="1:8" ht="13.2">
      <c r="A5597" s="19" t="str">
        <f>HYPERLINK("codeforces.com/problemset/problem/900/B","CF900-D2-B")</f>
        <v>CF900-D2-B</v>
      </c>
      <c r="B5597" s="18" t="s">
        <v>4744</v>
      </c>
      <c r="C5597" s="17">
        <v>2</v>
      </c>
      <c r="D5597" s="18"/>
      <c r="E5597" s="17" t="s">
        <v>4531</v>
      </c>
      <c r="F5597" s="17" t="s">
        <v>306</v>
      </c>
      <c r="G5597" s="18"/>
      <c r="H5597" s="18"/>
    </row>
    <row r="5598" spans="1:8" ht="13.2">
      <c r="A5598" s="19" t="str">
        <f>HYPERLINK("https://icpcarchive.ecs.baylor.edu/index.php?option=com_onlinejudge&amp;Itemid=8&amp;page=show_problem&amp;problem=192","LIVEARCHIVE 2191")</f>
        <v>LIVEARCHIVE 2191</v>
      </c>
      <c r="B5598" s="29" t="s">
        <v>1218</v>
      </c>
      <c r="C5598" s="17">
        <v>2</v>
      </c>
      <c r="D5598" s="18"/>
      <c r="E5598" s="17" t="s">
        <v>1018</v>
      </c>
      <c r="F5598" s="17" t="s">
        <v>139</v>
      </c>
      <c r="G5598" s="18"/>
      <c r="H5598" s="18"/>
    </row>
    <row r="5599" spans="1:8" ht="13.2">
      <c r="A5599" s="15" t="s">
        <v>317</v>
      </c>
      <c r="B5599" s="15" t="s">
        <v>318</v>
      </c>
      <c r="C5599" s="24">
        <v>2</v>
      </c>
      <c r="D5599" s="26" t="str">
        <f>HYPERLINK("https://github.com/marioyc/Online-Judge-Solutions/blob/master/Timus%20Online%20Judge/1100%20-%20Final%20Standings.cpp","Sol")</f>
        <v>Sol</v>
      </c>
      <c r="E5599" s="17" t="s">
        <v>125</v>
      </c>
      <c r="F5599" s="17" t="s">
        <v>201</v>
      </c>
      <c r="G5599" s="18"/>
      <c r="H5599" s="18"/>
    </row>
    <row r="5600" spans="1:8" ht="13.2">
      <c r="A5600" s="15" t="s">
        <v>948</v>
      </c>
      <c r="B5600" s="29" t="s">
        <v>927</v>
      </c>
      <c r="C5600" s="17">
        <v>2</v>
      </c>
      <c r="D5600" s="18"/>
      <c r="E5600" s="17" t="s">
        <v>910</v>
      </c>
      <c r="F5600" s="17" t="s">
        <v>201</v>
      </c>
      <c r="G5600" s="18"/>
      <c r="H5600" s="18"/>
    </row>
    <row r="5601" spans="1:8" ht="13.2">
      <c r="A5601" s="15" t="s">
        <v>565</v>
      </c>
      <c r="B5601" s="29" t="s">
        <v>566</v>
      </c>
      <c r="C5601" s="17">
        <v>2</v>
      </c>
      <c r="D5601" s="26" t="str">
        <f>HYPERLINK("http://xoptutorials.com/index.php/2017/01/01/timus1638/","Can you get AC first submission")</f>
        <v>Can you get AC first submission</v>
      </c>
      <c r="E5601" s="17" t="s">
        <v>503</v>
      </c>
      <c r="F5601" s="17" t="s">
        <v>201</v>
      </c>
      <c r="G5601" s="18"/>
      <c r="H5601" s="18"/>
    </row>
    <row r="5602" spans="1:8" ht="13.2">
      <c r="A5602" s="15" t="s">
        <v>5230</v>
      </c>
      <c r="B5602" s="29" t="s">
        <v>5231</v>
      </c>
      <c r="C5602" s="17">
        <v>2</v>
      </c>
      <c r="D5602" s="26" t="str">
        <f>HYPERLINK("http://xoptutorials.com/index.php/2017/01/01/timus1349/","Learn Fermat’s Last Theorem")</f>
        <v>Learn Fermat’s Last Theorem</v>
      </c>
      <c r="E5602" s="17" t="s">
        <v>5168</v>
      </c>
      <c r="F5602" s="17" t="s">
        <v>201</v>
      </c>
      <c r="G5602" s="18"/>
      <c r="H5602" s="18"/>
    </row>
    <row r="5603" spans="1:8" ht="13.2">
      <c r="A5603" s="15" t="s">
        <v>319</v>
      </c>
      <c r="B5603" s="30" t="s">
        <v>320</v>
      </c>
      <c r="C5603" s="24">
        <v>2</v>
      </c>
      <c r="D5603" s="18"/>
      <c r="E5603" s="17" t="s">
        <v>125</v>
      </c>
      <c r="F5603" s="17" t="s">
        <v>242</v>
      </c>
      <c r="G5603" s="18"/>
      <c r="H5603" s="18"/>
    </row>
    <row r="5604" spans="1:8" ht="13.2">
      <c r="A5604" s="15" t="s">
        <v>567</v>
      </c>
      <c r="B5604" s="29" t="s">
        <v>568</v>
      </c>
      <c r="C5604" s="17">
        <v>2</v>
      </c>
      <c r="D5604" s="26" t="str">
        <f>HYPERLINK("http://xoptutorials.com/index.php/2017/01/01/timus1607/","Can you get AC first submission?")</f>
        <v>Can you get AC first submission?</v>
      </c>
      <c r="E5604" s="17" t="s">
        <v>503</v>
      </c>
      <c r="F5604" s="17" t="s">
        <v>242</v>
      </c>
      <c r="G5604" s="18"/>
      <c r="H5604" s="18"/>
    </row>
    <row r="5605" spans="1:8" ht="13.2">
      <c r="A5605" s="19" t="str">
        <f>HYPERLINK("https://uva.onlinejudge.org/index.php?option=onlinejudge&amp;page=show_problem&amp;problem=1806","UVA 10865")</f>
        <v>UVA 10865</v>
      </c>
      <c r="B5605" s="29" t="s">
        <v>2509</v>
      </c>
      <c r="C5605" s="17">
        <v>2</v>
      </c>
      <c r="D5605" s="18"/>
      <c r="E5605" s="17" t="s">
        <v>2510</v>
      </c>
      <c r="F5605" s="17" t="s">
        <v>242</v>
      </c>
      <c r="G5605" s="18"/>
      <c r="H5605" s="18"/>
    </row>
    <row r="5606" spans="1:8" ht="13.2">
      <c r="A5606" s="15" t="s">
        <v>4745</v>
      </c>
      <c r="B5606" s="29" t="s">
        <v>4746</v>
      </c>
      <c r="C5606" s="24">
        <v>2</v>
      </c>
      <c r="D5606" s="26" t="str">
        <f>HYPERLINK("https://raw.githubusercontent.com/NadaAlaa/CompetitiveProgramming/master/LiveArchive/2557.cpp","Find a formula")</f>
        <v>Find a formula</v>
      </c>
      <c r="E5606" s="24" t="s">
        <v>4531</v>
      </c>
      <c r="F5606" s="17" t="s">
        <v>242</v>
      </c>
      <c r="G5606" s="18"/>
      <c r="H5606" s="18"/>
    </row>
    <row r="5607" spans="1:8" ht="13.2">
      <c r="A5607" s="19" t="str">
        <f>HYPERLINK("https://www.codechef.com/problems/EXTRAN","CODECHEF EXTRAN")</f>
        <v>CODECHEF EXTRAN</v>
      </c>
      <c r="B5607" s="18" t="s">
        <v>124</v>
      </c>
      <c r="C5607" s="17">
        <v>2</v>
      </c>
      <c r="D5607" s="18"/>
      <c r="E5607" s="17" t="s">
        <v>125</v>
      </c>
      <c r="F5607" s="17"/>
      <c r="G5607" s="18"/>
      <c r="H5607" s="18"/>
    </row>
    <row r="5608" spans="1:8" ht="13.2">
      <c r="A5608" s="19" t="str">
        <f>HYPERLINK("https://www.codechef.com/problems/XENTASK","CODECHEF XENTASK")</f>
        <v>CODECHEF XENTASK</v>
      </c>
      <c r="B5608" s="18" t="s">
        <v>124</v>
      </c>
      <c r="C5608" s="17">
        <v>2</v>
      </c>
      <c r="D5608" s="18"/>
      <c r="E5608" s="17" t="s">
        <v>125</v>
      </c>
      <c r="F5608" s="17"/>
      <c r="G5608" s="18"/>
      <c r="H5608" s="18"/>
    </row>
    <row r="5609" spans="1:8" ht="13.2">
      <c r="A5609" s="15" t="s">
        <v>321</v>
      </c>
      <c r="B5609" s="28" t="s">
        <v>124</v>
      </c>
      <c r="C5609" s="24">
        <v>2</v>
      </c>
      <c r="D5609" s="18"/>
      <c r="E5609" s="17" t="s">
        <v>125</v>
      </c>
      <c r="F5609" s="17"/>
      <c r="G5609" s="18"/>
      <c r="H5609" s="18"/>
    </row>
    <row r="5610" spans="1:8" ht="13.2">
      <c r="A5610" s="15" t="s">
        <v>322</v>
      </c>
      <c r="B5610" s="15" t="s">
        <v>124</v>
      </c>
      <c r="C5610" s="24">
        <v>2</v>
      </c>
      <c r="D5610" s="18"/>
      <c r="E5610" s="17" t="s">
        <v>125</v>
      </c>
      <c r="F5610" s="17"/>
      <c r="G5610" s="18"/>
      <c r="H5610" s="18"/>
    </row>
    <row r="5611" spans="1:8" ht="13.2">
      <c r="A5611" s="15" t="s">
        <v>323</v>
      </c>
      <c r="B5611" s="30" t="s">
        <v>291</v>
      </c>
      <c r="C5611" s="24">
        <v>2</v>
      </c>
      <c r="D5611" s="18"/>
      <c r="E5611" s="17" t="s">
        <v>125</v>
      </c>
      <c r="F5611" s="17"/>
      <c r="G5611" s="18"/>
      <c r="H5611" s="18"/>
    </row>
    <row r="5612" spans="1:8" ht="13.2">
      <c r="A5612" s="15" t="s">
        <v>324</v>
      </c>
      <c r="B5612" s="30" t="s">
        <v>291</v>
      </c>
      <c r="C5612" s="24">
        <v>2</v>
      </c>
      <c r="D5612" s="26" t="str">
        <f>HYPERLINK("https://github.com/MohamedNabil97/CompetitiveProgramming/tree/master/UVA/1326.cpp","Sol")</f>
        <v>Sol</v>
      </c>
      <c r="E5612" s="17" t="s">
        <v>125</v>
      </c>
      <c r="F5612" s="17"/>
      <c r="G5612" s="18"/>
      <c r="H5612" s="18"/>
    </row>
    <row r="5613" spans="1:8" ht="13.2">
      <c r="A5613" s="15" t="s">
        <v>325</v>
      </c>
      <c r="B5613" s="35" t="s">
        <v>195</v>
      </c>
      <c r="C5613" s="24">
        <v>2</v>
      </c>
      <c r="D5613" s="18"/>
      <c r="E5613" s="17" t="s">
        <v>125</v>
      </c>
      <c r="F5613" s="17"/>
      <c r="G5613" s="18"/>
      <c r="H5613" s="18"/>
    </row>
    <row r="5614" spans="1:8" ht="13.2">
      <c r="A5614" s="15" t="s">
        <v>326</v>
      </c>
      <c r="B5614" s="15" t="s">
        <v>327</v>
      </c>
      <c r="C5614" s="17">
        <v>2</v>
      </c>
      <c r="D5614" s="18"/>
      <c r="E5614" s="17" t="s">
        <v>125</v>
      </c>
      <c r="F5614" s="17"/>
      <c r="G5614" s="18"/>
      <c r="H5614" s="18"/>
    </row>
    <row r="5615" spans="1:8" ht="13.2">
      <c r="A5615" s="15" t="s">
        <v>328</v>
      </c>
      <c r="B5615" s="35" t="s">
        <v>212</v>
      </c>
      <c r="C5615" s="24">
        <v>2</v>
      </c>
      <c r="D5615" s="18"/>
      <c r="E5615" s="17" t="s">
        <v>125</v>
      </c>
      <c r="F5615" s="17"/>
      <c r="G5615" s="18"/>
      <c r="H5615" s="18"/>
    </row>
    <row r="5616" spans="1:8" ht="13.2">
      <c r="A5616" s="19" t="str">
        <f>HYPERLINK("https://www.codechef.com/problems/CULPRO","CODECHEF CULPRO")</f>
        <v>CODECHEF CULPRO</v>
      </c>
      <c r="B5616" s="18" t="s">
        <v>329</v>
      </c>
      <c r="C5616" s="17">
        <v>2</v>
      </c>
      <c r="D5616" s="18"/>
      <c r="E5616" s="17" t="s">
        <v>125</v>
      </c>
      <c r="F5616" s="17"/>
      <c r="G5616" s="18"/>
      <c r="H5616" s="18"/>
    </row>
    <row r="5617" spans="1:8" ht="13.2">
      <c r="A5617" s="19" t="str">
        <f>HYPERLINK("http://poj.org/problem?id=3461","PKU 3461")</f>
        <v>PKU 3461</v>
      </c>
      <c r="B5617" s="29" t="s">
        <v>5759</v>
      </c>
      <c r="C5617" s="17">
        <v>2</v>
      </c>
      <c r="D5617" s="18"/>
      <c r="E5617" s="17" t="s">
        <v>5702</v>
      </c>
      <c r="F5617" s="17"/>
      <c r="G5617" s="18"/>
      <c r="H5617" s="18"/>
    </row>
    <row r="5618" spans="1:8" ht="13.2">
      <c r="A5618" s="15" t="s">
        <v>6036</v>
      </c>
      <c r="B5618" s="29" t="s">
        <v>5961</v>
      </c>
      <c r="C5618" s="24">
        <v>2</v>
      </c>
      <c r="D5618" s="18"/>
      <c r="E5618" s="17" t="s">
        <v>5958</v>
      </c>
      <c r="F5618" s="17"/>
      <c r="G5618" s="18"/>
      <c r="H5618" s="18"/>
    </row>
    <row r="5619" spans="1:8" ht="13.2">
      <c r="A5619" s="15" t="s">
        <v>6037</v>
      </c>
      <c r="B5619" s="28" t="s">
        <v>6038</v>
      </c>
      <c r="C5619" s="24">
        <v>2</v>
      </c>
      <c r="D5619" s="18"/>
      <c r="E5619" s="17" t="s">
        <v>5958</v>
      </c>
      <c r="F5619" s="17"/>
      <c r="G5619" s="18"/>
      <c r="H5619" s="18"/>
    </row>
    <row r="5620" spans="1:8" ht="13.2">
      <c r="A5620" s="19" t="str">
        <f>HYPERLINK("https://uva.onlinejudge.org/index.php?option=onlinejudge&amp;page=show_problem&amp;problem=288","UVA 352")</f>
        <v>UVA 352</v>
      </c>
      <c r="B5620" s="29" t="s">
        <v>6168</v>
      </c>
      <c r="C5620" s="17">
        <v>2</v>
      </c>
      <c r="D5620" s="18"/>
      <c r="E5620" s="17" t="s">
        <v>6169</v>
      </c>
      <c r="F5620" s="17"/>
      <c r="G5620" s="18"/>
      <c r="H5620" s="18"/>
    </row>
    <row r="5621" spans="1:8" ht="13.2">
      <c r="A5621" s="15" t="s">
        <v>6191</v>
      </c>
      <c r="B5621" s="29" t="s">
        <v>6168</v>
      </c>
      <c r="C5621" s="24">
        <v>2</v>
      </c>
      <c r="D5621" s="18"/>
      <c r="E5621" s="17" t="s">
        <v>6169</v>
      </c>
      <c r="F5621" s="17"/>
      <c r="G5621" s="18"/>
      <c r="H5621" s="18"/>
    </row>
    <row r="5622" spans="1:8" ht="13.2">
      <c r="A5622" s="15" t="s">
        <v>6244</v>
      </c>
      <c r="B5622" s="29" t="s">
        <v>6204</v>
      </c>
      <c r="C5622" s="17">
        <v>2</v>
      </c>
      <c r="D5622" s="18"/>
      <c r="E5622" s="17" t="s">
        <v>6205</v>
      </c>
      <c r="F5622" s="17"/>
      <c r="G5622" s="18"/>
      <c r="H5622" s="18"/>
    </row>
    <row r="5623" spans="1:8" ht="13.2">
      <c r="A5623" s="15" t="s">
        <v>1016</v>
      </c>
      <c r="B5623" s="28" t="s">
        <v>1006</v>
      </c>
      <c r="C5623" s="24">
        <v>2</v>
      </c>
      <c r="D5623" s="18"/>
      <c r="E5623" s="17" t="s">
        <v>997</v>
      </c>
      <c r="F5623" s="17"/>
      <c r="G5623" s="18"/>
      <c r="H5623" s="18"/>
    </row>
    <row r="5624" spans="1:8" ht="13.2">
      <c r="A5624" s="15" t="s">
        <v>6272</v>
      </c>
      <c r="B5624" s="39" t="s">
        <v>6273</v>
      </c>
      <c r="C5624" s="31">
        <v>2</v>
      </c>
      <c r="D5624" s="18"/>
      <c r="E5624" s="17" t="s">
        <v>6246</v>
      </c>
      <c r="F5624" s="17"/>
      <c r="G5624" s="18"/>
      <c r="H5624" s="18"/>
    </row>
    <row r="5625" spans="1:8" ht="13.2">
      <c r="A5625" s="15" t="s">
        <v>1219</v>
      </c>
      <c r="B5625" s="28" t="s">
        <v>1017</v>
      </c>
      <c r="C5625" s="24">
        <v>2</v>
      </c>
      <c r="D5625" s="18"/>
      <c r="E5625" s="17" t="s">
        <v>1018</v>
      </c>
      <c r="F5625" s="17"/>
      <c r="G5625" s="18"/>
      <c r="H5625" s="18"/>
    </row>
    <row r="5626" spans="1:8" ht="13.2">
      <c r="A5626" s="19" t="str">
        <f>HYPERLINK("https://uva.onlinejudge.org/index.php?option=com_onlinejudge&amp;Itemid=8&amp;page=show_problem&amp;problem=3977","UVA 12532")</f>
        <v>UVA 12532</v>
      </c>
      <c r="B5626" s="29" t="s">
        <v>1220</v>
      </c>
      <c r="C5626" s="17">
        <v>2</v>
      </c>
      <c r="D5626" s="18"/>
      <c r="E5626" s="17" t="s">
        <v>1018</v>
      </c>
      <c r="F5626" s="17"/>
      <c r="G5626" s="18"/>
      <c r="H5626" s="18"/>
    </row>
    <row r="5627" spans="1:8" ht="13.2">
      <c r="A5627" s="15" t="s">
        <v>1333</v>
      </c>
      <c r="B5627" s="28" t="s">
        <v>1234</v>
      </c>
      <c r="C5627" s="24">
        <v>2</v>
      </c>
      <c r="D5627" s="18"/>
      <c r="E5627" s="17" t="s">
        <v>1223</v>
      </c>
      <c r="F5627" s="17"/>
      <c r="G5627" s="18"/>
      <c r="H5627" s="18"/>
    </row>
    <row r="5628" spans="1:8" ht="13.2">
      <c r="A5628" s="15" t="s">
        <v>1334</v>
      </c>
      <c r="B5628" s="28" t="s">
        <v>1335</v>
      </c>
      <c r="C5628" s="24">
        <v>2</v>
      </c>
      <c r="D5628" s="18"/>
      <c r="E5628" s="17" t="s">
        <v>1223</v>
      </c>
      <c r="F5628" s="17"/>
      <c r="G5628" s="18"/>
      <c r="H5628" s="18"/>
    </row>
    <row r="5629" spans="1:8" ht="13.2">
      <c r="A5629" s="19" t="str">
        <f>HYPERLINK("http://www.spoj.com/problems/BYTESM2/","SPOJ BYTESM2")</f>
        <v>SPOJ BYTESM2</v>
      </c>
      <c r="B5629" s="18" t="s">
        <v>1348</v>
      </c>
      <c r="C5629" s="17">
        <v>2</v>
      </c>
      <c r="D5629" s="18"/>
      <c r="E5629" s="17" t="s">
        <v>1337</v>
      </c>
      <c r="F5629" s="17"/>
      <c r="G5629" s="18"/>
      <c r="H5629" s="18"/>
    </row>
    <row r="5630" spans="1:8" ht="13.2">
      <c r="A5630" s="15" t="s">
        <v>1685</v>
      </c>
      <c r="B5630" s="30" t="s">
        <v>1348</v>
      </c>
      <c r="C5630" s="24">
        <v>2</v>
      </c>
      <c r="D5630" s="18"/>
      <c r="E5630" s="17" t="s">
        <v>1337</v>
      </c>
      <c r="F5630" s="17"/>
      <c r="G5630" s="18"/>
      <c r="H5630" s="18"/>
    </row>
    <row r="5631" spans="1:8" ht="13.2">
      <c r="A5631" s="15" t="s">
        <v>1686</v>
      </c>
      <c r="B5631" s="15" t="s">
        <v>1687</v>
      </c>
      <c r="C5631" s="24">
        <v>2</v>
      </c>
      <c r="D5631" s="18"/>
      <c r="E5631" s="17" t="s">
        <v>1337</v>
      </c>
      <c r="F5631" s="17"/>
      <c r="G5631" s="18"/>
      <c r="H5631" s="18"/>
    </row>
    <row r="5632" spans="1:8" ht="13.2">
      <c r="A5632" s="15" t="s">
        <v>493</v>
      </c>
      <c r="B5632" s="35" t="s">
        <v>359</v>
      </c>
      <c r="C5632" s="24">
        <v>2</v>
      </c>
      <c r="D5632" s="18"/>
      <c r="E5632" s="17" t="s">
        <v>332</v>
      </c>
      <c r="F5632" s="17"/>
      <c r="G5632" s="18"/>
      <c r="H5632" s="18"/>
    </row>
    <row r="5633" spans="1:8" ht="13.2">
      <c r="A5633" s="15" t="s">
        <v>494</v>
      </c>
      <c r="B5633" s="35" t="s">
        <v>482</v>
      </c>
      <c r="C5633" s="24">
        <v>2</v>
      </c>
      <c r="D5633" s="18"/>
      <c r="E5633" s="17" t="s">
        <v>332</v>
      </c>
      <c r="F5633" s="17"/>
      <c r="G5633" s="18"/>
      <c r="H5633" s="18"/>
    </row>
    <row r="5634" spans="1:8" ht="13.2">
      <c r="A5634" s="15" t="s">
        <v>495</v>
      </c>
      <c r="B5634" s="30" t="s">
        <v>496</v>
      </c>
      <c r="C5634" s="17">
        <v>2</v>
      </c>
      <c r="D5634" s="18"/>
      <c r="E5634" s="17" t="s">
        <v>332</v>
      </c>
      <c r="F5634" s="17"/>
      <c r="G5634" s="18"/>
      <c r="H5634" s="18"/>
    </row>
    <row r="5635" spans="1:8" ht="13.2">
      <c r="A5635" s="15" t="s">
        <v>497</v>
      </c>
      <c r="B5635" s="35" t="s">
        <v>498</v>
      </c>
      <c r="C5635" s="17">
        <v>2</v>
      </c>
      <c r="D5635" s="18"/>
      <c r="E5635" s="17" t="s">
        <v>332</v>
      </c>
      <c r="F5635" s="17"/>
      <c r="G5635" s="18"/>
      <c r="H5635" s="18"/>
    </row>
    <row r="5636" spans="1:8" ht="13.2">
      <c r="A5636" s="15" t="s">
        <v>499</v>
      </c>
      <c r="B5636" s="35" t="s">
        <v>500</v>
      </c>
      <c r="C5636" s="40">
        <v>2</v>
      </c>
      <c r="D5636" s="18"/>
      <c r="E5636" s="17" t="s">
        <v>332</v>
      </c>
      <c r="F5636" s="17"/>
      <c r="G5636" s="18"/>
      <c r="H5636" s="18"/>
    </row>
    <row r="5637" spans="1:8" ht="13.2">
      <c r="A5637" s="15" t="s">
        <v>569</v>
      </c>
      <c r="B5637" s="34" t="s">
        <v>502</v>
      </c>
      <c r="C5637" s="24">
        <v>2</v>
      </c>
      <c r="D5637" s="18"/>
      <c r="E5637" s="17" t="s">
        <v>503</v>
      </c>
      <c r="F5637" s="17"/>
      <c r="G5637" s="18"/>
      <c r="H5637" s="18"/>
    </row>
    <row r="5638" spans="1:8" ht="13.2">
      <c r="A5638" s="15" t="s">
        <v>570</v>
      </c>
      <c r="B5638" s="29" t="s">
        <v>571</v>
      </c>
      <c r="C5638" s="24">
        <v>2</v>
      </c>
      <c r="D5638" s="18"/>
      <c r="E5638" s="17" t="s">
        <v>503</v>
      </c>
      <c r="F5638" s="17"/>
      <c r="G5638" s="18"/>
      <c r="H5638" s="18"/>
    </row>
    <row r="5639" spans="1:8" ht="13.2">
      <c r="A5639" s="15" t="s">
        <v>572</v>
      </c>
      <c r="B5639" s="35" t="s">
        <v>573</v>
      </c>
      <c r="C5639" s="24">
        <v>2</v>
      </c>
      <c r="D5639" s="18"/>
      <c r="E5639" s="17" t="s">
        <v>503</v>
      </c>
      <c r="F5639" s="17"/>
      <c r="G5639" s="18"/>
      <c r="H5639" s="18"/>
    </row>
    <row r="5640" spans="1:8" ht="13.2">
      <c r="A5640" s="19" t="str">
        <f>HYPERLINK("https://agc001.contest.atcoder.jp/tasks/agc001_a","AtCoder001-AGC-A")</f>
        <v>AtCoder001-AGC-A</v>
      </c>
      <c r="B5640" s="15" t="s">
        <v>2248</v>
      </c>
      <c r="C5640" s="17">
        <v>2</v>
      </c>
      <c r="D5640" s="18"/>
      <c r="E5640" s="17" t="s">
        <v>2153</v>
      </c>
      <c r="F5640" s="17"/>
      <c r="G5640" s="18"/>
      <c r="H5640" s="18"/>
    </row>
    <row r="5641" spans="1:8" ht="13.2">
      <c r="A5641" s="15" t="s">
        <v>2438</v>
      </c>
      <c r="B5641" s="29" t="s">
        <v>2439</v>
      </c>
      <c r="C5641" s="17">
        <v>2</v>
      </c>
      <c r="D5641" s="18" t="s">
        <v>2440</v>
      </c>
      <c r="E5641" s="17" t="s">
        <v>2394</v>
      </c>
      <c r="F5641" s="17"/>
      <c r="G5641" s="18"/>
      <c r="H5641" s="18"/>
    </row>
    <row r="5642" spans="1:8" ht="13.2">
      <c r="A5642" s="15" t="s">
        <v>2461</v>
      </c>
      <c r="B5642" s="28" t="s">
        <v>2441</v>
      </c>
      <c r="C5642" s="24">
        <v>2</v>
      </c>
      <c r="D5642" s="18"/>
      <c r="E5642" s="17" t="s">
        <v>2442</v>
      </c>
      <c r="F5642" s="17"/>
      <c r="G5642" s="18"/>
      <c r="H5642" s="18"/>
    </row>
    <row r="5643" spans="1:8" ht="13.2">
      <c r="A5643" s="15" t="s">
        <v>2462</v>
      </c>
      <c r="B5643" s="28" t="s">
        <v>2463</v>
      </c>
      <c r="C5643" s="24">
        <v>2</v>
      </c>
      <c r="D5643" s="18"/>
      <c r="E5643" s="17" t="s">
        <v>2442</v>
      </c>
      <c r="F5643" s="17"/>
      <c r="G5643" s="18"/>
      <c r="H5643" s="18"/>
    </row>
    <row r="5644" spans="1:8" ht="13.2">
      <c r="A5644" s="15" t="s">
        <v>2785</v>
      </c>
      <c r="B5644" s="29" t="s">
        <v>2509</v>
      </c>
      <c r="C5644" s="24">
        <v>2</v>
      </c>
      <c r="D5644" s="18"/>
      <c r="E5644" s="17" t="s">
        <v>2510</v>
      </c>
      <c r="F5644" s="17"/>
      <c r="G5644" s="18"/>
      <c r="H5644" s="18"/>
    </row>
    <row r="5645" spans="1:8" ht="13.2">
      <c r="A5645" s="19" t="str">
        <f>HYPERLINK("https://uva.onlinejudge.org/index.php?option=com_onlinejudge&amp;Itemid=8&amp;page=show_problem&amp;category=24&amp;problem=1162&amp;mosmsg=Submission+received+with+ID+18897095","UVA 10221")</f>
        <v>UVA 10221</v>
      </c>
      <c r="B5645" s="29" t="s">
        <v>2509</v>
      </c>
      <c r="C5645" s="17">
        <v>2</v>
      </c>
      <c r="D5645" s="18"/>
      <c r="E5645" s="17" t="s">
        <v>2510</v>
      </c>
      <c r="F5645" s="17"/>
      <c r="G5645" s="18"/>
      <c r="H5645" s="18"/>
    </row>
    <row r="5646" spans="1:8" ht="13.2">
      <c r="A5646" s="15" t="s">
        <v>2786</v>
      </c>
      <c r="B5646" s="30" t="s">
        <v>2509</v>
      </c>
      <c r="C5646" s="24">
        <v>2</v>
      </c>
      <c r="D5646" s="18" t="s">
        <v>2787</v>
      </c>
      <c r="E5646" s="17" t="s">
        <v>2510</v>
      </c>
      <c r="F5646" s="17"/>
      <c r="G5646" s="18"/>
      <c r="H5646" s="18"/>
    </row>
    <row r="5647" spans="1:8" ht="13.2">
      <c r="A5647" s="19" t="str">
        <f>HYPERLINK("https://www.hackerrank.com/challenges/polar-angles","HACKR polar-angles")</f>
        <v>HACKR polar-angles</v>
      </c>
      <c r="B5647" s="28" t="s">
        <v>2788</v>
      </c>
      <c r="C5647" s="31">
        <v>2</v>
      </c>
      <c r="D5647" s="18"/>
      <c r="E5647" s="17" t="s">
        <v>2510</v>
      </c>
      <c r="F5647" s="17"/>
      <c r="G5647" s="18"/>
      <c r="H5647" s="18"/>
    </row>
    <row r="5648" spans="1:8" ht="13.2">
      <c r="A5648" s="15" t="s">
        <v>2789</v>
      </c>
      <c r="B5648" s="18" t="s">
        <v>2790</v>
      </c>
      <c r="C5648" s="24">
        <v>2</v>
      </c>
      <c r="D5648" s="18"/>
      <c r="E5648" s="17" t="s">
        <v>2510</v>
      </c>
      <c r="F5648" s="17"/>
      <c r="G5648" s="18"/>
      <c r="H5648" s="18"/>
    </row>
    <row r="5649" spans="1:8" ht="13.2">
      <c r="A5649" s="19" t="str">
        <f>HYPERLINK("http://codeforces.com/contest/706/problem/A","CF706-D2-A")</f>
        <v>CF706-D2-A</v>
      </c>
      <c r="B5649" s="15" t="s">
        <v>2565</v>
      </c>
      <c r="C5649" s="24">
        <v>2</v>
      </c>
      <c r="D5649" s="18"/>
      <c r="E5649" s="17" t="s">
        <v>2510</v>
      </c>
      <c r="F5649" s="17"/>
      <c r="G5649" s="18"/>
      <c r="H5649" s="18"/>
    </row>
    <row r="5650" spans="1:8" ht="13.2">
      <c r="A5650" s="15" t="s">
        <v>2791</v>
      </c>
      <c r="B5650" s="15" t="s">
        <v>2565</v>
      </c>
      <c r="C5650" s="24">
        <v>2</v>
      </c>
      <c r="D5650" s="18"/>
      <c r="E5650" s="17" t="s">
        <v>2510</v>
      </c>
      <c r="F5650" s="17"/>
      <c r="G5650" s="18"/>
      <c r="H5650" s="18"/>
    </row>
    <row r="5651" spans="1:8" ht="13.2">
      <c r="A5651" s="15" t="s">
        <v>2792</v>
      </c>
      <c r="B5651" s="30" t="s">
        <v>2793</v>
      </c>
      <c r="C5651" s="24">
        <v>2</v>
      </c>
      <c r="D5651" s="18"/>
      <c r="E5651" s="17" t="s">
        <v>2510</v>
      </c>
      <c r="F5651" s="17"/>
      <c r="G5651" s="18"/>
      <c r="H5651" s="18"/>
    </row>
    <row r="5652" spans="1:8" ht="13.2">
      <c r="A5652" s="15" t="s">
        <v>2794</v>
      </c>
      <c r="B5652" s="29" t="s">
        <v>2526</v>
      </c>
      <c r="C5652" s="17">
        <v>2</v>
      </c>
      <c r="D5652" s="26" t="str">
        <f>HYPERLINK("https://github.com/MichaelMounir12/CompetitiveProgramming/blob/master/Contests/SuperVision-Contest-33139/ZOJ_1496.cpp","Sol")</f>
        <v>Sol</v>
      </c>
      <c r="E5652" s="17" t="s">
        <v>2510</v>
      </c>
      <c r="F5652" s="17"/>
      <c r="G5652" s="18"/>
      <c r="H5652" s="18"/>
    </row>
    <row r="5653" spans="1:8" ht="13.2">
      <c r="A5653" s="19" t="str">
        <f>HYPERLINK("https://www.hackerrank.com/challenges/points-on-rectangle","HACKR points-on-rectangle")</f>
        <v>HACKR points-on-rectangle</v>
      </c>
      <c r="B5653" s="38" t="s">
        <v>2543</v>
      </c>
      <c r="C5653" s="17">
        <v>2</v>
      </c>
      <c r="D5653" s="18"/>
      <c r="E5653" s="17" t="s">
        <v>2510</v>
      </c>
      <c r="F5653" s="17"/>
      <c r="G5653" s="18"/>
      <c r="H5653" s="18"/>
    </row>
    <row r="5654" spans="1:8" ht="13.2">
      <c r="A5654" s="19" t="str">
        <f>HYPERLINK("http://codeforces.com/contest/593/problem/B","CF593-D2-B")</f>
        <v>CF593-D2-B</v>
      </c>
      <c r="B5654" s="15" t="s">
        <v>2795</v>
      </c>
      <c r="C5654" s="24">
        <v>2</v>
      </c>
      <c r="D5654" s="18"/>
      <c r="E5654" s="17" t="s">
        <v>2510</v>
      </c>
      <c r="F5654" s="17"/>
      <c r="G5654" s="18"/>
      <c r="H5654" s="18"/>
    </row>
    <row r="5655" spans="1:8" ht="13.2">
      <c r="A5655" s="19" t="str">
        <f>HYPERLINK("http://codeforces.com/contest/671/problem/A","CF671-D1-A")</f>
        <v>CF671-D1-A</v>
      </c>
      <c r="B5655" s="15" t="s">
        <v>2795</v>
      </c>
      <c r="C5655" s="40">
        <v>2</v>
      </c>
      <c r="D5655" s="18"/>
      <c r="E5655" s="17" t="s">
        <v>2510</v>
      </c>
      <c r="F5655" s="17"/>
      <c r="G5655" s="18"/>
      <c r="H5655" s="18"/>
    </row>
    <row r="5656" spans="1:8" ht="13.2">
      <c r="A5656" s="19" t="str">
        <f>HYPERLINK("https://uva.onlinejudge.org/index.php?option=onlinejudge&amp;page=show_problem&amp;problem=4601","UVA 12748")</f>
        <v>UVA 12748</v>
      </c>
      <c r="B5656" s="29" t="s">
        <v>2862</v>
      </c>
      <c r="C5656" s="17">
        <v>2</v>
      </c>
      <c r="D5656" s="26" t="str">
        <f>HYPERLINK("https://github.com/MeGaCrazy/CompetitiveProgramming/blob/29ebad1d90e70a17ac4e646e5f049b980fb777de/UVA/UVA_12748.cpp","Sol")</f>
        <v>Sol</v>
      </c>
      <c r="E5656" s="17" t="s">
        <v>2798</v>
      </c>
      <c r="F5656" s="17"/>
      <c r="G5656" s="18"/>
      <c r="H5656" s="18"/>
    </row>
    <row r="5657" spans="1:8" ht="13.2">
      <c r="A5657" s="15" t="s">
        <v>2943</v>
      </c>
      <c r="B5657" s="28" t="s">
        <v>2871</v>
      </c>
      <c r="C5657" s="24">
        <v>2</v>
      </c>
      <c r="D5657" s="18"/>
      <c r="E5657" s="24" t="s">
        <v>2865</v>
      </c>
      <c r="F5657" s="17"/>
      <c r="G5657" s="18"/>
      <c r="H5657" s="18"/>
    </row>
    <row r="5658" spans="1:8" ht="13.2">
      <c r="A5658" s="15" t="s">
        <v>2944</v>
      </c>
      <c r="B5658" s="29" t="s">
        <v>2945</v>
      </c>
      <c r="C5658" s="24">
        <v>2</v>
      </c>
      <c r="D5658" s="18"/>
      <c r="E5658" s="17" t="s">
        <v>2865</v>
      </c>
      <c r="F5658" s="17"/>
      <c r="G5658" s="18"/>
      <c r="H5658" s="18"/>
    </row>
    <row r="5659" spans="1:8" ht="13.2">
      <c r="A5659" s="15" t="s">
        <v>652</v>
      </c>
      <c r="B5659" s="28" t="s">
        <v>587</v>
      </c>
      <c r="C5659" s="24">
        <v>2</v>
      </c>
      <c r="D5659" s="18"/>
      <c r="E5659" s="17" t="s">
        <v>575</v>
      </c>
      <c r="F5659" s="17"/>
      <c r="G5659" s="18"/>
      <c r="H5659" s="18"/>
    </row>
    <row r="5660" spans="1:8" ht="13.2">
      <c r="A5660" s="15" t="s">
        <v>3037</v>
      </c>
      <c r="B5660" s="29" t="s">
        <v>3038</v>
      </c>
      <c r="C5660" s="17">
        <v>2</v>
      </c>
      <c r="D5660" s="18"/>
      <c r="E5660" s="17" t="s">
        <v>2948</v>
      </c>
      <c r="F5660" s="17"/>
      <c r="G5660" s="18"/>
      <c r="H5660" s="18"/>
    </row>
    <row r="5661" spans="1:8" ht="13.2">
      <c r="A5661" s="15" t="s">
        <v>3126</v>
      </c>
      <c r="B5661" s="30" t="s">
        <v>3127</v>
      </c>
      <c r="C5661" s="24">
        <v>2</v>
      </c>
      <c r="D5661" s="26" t="str">
        <f>HYPERLINK("https://github.com/MeGaCrazy/CompetitiveProgramming/blob/c0be86b2a38768b19efa8a1665febb1b03a9edd6/UVA/UVA_10002.cpp","Sol")</f>
        <v>Sol</v>
      </c>
      <c r="E5661" s="17" t="s">
        <v>3065</v>
      </c>
      <c r="F5661" s="17"/>
      <c r="G5661" s="18"/>
      <c r="H5661" s="18"/>
    </row>
    <row r="5662" spans="1:8" ht="13.2">
      <c r="A5662" s="19" t="str">
        <f>HYPERLINK("http://codeforces.com/contest/441/problem/C","CF441-D2-C")</f>
        <v>CF441-D2-C</v>
      </c>
      <c r="B5662" s="36" t="s">
        <v>3322</v>
      </c>
      <c r="C5662" s="17">
        <v>2</v>
      </c>
      <c r="D5662" s="18"/>
      <c r="E5662" s="17" t="s">
        <v>3257</v>
      </c>
      <c r="F5662" s="17"/>
      <c r="G5662" s="18"/>
      <c r="H5662" s="18"/>
    </row>
    <row r="5663" spans="1:8" ht="13.2">
      <c r="A5663" s="15" t="s">
        <v>3631</v>
      </c>
      <c r="B5663" s="30" t="s">
        <v>3466</v>
      </c>
      <c r="C5663" s="24">
        <v>2</v>
      </c>
      <c r="D5663" s="18"/>
      <c r="E5663" s="17" t="s">
        <v>3467</v>
      </c>
      <c r="F5663" s="17"/>
      <c r="G5663" s="18"/>
      <c r="H5663" s="18"/>
    </row>
    <row r="5664" spans="1:8" ht="13.2">
      <c r="A5664" s="19" t="str">
        <f>HYPERLINK("https://uva.onlinejudge.org/index.php?option=com_onlinejudge&amp;Itemid=8&amp;page=show_problem&amp;problem=1285","UVA 10344")</f>
        <v>UVA 10344</v>
      </c>
      <c r="B5664" s="29" t="s">
        <v>657</v>
      </c>
      <c r="C5664" s="17">
        <v>2</v>
      </c>
      <c r="D5664" s="18"/>
      <c r="E5664" s="17" t="s">
        <v>655</v>
      </c>
      <c r="F5664" s="17"/>
      <c r="G5664" s="18"/>
      <c r="H5664" s="18"/>
    </row>
    <row r="5665" spans="1:8" ht="13.2">
      <c r="A5665" s="15" t="s">
        <v>3779</v>
      </c>
      <c r="B5665" s="29" t="s">
        <v>3649</v>
      </c>
      <c r="C5665" s="24">
        <v>2</v>
      </c>
      <c r="D5665" s="18"/>
      <c r="E5665" s="17" t="s">
        <v>3650</v>
      </c>
      <c r="F5665" s="17"/>
      <c r="G5665" s="18"/>
      <c r="H5665" s="18"/>
    </row>
    <row r="5666" spans="1:8" ht="13.2">
      <c r="A5666" s="15" t="s">
        <v>3780</v>
      </c>
      <c r="B5666" s="28" t="s">
        <v>3781</v>
      </c>
      <c r="C5666" s="17">
        <v>2</v>
      </c>
      <c r="D5666" s="18"/>
      <c r="E5666" s="17" t="s">
        <v>3650</v>
      </c>
      <c r="F5666" s="17"/>
      <c r="G5666" s="18"/>
      <c r="H5666" s="18"/>
    </row>
    <row r="5667" spans="1:8" ht="13.2">
      <c r="A5667" s="15" t="s">
        <v>3875</v>
      </c>
      <c r="B5667" s="30" t="s">
        <v>3791</v>
      </c>
      <c r="C5667" s="24">
        <v>2</v>
      </c>
      <c r="D5667" s="18"/>
      <c r="E5667" s="17" t="s">
        <v>3784</v>
      </c>
      <c r="F5667" s="17"/>
      <c r="G5667" s="18"/>
      <c r="H5667" s="18"/>
    </row>
    <row r="5668" spans="1:8" ht="13.2">
      <c r="A5668" s="15" t="s">
        <v>3876</v>
      </c>
      <c r="B5668" s="30" t="s">
        <v>3791</v>
      </c>
      <c r="C5668" s="24">
        <v>2</v>
      </c>
      <c r="D5668" s="18"/>
      <c r="E5668" s="17" t="s">
        <v>3784</v>
      </c>
      <c r="F5668" s="17"/>
      <c r="G5668" s="18"/>
      <c r="H5668" s="18"/>
    </row>
    <row r="5669" spans="1:8" ht="13.2">
      <c r="A5669" s="15" t="s">
        <v>3877</v>
      </c>
      <c r="B5669" s="29" t="s">
        <v>3878</v>
      </c>
      <c r="C5669" s="17">
        <v>2</v>
      </c>
      <c r="D5669" s="18"/>
      <c r="E5669" s="17" t="s">
        <v>3784</v>
      </c>
      <c r="F5669" s="17"/>
      <c r="G5669" s="18"/>
      <c r="H5669" s="18"/>
    </row>
    <row r="5670" spans="1:8" ht="13.2">
      <c r="A5670" s="15" t="s">
        <v>3879</v>
      </c>
      <c r="B5670" s="29" t="s">
        <v>3880</v>
      </c>
      <c r="C5670" s="24">
        <v>2</v>
      </c>
      <c r="D5670" s="18"/>
      <c r="E5670" s="17" t="s">
        <v>3784</v>
      </c>
      <c r="F5670" s="17"/>
      <c r="G5670" s="18"/>
      <c r="H5670" s="18"/>
    </row>
    <row r="5671" spans="1:8" ht="13.2">
      <c r="A5671" s="15" t="s">
        <v>3951</v>
      </c>
      <c r="B5671" s="18" t="s">
        <v>3886</v>
      </c>
      <c r="C5671" s="17">
        <v>2</v>
      </c>
      <c r="D5671" s="26" t="str">
        <f>HYPERLINK("https://github.com/VAMPIER000001/CompetitiveProgramming/blob/master/UVA/V-11/UVA%201174.Cpp","Sol")</f>
        <v>Sol</v>
      </c>
      <c r="E5671" s="17" t="s">
        <v>3883</v>
      </c>
      <c r="F5671" s="17"/>
      <c r="G5671" s="18"/>
      <c r="H5671" s="18"/>
    </row>
    <row r="5672" spans="1:8" ht="13.2">
      <c r="A5672" s="15" t="s">
        <v>3952</v>
      </c>
      <c r="B5672" s="28" t="s">
        <v>3953</v>
      </c>
      <c r="C5672" s="17">
        <v>2</v>
      </c>
      <c r="D5672" s="18"/>
      <c r="E5672" s="24" t="s">
        <v>3883</v>
      </c>
      <c r="F5672" s="17"/>
      <c r="G5672" s="18"/>
      <c r="H5672" s="18"/>
    </row>
    <row r="5673" spans="1:8" ht="13.2">
      <c r="A5673" s="15" t="s">
        <v>4056</v>
      </c>
      <c r="B5673" s="30" t="s">
        <v>4006</v>
      </c>
      <c r="C5673" s="17">
        <v>2</v>
      </c>
      <c r="D5673" s="18"/>
      <c r="E5673" s="17" t="s">
        <v>3998</v>
      </c>
      <c r="F5673" s="17"/>
      <c r="G5673" s="18"/>
      <c r="H5673" s="18"/>
    </row>
    <row r="5674" spans="1:8" ht="13.2">
      <c r="A5674" s="15" t="s">
        <v>4057</v>
      </c>
      <c r="B5674" s="28" t="s">
        <v>4058</v>
      </c>
      <c r="C5674" s="24">
        <v>2</v>
      </c>
      <c r="D5674" s="18"/>
      <c r="E5674" s="17" t="s">
        <v>3998</v>
      </c>
      <c r="F5674" s="17"/>
      <c r="G5674" s="18"/>
      <c r="H5674" s="18"/>
    </row>
    <row r="5675" spans="1:8" ht="13.2">
      <c r="A5675" s="19" t="str">
        <f>HYPERLINK("https://uva.onlinejudge.org/index.php?option=com_onlinejudge&amp;Itemid=8&amp;page=show_problem&amp;problem=1047","UVA 10106")</f>
        <v>UVA 10106</v>
      </c>
      <c r="B5675" s="29" t="s">
        <v>4530</v>
      </c>
      <c r="C5675" s="17">
        <v>2</v>
      </c>
      <c r="D5675" s="18"/>
      <c r="E5675" s="17" t="s">
        <v>4531</v>
      </c>
      <c r="F5675" s="17"/>
      <c r="G5675" s="18"/>
      <c r="H5675" s="18"/>
    </row>
    <row r="5676" spans="1:8" ht="13.2">
      <c r="A5676" s="19" t="str">
        <f>HYPERLINK("https://uva.onlinejudge.org/index.php?option=onlinejudge&amp;page=show_problem&amp;problem=1410","UVA 10469")</f>
        <v>UVA 10469</v>
      </c>
      <c r="B5676" s="29" t="s">
        <v>4530</v>
      </c>
      <c r="C5676" s="17">
        <v>2</v>
      </c>
      <c r="D5676" s="26" t="str">
        <f>HYPERLINK("https://github.com/Diusrex/UVA-Solutions/blob/master/10469%20To%20Carry%20or%20not%20to%20Carry.cpp","Sol")</f>
        <v>Sol</v>
      </c>
      <c r="E5676" s="17" t="s">
        <v>4531</v>
      </c>
      <c r="F5676" s="17"/>
      <c r="G5676" s="18"/>
      <c r="H5676" s="18"/>
    </row>
    <row r="5677" spans="1:8" ht="13.2">
      <c r="A5677" s="19" t="str">
        <f>HYPERLINK("https://uva.onlinejudge.org/index.php?option=onlinejudge&amp;page=show_problem&amp;problem=654","UVA 713")</f>
        <v>UVA 713</v>
      </c>
      <c r="B5677" s="29" t="s">
        <v>4530</v>
      </c>
      <c r="C5677" s="17">
        <v>2</v>
      </c>
      <c r="D5677" s="18"/>
      <c r="E5677" s="17" t="s">
        <v>4531</v>
      </c>
      <c r="F5677" s="17"/>
      <c r="G5677" s="18"/>
      <c r="H5677" s="18"/>
    </row>
    <row r="5678" spans="1:8" ht="13.2">
      <c r="A5678" s="15" t="s">
        <v>4747</v>
      </c>
      <c r="B5678" s="30" t="s">
        <v>4748</v>
      </c>
      <c r="C5678" s="24">
        <v>2</v>
      </c>
      <c r="D5678" s="18"/>
      <c r="E5678" s="17" t="s">
        <v>4531</v>
      </c>
      <c r="F5678" s="17"/>
      <c r="G5678" s="18"/>
      <c r="H5678" s="18"/>
    </row>
    <row r="5679" spans="1:8" ht="13.2">
      <c r="A5679" s="15" t="s">
        <v>795</v>
      </c>
      <c r="B5679" s="35" t="s">
        <v>756</v>
      </c>
      <c r="C5679" s="24">
        <v>2</v>
      </c>
      <c r="D5679" s="18"/>
      <c r="E5679" s="17" t="s">
        <v>741</v>
      </c>
      <c r="F5679" s="17"/>
      <c r="G5679" s="18"/>
      <c r="H5679" s="18"/>
    </row>
    <row r="5680" spans="1:8" ht="13.2">
      <c r="A5680" s="15" t="s">
        <v>4764</v>
      </c>
      <c r="B5680" s="28" t="s">
        <v>4765</v>
      </c>
      <c r="C5680" s="24">
        <v>2</v>
      </c>
      <c r="D5680" s="18"/>
      <c r="E5680" s="24" t="s">
        <v>4751</v>
      </c>
      <c r="F5680" s="17"/>
      <c r="G5680" s="18"/>
      <c r="H5680" s="18"/>
    </row>
    <row r="5681" spans="1:8" ht="13.2">
      <c r="A5681" s="15" t="s">
        <v>4775</v>
      </c>
      <c r="B5681" s="30" t="s">
        <v>4776</v>
      </c>
      <c r="C5681" s="17">
        <v>2</v>
      </c>
      <c r="D5681" s="18"/>
      <c r="E5681" s="17" t="s">
        <v>4767</v>
      </c>
      <c r="F5681" s="17"/>
      <c r="G5681" s="18"/>
      <c r="H5681" s="18"/>
    </row>
    <row r="5682" spans="1:8" ht="13.2">
      <c r="A5682" s="15" t="s">
        <v>4806</v>
      </c>
      <c r="B5682" s="30" t="s">
        <v>4807</v>
      </c>
      <c r="C5682" s="24">
        <v>2</v>
      </c>
      <c r="D5682" s="18"/>
      <c r="E5682" s="17" t="s">
        <v>4778</v>
      </c>
      <c r="F5682" s="17"/>
      <c r="G5682" s="18"/>
      <c r="H5682" s="18"/>
    </row>
    <row r="5683" spans="1:8" ht="13.2">
      <c r="A5683" s="19" t="str">
        <f>HYPERLINK("https://uva.onlinejudge.org/index.php?option=onlinejudge&amp;page=show_problem&amp;problem=305","UVA 369")</f>
        <v>UVA 369</v>
      </c>
      <c r="B5683" s="29" t="s">
        <v>4862</v>
      </c>
      <c r="C5683" s="17">
        <v>2</v>
      </c>
      <c r="D5683" s="18"/>
      <c r="E5683" s="17" t="s">
        <v>4809</v>
      </c>
      <c r="F5683" s="17"/>
      <c r="G5683" s="18"/>
      <c r="H5683" s="18"/>
    </row>
    <row r="5684" spans="1:8" ht="13.2">
      <c r="A5684" s="15" t="s">
        <v>4863</v>
      </c>
      <c r="B5684" s="28" t="s">
        <v>4864</v>
      </c>
      <c r="C5684" s="24">
        <v>2</v>
      </c>
      <c r="D5684" s="18"/>
      <c r="E5684" s="17" t="s">
        <v>4809</v>
      </c>
      <c r="F5684" s="17"/>
      <c r="G5684" s="18"/>
      <c r="H5684" s="18"/>
    </row>
    <row r="5685" spans="1:8" ht="13.2">
      <c r="A5685" s="15" t="s">
        <v>4929</v>
      </c>
      <c r="B5685" s="29" t="s">
        <v>4907</v>
      </c>
      <c r="C5685" s="24">
        <v>2</v>
      </c>
      <c r="D5685" s="18"/>
      <c r="E5685" s="17" t="s">
        <v>4893</v>
      </c>
      <c r="F5685" s="17"/>
      <c r="G5685" s="18"/>
      <c r="H5685" s="18"/>
    </row>
    <row r="5686" spans="1:8" ht="13.2">
      <c r="A5686" s="19" t="str">
        <f>HYPERLINK("https://www.hackerrank.com/challenges/antipalindromic-strings","HACKR antipalindromic-strings")</f>
        <v>HACKR antipalindromic-strings</v>
      </c>
      <c r="B5686" s="29" t="s">
        <v>5000</v>
      </c>
      <c r="C5686" s="24">
        <v>2</v>
      </c>
      <c r="D5686" s="18"/>
      <c r="E5686" s="17" t="s">
        <v>4958</v>
      </c>
      <c r="F5686" s="17"/>
      <c r="G5686" s="18"/>
      <c r="H5686" s="18"/>
    </row>
    <row r="5687" spans="1:8" ht="13.2">
      <c r="A5687" s="15" t="s">
        <v>5127</v>
      </c>
      <c r="B5687" s="28" t="s">
        <v>5085</v>
      </c>
      <c r="C5687" s="24">
        <v>2</v>
      </c>
      <c r="D5687" s="18"/>
      <c r="E5687" s="24" t="s">
        <v>5075</v>
      </c>
      <c r="F5687" s="17"/>
      <c r="G5687" s="18"/>
      <c r="H5687" s="18"/>
    </row>
    <row r="5688" spans="1:8" ht="13.2">
      <c r="A5688" s="15" t="s">
        <v>5128</v>
      </c>
      <c r="B5688" s="28" t="s">
        <v>5085</v>
      </c>
      <c r="C5688" s="24">
        <v>2</v>
      </c>
      <c r="D5688" s="18"/>
      <c r="E5688" s="24" t="s">
        <v>5075</v>
      </c>
      <c r="F5688" s="17"/>
      <c r="G5688" s="18"/>
      <c r="H5688" s="18"/>
    </row>
    <row r="5689" spans="1:8" ht="13.2">
      <c r="A5689" s="19" t="str">
        <f>HYPERLINK("https://uva.onlinejudge.org/index.php?option=com_onlinejudge&amp;Itemid=8&amp;page=show_problem&amp;problem=1640","UVA 10699")</f>
        <v>UVA 10699</v>
      </c>
      <c r="B5689" s="29" t="s">
        <v>5085</v>
      </c>
      <c r="C5689" s="17">
        <v>2</v>
      </c>
      <c r="D5689" s="18"/>
      <c r="E5689" s="17" t="s">
        <v>5075</v>
      </c>
      <c r="F5689" s="17"/>
      <c r="G5689" s="18"/>
      <c r="H5689" s="18"/>
    </row>
    <row r="5690" spans="1:8" ht="13.2">
      <c r="A5690" s="15" t="s">
        <v>5129</v>
      </c>
      <c r="B5690" s="28" t="s">
        <v>5085</v>
      </c>
      <c r="C5690" s="24">
        <v>2</v>
      </c>
      <c r="D5690" s="26" t="str">
        <f>HYPERLINK("https://raw.githubusercontent.com/NadaAlaa/CompetitiveProgramming/master/LiveArchive/2557.cpp","Solve in O(1)")</f>
        <v>Solve in O(1)</v>
      </c>
      <c r="E5690" s="17" t="s">
        <v>5075</v>
      </c>
      <c r="F5690" s="17"/>
      <c r="G5690" s="18"/>
      <c r="H5690" s="18"/>
    </row>
    <row r="5691" spans="1:8" ht="13.2">
      <c r="A5691" s="19" t="str">
        <f>HYPERLINK("https://uva.onlinejudge.org/index.php?option=com_onlinejudge&amp;Itemid=8&amp;page=show_problem&amp;problem=318","UVA 382")</f>
        <v>UVA 382</v>
      </c>
      <c r="B5691" s="29" t="s">
        <v>5085</v>
      </c>
      <c r="C5691" s="17">
        <v>2</v>
      </c>
      <c r="D5691" s="18"/>
      <c r="E5691" s="17" t="s">
        <v>5075</v>
      </c>
      <c r="F5691" s="17"/>
      <c r="G5691" s="18"/>
      <c r="H5691" s="18"/>
    </row>
    <row r="5692" spans="1:8" ht="13.2">
      <c r="A5692" s="19" t="str">
        <f>HYPERLINK("https://uva.onlinejudge.org/index.php?option=com_onlinejudge&amp;Itemid=8&amp;page=show_problem&amp;problem=524","UVA 583")</f>
        <v>UVA 583</v>
      </c>
      <c r="B5692" s="29" t="s">
        <v>5085</v>
      </c>
      <c r="C5692" s="17">
        <v>2</v>
      </c>
      <c r="D5692" s="18"/>
      <c r="E5692" s="17" t="s">
        <v>5075</v>
      </c>
      <c r="F5692" s="17"/>
      <c r="G5692" s="18"/>
      <c r="H5692" s="18"/>
    </row>
    <row r="5693" spans="1:8" ht="13.2">
      <c r="A5693" s="15" t="s">
        <v>5130</v>
      </c>
      <c r="B5693" s="28" t="s">
        <v>5131</v>
      </c>
      <c r="C5693" s="24">
        <v>2</v>
      </c>
      <c r="D5693" s="18"/>
      <c r="E5693" s="17" t="s">
        <v>5075</v>
      </c>
      <c r="F5693" s="17"/>
      <c r="G5693" s="18"/>
      <c r="H5693" s="18"/>
    </row>
    <row r="5694" spans="1:8" ht="13.2">
      <c r="A5694" s="19" t="str">
        <f>HYPERLINK("https://uva.onlinejudge.org/index.php?option=com_onlinejudge&amp;Itemid=8&amp;page=show_problem&amp;problem=230","UVA 294")</f>
        <v>UVA 294</v>
      </c>
      <c r="B5694" s="29" t="s">
        <v>5126</v>
      </c>
      <c r="C5694" s="17">
        <v>2</v>
      </c>
      <c r="D5694" s="18"/>
      <c r="E5694" s="17" t="s">
        <v>5075</v>
      </c>
      <c r="F5694" s="17"/>
      <c r="G5694" s="18"/>
      <c r="H5694" s="18"/>
    </row>
    <row r="5695" spans="1:8" ht="13.2">
      <c r="A5695" s="15" t="s">
        <v>5165</v>
      </c>
      <c r="B5695" s="37" t="s">
        <v>5139</v>
      </c>
      <c r="C5695" s="24">
        <v>2</v>
      </c>
      <c r="D5695" s="18"/>
      <c r="E5695" s="17" t="s">
        <v>5134</v>
      </c>
      <c r="F5695" s="17"/>
      <c r="G5695" s="18"/>
      <c r="H5695" s="18"/>
    </row>
    <row r="5696" spans="1:8" ht="13.2">
      <c r="A5696" s="19" t="str">
        <f>HYPERLINK("https://uva.onlinejudge.org/index.php?option=com_onlinejudge&amp;Itemid=8&amp;page=show_problem&amp;problem=1724","UVA 10783")</f>
        <v>UVA 10783</v>
      </c>
      <c r="B5696" s="29" t="s">
        <v>5214</v>
      </c>
      <c r="C5696" s="17">
        <v>2</v>
      </c>
      <c r="D5696" s="18"/>
      <c r="E5696" s="17" t="s">
        <v>5168</v>
      </c>
      <c r="F5696" s="17"/>
      <c r="G5696" s="18"/>
      <c r="H5696" s="18"/>
    </row>
    <row r="5697" spans="1:8" ht="13.2">
      <c r="A5697" s="15" t="s">
        <v>5232</v>
      </c>
      <c r="B5697" s="28" t="s">
        <v>5233</v>
      </c>
      <c r="C5697" s="24">
        <v>2</v>
      </c>
      <c r="D5697" s="18"/>
      <c r="E5697" s="17" t="s">
        <v>5168</v>
      </c>
      <c r="F5697" s="17"/>
      <c r="G5697" s="18"/>
      <c r="H5697" s="18"/>
    </row>
    <row r="5698" spans="1:8" ht="13.2">
      <c r="A5698" s="15" t="s">
        <v>907</v>
      </c>
      <c r="B5698" s="35" t="s">
        <v>908</v>
      </c>
      <c r="C5698" s="24">
        <v>2</v>
      </c>
      <c r="D5698" s="18"/>
      <c r="E5698" s="17" t="s">
        <v>805</v>
      </c>
      <c r="F5698" s="17"/>
      <c r="G5698" s="18"/>
      <c r="H5698" s="18"/>
    </row>
    <row r="5699" spans="1:8" ht="13.2">
      <c r="A5699" s="15" t="s">
        <v>5409</v>
      </c>
      <c r="B5699" s="29" t="s">
        <v>5371</v>
      </c>
      <c r="C5699" s="17">
        <v>2</v>
      </c>
      <c r="D5699" s="18"/>
      <c r="E5699" s="17" t="s">
        <v>5346</v>
      </c>
      <c r="F5699" s="17"/>
      <c r="G5699" s="18"/>
      <c r="H5699" s="18"/>
    </row>
    <row r="5700" spans="1:8" ht="13.2">
      <c r="A5700" s="15" t="s">
        <v>5410</v>
      </c>
      <c r="B5700" s="29" t="s">
        <v>5411</v>
      </c>
      <c r="C5700" s="17">
        <v>2</v>
      </c>
      <c r="D5700" s="26" t="str">
        <f>HYPERLINK("https://www.probabilitycourse.com/","Revise Probability")</f>
        <v>Revise Probability</v>
      </c>
      <c r="E5700" s="17" t="s">
        <v>5346</v>
      </c>
      <c r="F5700" s="17"/>
      <c r="G5700" s="18"/>
      <c r="H5700" s="18"/>
    </row>
    <row r="5701" spans="1:8" ht="13.2">
      <c r="A5701" s="15" t="s">
        <v>5496</v>
      </c>
      <c r="B5701" s="30" t="s">
        <v>5416</v>
      </c>
      <c r="C5701" s="24">
        <v>2</v>
      </c>
      <c r="D5701" s="18"/>
      <c r="E5701" s="17" t="s">
        <v>5414</v>
      </c>
      <c r="F5701" s="17"/>
      <c r="G5701" s="18"/>
      <c r="H5701" s="18"/>
    </row>
    <row r="5702" spans="1:8" ht="13.2">
      <c r="A5702" s="15" t="s">
        <v>5497</v>
      </c>
      <c r="B5702" s="30" t="s">
        <v>5416</v>
      </c>
      <c r="C5702" s="24">
        <v>2</v>
      </c>
      <c r="D5702" s="18"/>
      <c r="E5702" s="17" t="s">
        <v>5414</v>
      </c>
      <c r="F5702" s="17"/>
      <c r="G5702" s="18"/>
      <c r="H5702" s="18"/>
    </row>
    <row r="5703" spans="1:8" ht="13.2">
      <c r="A5703" s="15" t="s">
        <v>5498</v>
      </c>
      <c r="B5703" s="28" t="s">
        <v>5424</v>
      </c>
      <c r="C5703" s="24">
        <v>2</v>
      </c>
      <c r="D5703" s="18"/>
      <c r="E5703" s="24" t="s">
        <v>5414</v>
      </c>
      <c r="F5703" s="17"/>
      <c r="G5703" s="18"/>
      <c r="H5703" s="18"/>
    </row>
    <row r="5704" spans="1:8" ht="13.2">
      <c r="A5704" s="19" t="str">
        <f>HYPERLINK("https://uva.onlinejudge.org/index.php?option=onlinejudge&amp;page=show_problem&amp;problem=1753","UVA 10812")</f>
        <v>UVA 10812</v>
      </c>
      <c r="B5704" s="29" t="s">
        <v>5216</v>
      </c>
      <c r="C5704" s="17">
        <v>1</v>
      </c>
      <c r="D5704" s="18"/>
      <c r="E5704" s="17" t="s">
        <v>5168</v>
      </c>
      <c r="F5704" s="17"/>
      <c r="G5704" s="18"/>
      <c r="H5704" s="18"/>
    </row>
    <row r="5705" spans="1:8" ht="13.2">
      <c r="A5705" s="19" t="str">
        <f>HYPERLINK("https://codeforces.com/problemset/problem/1254/D", "CF1254-D1-D")</f>
        <v>CF1254-D1-D</v>
      </c>
      <c r="B5705" s="20" t="s">
        <v>6343</v>
      </c>
      <c r="C5705" s="17"/>
      <c r="D5705" s="18"/>
      <c r="E5705" s="17" t="s">
        <v>6311</v>
      </c>
      <c r="F5705" s="17" t="s">
        <v>139</v>
      </c>
      <c r="G5705" s="18"/>
      <c r="H5705" s="18"/>
    </row>
    <row r="5706" spans="1:8" ht="13.2">
      <c r="A5706" s="19" t="str">
        <f>HYPERLINK("https://codeforces.com/problemset/problem/1225/G", "CF1225-D12-G")</f>
        <v>CF1225-D12-G</v>
      </c>
      <c r="B5706" s="20" t="s">
        <v>1688</v>
      </c>
      <c r="C5706" s="17"/>
      <c r="D5706" s="18"/>
      <c r="E5706" s="17" t="s">
        <v>1337</v>
      </c>
      <c r="F5706" s="17" t="s">
        <v>139</v>
      </c>
      <c r="G5706" s="18"/>
      <c r="H5706" s="18"/>
    </row>
    <row r="5707" spans="1:8" ht="13.2">
      <c r="A5707" s="19" t="s">
        <v>2464</v>
      </c>
      <c r="B5707" s="25" t="s">
        <v>2465</v>
      </c>
      <c r="C5707" s="17"/>
      <c r="D5707" s="26" t="str">
        <f>HYPERLINK("https://github.com/taow-com-prog/problemsolving/blob/master/CodeForces/CF102394-G.cpp","Sol")</f>
        <v>Sol</v>
      </c>
      <c r="E5707" s="17" t="s">
        <v>2442</v>
      </c>
      <c r="F5707" s="17" t="s">
        <v>139</v>
      </c>
      <c r="G5707" s="18"/>
      <c r="H5707" s="18"/>
    </row>
    <row r="5708" spans="1:8" ht="13.2">
      <c r="A5708" s="19" t="s">
        <v>3434</v>
      </c>
      <c r="B5708" s="25" t="s">
        <v>3435</v>
      </c>
      <c r="C5708" s="17"/>
      <c r="D5708" s="26" t="str">
        <f>HYPERLINK("https://github.com/taow-com-prog/problemsolving/blob/master/CodeForces/CF102394-A.cpp","Sol")</f>
        <v>Sol</v>
      </c>
      <c r="E5708" s="17" t="s">
        <v>3257</v>
      </c>
      <c r="F5708" s="17" t="s">
        <v>139</v>
      </c>
      <c r="G5708" s="18"/>
      <c r="H5708" s="18"/>
    </row>
    <row r="5709" spans="1:8" ht="13.2">
      <c r="A5709" s="19" t="str">
        <f>HYPERLINK("https://codeforces.com/problemset/problem/1225/F", "CF1225-D12-F")</f>
        <v>CF1225-D12-F</v>
      </c>
      <c r="B5709" s="20" t="s">
        <v>3436</v>
      </c>
      <c r="C5709" s="17"/>
      <c r="D5709" s="18"/>
      <c r="E5709" s="17" t="s">
        <v>3257</v>
      </c>
      <c r="F5709" s="17" t="s">
        <v>139</v>
      </c>
      <c r="G5709" s="18"/>
      <c r="H5709" s="18"/>
    </row>
    <row r="5710" spans="1:8" ht="13.2">
      <c r="A5710" s="19" t="str">
        <f>HYPERLINK("https://codeforces.com/problemset/problem/1254/E", "CF1254-D1-E")</f>
        <v>CF1254-D1-E</v>
      </c>
      <c r="B5710" s="20" t="s">
        <v>5040</v>
      </c>
      <c r="C5710" s="17"/>
      <c r="D5710" s="18"/>
      <c r="E5710" s="17" t="s">
        <v>4958</v>
      </c>
      <c r="F5710" s="17" t="s">
        <v>139</v>
      </c>
      <c r="G5710" s="18"/>
      <c r="H5710" s="18"/>
    </row>
    <row r="5711" spans="1:8" ht="13.2">
      <c r="A5711" s="19" t="str">
        <f>HYPERLINK("https://onlinejudge.org/index.php?option=com_onlinejudge&amp;Itemid=8&amp;page=show_problem&amp;problem=3933","UVA 12489")</f>
        <v>UVA 12489</v>
      </c>
      <c r="B5711" s="15" t="s">
        <v>6202</v>
      </c>
      <c r="C5711" s="17"/>
      <c r="D5711" s="18"/>
      <c r="E5711" s="17" t="s">
        <v>6194</v>
      </c>
      <c r="F5711" s="17"/>
      <c r="G5711" s="18"/>
      <c r="H5711" s="18"/>
    </row>
    <row r="5712" spans="1:8" ht="13.2">
      <c r="A5712" s="19" t="str">
        <f>HYPERLINK("https://codeforces.com/contest/506/problem/E","CF506-D1-E")</f>
        <v>CF506-D1-E</v>
      </c>
      <c r="B5712" s="15" t="s">
        <v>1689</v>
      </c>
      <c r="C5712" s="17"/>
      <c r="D5712" s="26" t="str">
        <f>HYPERLINK("https://codeforces.com/blog/entry/61306","Read Later")</f>
        <v>Read Later</v>
      </c>
      <c r="E5712" s="17" t="s">
        <v>1337</v>
      </c>
      <c r="F5712" s="17"/>
      <c r="G5712" s="18"/>
      <c r="H5712" s="18"/>
    </row>
    <row r="5713" spans="7:8" ht="15.75" customHeight="1">
      <c r="G5713" s="18"/>
      <c r="H5713" s="18"/>
    </row>
  </sheetData>
  <hyperlinks>
    <hyperlink ref="A464" r:id="rId1" xr:uid="{00000000-0004-0000-0200-000000000000}"/>
    <hyperlink ref="A578" r:id="rId2" xr:uid="{00000000-0004-0000-0200-000001000000}"/>
    <hyperlink ref="A579" r:id="rId3" xr:uid="{00000000-0004-0000-0200-000002000000}"/>
    <hyperlink ref="A580" r:id="rId4" xr:uid="{00000000-0004-0000-0200-000003000000}"/>
    <hyperlink ref="A581" r:id="rId5" xr:uid="{00000000-0004-0000-0200-000004000000}"/>
    <hyperlink ref="A582" r:id="rId6" xr:uid="{00000000-0004-0000-0200-000005000000}"/>
    <hyperlink ref="A5707" r:id="rId7" xr:uid="{00000000-0004-0000-0200-000006000000}"/>
    <hyperlink ref="A5708" r:id="rId8" xr:uid="{00000000-0004-0000-0200-000007000000}"/>
  </hyperlinks>
  <pageMargins left="0.7" right="0.7" top="0.75" bottom="0.75" header="0.3" footer="0.3"/>
  <legacyDrawing r:id="rId9"/>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Q1998"/>
  <sheetViews>
    <sheetView zoomScale="135" zoomScaleNormal="135" workbookViewId="0">
      <pane xSplit="1" ySplit="1" topLeftCell="B2" activePane="bottomRight" state="frozen"/>
      <selection pane="topRight" activeCell="B1" sqref="B1"/>
      <selection pane="bottomLeft" activeCell="A2" sqref="A2"/>
      <selection pane="bottomRight" activeCell="B25" sqref="B25"/>
    </sheetView>
  </sheetViews>
  <sheetFormatPr defaultColWidth="12.6640625" defaultRowHeight="15.75" customHeight="1"/>
  <cols>
    <col min="1" max="1" width="29.21875" customWidth="1"/>
    <col min="2" max="2" width="61.44140625" customWidth="1"/>
    <col min="3" max="3" width="8.109375" customWidth="1"/>
    <col min="4" max="4" width="10.33203125" customWidth="1"/>
    <col min="5" max="5" width="9.21875" customWidth="1"/>
    <col min="6" max="6" width="10.21875" customWidth="1"/>
    <col min="7" max="7" width="11.109375" customWidth="1"/>
    <col min="8" max="8" width="10" customWidth="1"/>
  </cols>
  <sheetData>
    <row r="1" spans="1:17" ht="26.4">
      <c r="A1" s="63" t="s">
        <v>115</v>
      </c>
      <c r="B1" s="14" t="s">
        <v>116</v>
      </c>
      <c r="C1" s="14" t="s">
        <v>6562</v>
      </c>
      <c r="D1" s="14" t="s">
        <v>118</v>
      </c>
      <c r="E1" s="64" t="s">
        <v>119</v>
      </c>
      <c r="F1" s="14" t="s">
        <v>120</v>
      </c>
      <c r="G1" s="14" t="s">
        <v>121</v>
      </c>
      <c r="H1" s="14" t="s">
        <v>122</v>
      </c>
    </row>
    <row r="2" spans="1:17" ht="13.2">
      <c r="A2" s="65" t="str">
        <f>HYPERLINK("https://contest.yandex.ru/ioi/contest/572/enter/","IOI 12-odometer")</f>
        <v>IOI 12-odometer</v>
      </c>
      <c r="B2" s="47" t="s">
        <v>6563</v>
      </c>
      <c r="C2" s="66">
        <v>8</v>
      </c>
      <c r="D2" s="65" t="str">
        <f>HYPERLINK("https://github.com/mostafa-saad/MyCompetitiveProgramming/blob/master/Olympiad/IOI/IOI-12-editorials.txt","Editorial")</f>
        <v>Editorial</v>
      </c>
      <c r="E2" s="31" t="s">
        <v>125</v>
      </c>
      <c r="F2" s="37"/>
      <c r="G2" s="67"/>
      <c r="H2" s="67"/>
      <c r="I2" s="67"/>
      <c r="J2" s="67"/>
      <c r="K2" s="67"/>
      <c r="L2" s="67"/>
      <c r="M2" s="67"/>
      <c r="N2" s="67"/>
      <c r="O2" s="67"/>
      <c r="P2" s="67"/>
      <c r="Q2" s="67"/>
    </row>
    <row r="3" spans="1:17" ht="13.2">
      <c r="A3" s="65" t="str">
        <f>HYPERLINK("https://oj.uz/problem/view/IOI10_maze","IOI 10-maze")</f>
        <v>IOI 10-maze</v>
      </c>
      <c r="B3" s="68" t="s">
        <v>6564</v>
      </c>
      <c r="C3" s="66">
        <v>8</v>
      </c>
      <c r="D3" s="65" t="str">
        <f>HYPERLINK("https://github.com/mostafa-saad/MyCompetitiveProgramming/blob/master/Olympiad/IOI/official/2010","Editorial")</f>
        <v>Editorial</v>
      </c>
      <c r="E3" s="31" t="s">
        <v>125</v>
      </c>
      <c r="F3" s="37"/>
      <c r="G3" s="67"/>
      <c r="H3" s="67"/>
    </row>
    <row r="4" spans="1:17" ht="13.2">
      <c r="A4" s="65" t="str">
        <f>HYPERLINK("https://oj.uz/problem/view/CEOI15_nuclearia","CEOI 15-nuclearia")</f>
        <v>CEOI 15-nuclearia</v>
      </c>
      <c r="B4" s="15" t="s">
        <v>6565</v>
      </c>
      <c r="C4" s="24">
        <v>8</v>
      </c>
      <c r="D4" s="65" t="str">
        <f>HYPERLINK("https://github.com/mostafa-saad/MyCompetitiveProgramming/tree/master/Olympiad/CEOI/official/2015/day2","Editorial")</f>
        <v>Editorial</v>
      </c>
      <c r="E4" s="31" t="s">
        <v>125</v>
      </c>
      <c r="F4" s="37"/>
      <c r="G4" s="67"/>
      <c r="H4" s="67"/>
    </row>
    <row r="5" spans="1:17" ht="13.2">
      <c r="A5" s="65" t="str">
        <f>HYPERLINK("https://csacademy.com/contest/balkan-oi-2017-day-1/","Balkan 17-sheets")</f>
        <v>Balkan 17-sheets</v>
      </c>
      <c r="B5" s="18" t="s">
        <v>124</v>
      </c>
      <c r="C5" s="17">
        <v>8</v>
      </c>
      <c r="D5" s="69"/>
      <c r="E5" s="31" t="s">
        <v>125</v>
      </c>
      <c r="F5" s="37"/>
      <c r="G5" s="67"/>
      <c r="H5" s="67"/>
    </row>
    <row r="6" spans="1:17" ht="13.2">
      <c r="A6" s="65" t="str">
        <f>HYPERLINK("https://dmoj.ca/problem/apio12p3", "APIO 12-Kunai")</f>
        <v>APIO 12-Kunai</v>
      </c>
      <c r="B6" s="20" t="s">
        <v>6566</v>
      </c>
      <c r="C6" s="17">
        <v>7.75</v>
      </c>
      <c r="D6" s="65" t="str">
        <f>HYPERLINK("https://github.com/tmwilliamlin168/CompetitiveProgramming/blob/master/APIO/12-Kunai.cpp", "Sol")</f>
        <v>Sol</v>
      </c>
      <c r="E6" s="31" t="s">
        <v>125</v>
      </c>
      <c r="F6" s="37"/>
      <c r="G6" s="67"/>
      <c r="H6" s="67"/>
    </row>
    <row r="7" spans="1:17" ht="13.2">
      <c r="A7" s="65" t="str">
        <f>HYPERLINK("https://www.acmicpc.net/problem/11556","Balkan 15-RADIO")</f>
        <v>Balkan 15-RADIO</v>
      </c>
      <c r="B7" s="37" t="s">
        <v>147</v>
      </c>
      <c r="C7" s="24">
        <v>7.75</v>
      </c>
      <c r="D7" s="65" t="str">
        <f>HYPERLINK("https://github.com/mostafa-saad/MyCompetitiveProgramming/tree/master/Olympiad/Balkan/official/2015","Sol (no editorial)")</f>
        <v>Sol (no editorial)</v>
      </c>
      <c r="E7" s="31" t="s">
        <v>125</v>
      </c>
      <c r="F7" s="37"/>
      <c r="G7" s="67"/>
      <c r="H7" s="67"/>
    </row>
    <row r="8" spans="1:17" ht="13.2">
      <c r="A8" s="65" t="str">
        <f>HYPERLINK("https://oj.uz/problem/view/IOI14_rail","IOI 14-rail")</f>
        <v>IOI 14-rail</v>
      </c>
      <c r="B8" s="18" t="s">
        <v>6567</v>
      </c>
      <c r="C8" s="17">
        <v>7.5</v>
      </c>
      <c r="D8" s="65" t="str">
        <f>HYPERLINK("https://github.com/mostafa-saad/MyCompetitiveProgramming/blob/master/Olympiad/IOI/IOI-14-rail.txt","Sol")</f>
        <v>Sol</v>
      </c>
      <c r="E8" s="31" t="s">
        <v>125</v>
      </c>
      <c r="F8" s="37" t="s">
        <v>139</v>
      </c>
      <c r="G8" s="67"/>
      <c r="H8" s="67"/>
    </row>
    <row r="9" spans="1:17" ht="13.2">
      <c r="A9" s="65" t="str">
        <f>HYPERLINK("https://oj.uz/problem/view/IOI11_parrots","IOI 11-parrots")</f>
        <v>IOI 11-parrots</v>
      </c>
      <c r="B9" s="20" t="s">
        <v>6568</v>
      </c>
      <c r="C9" s="24">
        <v>7.5</v>
      </c>
      <c r="D9" s="65" t="str">
        <f>HYPERLINK("http://www.ioi2011.or.th/hsc/tasks/EN/parrots.pdf","Editorial")</f>
        <v>Editorial</v>
      </c>
      <c r="E9" s="31" t="s">
        <v>125</v>
      </c>
      <c r="F9" s="37"/>
      <c r="G9" s="67"/>
      <c r="H9" s="67"/>
    </row>
    <row r="10" spans="1:17" ht="13.2">
      <c r="A10" s="65" t="str">
        <f>HYPERLINK("https://dmoj.ca/problem/apio12p2", "APIO 12-Guard")</f>
        <v>APIO 12-Guard</v>
      </c>
      <c r="B10" s="20" t="s">
        <v>6569</v>
      </c>
      <c r="C10" s="17">
        <v>7.5</v>
      </c>
      <c r="D10" s="69"/>
      <c r="E10" s="31" t="s">
        <v>125</v>
      </c>
      <c r="F10" s="37"/>
      <c r="G10" s="67"/>
      <c r="H10" s="67"/>
    </row>
    <row r="11" spans="1:17" ht="13.2">
      <c r="A11" s="65" t="str">
        <f>HYPERLINK("https://oj.uz/problem/view/IOI19_line","IOI 19-line")</f>
        <v>IOI 19-line</v>
      </c>
      <c r="B11" s="37" t="s">
        <v>147</v>
      </c>
      <c r="C11" s="24">
        <v>7.5</v>
      </c>
      <c r="D11" s="65" t="str">
        <f>HYPERLINK("https://github.com/mostafa-saad/MyCompetitiveProgramming/blob/master/Olympiad/IOI/IOI-19-line.txt","Sol")</f>
        <v>Sol</v>
      </c>
      <c r="E11" s="31" t="s">
        <v>125</v>
      </c>
      <c r="F11" s="37"/>
      <c r="G11" s="67"/>
      <c r="H11" s="67"/>
    </row>
    <row r="12" spans="1:17" ht="13.2">
      <c r="A12" s="65" t="str">
        <f>HYPERLINK("https://oj.uz/problem/view/JOI19_minerals", "JOISC 19-Minerals")</f>
        <v>JOISC 19-Minerals</v>
      </c>
      <c r="B12" s="37" t="s">
        <v>6570</v>
      </c>
      <c r="C12" s="24">
        <v>7.5</v>
      </c>
      <c r="D12" s="69"/>
      <c r="E12" s="31" t="s">
        <v>125</v>
      </c>
      <c r="F12" s="37"/>
      <c r="G12" s="67"/>
      <c r="H12" s="67"/>
    </row>
    <row r="13" spans="1:17" ht="13.2">
      <c r="A13" s="65" t="str">
        <f>HYPERLINK("https://contest.yandex.ru/ioi/contest/558/enter/","IOI 03-reverse")</f>
        <v>IOI 03-reverse</v>
      </c>
      <c r="B13" s="15" t="s">
        <v>6571</v>
      </c>
      <c r="C13" s="24">
        <v>7.25</v>
      </c>
      <c r="D13" s="65" t="str">
        <f>HYPERLINK("https://github.com/mostafa-saad/MyCompetitiveProgramming/blob/master/Olympiad/IOI/official/2003","Editorial")</f>
        <v>Editorial</v>
      </c>
      <c r="E13" s="31" t="s">
        <v>125</v>
      </c>
      <c r="F13" s="37" t="s">
        <v>139</v>
      </c>
      <c r="G13" s="67"/>
      <c r="H13" s="67"/>
    </row>
    <row r="14" spans="1:17" ht="13.2">
      <c r="A14" s="65" t="str">
        <f>HYPERLINK("https://oj.uz/problem/view/COI14_gta","COI 14-gta")</f>
        <v>COI 14-gta</v>
      </c>
      <c r="B14" s="20" t="s">
        <v>6572</v>
      </c>
      <c r="C14" s="24">
        <v>7.1</v>
      </c>
      <c r="D14" s="65" t="str">
        <f>HYPERLINK("https://github.com/mostafa-saad/MyCompetitiveProgramming/blob/master/Olympiad/COI/COI-14-gta.txt","Sol")</f>
        <v>Sol</v>
      </c>
      <c r="E14" s="31" t="s">
        <v>125</v>
      </c>
      <c r="F14" s="37" t="s">
        <v>154</v>
      </c>
      <c r="G14" s="67"/>
      <c r="H14" s="67"/>
    </row>
    <row r="15" spans="1:17" ht="13.2">
      <c r="A15" s="65" t="str">
        <f>HYPERLINK("https://oj.uz/problem/view/IOI16_messy","IOI 16-messy")</f>
        <v>IOI 16-messy</v>
      </c>
      <c r="B15" s="18" t="s">
        <v>6573</v>
      </c>
      <c r="C15" s="17">
        <v>7</v>
      </c>
      <c r="D15" s="65" t="str">
        <f>HYPERLINK("https://github.com/mostafa-saad/MyCompetitiveProgramming/blob/master/Olympiad/IOI/IOI-16-messy.txt","Sol")</f>
        <v>Sol</v>
      </c>
      <c r="E15" s="31" t="s">
        <v>125</v>
      </c>
      <c r="F15" s="37" t="s">
        <v>154</v>
      </c>
      <c r="G15" s="67"/>
      <c r="H15" s="67"/>
    </row>
    <row r="16" spans="1:17" ht="13.2">
      <c r="A16" s="65" t="str">
        <f>HYPERLINK("https://oj.uz/problems/source/315","JOISC 18-airline")</f>
        <v>JOISC 18-airline</v>
      </c>
      <c r="B16" s="18" t="s">
        <v>6574</v>
      </c>
      <c r="C16" s="17">
        <v>7</v>
      </c>
      <c r="D16" s="65" t="str">
        <f>HYPERLINK("https://github.com/mostafa-saad/MyCompetitiveProgramming/blob/master/Olympiad/JOI/JOISC-18-airline.txt","Sol")</f>
        <v>Sol</v>
      </c>
      <c r="E16" s="31" t="s">
        <v>125</v>
      </c>
      <c r="F16" s="37" t="s">
        <v>154</v>
      </c>
      <c r="G16" s="67"/>
      <c r="H16" s="67"/>
    </row>
    <row r="17" spans="1:8" ht="13.2">
      <c r="A17" s="65" t="str">
        <f>HYPERLINK("https://oj.uz/problem/view/IOI15_towns","IOI 15-towns")</f>
        <v>IOI 15-towns</v>
      </c>
      <c r="B17" s="15" t="s">
        <v>6575</v>
      </c>
      <c r="C17" s="24">
        <v>7</v>
      </c>
      <c r="D17" s="65" t="str">
        <f>HYPERLINK("https://github.com/mostafa-saad/MyCompetitiveProgramming/blob/master/Olympiad/IOI/IOI-15-towns.txt","Sol")</f>
        <v>Sol</v>
      </c>
      <c r="E17" s="31" t="s">
        <v>125</v>
      </c>
      <c r="F17" s="37" t="s">
        <v>139</v>
      </c>
      <c r="G17" s="67"/>
      <c r="H17" s="67"/>
    </row>
    <row r="18" spans="1:8" ht="13.2">
      <c r="A18" s="65" t="str">
        <f>HYPERLINK("https://oj.uz/problem/view/balkan11_cmp","Balkan 11-cmp")</f>
        <v>Balkan 11-cmp</v>
      </c>
      <c r="B18" s="20" t="s">
        <v>124</v>
      </c>
      <c r="C18" s="24">
        <v>7</v>
      </c>
      <c r="D18" s="65" t="str">
        <f>HYPERLINK("https://github.com/mostafa-saad/MyCompetitiveProgramming/blob/master/Olympiad/Balkan/official/2011/cmp-sol.pdf","Editorial")</f>
        <v>Editorial</v>
      </c>
      <c r="E18" s="31" t="s">
        <v>125</v>
      </c>
      <c r="F18" s="37"/>
      <c r="G18" s="67"/>
      <c r="H18" s="67"/>
    </row>
    <row r="19" spans="1:8" ht="13.2">
      <c r="A19" s="65" t="str">
        <f>HYPERLINK("https://szkopul.edu.pl/problemset/problem/qQGtOc61vnHgCrs01ORC7iD1/site/", "POI 10-Hamsters")</f>
        <v>POI 10-Hamsters</v>
      </c>
      <c r="B19" s="37" t="s">
        <v>6576</v>
      </c>
      <c r="C19" s="21">
        <v>7</v>
      </c>
      <c r="D19" s="65" t="str">
        <f>HYPERLINK("https://github.com/mostafa-saad/MyCompetitiveProgramming/blob/master/Olympiad/POI/official/find_editorial_sols_guidelines.txt","Editorial")</f>
        <v>Editorial</v>
      </c>
      <c r="E19" s="31" t="s">
        <v>125</v>
      </c>
      <c r="F19" s="37"/>
      <c r="G19" s="67"/>
      <c r="H19" s="67"/>
    </row>
    <row r="20" spans="1:8" ht="13.2">
      <c r="A20" s="65" t="str">
        <f>HYPERLINK("https://oj.uz/problems/source/120", "CEOI 14-questiongrader")</f>
        <v>CEOI 14-questiongrader</v>
      </c>
      <c r="B20" s="20" t="s">
        <v>6577</v>
      </c>
      <c r="C20" s="17">
        <v>7</v>
      </c>
      <c r="D20" s="69"/>
      <c r="E20" s="31" t="s">
        <v>125</v>
      </c>
      <c r="F20" s="37"/>
      <c r="G20" s="67"/>
      <c r="H20" s="67"/>
    </row>
    <row r="21" spans="1:8" ht="13.2">
      <c r="A21" s="65" t="str">
        <f>HYPERLINK("https://oj.uz/problem/view/IZhO18_nicegift","IZhO 18-NiceGift")</f>
        <v>IZhO 18-NiceGift</v>
      </c>
      <c r="B21" s="20" t="s">
        <v>6578</v>
      </c>
      <c r="C21" s="24">
        <v>7</v>
      </c>
      <c r="D21" s="69"/>
      <c r="E21" s="31" t="s">
        <v>125</v>
      </c>
      <c r="F21" s="37"/>
      <c r="G21" s="67"/>
      <c r="H21" s="67"/>
    </row>
    <row r="22" spans="1:8" ht="13.2">
      <c r="A22" s="65" t="str">
        <f>HYPERLINK("https://szkopul.edu.pl/problemset/problem/YbQn6MpKAzvIhTNUXtp_ypXQ/site/", "POI 06-Crystals")</f>
        <v>POI 06-Crystals</v>
      </c>
      <c r="B22" s="37" t="s">
        <v>124</v>
      </c>
      <c r="C22" s="24">
        <v>7</v>
      </c>
      <c r="D22" s="65" t="str">
        <f>HYPERLINK("https://github.com/mostafa-saad/MyCompetitiveProgramming/blob/master/Olympiad/POI/official/find_editorial_sols_guidelines.txt","Editorial")</f>
        <v>Editorial</v>
      </c>
      <c r="E22" s="31" t="s">
        <v>125</v>
      </c>
      <c r="F22" s="37"/>
      <c r="G22" s="67"/>
      <c r="H22" s="67"/>
    </row>
    <row r="23" spans="1:8" ht="13.2">
      <c r="A23" s="65" t="str">
        <f>HYPERLINK("https://contest.yandex.ru/ioi/contest/566/enter/","IOI 05-garden")</f>
        <v>IOI 05-garden</v>
      </c>
      <c r="B23" s="15" t="s">
        <v>6579</v>
      </c>
      <c r="C23" s="24">
        <v>7</v>
      </c>
      <c r="D23" s="65" t="str">
        <f>HYPERLINK("https://www.oi.edu.pl/old/ioi/downloads/ioi2005-tasks-and-solutions-a5.pdf","Editorial")</f>
        <v>Editorial</v>
      </c>
      <c r="E23" s="31" t="s">
        <v>125</v>
      </c>
      <c r="F23" s="37"/>
      <c r="G23" s="67"/>
      <c r="H23" s="67"/>
    </row>
    <row r="24" spans="1:8" ht="13.2">
      <c r="A24" s="65" t="str">
        <f>HYPERLINK("https://csacademy.com/contest/round-80/task/anagram-sort","ROUSelection 18-anagram_sort")</f>
        <v>ROUSelection 18-anagram_sort</v>
      </c>
      <c r="B24" s="37" t="s">
        <v>6580</v>
      </c>
      <c r="C24" s="24">
        <v>7</v>
      </c>
      <c r="D24" s="69"/>
      <c r="E24" s="31" t="s">
        <v>125</v>
      </c>
      <c r="F24" s="37"/>
      <c r="G24" s="67"/>
      <c r="H24" s="67"/>
    </row>
    <row r="25" spans="1:8" ht="13.2">
      <c r="A25" s="65" t="str">
        <f>HYPERLINK("https://contest.yandex.ru/ioi/contest/562/problems/F/","IOI 06-blackbox")</f>
        <v>IOI 06-blackbox</v>
      </c>
      <c r="B25" s="47" t="s">
        <v>6581</v>
      </c>
      <c r="C25" s="66">
        <v>7</v>
      </c>
      <c r="D25" s="65" t="str">
        <f>HYPERLINK("https://github.com/mostafa-saad/MyCompetitiveProgramming/blob/master/Olympiad/IOI/official/2006/ioi06_blackbox_sol.pdf","Editorial")</f>
        <v>Editorial</v>
      </c>
      <c r="E25" s="31" t="s">
        <v>125</v>
      </c>
      <c r="F25" s="37"/>
      <c r="G25" s="67"/>
      <c r="H25" s="67"/>
    </row>
    <row r="26" spans="1:8" ht="13.2">
      <c r="A26" s="65" t="str">
        <f>HYPERLINK("https://oj.uz/problem/view/COCI17_retro","COCI 17-retro")</f>
        <v>COCI 17-retro</v>
      </c>
      <c r="B26" s="20" t="s">
        <v>272</v>
      </c>
      <c r="C26" s="24">
        <v>7</v>
      </c>
      <c r="D26" s="69"/>
      <c r="E26" s="31" t="s">
        <v>125</v>
      </c>
      <c r="F26" s="37"/>
      <c r="G26" s="67"/>
      <c r="H26" s="67"/>
    </row>
    <row r="27" spans="1:8" ht="13.2">
      <c r="A27" s="65" t="str">
        <f>HYPERLINK("https://oj.uz/problem/view/COCI18_kotrljanje","COCI 18-kotrljanje")</f>
        <v>COCI 18-kotrljanje</v>
      </c>
      <c r="B27" s="20" t="s">
        <v>6582</v>
      </c>
      <c r="C27" s="24">
        <v>7</v>
      </c>
      <c r="D27" s="69"/>
      <c r="E27" s="31" t="s">
        <v>125</v>
      </c>
      <c r="F27" s="37"/>
      <c r="G27" s="67"/>
      <c r="H27" s="67"/>
    </row>
    <row r="28" spans="1:8" ht="13.2">
      <c r="A28" s="65" t="str">
        <f>HYPERLINK("https://csacademy.com/contest/ioi-2016-training-round-3/task/telegraph/","IOIPractice 16-telegraph")</f>
        <v>IOIPractice 16-telegraph</v>
      </c>
      <c r="B28" s="37" t="s">
        <v>6583</v>
      </c>
      <c r="C28" s="24">
        <v>7</v>
      </c>
      <c r="D28" s="69"/>
      <c r="E28" s="31" t="s">
        <v>125</v>
      </c>
      <c r="F28" s="37"/>
      <c r="G28" s="67"/>
      <c r="H28" s="67"/>
    </row>
    <row r="29" spans="1:8" ht="13.2">
      <c r="A29" s="65" t="str">
        <f>HYPERLINK("https://szkopul.edu.pl/problemset/problem/dq_rM2gOy4-8jYIsE7xgo-9l/site/", "POI 04-Tournament")</f>
        <v>POI 04-Tournament</v>
      </c>
      <c r="B29" s="37" t="s">
        <v>6584</v>
      </c>
      <c r="C29" s="24">
        <v>6.9</v>
      </c>
      <c r="D29" s="65" t="str">
        <f>HYPERLINK("https://github.com/mostafa-saad/MyCompetitiveProgramming/blob/master/Olympiad/POI/POI-04-Tournament.txt","Sol")</f>
        <v>Sol</v>
      </c>
      <c r="E29" s="31" t="s">
        <v>125</v>
      </c>
      <c r="F29" s="37" t="s">
        <v>154</v>
      </c>
      <c r="G29" s="67"/>
      <c r="H29" s="67"/>
    </row>
    <row r="30" spans="1:8" ht="13.2">
      <c r="A30" s="65" t="str">
        <f>HYPERLINK("https://oj.uz/problems/source/184", "APIO 16-gap")</f>
        <v>APIO 16-gap</v>
      </c>
      <c r="B30" s="15" t="s">
        <v>6585</v>
      </c>
      <c r="C30" s="17">
        <v>6.75</v>
      </c>
      <c r="D30" s="65" t="str">
        <f>HYPERLINK("https://github.com/mostafa-saad/MyCompetitiveProgramming/blob/master/Olympiad/APIO/APIO-16-gap.txt","Sol")</f>
        <v>Sol</v>
      </c>
      <c r="E30" s="31" t="s">
        <v>125</v>
      </c>
      <c r="F30" s="37" t="s">
        <v>139</v>
      </c>
      <c r="G30" s="67"/>
      <c r="H30" s="67"/>
    </row>
    <row r="31" spans="1:8" ht="13.2">
      <c r="A31" s="65" t="str">
        <f>HYPERLINK("https://oj.uz/problem/view/IZhO19_xoractive","IZhO 19-Xoractive")</f>
        <v>IZhO 19-Xoractive</v>
      </c>
      <c r="B31" s="37" t="s">
        <v>6586</v>
      </c>
      <c r="C31" s="24">
        <v>6.75</v>
      </c>
      <c r="D31" s="65" t="str">
        <f>HYPERLINK("https://github.com/stefdasca/CompetitiveProgramming/blob/master/IZhO/IZhO%2019-xoractive.cpp","Sol")</f>
        <v>Sol</v>
      </c>
      <c r="E31" s="31" t="s">
        <v>125</v>
      </c>
      <c r="F31" s="37" t="s">
        <v>139</v>
      </c>
      <c r="G31" s="67"/>
      <c r="H31" s="67"/>
    </row>
    <row r="32" spans="1:8" ht="13.2">
      <c r="A32" s="65" t="str">
        <f>HYPERLINK("https://oj.uz/problem/view/IOI12_supper","IOI 12-supper")</f>
        <v>IOI 12-supper</v>
      </c>
      <c r="B32" s="23" t="s">
        <v>6587</v>
      </c>
      <c r="C32" s="17">
        <v>6.75</v>
      </c>
      <c r="D32" s="65" t="str">
        <f>HYPERLINK("https://github.com/mostafa-saad/MyCompetitiveProgramming/blob/master/Olympiad/IOI/IOI-12-editorials.txt","Editorial")</f>
        <v>Editorial</v>
      </c>
      <c r="E32" s="31" t="s">
        <v>125</v>
      </c>
      <c r="F32" s="37" t="s">
        <v>139</v>
      </c>
      <c r="G32" s="67"/>
      <c r="H32" s="67"/>
    </row>
    <row r="33" spans="1:8" ht="13.2">
      <c r="A33" s="65" t="str">
        <f>HYPERLINK("https://oj.uz/problem/view/info1cup18_hidden", "Info1Cup 18-Hidden")</f>
        <v>Info1Cup 18-Hidden</v>
      </c>
      <c r="B33" s="37" t="s">
        <v>6588</v>
      </c>
      <c r="C33" s="24">
        <v>6.75</v>
      </c>
      <c r="D33" s="65" t="str">
        <f>HYPERLINK("https://github.com/mostafa-saad/MyCompetitiveProgramming/blob/master/Olympiad/Info1Cup/Info1Cup_18-Hidden.txt","Sol")</f>
        <v>Sol</v>
      </c>
      <c r="E33" s="31" t="s">
        <v>125</v>
      </c>
      <c r="F33" s="37" t="s">
        <v>139</v>
      </c>
      <c r="G33" s="67"/>
      <c r="H33" s="67"/>
    </row>
    <row r="34" spans="1:8" ht="13.2">
      <c r="A34" s="65" t="str">
        <f>HYPERLINK("https://szkopul.edu.pl/problemset/problem/ttMOxHYN1BPMG8oXYiIzIXB9/site/", "POI 10-Ones")</f>
        <v>POI 10-Ones</v>
      </c>
      <c r="B34" s="70" t="s">
        <v>6589</v>
      </c>
      <c r="C34" s="66">
        <v>6.75</v>
      </c>
      <c r="D34" s="65" t="str">
        <f>HYPERLINK("https://github.com/mostafa-saad/MyCompetitiveProgramming/blob/master/Olympiad/POI/official/find_editorial_sols_guidelines.txt","Editorial")</f>
        <v>Editorial</v>
      </c>
      <c r="E34" s="31" t="s">
        <v>125</v>
      </c>
      <c r="F34" s="37"/>
      <c r="G34" s="67"/>
      <c r="H34" s="67"/>
    </row>
    <row r="35" spans="1:8" ht="13.2">
      <c r="A35" s="65" t="str">
        <f>HYPERLINK("https://oj.uz/problem/view/IOI19_vision","IOI 19-vision")</f>
        <v>IOI 19-vision</v>
      </c>
      <c r="B35" s="37" t="s">
        <v>6590</v>
      </c>
      <c r="C35" s="24">
        <v>6.7</v>
      </c>
      <c r="D35" s="65" t="str">
        <f>HYPERLINK("https://github.com/mostafa-saad/MyCompetitiveProgramming/blob/master/Olympiad/IOI/IOI-19-vision.txt","Sol")</f>
        <v>Sol</v>
      </c>
      <c r="E35" s="31" t="s">
        <v>125</v>
      </c>
      <c r="F35" s="37" t="s">
        <v>173</v>
      </c>
      <c r="G35" s="67"/>
      <c r="H35" s="67"/>
    </row>
    <row r="36" spans="1:8" ht="13.2">
      <c r="A36" s="65" t="str">
        <f>HYPERLINK("https://szkopul.edu.pl/problemset/problem/Grfouq9u3g_TYktFXO2sNjCU/site/", "POI 15-Three")</f>
        <v>POI 15-Three</v>
      </c>
      <c r="B36" s="37" t="s">
        <v>6591</v>
      </c>
      <c r="C36" s="24">
        <v>6.7</v>
      </c>
      <c r="D36" s="65" t="str">
        <f>HYPERLINK("https://github.com/mostafa-saad/MyCompetitiveProgramming/blob/master/Olympiad/POI/POI-15-Three.txt","Sol")</f>
        <v>Sol</v>
      </c>
      <c r="E36" s="31" t="s">
        <v>125</v>
      </c>
      <c r="F36" s="37" t="s">
        <v>201</v>
      </c>
      <c r="G36" s="67"/>
      <c r="H36" s="67"/>
    </row>
    <row r="37" spans="1:8" ht="13.2">
      <c r="A37" s="65" t="str">
        <f>HYPERLINK("https://contest.yandex.ru/ioi/contest/560/enter/","IOI 04-empodia")</f>
        <v>IOI 04-empodia</v>
      </c>
      <c r="B37" s="15" t="s">
        <v>6592</v>
      </c>
      <c r="C37" s="24">
        <v>6.6</v>
      </c>
      <c r="D37" s="65" t="str">
        <f>HYPERLINK("https://github.com/mostafa-saad/MyCompetitiveProgramming/blob/master/Olympiad/IOI/IOI-04-empodia.txt","Sol")</f>
        <v>Sol</v>
      </c>
      <c r="E37" s="31" t="s">
        <v>125</v>
      </c>
      <c r="F37" s="37" t="s">
        <v>196</v>
      </c>
      <c r="G37" s="67"/>
      <c r="H37" s="67"/>
    </row>
    <row r="38" spans="1:8" ht="13.2">
      <c r="A38" s="65" t="str">
        <f>HYPERLINK("http://poj.org/problem?id=1148","IOI 02-Utopia")</f>
        <v>IOI 02-Utopia</v>
      </c>
      <c r="B38" s="20" t="s">
        <v>6593</v>
      </c>
      <c r="C38" s="24">
        <v>6.5</v>
      </c>
      <c r="D38" s="65" t="str">
        <f>HYPERLINK("https://github.com/mostafa-saad/MyCompetitiveProgramming/blob/master/Olympiad/IOI/IOI-02-Utopia.txt","Sol")</f>
        <v>Sol</v>
      </c>
      <c r="E38" s="31" t="s">
        <v>125</v>
      </c>
      <c r="F38" s="37" t="s">
        <v>154</v>
      </c>
      <c r="G38" s="67"/>
      <c r="H38" s="67"/>
    </row>
    <row r="39" spans="1:8" ht="13.2">
      <c r="A39" s="65" t="str">
        <f>HYPERLINK("https://training.ia-toki.org/problemsets/53/problems/255/","OSN 16-1B")</f>
        <v>OSN 16-1B</v>
      </c>
      <c r="B39" s="37" t="s">
        <v>6594</v>
      </c>
      <c r="C39" s="24">
        <v>6.5</v>
      </c>
      <c r="D39" s="65" t="str">
        <f>HYPERLINK("https://github.com/mostafa-saad/MyCompetitiveProgramming/blob/master/Olympiad/OSN/OSN_16-1B.txt","Sol")</f>
        <v>Sol</v>
      </c>
      <c r="E39" s="31" t="s">
        <v>125</v>
      </c>
      <c r="F39" s="37" t="s">
        <v>139</v>
      </c>
      <c r="G39" s="67"/>
      <c r="H39" s="67"/>
    </row>
    <row r="40" spans="1:8" ht="13.2">
      <c r="A40" s="65" t="str">
        <f>HYPERLINK("https://codeforces.com/group/R2SERIff4f/contest/213171","MCO 17-LargeCity")</f>
        <v>MCO 17-LargeCity</v>
      </c>
      <c r="B40" s="37" t="s">
        <v>6595</v>
      </c>
      <c r="C40" s="24">
        <v>6.5</v>
      </c>
      <c r="D40" s="65" t="str">
        <f>HYPERLINK("https://github.com/mostafa-saad/MyCompetitiveProgramming/tree/master/Olympiad/MCO/official","Editorial")</f>
        <v>Editorial</v>
      </c>
      <c r="E40" s="31" t="s">
        <v>125</v>
      </c>
      <c r="F40" s="37" t="s">
        <v>139</v>
      </c>
      <c r="G40" s="67"/>
      <c r="H40" s="67"/>
    </row>
    <row r="41" spans="1:8" ht="13.2">
      <c r="A41" s="65" t="str">
        <f>HYPERLINK("https://dunjudge.me/analysis/problems/728/","IOI 00-median")</f>
        <v>IOI 00-median</v>
      </c>
      <c r="B41" s="20" t="s">
        <v>6596</v>
      </c>
      <c r="C41" s="24">
        <v>6.5</v>
      </c>
      <c r="D41" s="65" t="str">
        <f>HYPERLINK("https://github.com/mostafa-saad/MyCompetitiveProgramming/blob/master/Olympiad/IOI/IOI-00-median.txt","Sol")</f>
        <v>Sol</v>
      </c>
      <c r="E41" s="31" t="s">
        <v>125</v>
      </c>
      <c r="F41" s="37" t="s">
        <v>139</v>
      </c>
      <c r="G41" s="67"/>
      <c r="H41" s="67"/>
    </row>
    <row r="42" spans="1:8" ht="13.2">
      <c r="A42" s="65" t="str">
        <f>HYPERLINK("https://szkopul.edu.pl/problemset/problem/w_-1ZgA1RSQ0IpPqx_1BXb6M/site/", "POI 05-Points")</f>
        <v>POI 05-Points</v>
      </c>
      <c r="B42" s="37" t="s">
        <v>6597</v>
      </c>
      <c r="C42" s="24">
        <v>6.5</v>
      </c>
      <c r="D42" s="65" t="str">
        <f>HYPERLINK("https://github.com/mostafa-saad/MyCompetitiveProgramming/blob/master/Olympiad/POI/POI-05-Points.txt","Sol")</f>
        <v>Sol</v>
      </c>
      <c r="E42" s="31" t="s">
        <v>125</v>
      </c>
      <c r="F42" s="37" t="s">
        <v>139</v>
      </c>
      <c r="G42" s="67"/>
      <c r="H42" s="67"/>
    </row>
    <row r="43" spans="1:8" ht="13.2">
      <c r="A43" s="65" t="str">
        <f>HYPERLINK("https://oj.uz/problem/view/COCI19_simfonija","COCI 19-simfonija")</f>
        <v>COCI 19-simfonija</v>
      </c>
      <c r="B43" s="20" t="s">
        <v>6598</v>
      </c>
      <c r="C43" s="21">
        <v>6.5</v>
      </c>
      <c r="D43" s="65" t="str">
        <f>HYPERLINK("https://github.com/Szawinis/CompetitiveProgramming/blob/master/Olympiad/COCI/COCI19-simfonija.cpp","Sol")</f>
        <v>Sol</v>
      </c>
      <c r="E43" s="31" t="s">
        <v>125</v>
      </c>
      <c r="F43" s="37" t="s">
        <v>139</v>
      </c>
      <c r="G43" s="67"/>
      <c r="H43" s="67"/>
    </row>
    <row r="44" spans="1:8" ht="13.2">
      <c r="A44" s="65" t="str">
        <f>HYPERLINK("https://oj.uz/problem/view/IOI17_prize","IOI 17-prize")</f>
        <v>IOI 17-prize</v>
      </c>
      <c r="B44" s="15" t="s">
        <v>6599</v>
      </c>
      <c r="C44" s="24">
        <v>6.5</v>
      </c>
      <c r="D44" s="65" t="str">
        <f>HYPERLINK("https://github.com/timpostuvan/CompetitiveProgramming/blob/master/Olympiad/IOI/Prize2017.cpp","Sol")</f>
        <v>Sol</v>
      </c>
      <c r="E44" s="31" t="s">
        <v>125</v>
      </c>
      <c r="F44" s="37" t="s">
        <v>201</v>
      </c>
      <c r="G44" s="67"/>
      <c r="H44" s="67"/>
    </row>
    <row r="45" spans="1:8" ht="13.2">
      <c r="A45" s="65" t="str">
        <f>HYPERLINK("https://oj.uz/problem/view/IOI10_languages","IOI 10-languages")</f>
        <v>IOI 10-languages</v>
      </c>
      <c r="B45" s="23" t="s">
        <v>6600</v>
      </c>
      <c r="C45" s="24">
        <v>6.5</v>
      </c>
      <c r="D45" s="65" t="str">
        <f>HYPERLINK("https://github.com/mostafa-saad/MyCompetitiveProgramming/blob/master/Olympiad/IOI/official/2010","Editorial")</f>
        <v>Editorial</v>
      </c>
      <c r="E45" s="31" t="s">
        <v>125</v>
      </c>
      <c r="F45" s="37"/>
      <c r="G45" s="67"/>
      <c r="H45" s="67"/>
    </row>
    <row r="46" spans="1:8" ht="13.2">
      <c r="A46" s="65" t="str">
        <f>HYPERLINK("https://open.kattis.com/problem-sources/Baltic%20Olympiad%20in%20Informatics%202017%2C%20Day%202","Baltic 17-PlusMinus")</f>
        <v>Baltic 17-PlusMinus</v>
      </c>
      <c r="B46" s="18" t="s">
        <v>124</v>
      </c>
      <c r="C46" s="17">
        <v>6.5</v>
      </c>
      <c r="D46" s="65" t="str">
        <f>HYPERLINK("https://codeforces.com/blog/entry/51740?#comment-356940","hints")</f>
        <v>hints</v>
      </c>
      <c r="E46" s="31" t="s">
        <v>125</v>
      </c>
      <c r="F46" s="37"/>
      <c r="G46" s="67"/>
      <c r="H46" s="67"/>
    </row>
    <row r="47" spans="1:8" ht="13.2">
      <c r="A47" s="65" t="str">
        <f>HYPERLINK("https://oj.uz/problem/view/JOI19_remittance","JOIOC 19-Remittance")</f>
        <v>JOIOC 19-Remittance</v>
      </c>
      <c r="B47" s="20" t="s">
        <v>6601</v>
      </c>
      <c r="C47" s="17">
        <v>6.5</v>
      </c>
      <c r="D47" s="65" t="str">
        <f>HYPERLINK("https://github.com/mostafa-saad/MyCompetitiveProgramming/blob/master/Olympiad/JOI/JOIOC-19-Remittance.txt","Sol")</f>
        <v>Sol</v>
      </c>
      <c r="E47" s="31" t="s">
        <v>125</v>
      </c>
      <c r="F47" s="37"/>
      <c r="G47" s="67"/>
      <c r="H47" s="67"/>
    </row>
    <row r="48" spans="1:8" ht="13.2">
      <c r="A48" s="65" t="str">
        <f>HYPERLINK("https://dmoj.ca/contest/cco18d1","CCO 18-WrongAnswer")</f>
        <v>CCO 18-WrongAnswer</v>
      </c>
      <c r="B48" s="20" t="s">
        <v>138</v>
      </c>
      <c r="C48" s="17">
        <v>6.5</v>
      </c>
      <c r="D48" s="65" t="str">
        <f>HYPERLINK("https://github.com/timpostuvan/CompetitiveProgramming/blob/master/Olympiad/CCO/WrongAnswer2018.cpp","Sol")</f>
        <v>Sol</v>
      </c>
      <c r="E48" s="31" t="s">
        <v>125</v>
      </c>
      <c r="F48" s="37"/>
      <c r="G48" s="67"/>
      <c r="H48" s="67"/>
    </row>
    <row r="49" spans="1:8" ht="13.2">
      <c r="A49" s="65" t="str">
        <f>HYPERLINK("https://boi18-day2-open.kattis.com/problems","Baltic 18-Genetics")</f>
        <v>Baltic 18-Genetics</v>
      </c>
      <c r="B49" s="18" t="s">
        <v>6602</v>
      </c>
      <c r="C49" s="17">
        <v>6.5</v>
      </c>
      <c r="D49" s="65" t="str">
        <f>HYPERLINK("https://github.com/mostafa-saad/MyCompetitiveProgramming/tree/master/Olympiad/Baltic/official/boi2018_solutions","Editorial")</f>
        <v>Editorial</v>
      </c>
      <c r="E49" s="31" t="s">
        <v>125</v>
      </c>
      <c r="F49" s="37"/>
      <c r="G49" s="67"/>
      <c r="H49" s="67"/>
    </row>
    <row r="50" spans="1:8" ht="13.2">
      <c r="A50" s="65" t="str">
        <f>HYPERLINK("https://codeforces.com/group/swEqtABRxe/contest/243438/problem/D", "IOIQ 19-d2-D")</f>
        <v>IOIQ 19-d2-D</v>
      </c>
      <c r="B50" s="20" t="s">
        <v>285</v>
      </c>
      <c r="C50" s="17">
        <v>6.5</v>
      </c>
      <c r="D50" s="69"/>
      <c r="E50" s="31" t="s">
        <v>125</v>
      </c>
      <c r="F50" s="37"/>
      <c r="G50" s="67"/>
      <c r="H50" s="67"/>
    </row>
    <row r="51" spans="1:8" ht="13.2">
      <c r="A51" s="65" t="str">
        <f>HYPERLINK("https://oj.uz/problem/view/COI14_css","COI 14-css")</f>
        <v>COI 14-css</v>
      </c>
      <c r="B51" s="20" t="s">
        <v>6603</v>
      </c>
      <c r="C51" s="24">
        <v>6.5</v>
      </c>
      <c r="D51" s="69"/>
      <c r="E51" s="31" t="s">
        <v>125</v>
      </c>
      <c r="F51" s="37"/>
      <c r="G51" s="67"/>
      <c r="H51" s="67"/>
    </row>
    <row r="52" spans="1:8" ht="13.2">
      <c r="A52" s="65" t="str">
        <f>HYPERLINK("https://oj.uz/problem/view/COI18_pick","COI 18-pick")</f>
        <v>COI 18-pick</v>
      </c>
      <c r="B52" s="20" t="s">
        <v>6604</v>
      </c>
      <c r="C52" s="24">
        <v>6.5</v>
      </c>
      <c r="D52" s="69"/>
      <c r="E52" s="31" t="s">
        <v>125</v>
      </c>
      <c r="F52" s="37"/>
      <c r="G52" s="67"/>
      <c r="H52" s="67"/>
    </row>
    <row r="53" spans="1:8" ht="13.2">
      <c r="A53" s="65" t="str">
        <f>HYPERLINK("https://oj.uz/problem/view/IZhO19_lyuboyn","IZhO 19-lyuboyn")</f>
        <v>IZhO 19-lyuboyn</v>
      </c>
      <c r="B53" s="37" t="s">
        <v>6605</v>
      </c>
      <c r="C53" s="24">
        <v>6.5</v>
      </c>
      <c r="D53" s="69"/>
      <c r="E53" s="31" t="s">
        <v>125</v>
      </c>
      <c r="F53" s="37"/>
      <c r="G53" s="67"/>
      <c r="H53" s="67"/>
    </row>
    <row r="54" spans="1:8" ht="13.2">
      <c r="A54" s="65" t="str">
        <f>HYPERLINK("https://csacademy.com/contest/archive/task/borland","ROJS 17-borland")</f>
        <v>ROJS 17-borland</v>
      </c>
      <c r="B54" s="37" t="s">
        <v>6606</v>
      </c>
      <c r="C54" s="17">
        <v>6.3</v>
      </c>
      <c r="D54" s="65" t="str">
        <f>HYPERLINK("https://github.com/MetalBall887/Competitive-Programming/blob/master/CSAcademy/ROJS%2017-borland.cpp","sol")</f>
        <v>sol</v>
      </c>
      <c r="E54" s="31" t="s">
        <v>125</v>
      </c>
      <c r="F54" s="37"/>
      <c r="G54" s="67"/>
      <c r="H54" s="67"/>
    </row>
    <row r="55" spans="1:8" ht="13.2">
      <c r="A55" s="65" t="str">
        <f>HYPERLINK("http://usaco.org/index.php?page=viewproblem2&amp;cpid=533","USACO 15feb-gold_censor")</f>
        <v>USACO 15feb-gold_censor</v>
      </c>
      <c r="B55" s="20" t="s">
        <v>6607</v>
      </c>
      <c r="C55" s="21">
        <v>6.25</v>
      </c>
      <c r="D55" s="69"/>
      <c r="E55" s="31" t="s">
        <v>125</v>
      </c>
      <c r="F55" s="37" t="s">
        <v>154</v>
      </c>
      <c r="G55" s="67"/>
      <c r="H55" s="67"/>
    </row>
    <row r="56" spans="1:8" ht="13.2">
      <c r="A56" s="65" t="str">
        <f>HYPERLINK("https://szkopul.edu.pl/problemset/problem/5TfG0f1dOXc2sUTq9NMM9zSD/site/","CEOI 10-Tower")</f>
        <v>CEOI 10-Tower</v>
      </c>
      <c r="B56" s="20" t="s">
        <v>124</v>
      </c>
      <c r="C56" s="24">
        <v>6.25</v>
      </c>
      <c r="D56" s="65" t="str">
        <f>HYPERLINK("https://github.com/mostafa-saad/MyCompetitiveProgramming/blob/master/Olympiad/CEOI/CEOI-10-Tower.txt","Sol")</f>
        <v>Sol</v>
      </c>
      <c r="E56" s="31" t="s">
        <v>125</v>
      </c>
      <c r="F56" s="37" t="s">
        <v>139</v>
      </c>
      <c r="G56" s="67"/>
      <c r="H56" s="67"/>
    </row>
    <row r="57" spans="1:8" ht="13.2">
      <c r="A57" s="65" t="str">
        <f>HYPERLINK("https://tioj.ck.tp.edu.tw/problems/1742","APIO 09-Oil")</f>
        <v>APIO 09-Oil</v>
      </c>
      <c r="B57" s="18" t="s">
        <v>6608</v>
      </c>
      <c r="C57" s="24">
        <v>6.25</v>
      </c>
      <c r="D57" s="65" t="str">
        <f>HYPERLINK("https://github.com/mostafa-saad/MyCompetitiveProgramming/blob/master/Olympiad/APIO/APIO-09-Oil.txt","Sol")</f>
        <v>Sol</v>
      </c>
      <c r="E57" s="31" t="s">
        <v>125</v>
      </c>
      <c r="F57" s="37" t="s">
        <v>201</v>
      </c>
      <c r="G57" s="67"/>
      <c r="H57" s="67"/>
    </row>
    <row r="58" spans="1:8" ht="13.2">
      <c r="A58" s="65" t="str">
        <f>HYPERLINK("https://oj.uz/problem/view/BOI19_olympiads","Baltic 19-olympiads")</f>
        <v>Baltic 19-olympiads</v>
      </c>
      <c r="B58" s="37" t="s">
        <v>6609</v>
      </c>
      <c r="C58" s="24">
        <v>6.25</v>
      </c>
      <c r="D58" s="65" t="str">
        <f>HYPERLINK("https://github.com/mostafa-saad/MyCompetitiveProgramming/blob/master/Olympiad/Baltic/Baltic-19-olympiads.txt","Sol")</f>
        <v>Sol</v>
      </c>
      <c r="E58" s="31" t="s">
        <v>125</v>
      </c>
      <c r="F58" s="37" t="s">
        <v>201</v>
      </c>
      <c r="G58" s="67"/>
      <c r="H58" s="67"/>
    </row>
    <row r="59" spans="1:8" ht="13.2">
      <c r="A59" s="65" t="str">
        <f>HYPERLINK("https://cses.fi/186/list/","CEOI 06-Meandian")</f>
        <v>CEOI 06-Meandian</v>
      </c>
      <c r="B59" s="20" t="s">
        <v>124</v>
      </c>
      <c r="C59" s="24">
        <v>6.25</v>
      </c>
      <c r="D59" s="65" t="str">
        <f>HYPERLINK("https://github.com/mostafa-saad/MyCompetitiveProgramming/blob/master/Olympiad/CEOI/CEOI-06-Meandian.txt","Sol")</f>
        <v>Sol</v>
      </c>
      <c r="E59" s="31" t="s">
        <v>125</v>
      </c>
      <c r="F59" s="37"/>
      <c r="G59" s="67"/>
      <c r="H59" s="67"/>
    </row>
    <row r="60" spans="1:8" ht="13.2">
      <c r="A60" s="65" t="str">
        <f>HYPERLINK("https://joisc2013-day4.contest.atcoder.jp/tasks/joisc2013_messenger","JOISC 13-Messenger")</f>
        <v>JOISC 13-Messenger</v>
      </c>
      <c r="B60" s="20" t="s">
        <v>6610</v>
      </c>
      <c r="C60" s="24">
        <v>6.25</v>
      </c>
      <c r="D60" s="69"/>
      <c r="E60" s="31" t="s">
        <v>125</v>
      </c>
      <c r="F60" s="37"/>
      <c r="G60" s="67"/>
      <c r="H60" s="67"/>
    </row>
    <row r="61" spans="1:8" ht="13.2">
      <c r="A61" s="65" t="str">
        <f>HYPERLINK("https://oj.uz/problem/view/BOI19_nautilus","Baltic 19-nautilus")</f>
        <v>Baltic 19-nautilus</v>
      </c>
      <c r="B61" s="37" t="s">
        <v>6611</v>
      </c>
      <c r="C61" s="24">
        <v>6.1</v>
      </c>
      <c r="D61" s="65" t="str">
        <f>HYPERLINK("https://github.com/mostafa-saad/MyCompetitiveProgramming/blob/master/Olympiad/Baltic/Baltic-19-nautilus.txt","Sol")</f>
        <v>Sol</v>
      </c>
      <c r="E61" s="31" t="s">
        <v>125</v>
      </c>
      <c r="F61" s="37" t="s">
        <v>139</v>
      </c>
      <c r="G61" s="67"/>
      <c r="H61" s="67"/>
    </row>
    <row r="62" spans="1:8" ht="13.2">
      <c r="A62" s="65" t="str">
        <f>HYPERLINK("http://usaco.org/index.php?page=viewproblem2&amp;cpid=947","USACO 19mar-balancing-gold")</f>
        <v>USACO 19mar-balancing-gold</v>
      </c>
      <c r="B62" s="20" t="s">
        <v>6612</v>
      </c>
      <c r="C62" s="17">
        <v>6.1</v>
      </c>
      <c r="D62" s="69"/>
      <c r="E62" s="31" t="s">
        <v>125</v>
      </c>
      <c r="F62" s="37" t="s">
        <v>139</v>
      </c>
      <c r="G62" s="67"/>
      <c r="H62" s="67"/>
    </row>
    <row r="63" spans="1:8" ht="13.2">
      <c r="A63" s="65" t="str">
        <f>HYPERLINK("https://szkopul.edu.pl/problemset/problem/4yTtNIf4H61mJrquuAIhoSh_/site/", "POI 06-Invasion")</f>
        <v>POI 06-Invasion</v>
      </c>
      <c r="B63" s="37" t="s">
        <v>6613</v>
      </c>
      <c r="C63" s="24">
        <v>6</v>
      </c>
      <c r="D63" s="65" t="str">
        <f>HYPERLINK("https://github.com/mostafa-saad/MyCompetitiveProgramming/blob/master/Olympiad/POI/POI-06-Invasion.txt","Sol")</f>
        <v>Sol</v>
      </c>
      <c r="E63" s="31" t="s">
        <v>125</v>
      </c>
      <c r="F63" s="37" t="s">
        <v>139</v>
      </c>
      <c r="G63" s="67"/>
      <c r="H63" s="67"/>
    </row>
    <row r="64" spans="1:8" ht="13.2">
      <c r="A64" s="65" t="str">
        <f>HYPERLINK("https://cses.fi/189/list/","CEOI 08-Dominance")</f>
        <v>CEOI 08-Dominance</v>
      </c>
      <c r="B64" s="37" t="s">
        <v>6614</v>
      </c>
      <c r="C64" s="24">
        <v>6</v>
      </c>
      <c r="D64" s="65" t="str">
        <f>HYPERLINK("https://github.com/mostafa-saad/MyCompetitiveProgramming/blob/master/Olympiad/CEOI/CEOI-08-Dominance.txt","Sol")</f>
        <v>Sol</v>
      </c>
      <c r="E64" s="31" t="s">
        <v>125</v>
      </c>
      <c r="F64" s="37" t="s">
        <v>201</v>
      </c>
      <c r="G64" s="67"/>
      <c r="H64" s="67"/>
    </row>
    <row r="65" spans="1:8" ht="13.2">
      <c r="A65" s="65" t="str">
        <f>HYPERLINK("https://training.ia-toki.org/problemsets/2/problems/6/","OSN 15-1C")</f>
        <v>OSN 15-1C</v>
      </c>
      <c r="B65" s="20" t="s">
        <v>210</v>
      </c>
      <c r="C65" s="17">
        <v>6</v>
      </c>
      <c r="D65" s="65" t="str">
        <f>HYPERLINK("https://github.com/mostafa-saad/MyCompetitiveProgramming/blob/master/Olympiad/OSN/OSN_15-1C.txt","Sol")</f>
        <v>Sol</v>
      </c>
      <c r="E65" s="31" t="s">
        <v>125</v>
      </c>
      <c r="F65" s="37" t="s">
        <v>201</v>
      </c>
      <c r="G65" s="67"/>
      <c r="H65" s="67"/>
    </row>
    <row r="66" spans="1:8" ht="13.2">
      <c r="A66" s="65" t="str">
        <f>HYPERLINK("http://usaco.org/index.php?page=viewproblem2&amp;cpid=744", "USACO 17mar-art")</f>
        <v>USACO 17mar-art</v>
      </c>
      <c r="B66" s="37" t="s">
        <v>245</v>
      </c>
      <c r="C66" s="24">
        <v>6</v>
      </c>
      <c r="D66" s="69"/>
      <c r="E66" s="31" t="s">
        <v>125</v>
      </c>
      <c r="F66" s="37" t="s">
        <v>242</v>
      </c>
      <c r="G66" s="67"/>
      <c r="H66" s="67"/>
    </row>
    <row r="67" spans="1:8" ht="13.2">
      <c r="A67" s="65" t="str">
        <f>HYPERLINK("http://usaco.org/index.php?page=viewproblem2&amp;cpid=533","USACO 15feb-censor")</f>
        <v>USACO 15feb-censor</v>
      </c>
      <c r="B67" s="20" t="s">
        <v>6615</v>
      </c>
      <c r="C67" s="17">
        <v>6</v>
      </c>
      <c r="D67" s="65" t="str">
        <f>HYPERLINK("https://github.com/updown2/OI-Practice/blob/master/USACO/2014-2015/February/Gold/Censoring.cpp","Sol")</f>
        <v>Sol</v>
      </c>
      <c r="E67" s="31" t="s">
        <v>125</v>
      </c>
      <c r="F67" s="37"/>
      <c r="G67" s="67"/>
      <c r="H67" s="67"/>
    </row>
    <row r="68" spans="1:8" ht="13.2">
      <c r="A68" s="65" t="str">
        <f>HYPERLINK("https://www.infoarena.ro/problema/identice","infoarena identice")</f>
        <v>infoarena identice</v>
      </c>
      <c r="B68" s="20" t="s">
        <v>6616</v>
      </c>
      <c r="C68" s="17">
        <v>6</v>
      </c>
      <c r="D68" s="65" t="str">
        <f>HYPERLINK("https://github.com/stefdasca/CompetitiveProgramming/blob/master/Infoarena/identice","Sol")</f>
        <v>Sol</v>
      </c>
      <c r="E68" s="31" t="s">
        <v>125</v>
      </c>
      <c r="F68" s="37"/>
      <c r="G68" s="67"/>
      <c r="H68" s="67"/>
    </row>
    <row r="69" spans="1:8" ht="13.2">
      <c r="A69" s="65" t="str">
        <f>HYPERLINK("https://contest.yandex.ru/ioi/contest/558/enter/","IOI 03-guess")</f>
        <v>IOI 03-guess</v>
      </c>
      <c r="B69" s="15" t="s">
        <v>6571</v>
      </c>
      <c r="C69" s="24">
        <v>6</v>
      </c>
      <c r="D69" s="65" t="str">
        <f>HYPERLINK("https://github.com/mostafa-saad/MyCompetitiveProgramming/blob/master/Olympiad/IOI/IOI-03-guess.txt","Sol")</f>
        <v>Sol</v>
      </c>
      <c r="E69" s="31" t="s">
        <v>125</v>
      </c>
      <c r="F69" s="37"/>
      <c r="G69" s="67"/>
      <c r="H69" s="67"/>
    </row>
    <row r="70" spans="1:8" ht="13.2">
      <c r="A70" s="65" t="str">
        <f>HYPERLINK("http://www.usaco.org/index.php?page=viewproblem2&amp;cpid=1021","USACO 20feb-triangles")</f>
        <v>USACO 20feb-triangles</v>
      </c>
      <c r="B70" s="20" t="s">
        <v>245</v>
      </c>
      <c r="C70" s="24">
        <v>6</v>
      </c>
      <c r="D70" s="69"/>
      <c r="E70" s="31" t="s">
        <v>125</v>
      </c>
      <c r="F70" s="37"/>
      <c r="G70" s="67"/>
      <c r="H70" s="67"/>
    </row>
    <row r="71" spans="1:8" ht="13.2">
      <c r="A71" s="65" t="str">
        <f>HYPERLINK("https://dunjudge.me/analysis/problems/698/","NOIMOCK 15-chessboard")</f>
        <v>NOIMOCK 15-chessboard</v>
      </c>
      <c r="B71" s="37" t="s">
        <v>6617</v>
      </c>
      <c r="C71" s="24">
        <v>6</v>
      </c>
      <c r="D71" s="69"/>
      <c r="E71" s="31" t="s">
        <v>125</v>
      </c>
      <c r="F71" s="37"/>
      <c r="G71" s="67"/>
      <c r="H71" s="67"/>
    </row>
    <row r="72" spans="1:8" ht="13.2">
      <c r="A72" s="65" t="str">
        <f>HYPERLINK("https://www.acmicpc.net/problem/2270","CEOI 03-Hanoi")</f>
        <v>CEOI 03-Hanoi</v>
      </c>
      <c r="B72" s="37" t="s">
        <v>6618</v>
      </c>
      <c r="C72" s="24">
        <v>5.75</v>
      </c>
      <c r="D72" s="65" t="str">
        <f>HYPERLINK("https://github.com/mostafa-saad/MyCompetitiveProgramming/blob/master/Olympiad/CEOI/CEOI-03-Hanoi.txt","Sol")</f>
        <v>Sol</v>
      </c>
      <c r="E72" s="31" t="s">
        <v>125</v>
      </c>
      <c r="F72" s="37"/>
      <c r="G72" s="67"/>
      <c r="H72" s="67"/>
    </row>
    <row r="73" spans="1:8" ht="13.2">
      <c r="A73" s="65" t="str">
        <f>HYPERLINK("https://oj.uz/problem/view/IOI18_combo","IOI 18-combo")</f>
        <v>IOI 18-combo</v>
      </c>
      <c r="B73" s="20" t="s">
        <v>6619</v>
      </c>
      <c r="C73" s="21">
        <v>5.5</v>
      </c>
      <c r="D73" s="65" t="str">
        <f>HYPERLINK("https://github.com/mostafa-saad/MyCompetitiveProgramming/blob/master/Olympiad/IOI/IOI-18-Combo.txt", "Sol")</f>
        <v>Sol</v>
      </c>
      <c r="E73" s="31" t="s">
        <v>125</v>
      </c>
      <c r="F73" s="37" t="s">
        <v>139</v>
      </c>
      <c r="G73" s="67"/>
      <c r="H73" s="67"/>
    </row>
    <row r="74" spans="1:8" ht="13.2">
      <c r="A74" s="65" t="str">
        <f>HYPERLINK("https://oj.uz/problems/source/351","JOIOC 18-Xylophone")</f>
        <v>JOIOC 18-Xylophone</v>
      </c>
      <c r="B74" s="20" t="s">
        <v>6575</v>
      </c>
      <c r="C74" s="21">
        <v>5.5</v>
      </c>
      <c r="D74" s="65" t="str">
        <f>HYPERLINK("https://github.com/mostafa-saad/MyCompetitiveProgramming/blob/master/Olympiad/JOI/JOIOC-18-Xylophone.txt","Sol")</f>
        <v>Sol</v>
      </c>
      <c r="E74" s="31" t="s">
        <v>125</v>
      </c>
      <c r="F74" s="37" t="s">
        <v>139</v>
      </c>
      <c r="G74" s="67"/>
      <c r="H74" s="67"/>
    </row>
    <row r="75" spans="1:8" ht="13.2">
      <c r="A75" s="65" t="str">
        <f>HYPERLINK("https://www.infoarena.ro/problema/interact","infoarena interact")</f>
        <v>infoarena interact</v>
      </c>
      <c r="B75" s="37" t="s">
        <v>6620</v>
      </c>
      <c r="C75" s="24">
        <v>5.5</v>
      </c>
      <c r="D75" s="65" t="str">
        <f>HYPERLINK("https://github.com/mostafa-saad/MyCompetitiveProgramming/blob/master/Olympiad/infoarena/infoarena-interact.txt","Sol")</f>
        <v>Sol</v>
      </c>
      <c r="E75" s="31" t="s">
        <v>125</v>
      </c>
      <c r="F75" s="37" t="s">
        <v>139</v>
      </c>
      <c r="G75" s="67"/>
      <c r="H75" s="67"/>
    </row>
    <row r="76" spans="1:8" ht="13.2">
      <c r="A76" s="65" t="str">
        <f>HYPERLINK("https://www.ioi-jp.org/camp/2018/2018-sp-tasks/index.html","JOISC 18-library")</f>
        <v>JOISC 18-library</v>
      </c>
      <c r="B76" s="18" t="s">
        <v>6621</v>
      </c>
      <c r="C76" s="17">
        <v>5.5</v>
      </c>
      <c r="D76" s="65" t="str">
        <f>HYPERLINK("https://github.com/mostafa-saad/MyCompetitiveProgramming/blob/master/Olympiad/JOI/JOISC-18-library.txt","Sol")</f>
        <v>Sol</v>
      </c>
      <c r="E76" s="31" t="s">
        <v>125</v>
      </c>
      <c r="F76" s="37" t="s">
        <v>139</v>
      </c>
      <c r="G76" s="67"/>
      <c r="H76" s="67"/>
    </row>
    <row r="77" spans="1:8" ht="13.2">
      <c r="A77" s="65" t="str">
        <f>HYPERLINK("https://szkopul.edu.pl/problemset/problem/3buviDQZWLE83AxVhvJJurgU/site/", "POI 10-Game")</f>
        <v>POI 10-Game</v>
      </c>
      <c r="B77" s="37" t="s">
        <v>212</v>
      </c>
      <c r="C77" s="24">
        <v>5.5</v>
      </c>
      <c r="D77" s="65" t="str">
        <f>HYPERLINK("https://github.com/mostafa-saad/MyCompetitiveProgramming/blob/master/Olympiad/POI/official/find_editorial_sols_guidelines.txt","Editorial")</f>
        <v>Editorial</v>
      </c>
      <c r="E77" s="31" t="s">
        <v>125</v>
      </c>
      <c r="F77" s="37" t="s">
        <v>139</v>
      </c>
      <c r="G77" s="67"/>
      <c r="H77" s="67"/>
    </row>
    <row r="78" spans="1:8" ht="13.2">
      <c r="A78" s="65" t="str">
        <f>HYPERLINK("https://oj.uz/problem/view/COCI19_parametriziran","COCI 19-parametriziran")</f>
        <v>COCI 19-parametriziran</v>
      </c>
      <c r="B78" s="20" t="s">
        <v>291</v>
      </c>
      <c r="C78" s="21">
        <v>5.5</v>
      </c>
      <c r="D78" s="65" t="str">
        <f>HYPERLINK("https://github.com/Szawinis/CompetitiveProgramming/blob/master/Olympiad/COCI/COCI19-parametriziran.cpp","Sol")</f>
        <v>Sol</v>
      </c>
      <c r="E78" s="31" t="s">
        <v>125</v>
      </c>
      <c r="F78" s="37" t="s">
        <v>139</v>
      </c>
      <c r="G78" s="67"/>
      <c r="H78" s="67"/>
    </row>
    <row r="79" spans="1:8" ht="13.2">
      <c r="A79" s="65" t="str">
        <f>HYPERLINK("http://usaco.org/index.php?page=viewproblem2&amp;cpid=720", "USACO 17feb-mincross-plat")</f>
        <v>USACO 17feb-mincross-plat</v>
      </c>
      <c r="B79" s="20" t="s">
        <v>124</v>
      </c>
      <c r="C79" s="21">
        <v>5.5</v>
      </c>
      <c r="D79" s="69"/>
      <c r="E79" s="31" t="s">
        <v>125</v>
      </c>
      <c r="F79" s="37" t="s">
        <v>242</v>
      </c>
      <c r="G79" s="67"/>
      <c r="H79" s="67"/>
    </row>
    <row r="80" spans="1:8" ht="13.2">
      <c r="A80" s="65" t="str">
        <f>HYPERLINK("https://oj.uz/problem/view/IOI19_transfer","IOIPractice 19-Transfer")</f>
        <v>IOIPractice 19-Transfer</v>
      </c>
      <c r="B80" s="20" t="s">
        <v>6622</v>
      </c>
      <c r="C80" s="17">
        <v>5.5</v>
      </c>
      <c r="D80" s="65" t="str">
        <f>HYPERLINK("https://github.com/tmwilliamlin168/CompetitiveProgramming/blob/master/IOI/19P-Transfer.cpp", "Sol")</f>
        <v>Sol</v>
      </c>
      <c r="E80" s="31" t="s">
        <v>125</v>
      </c>
      <c r="F80" s="37"/>
      <c r="G80" s="67"/>
      <c r="H80" s="67"/>
    </row>
    <row r="81" spans="1:8" ht="13.2">
      <c r="A81" s="65" t="str">
        <f>HYPERLINK("https://szkopul.edu.pl/problemset/problem/Syg2bcb2gzeOcCBXcL4ap80b/site/", "POI 05-Bus")</f>
        <v>POI 05-Bus</v>
      </c>
      <c r="B81" s="37" t="s">
        <v>6623</v>
      </c>
      <c r="C81" s="24">
        <v>5.5</v>
      </c>
      <c r="D81" s="65" t="str">
        <f>HYPERLINK("https://github.com/mostafa-saad/MyCompetitiveProgramming/blob/master/Olympiad/POI/POI-05-Bus.txt","Sol")</f>
        <v>Sol</v>
      </c>
      <c r="E81" s="31" t="s">
        <v>125</v>
      </c>
      <c r="F81" s="37"/>
      <c r="G81" s="67"/>
      <c r="H81" s="67"/>
    </row>
    <row r="82" spans="1:8" ht="13.2">
      <c r="A82" s="65" t="str">
        <f>HYPERLINK("https://joisc2013-day3.contest.atcoder.jp/tasks/joisc2013_mountain","JOISC 13-Mountain")</f>
        <v>JOISC 13-Mountain</v>
      </c>
      <c r="B82" s="20" t="s">
        <v>6624</v>
      </c>
      <c r="C82" s="24">
        <v>5.5</v>
      </c>
      <c r="D82" s="69"/>
      <c r="E82" s="31" t="s">
        <v>125</v>
      </c>
      <c r="F82" s="37"/>
      <c r="G82" s="67"/>
      <c r="H82" s="67"/>
    </row>
    <row r="83" spans="1:8" ht="13.2">
      <c r="A83" s="65" t="str">
        <f>HYPERLINK("https://oj.uz/problem/view/IOI16_tetris","IOI 16-tetris")</f>
        <v>IOI 16-tetris</v>
      </c>
      <c r="B83" s="20" t="s">
        <v>6625</v>
      </c>
      <c r="C83" s="24">
        <v>5.25</v>
      </c>
      <c r="D83" s="65" t="str">
        <f>HYPERLINK("https://github.com/mostafa-saad/MyCompetitiveProgramming/blob/master/Olympiad/IOI/IOI-16-tetris.txt","Sol")</f>
        <v>Sol</v>
      </c>
      <c r="E83" s="31" t="s">
        <v>125</v>
      </c>
      <c r="F83" s="37" t="s">
        <v>139</v>
      </c>
      <c r="G83" s="67"/>
      <c r="H83" s="67"/>
    </row>
    <row r="84" spans="1:8" ht="13.2">
      <c r="A84" s="65" t="str">
        <f>HYPERLINK("https://dunjudge.me/analysis/problems/1226/","NOI 17-best_place")</f>
        <v>NOI 17-best_place</v>
      </c>
      <c r="B84" s="37" t="s">
        <v>285</v>
      </c>
      <c r="C84" s="24">
        <v>5.25</v>
      </c>
      <c r="D84" s="65" t="str">
        <f>HYPERLINK("https://github.com/mostafa-saad/MyCompetitiveProgramming/blob/master/Olympiad/NOI/official","Editorial")</f>
        <v>Editorial</v>
      </c>
      <c r="E84" s="31" t="s">
        <v>125</v>
      </c>
      <c r="F84" s="37"/>
      <c r="G84" s="67"/>
      <c r="H84" s="67"/>
    </row>
    <row r="85" spans="1:8" ht="13.2">
      <c r="A85" s="65" t="str">
        <f>HYPERLINK("https://contest.yandex.ru/ioi/contest/570/problems/C/","IOI 10-quality")</f>
        <v>IOI 10-quality</v>
      </c>
      <c r="B85" s="18" t="s">
        <v>6626</v>
      </c>
      <c r="C85" s="17">
        <v>5</v>
      </c>
      <c r="D85" s="65" t="str">
        <f>HYPERLINK("https://github.com/mostafa-saad/MyCompetitiveProgramming/blob/master/Olympiad/IOI/IOI-10-quality.txt","Sol")</f>
        <v>Sol</v>
      </c>
      <c r="E85" s="31" t="s">
        <v>125</v>
      </c>
      <c r="F85" s="37" t="s">
        <v>196</v>
      </c>
      <c r="G85" s="67"/>
      <c r="H85" s="67"/>
    </row>
    <row r="86" spans="1:8" ht="13.2">
      <c r="A86" s="65" t="str">
        <f>HYPERLINK("http://usaco.org/index.php?page=viewproblem2&amp;cpid=100", "USACO 11dec-photo-gold")</f>
        <v>USACO 11dec-photo-gold</v>
      </c>
      <c r="B86" s="20" t="s">
        <v>6627</v>
      </c>
      <c r="C86" s="21">
        <v>5</v>
      </c>
      <c r="D86" s="69"/>
      <c r="E86" s="31" t="s">
        <v>125</v>
      </c>
      <c r="F86" s="37" t="s">
        <v>139</v>
      </c>
      <c r="G86" s="67"/>
      <c r="H86" s="67"/>
    </row>
    <row r="87" spans="1:8" ht="13.2">
      <c r="A87" s="65" t="str">
        <f>HYPERLINK("https://dmoj.ca/problem/coci13c1p2","COCI 13-Kusac")</f>
        <v>COCI 13-Kusac</v>
      </c>
      <c r="B87" s="15" t="s">
        <v>124</v>
      </c>
      <c r="C87" s="24">
        <v>5</v>
      </c>
      <c r="D87" s="65" t="str">
        <f>HYPERLINK("https://github.com/mostafa-saad/MyCompetitiveProgramming/blob/master/Olympiad/COCI/official/2014/contest1_solutions","Editorial")</f>
        <v>Editorial</v>
      </c>
      <c r="E87" s="31" t="s">
        <v>125</v>
      </c>
      <c r="F87" s="37" t="s">
        <v>139</v>
      </c>
      <c r="G87" s="67"/>
      <c r="H87" s="67"/>
    </row>
    <row r="88" spans="1:8" ht="13.2">
      <c r="A88" s="65" t="str">
        <f>HYPERLINK("https://cses.fi/191/list/","CEOI 05-keys")</f>
        <v>CEOI 05-keys</v>
      </c>
      <c r="B88" s="37" t="s">
        <v>124</v>
      </c>
      <c r="C88" s="24">
        <v>5</v>
      </c>
      <c r="D88" s="65" t="str">
        <f>HYPERLINK("https://github.com/mostafa-saad/MyCompetitiveProgramming/blob/master/Olympiad/CEOI/CEOI-05-keys.txt","Sol")</f>
        <v>Sol</v>
      </c>
      <c r="E88" s="31" t="s">
        <v>125</v>
      </c>
      <c r="F88" s="37" t="s">
        <v>139</v>
      </c>
      <c r="G88" s="67"/>
      <c r="H88" s="67"/>
    </row>
    <row r="89" spans="1:8" ht="13.2">
      <c r="A89" s="65" t="str">
        <f>HYPERLINK("https://www.infoarena.ro/problema/bitcost","infoarena bitcost")</f>
        <v>infoarena bitcost</v>
      </c>
      <c r="B89" s="20" t="s">
        <v>6628</v>
      </c>
      <c r="C89" s="21">
        <v>5</v>
      </c>
      <c r="D89" s="65" t="str">
        <f>HYPERLINK("https://github.com/stefdasca/CompetitiveProgramming/blob/master/Infoarena/bitcost.cpp","Sol")</f>
        <v>Sol</v>
      </c>
      <c r="E89" s="31" t="s">
        <v>125</v>
      </c>
      <c r="F89" s="37" t="s">
        <v>139</v>
      </c>
      <c r="G89" s="67"/>
      <c r="H89" s="67"/>
    </row>
    <row r="90" spans="1:8" ht="13.2">
      <c r="A90" s="65" t="str">
        <f>HYPERLINK("https://oj.uz/problem/view/NOI13_gw","NOI 13-gw")</f>
        <v>NOI 13-gw</v>
      </c>
      <c r="B90" s="20" t="s">
        <v>6629</v>
      </c>
      <c r="C90" s="24">
        <v>5</v>
      </c>
      <c r="D90" s="65" t="str">
        <f>HYPERLINK("https://github.com/sjhuang26/competitive-programming/blob/master/noi/NOI%2013-gw.cpp","Sol")</f>
        <v>Sol</v>
      </c>
      <c r="E90" s="31" t="s">
        <v>125</v>
      </c>
      <c r="F90" s="37" t="s">
        <v>201</v>
      </c>
      <c r="G90" s="67"/>
      <c r="H90" s="67"/>
    </row>
    <row r="91" spans="1:8" ht="13.2">
      <c r="A91" s="65" t="str">
        <f>HYPERLINK("https://dmoj.ca/problem/coci15c3p4","COCI 15-Slon")</f>
        <v>COCI 15-Slon</v>
      </c>
      <c r="B91" s="15" t="s">
        <v>6630</v>
      </c>
      <c r="C91" s="24">
        <v>5</v>
      </c>
      <c r="D91" s="65" t="str">
        <f>HYPERLINK("https://github.com/mostafa-saad/MyCompetitiveProgramming/blob/master/Olympiad/COCI/official/2016/contest3_solutions","Editorial")</f>
        <v>Editorial</v>
      </c>
      <c r="E91" s="31" t="s">
        <v>125</v>
      </c>
      <c r="F91" s="37" t="s">
        <v>201</v>
      </c>
      <c r="G91" s="67"/>
      <c r="H91" s="67"/>
    </row>
    <row r="92" spans="1:8" ht="13.2">
      <c r="A92" s="65" t="str">
        <f>HYPERLINK("https://wcipeg.com/problem/coci091p4","COCI 09-Mali")</f>
        <v>COCI 09-Mali</v>
      </c>
      <c r="B92" s="15" t="s">
        <v>124</v>
      </c>
      <c r="C92" s="24">
        <v>5</v>
      </c>
      <c r="D92" s="65" t="str">
        <f>HYPERLINK("https://github.com/mostafa-saad/MyCompetitiveProgramming/blob/master/Olympiad/COCI/official/2010/contest1_solutions","Editorial")</f>
        <v>Editorial</v>
      </c>
      <c r="E92" s="31" t="s">
        <v>125</v>
      </c>
      <c r="F92" s="37" t="s">
        <v>201</v>
      </c>
      <c r="G92" s="67"/>
      <c r="H92" s="67"/>
    </row>
    <row r="93" spans="1:8" ht="13.2">
      <c r="A93" s="65" t="str">
        <f>HYPERLINK("https://dmoj.ca/problem/coci14c5p5","COCI 14-Jabuke")</f>
        <v>COCI 14-Jabuke</v>
      </c>
      <c r="B93" s="15" t="s">
        <v>6631</v>
      </c>
      <c r="C93" s="24">
        <v>5</v>
      </c>
      <c r="D93" s="65" t="str">
        <f>HYPERLINK("https://github.com/mostafa-saad/MyCompetitiveProgramming/blob/master/Olympiad/COCI/official/2015/contest5_solutions","Editorial")</f>
        <v>Editorial</v>
      </c>
      <c r="E93" s="31" t="s">
        <v>125</v>
      </c>
      <c r="F93" s="37" t="s">
        <v>201</v>
      </c>
      <c r="G93" s="67"/>
      <c r="H93" s="67"/>
    </row>
    <row r="94" spans="1:8" ht="13.2">
      <c r="A94" s="65" t="str">
        <f>HYPERLINK("http://usaco.org/index.php?page=viewproblem2&amp;cpid=923","USACO 19feb-gold-paintbarn")</f>
        <v>USACO 19feb-gold-paintbarn</v>
      </c>
      <c r="B94" s="37" t="s">
        <v>245</v>
      </c>
      <c r="C94" s="24">
        <v>5</v>
      </c>
      <c r="D94" s="69"/>
      <c r="E94" s="31" t="s">
        <v>125</v>
      </c>
      <c r="F94" s="37" t="s">
        <v>201</v>
      </c>
      <c r="G94" s="67"/>
      <c r="H94" s="67"/>
    </row>
    <row r="95" spans="1:8" ht="13.2">
      <c r="A95" s="65" t="str">
        <f>HYPERLINK("https://oj.uz/problem/view/IOI14_gondola","IOI 14-gondola")</f>
        <v>IOI 14-gondola</v>
      </c>
      <c r="B95" s="18" t="s">
        <v>6632</v>
      </c>
      <c r="C95" s="17">
        <v>5</v>
      </c>
      <c r="D95" s="65" t="str">
        <f>HYPERLINK("http://blog.brucemerry.org.za/2014/07/","Editorial")</f>
        <v>Editorial</v>
      </c>
      <c r="E95" s="31" t="s">
        <v>125</v>
      </c>
      <c r="F95" s="37"/>
      <c r="G95" s="67"/>
      <c r="H95" s="67"/>
    </row>
    <row r="96" spans="1:8" ht="13.2">
      <c r="A96" s="65" t="str">
        <f>HYPERLINK("https://oj.uz/problems/source/56","JOIOC 14-secret")</f>
        <v>JOIOC 14-secret</v>
      </c>
      <c r="B96" s="15" t="s">
        <v>210</v>
      </c>
      <c r="C96" s="24">
        <v>5</v>
      </c>
      <c r="D96" s="65" t="str">
        <f>HYPERLINK("https://github.com/Yehezkiel01/CompetitiveProgramming/blob/master/JOIOC/JOIOC-14-secret.cpp","Sol")</f>
        <v>Sol</v>
      </c>
      <c r="E96" s="31" t="s">
        <v>125</v>
      </c>
      <c r="F96" s="37"/>
      <c r="G96" s="67"/>
      <c r="H96" s="67"/>
    </row>
    <row r="97" spans="1:8" ht="13.2">
      <c r="A97" s="65" t="str">
        <f>HYPERLINK("https://szkopul.edu.pl/problemset/problem/iiSZmNzhLW2p6YVBDu0gIf4G/site/", "POI 10-Beads")</f>
        <v>POI 10-Beads</v>
      </c>
      <c r="B97" s="37" t="s">
        <v>6633</v>
      </c>
      <c r="C97" s="24">
        <v>5</v>
      </c>
      <c r="D97" s="65" t="str">
        <f>HYPERLINK("https://github.com/peon-pasado/CompetitiveProgramming/blob/master/szkoput/POI-10-Beads.cpp","Sol")</f>
        <v>Sol</v>
      </c>
      <c r="E97" s="31" t="s">
        <v>125</v>
      </c>
      <c r="F97" s="37"/>
      <c r="G97" s="67"/>
      <c r="H97" s="67"/>
    </row>
    <row r="98" spans="1:8" ht="13.2">
      <c r="A98" s="65" t="str">
        <f>HYPERLINK("https://www.hackerrank.com/contests/ioi-2014-practice-contest-1/challenges","IOIPractice 14-color-grid-ioi14")</f>
        <v>IOIPractice 14-color-grid-ioi14</v>
      </c>
      <c r="B98" s="15" t="s">
        <v>6634</v>
      </c>
      <c r="C98" s="17">
        <v>5</v>
      </c>
      <c r="D98" s="65" t="str">
        <f>HYPERLINK("https://github.com/mostafa-saad/MyCompetitiveProgramming/blob/master/Olympiad/IOI/IOIPractice-14-color-grid-ioi14.txt","Sol")</f>
        <v>Sol</v>
      </c>
      <c r="E98" s="31" t="s">
        <v>125</v>
      </c>
      <c r="F98" s="37"/>
      <c r="G98" s="67"/>
      <c r="H98" s="67"/>
    </row>
    <row r="99" spans="1:8" ht="13.2">
      <c r="A99" s="65" t="str">
        <f>HYPERLINK("https://dmoj.ca/problem/dmpg15s5","DMPG 15-BlackWhite")</f>
        <v>DMPG 15-BlackWhite</v>
      </c>
      <c r="B99" s="37" t="s">
        <v>6635</v>
      </c>
      <c r="C99" s="24">
        <v>5</v>
      </c>
      <c r="D99" s="69"/>
      <c r="E99" s="31" t="s">
        <v>125</v>
      </c>
      <c r="F99" s="37"/>
      <c r="G99" s="67"/>
      <c r="H99" s="67"/>
    </row>
    <row r="100" spans="1:8" ht="13.2">
      <c r="A100" s="65" t="str">
        <f>HYPERLINK("https://www.hackerrank.com/contests/ioi-2014-practice-contest-1/challenges","IOIPractice 14-christopher-candy-ioi14")</f>
        <v>IOIPractice 14-christopher-candy-ioi14</v>
      </c>
      <c r="B100" s="15" t="s">
        <v>6636</v>
      </c>
      <c r="C100" s="17">
        <v>5</v>
      </c>
      <c r="D100" s="65" t="str">
        <f>HYPERLINK("https://github.com/Yehezkiel01/CompetitiveProgramming/blob/master/IOIPractice/IOIPractice-14-christopher-candy-ioi14.cpp","Sol")</f>
        <v>Sol</v>
      </c>
      <c r="E100" s="31" t="s">
        <v>125</v>
      </c>
      <c r="F100" s="37"/>
      <c r="G100" s="67"/>
      <c r="H100" s="67"/>
    </row>
    <row r="101" spans="1:8" ht="13.2">
      <c r="A101" s="65" t="str">
        <f>HYPERLINK("https://www.infoarena.ro/problema/covor","infoarena covor")</f>
        <v>infoarena covor</v>
      </c>
      <c r="B101" s="20" t="s">
        <v>6637</v>
      </c>
      <c r="C101" s="17">
        <v>5</v>
      </c>
      <c r="D101" s="65" t="str">
        <f>HYPERLINK("https://github.com/stefdasca/CompetitiveProgramming/blob/master/Infoarena/covor","Sol")</f>
        <v>Sol</v>
      </c>
      <c r="E101" s="31" t="s">
        <v>125</v>
      </c>
      <c r="F101" s="37"/>
      <c r="G101" s="67"/>
      <c r="H101" s="67"/>
    </row>
    <row r="102" spans="1:8" ht="13.2">
      <c r="A102" s="65" t="str">
        <f>HYPERLINK("https://www.infoarena.ro/problema/greutati","infoarena greutati")</f>
        <v>infoarena greutati</v>
      </c>
      <c r="B102" s="20" t="s">
        <v>6616</v>
      </c>
      <c r="C102" s="17">
        <v>5</v>
      </c>
      <c r="D102" s="65" t="str">
        <f>HYPERLINK("https://github.com/stefdasca/CompetitiveProgramming/blob/master/Infoarena/greutati.cpp","Sol")</f>
        <v>Sol</v>
      </c>
      <c r="E102" s="31" t="s">
        <v>125</v>
      </c>
      <c r="F102" s="37"/>
      <c r="G102" s="67"/>
      <c r="H102" s="67"/>
    </row>
    <row r="103" spans="1:8" ht="13.2">
      <c r="A103" s="65" t="str">
        <f>HYPERLINK("https://cses.fi/115/list/","Baltic 05-Camp")</f>
        <v>Baltic 05-Camp</v>
      </c>
      <c r="B103" s="37" t="s">
        <v>6638</v>
      </c>
      <c r="C103" s="24">
        <v>5</v>
      </c>
      <c r="D103" s="65" t="str">
        <f>HYPERLINK("https://github.com/mostafa-saad/MyCompetitiveProgramming/blob/master/Olympiad/Baltic/official/boi2005_solutions","Editorial")</f>
        <v>Editorial</v>
      </c>
      <c r="E103" s="31" t="s">
        <v>125</v>
      </c>
      <c r="F103" s="37"/>
      <c r="G103" s="67"/>
      <c r="H103" s="67"/>
    </row>
    <row r="104" spans="1:8" ht="13.2">
      <c r="A104" s="65" t="str">
        <f>HYPERLINK("https://szkopul.edu.pl/problemset/problem/k9UKIj11V6iPRc3LaiYQYHyi/site/", "POI 06-Periods")</f>
        <v>POI 06-Periods</v>
      </c>
      <c r="B104" s="37" t="s">
        <v>124</v>
      </c>
      <c r="C104" s="24">
        <v>5</v>
      </c>
      <c r="D104" s="65" t="str">
        <f>HYPERLINK("https://github.com/mostafa-saad/MyCompetitiveProgramming/blob/master/Olympiad/POI/official/find_editorial_sols_guidelines.txt","Editorial")</f>
        <v>Editorial</v>
      </c>
      <c r="E104" s="31" t="s">
        <v>125</v>
      </c>
      <c r="F104" s="37"/>
      <c r="G104" s="67"/>
      <c r="H104" s="67"/>
    </row>
    <row r="105" spans="1:8" ht="13.2">
      <c r="A105" s="65" t="str">
        <f>HYPERLINK("https://dmoj.ca/problem/coci06c5p5","COCI 06-Ivana")</f>
        <v>COCI 06-Ivana</v>
      </c>
      <c r="B105" s="15" t="s">
        <v>124</v>
      </c>
      <c r="C105" s="24">
        <v>5</v>
      </c>
      <c r="D105" s="65" t="str">
        <f>HYPERLINK("https://github.com/mostafa-saad/MyCompetitiveProgramming/tree/master/Olympiad/COCI/official/2007/contest5_solutions","Editorial")</f>
        <v>Editorial</v>
      </c>
      <c r="E105" s="31" t="s">
        <v>125</v>
      </c>
      <c r="F105" s="37"/>
      <c r="G105" s="67"/>
      <c r="H105" s="67"/>
    </row>
    <row r="106" spans="1:8" ht="13.2">
      <c r="A106" s="65" t="str">
        <f>HYPERLINK("https://dmoj.ca/problem/coci07c4p4","COCI 07-Muzicari")</f>
        <v>COCI 07-Muzicari</v>
      </c>
      <c r="B106" s="15" t="s">
        <v>124</v>
      </c>
      <c r="C106" s="24">
        <v>5</v>
      </c>
      <c r="D106" s="65" t="str">
        <f>HYPERLINK("https://github.com/mostafa-saad/MyCompetitiveProgramming/tree/master/Olympiad/COCI/official/2008/contest4_solutions","Editorial")</f>
        <v>Editorial</v>
      </c>
      <c r="E106" s="31" t="s">
        <v>125</v>
      </c>
      <c r="F106" s="37"/>
      <c r="G106" s="67"/>
      <c r="H106" s="67"/>
    </row>
    <row r="107" spans="1:8" ht="13.2">
      <c r="A107" s="65" t="str">
        <f>HYPERLINK("https://oj.uz/problem/view/COCI18_kocka","COCI 19-kocka")</f>
        <v>COCI 19-kocka</v>
      </c>
      <c r="B107" s="20" t="s">
        <v>124</v>
      </c>
      <c r="C107" s="17">
        <v>5</v>
      </c>
      <c r="D107" s="65" t="str">
        <f>HYPERLINK("https://github.com/ZeyadKhattab/Competitive-Programming/blob/master/Problems/COCI%2019-kocka.java","Sol")</f>
        <v>Sol</v>
      </c>
      <c r="E107" s="31" t="s">
        <v>125</v>
      </c>
      <c r="F107" s="37"/>
      <c r="G107" s="67"/>
      <c r="H107" s="67"/>
    </row>
    <row r="108" spans="1:8" ht="13.2">
      <c r="A108" s="65" t="str">
        <f>HYPERLINK("https://dmoj.ca/problem/ccc16s5","CCC 16-Circle_Life")</f>
        <v>CCC 16-Circle_Life</v>
      </c>
      <c r="B108" s="37" t="s">
        <v>124</v>
      </c>
      <c r="C108" s="24">
        <v>5</v>
      </c>
      <c r="D108" s="69"/>
      <c r="E108" s="31" t="s">
        <v>125</v>
      </c>
      <c r="F108" s="37"/>
      <c r="G108" s="67"/>
      <c r="H108" s="67"/>
    </row>
    <row r="109" spans="1:8" ht="13.2">
      <c r="A109" s="65" t="str">
        <f>HYPERLINK("http://usaco.org/index.php?page=viewproblem2&amp;cpid=946","USACO 19mar-walk-gold")</f>
        <v>USACO 19mar-walk-gold</v>
      </c>
      <c r="B109" s="20" t="s">
        <v>124</v>
      </c>
      <c r="C109" s="17">
        <v>5</v>
      </c>
      <c r="D109" s="69"/>
      <c r="E109" s="31" t="s">
        <v>125</v>
      </c>
      <c r="F109" s="37"/>
      <c r="G109" s="67"/>
      <c r="H109" s="67"/>
    </row>
    <row r="110" spans="1:8" ht="13.2">
      <c r="A110" s="65" t="str">
        <f>HYPERLINK("https://szkopul.edu.pl/problemset/problem/S-cyTRH8ScRh-XfLPAsXCQ0e/site/", "POI 12-Well")</f>
        <v>POI 12-Well</v>
      </c>
      <c r="B110" s="37" t="s">
        <v>147</v>
      </c>
      <c r="C110" s="24">
        <v>5</v>
      </c>
      <c r="D110" s="65" t="str">
        <f>HYPERLINK("https://github.com/mostafa-saad/MyCompetitiveProgramming/blob/master/Olympiad/POI/official/find_editorial_sols_guidelines.txt","Editorial")</f>
        <v>Editorial</v>
      </c>
      <c r="E110" s="31" t="s">
        <v>125</v>
      </c>
      <c r="F110" s="37"/>
      <c r="G110" s="67"/>
      <c r="H110" s="67"/>
    </row>
    <row r="111" spans="1:8" ht="13.2">
      <c r="A111" s="65" t="str">
        <f>HYPERLINK("https://dunjudge.me/analysis/problems/963/","MCO 16-painting")</f>
        <v>MCO 16-painting</v>
      </c>
      <c r="B111" s="37" t="s">
        <v>124</v>
      </c>
      <c r="C111" s="24">
        <v>5</v>
      </c>
      <c r="D111" s="65" t="str">
        <f>HYPERLINK("https://github.com/mostafa-saad/MyCompetitiveProgramming/tree/master/Olympiad/MCO/official","Editorial")</f>
        <v>Editorial</v>
      </c>
      <c r="E111" s="31" t="s">
        <v>125</v>
      </c>
      <c r="F111" s="37"/>
      <c r="G111" s="67"/>
      <c r="H111" s="67"/>
    </row>
    <row r="112" spans="1:8" ht="13.2">
      <c r="A112" s="65" t="str">
        <f>HYPERLINK("https://dunjudge.me/analysis/problems/553/","MCO 14-swaps")</f>
        <v>MCO 14-swaps</v>
      </c>
      <c r="B112" s="37" t="s">
        <v>6639</v>
      </c>
      <c r="C112" s="24">
        <v>5</v>
      </c>
      <c r="D112" s="65" t="str">
        <f>HYPERLINK("https://github.com/mostafa-saad/MyCompetitiveProgramming/tree/master/Olympiad/MCO/official/2014","Sol No Editorial")</f>
        <v>Sol No Editorial</v>
      </c>
      <c r="E112" s="31" t="s">
        <v>125</v>
      </c>
      <c r="F112" s="37"/>
      <c r="G112" s="67"/>
      <c r="H112" s="67"/>
    </row>
    <row r="113" spans="1:8" ht="13.2">
      <c r="A113" s="65" t="str">
        <f>HYPERLINK("https://dunjudge.me/analysis/problems/701/","NOIMOCK 15-dynamite")</f>
        <v>NOIMOCK 15-dynamite</v>
      </c>
      <c r="B113" s="37" t="s">
        <v>6640</v>
      </c>
      <c r="C113" s="24">
        <v>5</v>
      </c>
      <c r="D113" s="69"/>
      <c r="E113" s="31" t="s">
        <v>125</v>
      </c>
      <c r="F113" s="37"/>
      <c r="G113" s="67"/>
      <c r="H113" s="67"/>
    </row>
    <row r="114" spans="1:8" ht="13.2">
      <c r="A114" s="65" t="str">
        <f>HYPERLINK("https://dmoj.ca/problem/coci13c1p5","COCI 13-Organizator")</f>
        <v>COCI 13-Organizator</v>
      </c>
      <c r="B114" s="15" t="s">
        <v>6641</v>
      </c>
      <c r="C114" s="24">
        <v>4.5</v>
      </c>
      <c r="D114" s="65" t="str">
        <f>HYPERLINK("https://github.com/mostafa-saad/MyCompetitiveProgramming/blob/master/Olympiad/COCI/official/2014/contest1_solutions","Editorial")</f>
        <v>Editorial</v>
      </c>
      <c r="E114" s="31" t="s">
        <v>125</v>
      </c>
      <c r="F114" s="37" t="s">
        <v>139</v>
      </c>
      <c r="G114" s="67"/>
      <c r="H114" s="67"/>
    </row>
    <row r="115" spans="1:8" ht="13.2">
      <c r="A115" s="65" t="str">
        <f>HYPERLINK("https://www.infoarena.ro/problema/bile6","infoarena bile6")</f>
        <v>infoarena bile6</v>
      </c>
      <c r="B115" s="20" t="s">
        <v>6642</v>
      </c>
      <c r="C115" s="17">
        <v>4.5</v>
      </c>
      <c r="D115" s="65" t="str">
        <f>HYPERLINK("https://github.com/stefdasca/CompetitiveProgramming/blob/master/Infoarena/bile6.cpp","Sol")</f>
        <v>Sol</v>
      </c>
      <c r="E115" s="31" t="s">
        <v>125</v>
      </c>
      <c r="F115" s="37"/>
      <c r="G115" s="67"/>
      <c r="H115" s="67"/>
    </row>
    <row r="116" spans="1:8" ht="13.2">
      <c r="A116" s="65" t="str">
        <f>HYPERLINK("https://oj.uz/problem/view/COCI18_preokret","COCI 19-preokret")</f>
        <v>COCI 19-preokret</v>
      </c>
      <c r="B116" s="20" t="s">
        <v>124</v>
      </c>
      <c r="C116" s="17">
        <v>4.5</v>
      </c>
      <c r="D116" s="69"/>
      <c r="E116" s="31" t="s">
        <v>125</v>
      </c>
      <c r="F116" s="37"/>
      <c r="G116" s="67"/>
      <c r="H116" s="67"/>
    </row>
    <row r="117" spans="1:8" ht="13.2">
      <c r="A117" s="65" t="str">
        <f>HYPERLINK("https://oj.uz/problem/view/COCI17_igra","COCI 17-igra")</f>
        <v>COCI 17-igra</v>
      </c>
      <c r="B117" s="20" t="s">
        <v>6643</v>
      </c>
      <c r="C117" s="24">
        <v>4</v>
      </c>
      <c r="D117" s="65" t="str">
        <f>HYPERLINK("https://github.com/mostafa-saad/MyCompetitiveProgramming/blob/master/Olympiad/COCI/official/2017/contest7_solutions","Editorial")</f>
        <v>Editorial</v>
      </c>
      <c r="E117" s="31" t="s">
        <v>125</v>
      </c>
      <c r="F117" s="37" t="s">
        <v>139</v>
      </c>
      <c r="G117" s="67"/>
      <c r="H117" s="67"/>
    </row>
    <row r="118" spans="1:8" ht="13.2">
      <c r="A118" s="65" t="str">
        <f>HYPERLINK("https://dunjudge.me/analysis/problems/1825/","NOI 19-lasers")</f>
        <v>NOI 19-lasers</v>
      </c>
      <c r="B118" s="20" t="s">
        <v>124</v>
      </c>
      <c r="C118" s="17">
        <v>4</v>
      </c>
      <c r="D118" s="69"/>
      <c r="E118" s="31" t="s">
        <v>125</v>
      </c>
      <c r="F118" s="37" t="s">
        <v>139</v>
      </c>
      <c r="G118" s="67"/>
      <c r="H118" s="67"/>
    </row>
    <row r="119" spans="1:8" ht="13.2">
      <c r="A119" s="65" t="str">
        <f>HYPERLINK("https://dmoj.ca/problem/coci14c4p4","COCI 14-Mravi")</f>
        <v>COCI 14-Mravi</v>
      </c>
      <c r="B119" s="37" t="s">
        <v>124</v>
      </c>
      <c r="C119" s="24">
        <v>4</v>
      </c>
      <c r="D119" s="65" t="str">
        <f>HYPERLINK("https://github.com/mostafa-saad/MyCompetitiveProgramming/blob/master/Olympiad/COCI/official/2015/contest4_solutions","Editorial")</f>
        <v>Editorial</v>
      </c>
      <c r="E119" s="31" t="s">
        <v>125</v>
      </c>
      <c r="F119" s="37" t="s">
        <v>201</v>
      </c>
      <c r="G119" s="67"/>
      <c r="H119" s="67"/>
    </row>
    <row r="120" spans="1:8" ht="15" customHeight="1">
      <c r="A120" s="65" t="str">
        <f>HYPERLINK("https://dunjudge.me/analysis/problems/273/","NOI 08-gecko")</f>
        <v>NOI 08-gecko</v>
      </c>
      <c r="B120" s="37" t="s">
        <v>124</v>
      </c>
      <c r="C120" s="24">
        <v>4</v>
      </c>
      <c r="D120" s="65" t="str">
        <f>HYPERLINK("https://github.com/mostafa-saad/MyCompetitiveProgramming/blob/master/Olympiad/NOI/official","Editorial")</f>
        <v>Editorial</v>
      </c>
      <c r="E120" s="31" t="s">
        <v>125</v>
      </c>
      <c r="F120" s="37" t="s">
        <v>201</v>
      </c>
      <c r="G120" s="67"/>
      <c r="H120" s="67"/>
    </row>
    <row r="121" spans="1:8" ht="13.2">
      <c r="A121" s="65" t="str">
        <f>HYPERLINK("https://ipsc.ksp.sk/2018/real/problems/h.html","IPSC 18-H1")</f>
        <v>IPSC 18-H1</v>
      </c>
      <c r="B121" s="20" t="s">
        <v>6575</v>
      </c>
      <c r="C121" s="21">
        <v>4</v>
      </c>
      <c r="D121" s="69"/>
      <c r="E121" s="31" t="s">
        <v>125</v>
      </c>
      <c r="F121" s="37" t="s">
        <v>201</v>
      </c>
      <c r="G121" s="67"/>
      <c r="H121" s="67"/>
    </row>
    <row r="122" spans="1:8" ht="13.2">
      <c r="A122" s="65" t="str">
        <f>HYPERLINK("https://ipsc.ksp.sk/2018/real/problems/j.html","IPSC 18-J1")</f>
        <v>IPSC 18-J1</v>
      </c>
      <c r="B122" s="20" t="s">
        <v>138</v>
      </c>
      <c r="C122" s="21">
        <v>4</v>
      </c>
      <c r="D122" s="69"/>
      <c r="E122" s="31" t="s">
        <v>125</v>
      </c>
      <c r="F122" s="37" t="s">
        <v>201</v>
      </c>
      <c r="G122" s="67"/>
      <c r="H122" s="67"/>
    </row>
    <row r="123" spans="1:8" ht="13.2">
      <c r="A123" s="65" t="str">
        <f>HYPERLINK("https://contest.yandex.ru/ioi/contest/562/problems/A/","IOI 06-writing")</f>
        <v>IOI 06-writing</v>
      </c>
      <c r="B123" s="18" t="s">
        <v>146</v>
      </c>
      <c r="C123" s="17">
        <v>4</v>
      </c>
      <c r="D123" s="65" t="str">
        <f>HYPERLINK("https://github.com/mostafa-saad/MyCompetitiveProgramming/blob/master/Olympiad/IOI/official/2006/ioi06_writing_sol.pdf","Editorial")</f>
        <v>Editorial</v>
      </c>
      <c r="E123" s="31" t="s">
        <v>125</v>
      </c>
      <c r="F123" s="37"/>
      <c r="G123" s="67"/>
      <c r="H123" s="67"/>
    </row>
    <row r="124" spans="1:8" ht="13.2">
      <c r="A124" s="65" t="str">
        <f>HYPERLINK("https://dmoj.ca/problem/coci14c7p2","COCI 14-Kriza")</f>
        <v>COCI 14-Kriza</v>
      </c>
      <c r="B124" s="37" t="s">
        <v>124</v>
      </c>
      <c r="C124" s="24">
        <v>4</v>
      </c>
      <c r="D124" s="65" t="str">
        <f>HYPERLINK("https://github.com/mostafa-saad/MyCompetitiveProgramming/blob/master/Olympiad/COCI/official/2015/contest7_solutions","Editorial")</f>
        <v>Editorial</v>
      </c>
      <c r="E124" s="31" t="s">
        <v>125</v>
      </c>
      <c r="F124" s="37"/>
      <c r="G124" s="67"/>
      <c r="H124" s="67"/>
    </row>
    <row r="125" spans="1:8" ht="13.2">
      <c r="A125" s="65" t="str">
        <f>HYPERLINK("https://szkopul.edu.pl/problemset/problem/Arkza0f7GKKb-m1YZJulnlMk/site/", "POI 10-Test")</f>
        <v>POI 10-Test</v>
      </c>
      <c r="B125" s="37" t="s">
        <v>124</v>
      </c>
      <c r="C125" s="24">
        <v>4</v>
      </c>
      <c r="D125" s="65" t="str">
        <f>HYPERLINK("https://github.com/mostafa-saad/MyCompetitiveProgramming/blob/master/Olympiad/POI/official/find_editorial_sols_guidelines.txt","Editorial")</f>
        <v>Editorial</v>
      </c>
      <c r="E125" s="31" t="s">
        <v>125</v>
      </c>
      <c r="F125" s="37"/>
      <c r="G125" s="67"/>
      <c r="H125" s="67"/>
    </row>
    <row r="126" spans="1:8" ht="13.2">
      <c r="A126" s="65" t="str">
        <f>HYPERLINK("https://oj.uz/problem/view/IOI17_cup","IOI 17-cup")</f>
        <v>IOI 17-cup</v>
      </c>
      <c r="B126" s="20" t="s">
        <v>124</v>
      </c>
      <c r="C126" s="17">
        <v>4</v>
      </c>
      <c r="D126" s="69"/>
      <c r="E126" s="31" t="s">
        <v>125</v>
      </c>
      <c r="F126" s="37"/>
      <c r="G126" s="67"/>
      <c r="H126" s="67"/>
    </row>
    <row r="127" spans="1:8" ht="13.2">
      <c r="A127" s="65" t="str">
        <f>HYPERLINK("https://www.infoarena.ro/problema/munte4","infoarena munte4")</f>
        <v>infoarena munte4</v>
      </c>
      <c r="B127" s="37" t="s">
        <v>6644</v>
      </c>
      <c r="C127" s="21">
        <v>3.5</v>
      </c>
      <c r="D127" s="65" t="str">
        <f>HYPERLINK("https://github.com/stefdasca/CompetitiveProgramming/blob/master/Infoarena/munte4.cpp","Sol")</f>
        <v>Sol</v>
      </c>
      <c r="E127" s="31" t="s">
        <v>125</v>
      </c>
      <c r="F127" s="37"/>
      <c r="G127" s="67"/>
      <c r="H127" s="67"/>
    </row>
    <row r="128" spans="1:8" ht="13.2">
      <c r="A128" s="65" t="str">
        <f>HYPERLINK("https://dmoj.ca/problem/coci15c4p2","COCI 15-Han")</f>
        <v>COCI 15-Han</v>
      </c>
      <c r="B128" s="15" t="s">
        <v>147</v>
      </c>
      <c r="C128" s="72">
        <v>3.5</v>
      </c>
      <c r="D128" s="69"/>
      <c r="E128" s="31" t="s">
        <v>125</v>
      </c>
      <c r="F128" s="37"/>
      <c r="G128" s="67"/>
      <c r="H128" s="67"/>
    </row>
    <row r="129" spans="1:8" ht="13.2">
      <c r="A129" s="65" t="str">
        <f>HYPERLINK("https://dunjudge.me/analysis/problems/1411/","COCI 13-sumo")</f>
        <v>COCI 13-sumo</v>
      </c>
      <c r="B129" s="15" t="s">
        <v>6645</v>
      </c>
      <c r="C129" s="24">
        <v>3</v>
      </c>
      <c r="D129" s="65" t="str">
        <f>HYPERLINK("https://github.com/mostafa-saad/MyCompetitiveProgramming/blob/master/Olympiad/COCI/official/2014/contest4_solutions","Editorial")</f>
        <v>Editorial</v>
      </c>
      <c r="E129" s="31" t="s">
        <v>125</v>
      </c>
      <c r="F129" s="37" t="s">
        <v>201</v>
      </c>
      <c r="G129" s="67"/>
      <c r="H129" s="67"/>
    </row>
    <row r="130" spans="1:8" ht="13.2">
      <c r="A130" s="65" t="str">
        <f>HYPERLINK("https://dmoj.ca/problem/coci07c1p5","COCI 07-Srednji")</f>
        <v>COCI 07-Srednji</v>
      </c>
      <c r="B130" s="15" t="s">
        <v>124</v>
      </c>
      <c r="C130" s="24">
        <v>3</v>
      </c>
      <c r="D130" s="65" t="str">
        <f>HYPERLINK("https://github.com/mostafa-saad/MyCompetitiveProgramming/tree/master/Olympiad/COCI/official/2008/contest1_solutions","Editorial")</f>
        <v>Editorial</v>
      </c>
      <c r="E130" s="31" t="s">
        <v>125</v>
      </c>
      <c r="F130" s="37" t="s">
        <v>201</v>
      </c>
      <c r="G130" s="67"/>
      <c r="H130" s="67"/>
    </row>
    <row r="131" spans="1:8" ht="13.2">
      <c r="A131" s="65" t="str">
        <f>HYPERLINK("https://oj.uz/problem/view/NOI18_collectmushrooms","NOI 18-collectmushrooms")</f>
        <v>NOI 18-collectmushrooms</v>
      </c>
      <c r="B131" s="37" t="s">
        <v>245</v>
      </c>
      <c r="C131" s="24">
        <v>3</v>
      </c>
      <c r="D131" s="65" t="str">
        <f>HYPERLINK("https://github.com/mostafa-saad/MyCompetitiveProgramming/blob/master/Olympiad/NOI/official","Editorial")</f>
        <v>Editorial</v>
      </c>
      <c r="E131" s="31" t="s">
        <v>125</v>
      </c>
      <c r="F131" s="37"/>
      <c r="G131" s="67"/>
      <c r="H131" s="67"/>
    </row>
    <row r="132" spans="1:8" ht="13.2">
      <c r="A132" s="65" t="str">
        <f>HYPERLINK("https://oj.uz/problem/view/COCI17_zigzag","COCI 17-zigzag")</f>
        <v>COCI 17-zigzag</v>
      </c>
      <c r="B132" s="20" t="s">
        <v>6646</v>
      </c>
      <c r="C132" s="24">
        <v>3</v>
      </c>
      <c r="D132" s="69"/>
      <c r="E132" s="31" t="s">
        <v>125</v>
      </c>
      <c r="F132" s="37"/>
      <c r="G132" s="67"/>
      <c r="H132" s="67"/>
    </row>
    <row r="133" spans="1:8" ht="13.2">
      <c r="A133" s="65" t="str">
        <f>HYPERLINK("https://oj.uz/problem/view/JOI20_ho_t1","JOI 20-Neckties")</f>
        <v>JOI 20-Neckties</v>
      </c>
      <c r="B133" s="25" t="s">
        <v>6647</v>
      </c>
      <c r="C133" s="24">
        <v>3</v>
      </c>
      <c r="D133" s="65" t="str">
        <f>HYPERLINK("https://github.com/dolphingarlic/CompetitiveProgramming/blob/master/JOI/JOI%2020-neckties.cpp","sol")</f>
        <v>sol</v>
      </c>
      <c r="E133" s="31" t="s">
        <v>125</v>
      </c>
      <c r="F133" s="37"/>
      <c r="G133" s="67"/>
      <c r="H133" s="67"/>
    </row>
    <row r="134" spans="1:8" ht="13.2">
      <c r="A134" s="65" t="str">
        <f>HYPERLINK("https://cses.fi/111/list/","Baltic 07-Sound")</f>
        <v>Baltic 07-Sound</v>
      </c>
      <c r="B134" s="37" t="s">
        <v>6648</v>
      </c>
      <c r="C134" s="24">
        <v>3</v>
      </c>
      <c r="D134" s="65" t="str">
        <f>HYPERLINK("https://github.com/mostafa-saad/MyCompetitiveProgramming/blob/master/Olympiad/Baltic/official/boi2007_solutions","Editorial")</f>
        <v>Editorial</v>
      </c>
      <c r="E134" s="31" t="s">
        <v>125</v>
      </c>
      <c r="F134" s="37"/>
      <c r="G134" s="67"/>
      <c r="H134" s="67"/>
    </row>
    <row r="135" spans="1:8" ht="13.2">
      <c r="A135" s="65" t="str">
        <f>HYPERLINK("https://oj.uz/problem/view/COCI16_pohlepko","COCI 16-pohlepko")</f>
        <v>COCI 16-pohlepko</v>
      </c>
      <c r="B135" s="20" t="s">
        <v>124</v>
      </c>
      <c r="C135" s="24">
        <v>3</v>
      </c>
      <c r="D135" s="65" t="str">
        <f>HYPERLINK("https://github.com/mostafa-saad/MyCompetitiveProgramming/blob/master/Olympiad/COCI/official/2017/contest3_solutions","Editorial")</f>
        <v>Editorial</v>
      </c>
      <c r="E135" s="31" t="s">
        <v>125</v>
      </c>
      <c r="F135" s="37"/>
      <c r="G135" s="67"/>
      <c r="H135" s="67"/>
    </row>
    <row r="136" spans="1:8" ht="13.2">
      <c r="A136" s="65" t="str">
        <f>HYPERLINK("https://wcipeg.com/problem/coci067p3","COCI 06-Firefly")</f>
        <v>COCI 06-Firefly</v>
      </c>
      <c r="B136" s="15" t="s">
        <v>245</v>
      </c>
      <c r="C136" s="24">
        <v>3</v>
      </c>
      <c r="D136" s="65" t="str">
        <f t="shared" ref="D136:D137" si="0">HYPERLINK("https://github.com/mostafa-saad/MyCompetitiveProgramming/tree/master/Olympiad/COCI/official/2007/regional_solutions","Editorial")</f>
        <v>Editorial</v>
      </c>
      <c r="E136" s="31" t="s">
        <v>125</v>
      </c>
      <c r="F136" s="37"/>
      <c r="G136" s="67"/>
      <c r="H136" s="67"/>
    </row>
    <row r="137" spans="1:8" ht="13.2">
      <c r="A137" s="65" t="str">
        <f>HYPERLINK("https://wcipeg.com/problem/coci067p2","COCI 06-Tetris")</f>
        <v>COCI 06-Tetris</v>
      </c>
      <c r="B137" s="15" t="s">
        <v>124</v>
      </c>
      <c r="C137" s="24">
        <v>3</v>
      </c>
      <c r="D137" s="65" t="str">
        <f t="shared" si="0"/>
        <v>Editorial</v>
      </c>
      <c r="E137" s="31" t="s">
        <v>125</v>
      </c>
      <c r="F137" s="37"/>
      <c r="G137" s="67"/>
      <c r="H137" s="67"/>
    </row>
    <row r="138" spans="1:8" ht="13.2">
      <c r="A138" s="65" t="str">
        <f>HYPERLINK("https://oj.uz/problem/view/COCI18_timovi","COCI 18-timovi")</f>
        <v>COCI 18-timovi</v>
      </c>
      <c r="B138" s="15" t="s">
        <v>147</v>
      </c>
      <c r="C138" s="72">
        <v>3</v>
      </c>
      <c r="D138" s="69"/>
      <c r="E138" s="31" t="s">
        <v>125</v>
      </c>
      <c r="F138" s="37"/>
      <c r="G138" s="67"/>
      <c r="H138" s="67"/>
    </row>
    <row r="139" spans="1:8" ht="13.2">
      <c r="A139" s="65" t="str">
        <f>HYPERLINK("https://cses.fi/231/task/B","Datatähti Open19-B")</f>
        <v>Datatähti Open19-B</v>
      </c>
      <c r="B139" s="20" t="s">
        <v>245</v>
      </c>
      <c r="C139" s="24">
        <v>3</v>
      </c>
      <c r="D139" s="69"/>
      <c r="E139" s="31" t="s">
        <v>125</v>
      </c>
      <c r="F139" s="37"/>
      <c r="G139" s="67"/>
      <c r="H139" s="67"/>
    </row>
    <row r="140" spans="1:8" ht="13.2">
      <c r="A140" s="65" t="str">
        <f>HYPERLINK("https://wcipeg.com/problem/coci096p3","COCI 09-Dosadan")</f>
        <v>COCI 09-Dosadan</v>
      </c>
      <c r="B140" s="15" t="s">
        <v>6649</v>
      </c>
      <c r="C140" s="24">
        <v>3</v>
      </c>
      <c r="D140" s="65" t="str">
        <f>HYPERLINK("https://github.com/mostafa-saad/MyCompetitiveProgramming/blob/master/Olympiad/COCI/official/2010/contest6_solutions","Editorial")</f>
        <v>Editorial</v>
      </c>
      <c r="E140" s="31" t="s">
        <v>125</v>
      </c>
      <c r="F140" s="37"/>
      <c r="G140" s="67"/>
      <c r="H140" s="67"/>
    </row>
    <row r="141" spans="1:8" ht="13.2">
      <c r="A141" s="65" t="str">
        <f>HYPERLINK("https://szkopul.edu.pl/problemset/problem/d5W4-JZbz1vSmQCLIJ91__9N/site/", "POI 06-Disks")</f>
        <v>POI 06-Disks</v>
      </c>
      <c r="B141" s="37" t="s">
        <v>124</v>
      </c>
      <c r="C141" s="24">
        <v>3</v>
      </c>
      <c r="D141" s="65" t="str">
        <f t="shared" ref="D141:D145" si="1">HYPERLINK("https://github.com/mostafa-saad/MyCompetitiveProgramming/blob/master/Olympiad/POI/official/find_editorial_sols_guidelines.txt","Editorial")</f>
        <v>Editorial</v>
      </c>
      <c r="E141" s="31" t="s">
        <v>125</v>
      </c>
      <c r="F141" s="37"/>
      <c r="G141" s="67"/>
      <c r="H141" s="67"/>
    </row>
    <row r="142" spans="1:8" ht="13.2">
      <c r="A142" s="65" t="str">
        <f>HYPERLINK("https://szkopul.edu.pl/problemset/problem/NZhJzNZct1iBas2bPCvlvls5/site/", "POI 08-Postering")</f>
        <v>POI 08-Postering</v>
      </c>
      <c r="B142" s="37" t="s">
        <v>124</v>
      </c>
      <c r="C142" s="24">
        <v>3</v>
      </c>
      <c r="D142" s="65" t="str">
        <f t="shared" si="1"/>
        <v>Editorial</v>
      </c>
      <c r="E142" s="31" t="s">
        <v>125</v>
      </c>
      <c r="F142" s="37"/>
      <c r="G142" s="67"/>
      <c r="H142" s="67"/>
    </row>
    <row r="143" spans="1:8" ht="13.2">
      <c r="A143" s="65" t="str">
        <f>HYPERLINK("https://szkopul.edu.pl/problemset/problem/Z8dyWFvoZuAJMjzLhqu4IH2o/site/", "POI 09-Elephants")</f>
        <v>POI 09-Elephants</v>
      </c>
      <c r="B143" s="37" t="s">
        <v>124</v>
      </c>
      <c r="C143" s="24">
        <v>3</v>
      </c>
      <c r="D143" s="65" t="str">
        <f t="shared" si="1"/>
        <v>Editorial</v>
      </c>
      <c r="E143" s="31" t="s">
        <v>125</v>
      </c>
      <c r="F143" s="37"/>
      <c r="G143" s="67"/>
      <c r="H143" s="67"/>
    </row>
    <row r="144" spans="1:8" ht="13.2">
      <c r="A144" s="65" t="str">
        <f>HYPERLINK("https://szkopul.edu.pl/problemset/problem/E4CCHJSbYzxeGWXMnBZHkPnm/site/", "POI 09-Pebbles")</f>
        <v>POI 09-Pebbles</v>
      </c>
      <c r="B144" s="37" t="s">
        <v>124</v>
      </c>
      <c r="C144" s="24">
        <v>3</v>
      </c>
      <c r="D144" s="65" t="str">
        <f t="shared" si="1"/>
        <v>Editorial</v>
      </c>
      <c r="E144" s="31" t="s">
        <v>125</v>
      </c>
      <c r="F144" s="37"/>
      <c r="G144" s="67"/>
      <c r="H144" s="67"/>
    </row>
    <row r="145" spans="1:8" ht="13.2">
      <c r="A145" s="65" t="str">
        <f>HYPERLINK("https://szkopul.edu.pl/problemset/problem/oTsXNiT3SD45VgVS2zqQWj7F/site/", "POI 10-Guilds")</f>
        <v>POI 10-Guilds</v>
      </c>
      <c r="B145" s="37" t="s">
        <v>124</v>
      </c>
      <c r="C145" s="24">
        <v>3</v>
      </c>
      <c r="D145" s="65" t="str">
        <f t="shared" si="1"/>
        <v>Editorial</v>
      </c>
      <c r="E145" s="31" t="s">
        <v>125</v>
      </c>
      <c r="F145" s="37"/>
      <c r="G145" s="67"/>
      <c r="H145" s="67"/>
    </row>
    <row r="146" spans="1:8" ht="13.2">
      <c r="A146" s="65" t="str">
        <f>HYPERLINK("https://oj.uz/problem/view/COCI17_cezar","COCI 17-cezar")</f>
        <v>COCI 17-cezar</v>
      </c>
      <c r="B146" s="20" t="s">
        <v>6646</v>
      </c>
      <c r="C146" s="24">
        <v>2.5</v>
      </c>
      <c r="D146" s="69"/>
      <c r="E146" s="31" t="s">
        <v>125</v>
      </c>
      <c r="F146" s="37"/>
      <c r="G146" s="67"/>
      <c r="H146" s="67"/>
    </row>
    <row r="147" spans="1:8" ht="13.2">
      <c r="A147" s="65" t="str">
        <f>HYPERLINK("https://dunjudge.me/analysis/problems/1357/","COCI 12-sahovnica")</f>
        <v>COCI 12-sahovnica</v>
      </c>
      <c r="B147" s="15" t="s">
        <v>147</v>
      </c>
      <c r="C147" s="24">
        <v>2.5</v>
      </c>
      <c r="D147" s="65" t="str">
        <f>HYPERLINK("https://github.com/mostafa-saad/MyCompetitiveProgramming/blob/master/Olympiad/COCI/official/2013/contest3_solutions","Editorial")</f>
        <v>Editorial</v>
      </c>
      <c r="E147" s="31" t="s">
        <v>125</v>
      </c>
      <c r="F147" s="37"/>
      <c r="G147" s="67"/>
      <c r="H147" s="67"/>
    </row>
    <row r="148" spans="1:8" ht="13.2">
      <c r="A148" s="65" t="str">
        <f>HYPERLINK("https://oj.uz/problem/view/COCI18_nadan","COCI 19-nadan")</f>
        <v>COCI 19-nadan</v>
      </c>
      <c r="B148" s="20" t="s">
        <v>6650</v>
      </c>
      <c r="C148" s="24">
        <v>2</v>
      </c>
      <c r="D148" s="69"/>
      <c r="E148" s="31" t="s">
        <v>125</v>
      </c>
      <c r="F148" s="37"/>
      <c r="G148" s="67"/>
      <c r="H148" s="67"/>
    </row>
    <row r="149" spans="1:8" ht="13.2">
      <c r="A149" s="65" t="str">
        <f>HYPERLINK("https://dmoj.ca/problem/coci08c3p3","COCI 08-Cross")</f>
        <v>COCI 08-Cross</v>
      </c>
      <c r="B149" s="20" t="s">
        <v>6646</v>
      </c>
      <c r="C149" s="24">
        <v>2</v>
      </c>
      <c r="D149" s="65" t="str">
        <f>HYPERLINK("https://github.com/mostafa-saad/MyCompetitiveProgramming/blob/master/Olympiad/COCI/official/2009/contest3_solutions","Editorial")</f>
        <v>Editorial</v>
      </c>
      <c r="E149" s="31" t="s">
        <v>125</v>
      </c>
      <c r="F149" s="37"/>
      <c r="G149" s="67"/>
      <c r="H149" s="67"/>
    </row>
    <row r="150" spans="1:8" ht="13.2">
      <c r="A150" s="65" t="str">
        <f>HYPERLINK("https://dmoj.ca/problem/coci08c4p3","COCI 08-Rot")</f>
        <v>COCI 08-Rot</v>
      </c>
      <c r="B150" s="20" t="s">
        <v>6646</v>
      </c>
      <c r="C150" s="24">
        <v>2</v>
      </c>
      <c r="D150" s="65" t="str">
        <f>HYPERLINK("https://github.com/mostafa-saad/MyCompetitiveProgramming/blob/master/Olympiad/COCI/official/2009/contest4_solutions","Editorial")</f>
        <v>Editorial</v>
      </c>
      <c r="E150" s="31" t="s">
        <v>125</v>
      </c>
      <c r="F150" s="37"/>
      <c r="G150" s="67"/>
      <c r="H150" s="67"/>
    </row>
    <row r="151" spans="1:8" ht="13.2">
      <c r="A151" s="65" t="str">
        <f>HYPERLINK("https://wcipeg.com/problem/coci096p1","COCI 09-Kajak")</f>
        <v>COCI 09-Kajak</v>
      </c>
      <c r="B151" s="20" t="s">
        <v>6646</v>
      </c>
      <c r="C151" s="24">
        <v>2</v>
      </c>
      <c r="D151" s="65" t="str">
        <f>HYPERLINK("https://github.com/mostafa-saad/MyCompetitiveProgramming/blob/master/Olympiad/COCI/official/2010/contest6_solutions","Editorial")</f>
        <v>Editorial</v>
      </c>
      <c r="E151" s="31" t="s">
        <v>125</v>
      </c>
      <c r="F151" s="37"/>
      <c r="G151" s="67"/>
      <c r="H151" s="67"/>
    </row>
    <row r="152" spans="1:8" ht="13.2">
      <c r="A152" s="65" t="str">
        <f>HYPERLINK("https://dunjudge.me/analysis/problems/1382/","COCI 12-sume")</f>
        <v>COCI 12-sume</v>
      </c>
      <c r="B152" s="20" t="s">
        <v>285</v>
      </c>
      <c r="C152" s="24">
        <v>2</v>
      </c>
      <c r="D152" s="65" t="str">
        <f>HYPERLINK("https://github.com/mostafa-saad/MyCompetitiveProgramming/blob/master/Olympiad/COCI/official/2013/contest6_solutions","Editorial")</f>
        <v>Editorial</v>
      </c>
      <c r="E152" s="31" t="s">
        <v>125</v>
      </c>
      <c r="F152" s="37"/>
      <c r="G152" s="67"/>
      <c r="H152" s="67"/>
    </row>
    <row r="153" spans="1:8" ht="13.2">
      <c r="A153" s="65" t="str">
        <f>HYPERLINK("https://dunjudge.me/analysis/problems/108/","NOI 08-4sum")</f>
        <v>NOI 08-4sum</v>
      </c>
      <c r="B153" s="37" t="s">
        <v>124</v>
      </c>
      <c r="C153" s="24">
        <v>2</v>
      </c>
      <c r="D153" s="65" t="str">
        <f>HYPERLINK("https://github.com/mostafa-saad/MyCompetitiveProgramming/blob/master/Olympiad/NOI/official","Editorial")</f>
        <v>Editorial</v>
      </c>
      <c r="E153" s="31" t="s">
        <v>125</v>
      </c>
      <c r="F153" s="37"/>
      <c r="G153" s="67"/>
      <c r="H153" s="67"/>
    </row>
    <row r="154" spans="1:8" ht="13.2">
      <c r="A154" s="65" t="str">
        <f>HYPERLINK("https://dmoj.ca/problem/coci07c3p3","COCI 07-Tajna")</f>
        <v>COCI 07-Tajna</v>
      </c>
      <c r="B154" s="37" t="s">
        <v>124</v>
      </c>
      <c r="C154" s="24">
        <v>2</v>
      </c>
      <c r="D154" s="65" t="str">
        <f>HYPERLINK("https://github.com/mostafa-saad/MyCompetitiveProgramming/tree/master/Olympiad/COCI/official/2008/contest3_solutions","Editorial")</f>
        <v>Editorial</v>
      </c>
      <c r="E154" s="31" t="s">
        <v>125</v>
      </c>
      <c r="F154" s="37"/>
      <c r="G154" s="67"/>
      <c r="H154" s="67"/>
    </row>
    <row r="155" spans="1:8" ht="13.2">
      <c r="A155" s="65" t="str">
        <f>HYPERLINK("https://oj.uz/problem/view/COCI17_izbori","COCI 17-izbori")</f>
        <v>COCI 17-izbori</v>
      </c>
      <c r="B155" s="20" t="s">
        <v>6646</v>
      </c>
      <c r="C155" s="24">
        <v>2</v>
      </c>
      <c r="D155" s="69"/>
      <c r="E155" s="31" t="s">
        <v>125</v>
      </c>
      <c r="F155" s="37"/>
      <c r="G155" s="67"/>
      <c r="H155" s="67"/>
    </row>
    <row r="156" spans="1:8" ht="13.2">
      <c r="A156" s="65" t="str">
        <f>HYPERLINK("https://oj.uz/problem/view/COCI17_rasvjeta","COCI 17-rasvjeta")</f>
        <v>COCI 17-rasvjeta</v>
      </c>
      <c r="B156" s="20" t="s">
        <v>6646</v>
      </c>
      <c r="C156" s="24">
        <v>2</v>
      </c>
      <c r="D156" s="69"/>
      <c r="E156" s="31" t="s">
        <v>125</v>
      </c>
      <c r="F156" s="37"/>
      <c r="G156" s="67"/>
      <c r="H156" s="67"/>
    </row>
    <row r="157" spans="1:8" ht="13.2">
      <c r="A157" s="65" t="str">
        <f>HYPERLINK("https://dmoj.ca/problem/coci08c5p2","COCI 08-Jabuka")</f>
        <v>COCI 08-Jabuka</v>
      </c>
      <c r="B157" s="20" t="s">
        <v>6646</v>
      </c>
      <c r="C157" s="24">
        <v>2</v>
      </c>
      <c r="D157" s="65" t="str">
        <f t="shared" ref="D157:D159" si="2">HYPERLINK("https://github.com/mostafa-saad/MyCompetitiveProgramming/blob/master/Olympiad/COCI/official/2009/contest5_solutions","Editorial")</f>
        <v>Editorial</v>
      </c>
      <c r="E157" s="31" t="s">
        <v>125</v>
      </c>
      <c r="F157" s="37"/>
      <c r="G157" s="67"/>
      <c r="H157" s="67"/>
    </row>
    <row r="158" spans="1:8" ht="13.2">
      <c r="A158" s="65" t="str">
        <f>HYPERLINK("https://dmoj.ca/problem/coci08c5p3","COCI 08-Jagoda")</f>
        <v>COCI 08-Jagoda</v>
      </c>
      <c r="B158" s="20" t="s">
        <v>6646</v>
      </c>
      <c r="C158" s="24">
        <v>2</v>
      </c>
      <c r="D158" s="65" t="str">
        <f t="shared" si="2"/>
        <v>Editorial</v>
      </c>
      <c r="E158" s="31" t="s">
        <v>125</v>
      </c>
      <c r="F158" s="37"/>
      <c r="G158" s="67"/>
      <c r="H158" s="67"/>
    </row>
    <row r="159" spans="1:8" ht="13.2">
      <c r="A159" s="65" t="str">
        <f>HYPERLINK("https://dmoj.ca/problem/coci08c5p1","COCI 08-Ljesnjak")</f>
        <v>COCI 08-Ljesnjak</v>
      </c>
      <c r="B159" s="20" t="s">
        <v>6646</v>
      </c>
      <c r="C159" s="24">
        <v>2</v>
      </c>
      <c r="D159" s="65" t="str">
        <f t="shared" si="2"/>
        <v>Editorial</v>
      </c>
      <c r="E159" s="31" t="s">
        <v>125</v>
      </c>
      <c r="F159" s="37"/>
      <c r="G159" s="67"/>
      <c r="H159" s="67"/>
    </row>
    <row r="160" spans="1:8" ht="13.2">
      <c r="A160" s="65" t="str">
        <f>HYPERLINK("https://dmoj.ca/problem/coci08c6p2","COCI 08-Bazen")</f>
        <v>COCI 08-Bazen</v>
      </c>
      <c r="B160" s="20" t="s">
        <v>6646</v>
      </c>
      <c r="C160" s="24">
        <v>2</v>
      </c>
      <c r="D160" s="65" t="str">
        <f t="shared" ref="D160:D161" si="3">HYPERLINK("https://github.com/mostafa-saad/MyCompetitiveProgramming/blob/master/Olympiad/COCI/official/2009/contest6_solutions","Editorial")</f>
        <v>Editorial</v>
      </c>
      <c r="E160" s="31" t="s">
        <v>125</v>
      </c>
      <c r="F160" s="37"/>
      <c r="G160" s="67"/>
      <c r="H160" s="67"/>
    </row>
    <row r="161" spans="1:8" ht="13.2">
      <c r="A161" s="65" t="str">
        <f>HYPERLINK("https://dmoj.ca/problem/coci08c6p3","COCI 08-Nered")</f>
        <v>COCI 08-Nered</v>
      </c>
      <c r="B161" s="20" t="s">
        <v>6646</v>
      </c>
      <c r="C161" s="24">
        <v>2</v>
      </c>
      <c r="D161" s="65" t="str">
        <f t="shared" si="3"/>
        <v>Editorial</v>
      </c>
      <c r="E161" s="31" t="s">
        <v>125</v>
      </c>
      <c r="F161" s="37"/>
      <c r="G161" s="67"/>
      <c r="H161" s="67"/>
    </row>
    <row r="162" spans="1:8" ht="13.2">
      <c r="A162" s="65" t="str">
        <f>HYPERLINK("https://dmoj.ca/problem/coci06c1p2","COCI 06-Herman")</f>
        <v>COCI 06-Herman</v>
      </c>
      <c r="B162" s="15" t="s">
        <v>6646</v>
      </c>
      <c r="C162" s="24">
        <v>2</v>
      </c>
      <c r="D162" s="65" t="str">
        <f>HYPERLINK("https://github.com/mostafa-saad/MyCompetitiveProgramming/tree/master/Olympiad/COCI/official/2007/contest1_solutions","Editorial")</f>
        <v>Editorial</v>
      </c>
      <c r="E162" s="31" t="s">
        <v>125</v>
      </c>
      <c r="F162" s="37"/>
      <c r="G162" s="67"/>
      <c r="H162" s="67"/>
    </row>
    <row r="163" spans="1:8" ht="13.2">
      <c r="A163" s="65" t="str">
        <f>HYPERLINK("https://dmoj.ca/problem/coci06c2p2","COCI 06-ABC")</f>
        <v>COCI 06-ABC</v>
      </c>
      <c r="B163" s="15" t="s">
        <v>6646</v>
      </c>
      <c r="C163" s="24">
        <v>2</v>
      </c>
      <c r="D163" s="65" t="str">
        <f>HYPERLINK("https://github.com/mostafa-saad/MyCompetitiveProgramming/tree/master/Olympiad/COCI/official/2007/contest2_solutions","Editorial")</f>
        <v>Editorial</v>
      </c>
      <c r="E163" s="31" t="s">
        <v>125</v>
      </c>
      <c r="F163" s="37"/>
      <c r="G163" s="67"/>
      <c r="H163" s="67"/>
    </row>
    <row r="164" spans="1:8" ht="13.2">
      <c r="A164" s="65" t="str">
        <f>HYPERLINK("https://dmoj.ca/problem/coci06c3p2","COCI 06-npuzzle")</f>
        <v>COCI 06-npuzzle</v>
      </c>
      <c r="B164" s="20" t="s">
        <v>6646</v>
      </c>
      <c r="C164" s="24">
        <v>2</v>
      </c>
      <c r="D164" s="65" t="str">
        <f>HYPERLINK("https://github.com/mostafa-saad/MyCompetitiveProgramming/tree/master/Olympiad/COCI/official/2007/contest3_solutions","Editorial")</f>
        <v>Editorial</v>
      </c>
      <c r="E164" s="31" t="s">
        <v>125</v>
      </c>
      <c r="F164" s="37"/>
      <c r="G164" s="67"/>
      <c r="H164" s="67"/>
    </row>
    <row r="165" spans="1:8" ht="13.2">
      <c r="A165" s="65" t="str">
        <f>HYPERLINK("https://dmoj.ca/problem/coci06c4p3","COCI 06-Prsteni")</f>
        <v>COCI 06-Prsteni</v>
      </c>
      <c r="B165" s="20" t="s">
        <v>6646</v>
      </c>
      <c r="C165" s="24">
        <v>2</v>
      </c>
      <c r="D165" s="65" t="str">
        <f t="shared" ref="D165:D166" si="4">HYPERLINK("https://github.com/mostafa-saad/MyCompetitiveProgramming/tree/master/Olympiad/COCI/official/2007/contest4_solutions","Editorial")</f>
        <v>Editorial</v>
      </c>
      <c r="E165" s="31" t="s">
        <v>125</v>
      </c>
      <c r="F165" s="37"/>
      <c r="G165" s="67"/>
      <c r="H165" s="67"/>
    </row>
    <row r="166" spans="1:8" ht="13.2">
      <c r="A166" s="65" t="str">
        <f>HYPERLINK("https://dmoj.ca/problem/coci06c4p2","COCI 06-Skener")</f>
        <v>COCI 06-Skener</v>
      </c>
      <c r="B166" s="20" t="s">
        <v>6646</v>
      </c>
      <c r="C166" s="24">
        <v>2</v>
      </c>
      <c r="D166" s="65" t="str">
        <f t="shared" si="4"/>
        <v>Editorial</v>
      </c>
      <c r="E166" s="31" t="s">
        <v>125</v>
      </c>
      <c r="F166" s="37"/>
      <c r="G166" s="67"/>
      <c r="H166" s="67"/>
    </row>
    <row r="167" spans="1:8" ht="13.2">
      <c r="A167" s="65" t="str">
        <f>HYPERLINK("https://dmoj.ca/problem/coci06c5p2","COCI 06-Natrij")</f>
        <v>COCI 06-Natrij</v>
      </c>
      <c r="B167" s="20" t="s">
        <v>6646</v>
      </c>
      <c r="C167" s="24">
        <v>2</v>
      </c>
      <c r="D167" s="65" t="str">
        <f>HYPERLINK("https://github.com/mostafa-saad/MyCompetitiveProgramming/tree/master/Olympiad/COCI/official/2007/contest5_solutions","Editorial")</f>
        <v>Editorial</v>
      </c>
      <c r="E167" s="31" t="s">
        <v>125</v>
      </c>
      <c r="F167" s="37"/>
      <c r="G167" s="67"/>
      <c r="H167" s="67"/>
    </row>
    <row r="168" spans="1:8" ht="13.2">
      <c r="A168" s="65" t="str">
        <f>HYPERLINK("https://dmoj.ca/problem/coci06c6p2","COCI 06-Magija")</f>
        <v>COCI 06-Magija</v>
      </c>
      <c r="B168" s="20" t="s">
        <v>6646</v>
      </c>
      <c r="C168" s="24">
        <v>2</v>
      </c>
      <c r="D168" s="65" t="str">
        <f>HYPERLINK("https://github.com/mostafa-saad/MyCompetitiveProgramming/tree/master/Olympiad/COCI/official/2007/contest6_solutions","Editorial")</f>
        <v>Editorial</v>
      </c>
      <c r="E168" s="31" t="s">
        <v>125</v>
      </c>
      <c r="F168" s="37"/>
      <c r="G168" s="67"/>
      <c r="H168" s="67"/>
    </row>
    <row r="169" spans="1:8" ht="13.2">
      <c r="A169" s="65" t="str">
        <f>HYPERLINK("https://wcipeg.com/problem/coci071p2","COCI 07-Peg")</f>
        <v>COCI 07-Peg</v>
      </c>
      <c r="B169" s="20" t="s">
        <v>6646</v>
      </c>
      <c r="C169" s="24">
        <v>2</v>
      </c>
      <c r="D169" s="65" t="str">
        <f>HYPERLINK("https://github.com/mostafa-saad/MyCompetitiveProgramming/tree/master/Olympiad/COCI/official/2008/contest1_solutions","Editorial")</f>
        <v>Editorial</v>
      </c>
      <c r="E169" s="31" t="s">
        <v>125</v>
      </c>
      <c r="F169" s="37"/>
      <c r="G169" s="67"/>
      <c r="H169" s="67"/>
    </row>
    <row r="170" spans="1:8" ht="13.2">
      <c r="A170" s="65" t="str">
        <f>HYPERLINK("https://dmoj.ca/problem/coci07c2p3","COCI 07-Prva")</f>
        <v>COCI 07-Prva</v>
      </c>
      <c r="B170" s="20" t="s">
        <v>6646</v>
      </c>
      <c r="C170" s="24">
        <v>2</v>
      </c>
      <c r="D170" s="65" t="str">
        <f>HYPERLINK("https://github.com/mostafa-saad/MyCompetitiveProgramming/tree/master/Olympiad/COCI/official/2008/contest2_solutions","Editorial")</f>
        <v>Editorial</v>
      </c>
      <c r="E170" s="31" t="s">
        <v>125</v>
      </c>
      <c r="F170" s="37"/>
      <c r="G170" s="67"/>
      <c r="H170" s="67"/>
    </row>
    <row r="171" spans="1:8" ht="13.2">
      <c r="A171" s="65" t="str">
        <f>HYPERLINK("https://dmoj.ca/problem/coci07c4p1","COCI 07-Vauvau")</f>
        <v>COCI 07-Vauvau</v>
      </c>
      <c r="B171" s="20" t="s">
        <v>6646</v>
      </c>
      <c r="C171" s="24">
        <v>2</v>
      </c>
      <c r="D171" s="65" t="str">
        <f t="shared" ref="D171:D172" si="5">HYPERLINK("https://github.com/mostafa-saad/MyCompetitiveProgramming/tree/master/Olympiad/COCI/official/2008/contest4_solutions","Editorial")</f>
        <v>Editorial</v>
      </c>
      <c r="E171" s="31" t="s">
        <v>125</v>
      </c>
      <c r="F171" s="37"/>
      <c r="G171" s="67"/>
      <c r="H171" s="67"/>
    </row>
    <row r="172" spans="1:8" ht="13.2">
      <c r="A172" s="65" t="str">
        <f>HYPERLINK("https://dmoj.ca/problem/coci07c4p2","COCI 07-Veci")</f>
        <v>COCI 07-Veci</v>
      </c>
      <c r="B172" s="20" t="s">
        <v>6646</v>
      </c>
      <c r="C172" s="24">
        <v>2</v>
      </c>
      <c r="D172" s="65" t="str">
        <f t="shared" si="5"/>
        <v>Editorial</v>
      </c>
      <c r="E172" s="31" t="s">
        <v>125</v>
      </c>
      <c r="F172" s="37"/>
      <c r="G172" s="67"/>
      <c r="H172" s="67"/>
    </row>
    <row r="173" spans="1:8" ht="13.2">
      <c r="A173" s="65" t="str">
        <f>HYPERLINK("https://dmoj.ca/problem/coci07c6p1","COCI 07-Parking")</f>
        <v>COCI 07-Parking</v>
      </c>
      <c r="B173" s="20" t="s">
        <v>6646</v>
      </c>
      <c r="C173" s="24">
        <v>2</v>
      </c>
      <c r="D173" s="65" t="str">
        <f t="shared" ref="D173:D174" si="6">HYPERLINK("https://github.com/mostafa-saad/MyCompetitiveProgramming/tree/master/Olympiad/COCI/official/2008/contest6_solutions","Editorial")</f>
        <v>Editorial</v>
      </c>
      <c r="E173" s="31" t="s">
        <v>125</v>
      </c>
      <c r="F173" s="37"/>
      <c r="G173" s="67"/>
      <c r="H173" s="67"/>
    </row>
    <row r="174" spans="1:8" ht="13.2">
      <c r="A174" s="65" t="str">
        <f>HYPERLINK("https://dmoj.ca/problem/coci07c6p2","COCI 07-Semafori")</f>
        <v>COCI 07-Semafori</v>
      </c>
      <c r="B174" s="20" t="s">
        <v>6646</v>
      </c>
      <c r="C174" s="24">
        <v>2</v>
      </c>
      <c r="D174" s="65" t="str">
        <f t="shared" si="6"/>
        <v>Editorial</v>
      </c>
      <c r="E174" s="31" t="s">
        <v>125</v>
      </c>
      <c r="F174" s="37"/>
      <c r="G174" s="67"/>
      <c r="H174" s="67"/>
    </row>
    <row r="175" spans="1:8" ht="13.2">
      <c r="A175" s="65" t="str">
        <f>HYPERLINK("https://dmoj.ca/problem/crci07p1","COCI 07-Platforme")</f>
        <v>COCI 07-Platforme</v>
      </c>
      <c r="B175" s="20" t="s">
        <v>6646</v>
      </c>
      <c r="C175" s="24">
        <v>2</v>
      </c>
      <c r="D175" s="65" t="str">
        <f>HYPERLINK("https://github.com/mostafa-saad/MyCompetitiveProgramming/tree/master/Olympiad/COCI/official/2008/regional_solutions","Editorial")</f>
        <v>Editorial</v>
      </c>
      <c r="E175" s="31" t="s">
        <v>125</v>
      </c>
      <c r="F175" s="37"/>
      <c r="G175" s="67"/>
      <c r="H175" s="67"/>
    </row>
    <row r="176" spans="1:8" ht="13.2">
      <c r="A176" s="65" t="str">
        <f>HYPERLINK("https://codeforces.com/group/R2SERIff4f/contest/213171","MCO 17-CableCars")</f>
        <v>MCO 17-CableCars</v>
      </c>
      <c r="B176" s="37" t="s">
        <v>124</v>
      </c>
      <c r="C176" s="24">
        <v>2</v>
      </c>
      <c r="D176" s="65" t="str">
        <f>HYPERLINK("https://github.com/mostafa-saad/MyCompetitiveProgramming/tree/master/Olympiad/MCO/official","Editorial")</f>
        <v>Editorial</v>
      </c>
      <c r="E176" s="31" t="s">
        <v>125</v>
      </c>
      <c r="F176" s="37"/>
      <c r="G176" s="67"/>
      <c r="H176" s="67"/>
    </row>
    <row r="177" spans="1:8" ht="13.2">
      <c r="A177" s="65" t="str">
        <f>HYPERLINK("https://dunjudge.me/analysis/problems/722/","MCO 15-honey")</f>
        <v>MCO 15-honey</v>
      </c>
      <c r="B177" s="37" t="s">
        <v>124</v>
      </c>
      <c r="C177" s="24">
        <v>2</v>
      </c>
      <c r="D177" s="65" t="str">
        <f>HYPERLINK("https://github.com/mostafa-saad/MyCompetitiveProgramming/tree/master/Olympiad/MCO/official/2015","Sol No Editorial")</f>
        <v>Sol No Editorial</v>
      </c>
      <c r="E177" s="31" t="s">
        <v>125</v>
      </c>
      <c r="F177" s="37"/>
      <c r="G177" s="67"/>
      <c r="H177" s="67"/>
    </row>
    <row r="178" spans="1:8" ht="13.2">
      <c r="A178" s="65" t="str">
        <f>HYPERLINK("https://wcipeg.com/problem/coci092p3","COCI 09-Kutevi")</f>
        <v>COCI 09-Kutevi</v>
      </c>
      <c r="B178" s="20" t="s">
        <v>6646</v>
      </c>
      <c r="C178" s="24">
        <v>2</v>
      </c>
      <c r="D178" s="69"/>
      <c r="E178" s="31" t="s">
        <v>125</v>
      </c>
      <c r="F178" s="37"/>
      <c r="G178" s="67"/>
      <c r="H178" s="67"/>
    </row>
    <row r="179" spans="1:8" ht="13.2">
      <c r="A179" s="65" t="str">
        <f>HYPERLINK("https://oj.uz/problem/view/COCI18_olivander","COCI 18-olivander")</f>
        <v>COCI 18-olivander</v>
      </c>
      <c r="B179" s="20" t="s">
        <v>6646</v>
      </c>
      <c r="C179" s="24">
        <v>1</v>
      </c>
      <c r="D179" s="69"/>
      <c r="E179" s="31" t="s">
        <v>125</v>
      </c>
      <c r="F179" s="37"/>
      <c r="G179" s="67"/>
      <c r="H179" s="67"/>
    </row>
    <row r="180" spans="1:8" ht="13.2">
      <c r="A180" s="65" t="str">
        <f>HYPERLINK("https://oj.uz/problem/view/IOI16_reverse","IOI 16-reverse")</f>
        <v>IOI 16-reverse</v>
      </c>
      <c r="B180" s="20" t="s">
        <v>6646</v>
      </c>
      <c r="C180" s="24">
        <v>1</v>
      </c>
      <c r="D180" s="69"/>
      <c r="E180" s="31" t="s">
        <v>125</v>
      </c>
      <c r="F180" s="37"/>
      <c r="G180" s="67"/>
      <c r="H180" s="67"/>
    </row>
    <row r="181" spans="1:8" ht="13.2">
      <c r="A181" s="65" t="str">
        <f>HYPERLINK("https://dunjudge.me/analysis/problems/1401/","COCI 13-misa")</f>
        <v>COCI 13-misa</v>
      </c>
      <c r="B181" s="20" t="s">
        <v>6646</v>
      </c>
      <c r="C181" s="24">
        <v>1</v>
      </c>
      <c r="D181" s="65" t="str">
        <f>HYPERLINK("https://github.com/mostafa-saad/MyCompetitiveProgramming/blob/master/Olympiad/COCI/official/2014/contest2_solutions","Editorial")</f>
        <v>Editorial</v>
      </c>
      <c r="E181" s="31" t="s">
        <v>125</v>
      </c>
      <c r="F181" s="37"/>
      <c r="G181" s="67"/>
      <c r="H181" s="67"/>
    </row>
    <row r="182" spans="1:8" ht="13.2">
      <c r="A182" s="65" t="str">
        <f>HYPERLINK("https://dunjudge.me/analysis/problems/237/","NOI 09-xmas")</f>
        <v>NOI 09-xmas</v>
      </c>
      <c r="B182" s="37" t="s">
        <v>124</v>
      </c>
      <c r="C182" s="24">
        <v>1</v>
      </c>
      <c r="D182" s="65" t="str">
        <f>HYPERLINK("https://github.com/mostafa-saad/MyCompetitiveProgramming/blob/master/Olympiad/NOI/official","Editorial")</f>
        <v>Editorial</v>
      </c>
      <c r="E182" s="31" t="s">
        <v>125</v>
      </c>
      <c r="F182" s="37"/>
      <c r="G182" s="67"/>
      <c r="H182" s="67"/>
    </row>
    <row r="183" spans="1:8" ht="13.2">
      <c r="A183" s="65" t="str">
        <f>HYPERLINK("https://dunjudge.me/analysis/problems/215/","NOI 11-paint")</f>
        <v>NOI 11-paint</v>
      </c>
      <c r="B183" s="20" t="s">
        <v>6646</v>
      </c>
      <c r="C183" s="24">
        <v>1</v>
      </c>
      <c r="D183" s="65" t="str">
        <f>HYPERLINK("https://github.com/mostafa-saad/MyCompetitiveProgramming/blob/master/Olympiad/NOI/official/2011.pptx","Editorial")</f>
        <v>Editorial</v>
      </c>
      <c r="E183" s="31" t="s">
        <v>125</v>
      </c>
      <c r="F183" s="37"/>
      <c r="G183" s="67"/>
      <c r="H183" s="67"/>
    </row>
    <row r="184" spans="1:8" ht="13.2">
      <c r="A184" s="65" t="str">
        <f>HYPERLINK("https://dunjudge.me/analysis/problems/721/","MCO 15-badminton")</f>
        <v>MCO 15-badminton</v>
      </c>
      <c r="B184" s="20" t="s">
        <v>6646</v>
      </c>
      <c r="C184" s="24">
        <v>1</v>
      </c>
      <c r="D184" s="65" t="str">
        <f>HYPERLINK("https://github.com/mostafa-saad/MyCompetitiveProgramming/tree/master/Olympiad/MCO/official/2015","Sol No Editorial")</f>
        <v>Sol No Editorial</v>
      </c>
      <c r="E184" s="31" t="s">
        <v>125</v>
      </c>
      <c r="F184" s="37"/>
      <c r="G184" s="67"/>
      <c r="H184" s="67"/>
    </row>
    <row r="185" spans="1:8" ht="13.2">
      <c r="A185" s="65" t="str">
        <f>HYPERLINK("https://dmoj.ca/problem/coci14c3p2","COCI 14-Dom")</f>
        <v>COCI 14-Dom</v>
      </c>
      <c r="B185" s="20" t="s">
        <v>6651</v>
      </c>
      <c r="C185" s="24">
        <v>1</v>
      </c>
      <c r="D185" s="69"/>
      <c r="E185" s="31" t="s">
        <v>125</v>
      </c>
      <c r="F185" s="37"/>
      <c r="G185" s="67"/>
      <c r="H185" s="67"/>
    </row>
    <row r="186" spans="1:8" ht="13.2">
      <c r="A186" s="65" t="str">
        <f>HYPERLINK("https://dmoj.ca/problem/coci14c1p2","COCI 14-Klopka")</f>
        <v>COCI 14-Klopka</v>
      </c>
      <c r="B186" s="20" t="s">
        <v>124</v>
      </c>
      <c r="C186" s="24">
        <v>1</v>
      </c>
      <c r="D186" s="69"/>
      <c r="E186" s="31" t="s">
        <v>125</v>
      </c>
      <c r="F186" s="37"/>
      <c r="G186" s="67"/>
      <c r="H186" s="67"/>
    </row>
    <row r="187" spans="1:8" ht="13.2">
      <c r="A187" s="65" t="str">
        <f>HYPERLINK("https://oj.uz/problem/view/COCI14_prosjek","COCI 14-prosjek")</f>
        <v>COCI 14-prosjek</v>
      </c>
      <c r="B187" s="20" t="s">
        <v>6646</v>
      </c>
      <c r="C187" s="24">
        <v>1</v>
      </c>
      <c r="D187" s="69"/>
      <c r="E187" s="31" t="s">
        <v>125</v>
      </c>
      <c r="F187" s="37"/>
      <c r="G187" s="67"/>
      <c r="H187" s="67"/>
    </row>
    <row r="188" spans="1:8" ht="13.2">
      <c r="A188" s="65" t="str">
        <f>HYPERLINK("https://oj.uz/problem/view/COCI15_esej","COCI 15-esej")</f>
        <v>COCI 15-esej</v>
      </c>
      <c r="B188" s="20" t="s">
        <v>124</v>
      </c>
      <c r="C188" s="24">
        <v>1</v>
      </c>
      <c r="D188" s="69"/>
      <c r="E188" s="31" t="s">
        <v>125</v>
      </c>
      <c r="F188" s="37"/>
      <c r="G188" s="67"/>
      <c r="H188" s="67"/>
    </row>
    <row r="189" spans="1:8" ht="13.2">
      <c r="A189" s="65" t="str">
        <f>HYPERLINK("https://oj.uz/problem/view/COCI17_aron","COCI 17-aron")</f>
        <v>COCI 17-aron</v>
      </c>
      <c r="B189" s="20" t="s">
        <v>6646</v>
      </c>
      <c r="C189" s="24">
        <v>1</v>
      </c>
      <c r="D189" s="69"/>
      <c r="E189" s="31" t="s">
        <v>125</v>
      </c>
      <c r="F189" s="37"/>
      <c r="G189" s="67"/>
      <c r="H189" s="67"/>
    </row>
    <row r="190" spans="1:8" ht="13.2">
      <c r="A190" s="65" t="str">
        <f>HYPERLINK("https://oj.uz/problem/view/COCI17_bridz","COCI 17-bridz")</f>
        <v>COCI 17-bridz</v>
      </c>
      <c r="B190" s="20" t="s">
        <v>6646</v>
      </c>
      <c r="C190" s="24">
        <v>1</v>
      </c>
      <c r="D190" s="69"/>
      <c r="E190" s="31" t="s">
        <v>125</v>
      </c>
      <c r="F190" s="37"/>
      <c r="G190" s="67"/>
      <c r="H190" s="67"/>
    </row>
    <row r="191" spans="1:8" ht="13.2">
      <c r="A191" s="65" t="str">
        <f>HYPERLINK("https://oj.uz/problem/view/COCI17_kosnja","COCI 17-kosnja")</f>
        <v>COCI 17-kosnja</v>
      </c>
      <c r="B191" s="20" t="s">
        <v>6646</v>
      </c>
      <c r="C191" s="24">
        <v>1</v>
      </c>
      <c r="D191" s="69"/>
      <c r="E191" s="31" t="s">
        <v>125</v>
      </c>
      <c r="F191" s="37"/>
      <c r="G191" s="67"/>
      <c r="H191" s="67"/>
    </row>
    <row r="192" spans="1:8" ht="13.2">
      <c r="A192" s="65" t="str">
        <f>HYPERLINK("https://oj.uz/problem/view/COCI17_tuna","COCI 17-tuna")</f>
        <v>COCI 17-tuna</v>
      </c>
      <c r="B192" s="20" t="s">
        <v>6646</v>
      </c>
      <c r="C192" s="24">
        <v>1</v>
      </c>
      <c r="D192" s="69"/>
      <c r="E192" s="31" t="s">
        <v>125</v>
      </c>
      <c r="F192" s="37"/>
      <c r="G192" s="67"/>
      <c r="H192" s="67"/>
    </row>
    <row r="193" spans="1:8" ht="13.2">
      <c r="A193" s="65" t="str">
        <f>HYPERLINK("https://oj.uz/problem/view/COCI18_spirale","COCI 18-spirale")</f>
        <v>COCI 18-spirale</v>
      </c>
      <c r="B193" s="20" t="s">
        <v>6646</v>
      </c>
      <c r="C193" s="24">
        <v>1</v>
      </c>
      <c r="D193" s="69"/>
      <c r="E193" s="31" t="s">
        <v>125</v>
      </c>
      <c r="F193" s="37"/>
      <c r="G193" s="67"/>
      <c r="H193" s="67"/>
    </row>
    <row r="194" spans="1:8" ht="13.2">
      <c r="A194" s="65" t="str">
        <f>HYPERLINK("https://oj.uz/problem/view/IZhO11_triangle","IZhO 11-triangle")</f>
        <v>IZhO 11-triangle</v>
      </c>
      <c r="B194" s="37" t="s">
        <v>6646</v>
      </c>
      <c r="C194" s="24">
        <v>1</v>
      </c>
      <c r="D194" s="69"/>
      <c r="E194" s="31" t="s">
        <v>125</v>
      </c>
      <c r="F194" s="37"/>
      <c r="G194" s="67"/>
      <c r="H194" s="67"/>
    </row>
    <row r="195" spans="1:8" ht="13.2">
      <c r="A195" s="65" t="str">
        <f>HYPERLINK("https://dmoj.ca/problem/coci08c3p1","COCI 08-Pet")</f>
        <v>COCI 08-Pet</v>
      </c>
      <c r="B195" s="20" t="s">
        <v>6646</v>
      </c>
      <c r="C195" s="24">
        <v>1</v>
      </c>
      <c r="D195" s="65" t="str">
        <f>HYPERLINK("https://github.com/mostafa-saad/MyCompetitiveProgramming/blob/master/Olympiad/COCI/official/2009/contest3_solutions","Editorial")</f>
        <v>Editorial</v>
      </c>
      <c r="E195" s="31" t="s">
        <v>125</v>
      </c>
      <c r="F195" s="37"/>
      <c r="G195" s="67"/>
      <c r="H195" s="67"/>
    </row>
    <row r="196" spans="1:8" ht="13.2">
      <c r="A196" s="65" t="str">
        <f>HYPERLINK("https://wcipeg.com/problem/coci087p2","COI 08-Majstor")</f>
        <v>COI 08-Majstor</v>
      </c>
      <c r="B196" s="20" t="s">
        <v>6646</v>
      </c>
      <c r="C196" s="24">
        <v>1</v>
      </c>
      <c r="D196" s="65" t="str">
        <f t="shared" ref="D196:D197" si="7">HYPERLINK("https://github.com/mostafa-saad/MyCompetitiveProgramming/blob/master/Olympiad/COCI/official/2009/regional_solutions","Editorial")</f>
        <v>Editorial</v>
      </c>
      <c r="E196" s="31" t="s">
        <v>125</v>
      </c>
      <c r="F196" s="37"/>
      <c r="G196" s="67"/>
      <c r="H196" s="67"/>
    </row>
    <row r="197" spans="1:8" ht="13.2">
      <c r="A197" s="65" t="str">
        <f>HYPERLINK("https://wcipeg.com/problem/coci087p1","COI 08-Nop")</f>
        <v>COI 08-Nop</v>
      </c>
      <c r="B197" s="20" t="s">
        <v>6646</v>
      </c>
      <c r="C197" s="24">
        <v>1</v>
      </c>
      <c r="D197" s="65" t="str">
        <f t="shared" si="7"/>
        <v>Editorial</v>
      </c>
      <c r="E197" s="31" t="s">
        <v>125</v>
      </c>
      <c r="F197" s="37"/>
      <c r="G197" s="67"/>
      <c r="H197" s="67"/>
    </row>
    <row r="198" spans="1:8" ht="13.2">
      <c r="A198" s="65" t="str">
        <f>HYPERLINK("https://dunjudge.me/analysis/problems/1358/","COCI 12-f7")</f>
        <v>COCI 12-f7</v>
      </c>
      <c r="B198" s="20" t="s">
        <v>6646</v>
      </c>
      <c r="C198" s="24">
        <v>1</v>
      </c>
      <c r="D198" s="65" t="str">
        <f>HYPERLINK("https://github.com/mostafa-saad/MyCompetitiveProgramming/blob/master/Olympiad/COCI/official/2013/contest1_solutions","Editorial")</f>
        <v>Editorial</v>
      </c>
      <c r="E198" s="31" t="s">
        <v>125</v>
      </c>
      <c r="F198" s="37"/>
      <c r="G198" s="67"/>
      <c r="H198" s="67"/>
    </row>
    <row r="199" spans="1:8" ht="13.2">
      <c r="A199" s="65" t="str">
        <f>HYPERLINK("https://dmoj.ca/problem/coci14c6p1","COCI 14-Paprika")</f>
        <v>COCI 14-Paprika</v>
      </c>
      <c r="B199" s="20" t="s">
        <v>6646</v>
      </c>
      <c r="C199" s="24">
        <v>1</v>
      </c>
      <c r="D199" s="65" t="str">
        <f>HYPERLINK("https://github.com/mostafa-saad/MyCompetitiveProgramming/blob/master/Olympiad/COCI/official/2015/contest6_solutions","Editorial")</f>
        <v>Editorial</v>
      </c>
      <c r="E199" s="31" t="s">
        <v>125</v>
      </c>
      <c r="F199" s="37"/>
      <c r="G199" s="67"/>
      <c r="H199" s="67"/>
    </row>
    <row r="200" spans="1:8" ht="13.2">
      <c r="A200" s="65" t="str">
        <f>HYPERLINK("https://dmoj.ca/problem/coci14c7p1","COCI 14-Teta")</f>
        <v>COCI 14-Teta</v>
      </c>
      <c r="B200" s="20" t="s">
        <v>6646</v>
      </c>
      <c r="C200" s="24">
        <v>1</v>
      </c>
      <c r="D200" s="65" t="str">
        <f>HYPERLINK("https://github.com/mostafa-saad/MyCompetitiveProgramming/blob/master/Olympiad/COCI/official/2015/contest7_solutions","Editorial")</f>
        <v>Editorial</v>
      </c>
      <c r="E200" s="31" t="s">
        <v>125</v>
      </c>
      <c r="F200" s="37"/>
      <c r="G200" s="67"/>
      <c r="H200" s="67"/>
    </row>
    <row r="201" spans="1:8" ht="13.2">
      <c r="A201" s="65" t="str">
        <f>HYPERLINK("https://oj.uz/problem/view/COCI16_go","COCI 16-go")</f>
        <v>COCI 16-go</v>
      </c>
      <c r="B201" s="20" t="s">
        <v>6646</v>
      </c>
      <c r="C201" s="24">
        <v>1</v>
      </c>
      <c r="D201" s="65" t="str">
        <f>HYPERLINK("https://github.com/mostafa-saad/MyCompetitiveProgramming/blob/master/Olympiad/COCI/official/2017/contest2_solutions","Editorial")</f>
        <v>Editorial</v>
      </c>
      <c r="E201" s="31" t="s">
        <v>125</v>
      </c>
      <c r="F201" s="37"/>
      <c r="G201" s="67"/>
      <c r="H201" s="67"/>
    </row>
    <row r="202" spans="1:8" ht="13.2">
      <c r="A202" s="65" t="str">
        <f>HYPERLINK("https://oj.uz/problem/view/COCI16_imena","COCI 16-imena")</f>
        <v>COCI 16-imena</v>
      </c>
      <c r="B202" s="20" t="s">
        <v>6646</v>
      </c>
      <c r="C202" s="24">
        <v>1</v>
      </c>
      <c r="D202" s="65" t="str">
        <f>HYPERLINK("https://github.com/mostafa-saad/MyCompetitiveProgramming/blob/master/Olympiad/COCI/official/2017/contest3_solutions","Editorial")</f>
        <v>Editorial</v>
      </c>
      <c r="E202" s="31" t="s">
        <v>125</v>
      </c>
      <c r="F202" s="37"/>
      <c r="G202" s="67"/>
      <c r="H202" s="67"/>
    </row>
    <row r="203" spans="1:8" ht="13.2">
      <c r="A203" s="65" t="str">
        <f>HYPERLINK("https://oj.uz/problem/view/COCI17_kartomat","COCI 17-kartomat")</f>
        <v>COCI 17-kartomat</v>
      </c>
      <c r="B203" s="20" t="s">
        <v>6646</v>
      </c>
      <c r="C203" s="24">
        <v>1</v>
      </c>
      <c r="D203" s="65" t="str">
        <f>HYPERLINK("https://github.com/mostafa-saad/MyCompetitiveProgramming/blob/master/Olympiad/COCI/official/2017/contest4_solutions","Editorial")</f>
        <v>Editorial</v>
      </c>
      <c r="E203" s="31" t="s">
        <v>125</v>
      </c>
      <c r="F203" s="37"/>
      <c r="G203" s="67"/>
      <c r="H203" s="67"/>
    </row>
    <row r="204" spans="1:8" ht="13.2">
      <c r="A204" s="65" t="str">
        <f>HYPERLINK("https://oj.uz/problem/view/COCI17_pareto","COCI 17-pareto")</f>
        <v>COCI 17-pareto</v>
      </c>
      <c r="B204" s="20" t="s">
        <v>6646</v>
      </c>
      <c r="C204" s="24">
        <v>1</v>
      </c>
      <c r="D204" s="65" t="str">
        <f>HYPERLINK("https://github.com/mostafa-saad/MyCompetitiveProgramming/blob/master/Olympiad/COCI/official/2017/contest5_solutions","Editorial")</f>
        <v>Editorial</v>
      </c>
      <c r="E204" s="31" t="s">
        <v>125</v>
      </c>
      <c r="F204" s="37"/>
      <c r="G204" s="67"/>
      <c r="H204" s="67"/>
    </row>
    <row r="205" spans="1:8" ht="13.2">
      <c r="A205" s="65" t="str">
        <f>HYPERLINK("https://oj.uz/problem/view/COCI17_telefoni","COCI 17-telefoni")</f>
        <v>COCI 17-telefoni</v>
      </c>
      <c r="B205" s="20" t="s">
        <v>6646</v>
      </c>
      <c r="C205" s="24">
        <v>1</v>
      </c>
      <c r="D205" s="65" t="str">
        <f>HYPERLINK("https://github.com/mostafa-saad/MyCompetitiveProgramming/blob/master/Olympiad/COCI/official/2017/contest6_solutions","Editorial")</f>
        <v>Editorial</v>
      </c>
      <c r="E205" s="31" t="s">
        <v>125</v>
      </c>
      <c r="F205" s="37"/>
      <c r="G205" s="67"/>
      <c r="H205" s="67"/>
    </row>
    <row r="206" spans="1:8" ht="13.2">
      <c r="A206" s="65" t="str">
        <f>HYPERLINK("https://dunjudge.me/analysis/problems/144/","NOI 07-jawbreak")</f>
        <v>NOI 07-jawbreak</v>
      </c>
      <c r="B206" s="37" t="s">
        <v>124</v>
      </c>
      <c r="C206" s="24">
        <v>1</v>
      </c>
      <c r="D206" s="65" t="str">
        <f>HYPERLINK("https://github.com/mostafa-saad/MyCompetitiveProgramming/blob/master/Olympiad/NOI/official","Editorial")</f>
        <v>Editorial</v>
      </c>
      <c r="E206" s="31" t="s">
        <v>125</v>
      </c>
      <c r="F206" s="37"/>
      <c r="G206" s="67"/>
      <c r="H206" s="67"/>
    </row>
    <row r="207" spans="1:8" ht="13.2">
      <c r="A207" s="65" t="str">
        <f>HYPERLINK("https://dunjudge.me/analysis/problems/238/","NOI 07-gift")</f>
        <v>NOI 07-gift</v>
      </c>
      <c r="B207" s="20" t="s">
        <v>6646</v>
      </c>
      <c r="C207" s="24">
        <v>1</v>
      </c>
      <c r="D207" s="65" t="str">
        <f>HYPERLINK("https://github.com/mostafa-saad/MyCompetitiveProgramming/blob/master/Olympiad/NOI/official/2011.pptx","Editorial")</f>
        <v>Editorial</v>
      </c>
      <c r="E207" s="31" t="s">
        <v>125</v>
      </c>
      <c r="F207" s="37"/>
      <c r="G207" s="67"/>
      <c r="H207" s="67"/>
    </row>
    <row r="208" spans="1:8" ht="13.2">
      <c r="A208" s="65" t="str">
        <f>HYPERLINK("https://dmoj.ca/problem/coci06c1p1","COCI 06-Modulo")</f>
        <v>COCI 06-Modulo</v>
      </c>
      <c r="B208" s="15" t="s">
        <v>6646</v>
      </c>
      <c r="C208" s="24">
        <v>1</v>
      </c>
      <c r="D208" s="65" t="str">
        <f>HYPERLINK("https://github.com/mostafa-saad/MyCompetitiveProgramming/tree/master/Olympiad/COCI/official/2007/contest1_solutions","Editorial")</f>
        <v>Editorial</v>
      </c>
      <c r="E208" s="31" t="s">
        <v>125</v>
      </c>
      <c r="F208" s="37"/>
      <c r="G208" s="67"/>
      <c r="H208" s="67"/>
    </row>
    <row r="209" spans="1:8" ht="13.2">
      <c r="A209" s="65" t="str">
        <f>HYPERLINK("https://dmoj.ca/problem/coci06c2p1","COCI 06-R2")</f>
        <v>COCI 06-R2</v>
      </c>
      <c r="B209" s="15" t="s">
        <v>6646</v>
      </c>
      <c r="C209" s="24">
        <v>1</v>
      </c>
      <c r="D209" s="65" t="str">
        <f>HYPERLINK("https://github.com/mostafa-saad/MyCompetitiveProgramming/tree/master/Olympiad/COCI/official/2007/contest2_solutions","Editorial")</f>
        <v>Editorial</v>
      </c>
      <c r="E209" s="31" t="s">
        <v>125</v>
      </c>
      <c r="F209" s="37"/>
      <c r="G209" s="67"/>
      <c r="H209" s="67"/>
    </row>
    <row r="210" spans="1:8" ht="13.2">
      <c r="A210" s="65" t="str">
        <f>HYPERLINK("https://dmoj.ca/problem/coci07c2p1","COCI 07-Bijele")</f>
        <v>COCI 07-Bijele</v>
      </c>
      <c r="B210" s="15" t="s">
        <v>6646</v>
      </c>
      <c r="C210" s="24">
        <v>1</v>
      </c>
      <c r="D210" s="65" t="str">
        <f>HYPERLINK("https://github.com/mostafa-saad/MyCompetitiveProgramming/tree/master/Olympiad/COCI/official/2008/contest2_solutions","Editorial")</f>
        <v>Editorial</v>
      </c>
      <c r="E210" s="31" t="s">
        <v>125</v>
      </c>
      <c r="F210" s="37"/>
      <c r="G210" s="67"/>
      <c r="H210" s="67"/>
    </row>
    <row r="211" spans="1:8" ht="13.2">
      <c r="A211" s="65" t="str">
        <f>HYPERLINK("https://dmoj.ca/problem/coci07c5p1","COCI 07-Tri")</f>
        <v>COCI 07-Tri</v>
      </c>
      <c r="B211" s="15" t="s">
        <v>6646</v>
      </c>
      <c r="C211" s="24">
        <v>1</v>
      </c>
      <c r="D211" s="65" t="str">
        <f>HYPERLINK("https://github.com/mostafa-saad/MyCompetitiveProgramming/tree/master/Olympiad/COCI/official/2008/contest5_solutions","Editorial")</f>
        <v>Editorial</v>
      </c>
      <c r="E211" s="31" t="s">
        <v>125</v>
      </c>
      <c r="F211" s="37"/>
      <c r="G211" s="67"/>
      <c r="H211" s="67"/>
    </row>
    <row r="212" spans="1:8" ht="13.2">
      <c r="A212" s="65" t="str">
        <f>HYPERLINK("https://dmoj.ca/problem/coci14c4p1","COCI 14-Cesta")</f>
        <v>COCI 14-Cesta</v>
      </c>
      <c r="B212" s="20" t="s">
        <v>6646</v>
      </c>
      <c r="C212" s="24">
        <v>1</v>
      </c>
      <c r="D212" s="69"/>
      <c r="E212" s="31" t="s">
        <v>125</v>
      </c>
      <c r="F212" s="37"/>
      <c r="G212" s="67"/>
      <c r="H212" s="67"/>
    </row>
    <row r="213" spans="1:8" ht="13.2">
      <c r="A213" s="65" t="str">
        <f>HYPERLINK("https://oj.uz/problem/view/COCI14_mobitel","COCI 14-mobitel")</f>
        <v>COCI 14-mobitel</v>
      </c>
      <c r="B213" s="20" t="s">
        <v>6646</v>
      </c>
      <c r="C213" s="24">
        <v>1</v>
      </c>
      <c r="D213" s="69"/>
      <c r="E213" s="31" t="s">
        <v>125</v>
      </c>
      <c r="F213" s="37"/>
      <c r="G213" s="67"/>
      <c r="H213" s="67"/>
    </row>
    <row r="214" spans="1:8" ht="13.2">
      <c r="A214" s="65" t="str">
        <f>HYPERLINK("https://dmoj.ca/problem/coci14c1p3","COCI 14-Piramida")</f>
        <v>COCI 14-Piramida</v>
      </c>
      <c r="B214" s="20" t="s">
        <v>6646</v>
      </c>
      <c r="C214" s="24">
        <v>1</v>
      </c>
      <c r="D214" s="69"/>
      <c r="E214" s="31" t="s">
        <v>125</v>
      </c>
      <c r="F214" s="37"/>
      <c r="G214" s="67"/>
      <c r="H214" s="67"/>
    </row>
    <row r="215" spans="1:8" ht="13.2">
      <c r="A215" s="65" t="str">
        <f>HYPERLINK("https://dmoj.ca/problem/coci14c3p1","COCI 14-Strojopis")</f>
        <v>COCI 14-Strojopis</v>
      </c>
      <c r="B215" s="20" t="s">
        <v>6646</v>
      </c>
      <c r="C215" s="24">
        <v>1</v>
      </c>
      <c r="D215" s="69"/>
      <c r="E215" s="31" t="s">
        <v>125</v>
      </c>
      <c r="F215" s="37"/>
      <c r="G215" s="67"/>
      <c r="H215" s="67"/>
    </row>
    <row r="216" spans="1:8" ht="16.5" customHeight="1">
      <c r="A216" s="65" t="str">
        <f>HYPERLINK("https://dmoj.ca/problem/coci14c5p3","COCI 14-Traktor")</f>
        <v>COCI 14-Traktor</v>
      </c>
      <c r="B216" s="20" t="s">
        <v>6646</v>
      </c>
      <c r="C216" s="24">
        <v>1</v>
      </c>
      <c r="D216" s="69"/>
      <c r="E216" s="31" t="s">
        <v>125</v>
      </c>
      <c r="F216" s="37"/>
      <c r="G216" s="67"/>
      <c r="H216" s="67"/>
    </row>
    <row r="217" spans="1:8" ht="13.2">
      <c r="A217" s="65" t="str">
        <f>HYPERLINK("https://oj.uz/problem/view/COCI15_akcija","COCI 15-akcija")</f>
        <v>COCI 15-akcija</v>
      </c>
      <c r="B217" s="20" t="s">
        <v>6646</v>
      </c>
      <c r="C217" s="24">
        <v>1</v>
      </c>
      <c r="D217" s="69"/>
      <c r="E217" s="31" t="s">
        <v>125</v>
      </c>
      <c r="F217" s="37"/>
      <c r="G217" s="67"/>
      <c r="H217" s="67"/>
    </row>
    <row r="218" spans="1:8" ht="13.2">
      <c r="A218" s="65" t="str">
        <f>HYPERLINK("https://dmoj.ca/problem/coci15c4p3","COCI 15-Deathstar")</f>
        <v>COCI 15-Deathstar</v>
      </c>
      <c r="B218" s="20" t="s">
        <v>6646</v>
      </c>
      <c r="C218" s="24">
        <v>1</v>
      </c>
      <c r="D218" s="69"/>
      <c r="E218" s="31" t="s">
        <v>125</v>
      </c>
      <c r="F218" s="37"/>
      <c r="G218" s="67"/>
      <c r="H218" s="67"/>
    </row>
    <row r="219" spans="1:8" ht="13.2">
      <c r="A219" s="65" t="str">
        <f>HYPERLINK("https://oj.uz/problem/view/COCI15_geppetto","COCI 15-geppetto")</f>
        <v>COCI 15-geppetto</v>
      </c>
      <c r="B219" s="20" t="s">
        <v>6646</v>
      </c>
      <c r="C219" s="24">
        <v>1</v>
      </c>
      <c r="D219" s="69"/>
      <c r="E219" s="31" t="s">
        <v>125</v>
      </c>
      <c r="F219" s="37"/>
      <c r="G219" s="67"/>
      <c r="H219" s="67"/>
    </row>
    <row r="220" spans="1:8" ht="13.2">
      <c r="A220" s="65" t="str">
        <f>HYPERLINK("https://oj.uz/problem/view/COCI15_marko","COCI 15-marko")</f>
        <v>COCI 15-marko</v>
      </c>
      <c r="B220" s="20" t="s">
        <v>6646</v>
      </c>
      <c r="C220" s="24">
        <v>1</v>
      </c>
      <c r="D220" s="69"/>
      <c r="E220" s="31" t="s">
        <v>125</v>
      </c>
      <c r="F220" s="37"/>
      <c r="G220" s="67"/>
      <c r="H220" s="67"/>
    </row>
    <row r="221" spans="1:8" ht="13.2">
      <c r="A221" s="65" t="str">
        <f>HYPERLINK("https://oj.uz/problem/view/COCI15_pot","COCI 15-pot")</f>
        <v>COCI 15-pot</v>
      </c>
      <c r="B221" s="20" t="s">
        <v>6646</v>
      </c>
      <c r="C221" s="24">
        <v>1</v>
      </c>
      <c r="D221" s="69"/>
      <c r="E221" s="31" t="s">
        <v>125</v>
      </c>
      <c r="F221" s="37"/>
      <c r="G221" s="67"/>
      <c r="H221" s="67"/>
    </row>
    <row r="222" spans="1:8" ht="13.2">
      <c r="A222" s="65" t="str">
        <f>HYPERLINK("https://oj.uz/problem/view/COCI17_hindeks","COCI 17-hindeks")</f>
        <v>COCI 17-hindeks</v>
      </c>
      <c r="B222" s="20" t="s">
        <v>6646</v>
      </c>
      <c r="C222" s="24">
        <v>1</v>
      </c>
      <c r="D222" s="69"/>
      <c r="E222" s="31" t="s">
        <v>125</v>
      </c>
      <c r="F222" s="37"/>
      <c r="G222" s="67"/>
      <c r="H222" s="67"/>
    </row>
    <row r="223" spans="1:8" ht="13.2">
      <c r="A223" s="65" t="str">
        <f>HYPERLINK("https://dunjudge.me/analysis/problems/39/","NOISelection 11-bunnyhop")</f>
        <v>NOISelection 11-bunnyhop</v>
      </c>
      <c r="B223" s="20" t="s">
        <v>6646</v>
      </c>
      <c r="C223" s="24">
        <v>1</v>
      </c>
      <c r="D223" s="69"/>
      <c r="E223" s="31" t="s">
        <v>125</v>
      </c>
      <c r="F223" s="37"/>
      <c r="G223" s="67"/>
      <c r="H223" s="67"/>
    </row>
    <row r="224" spans="1:8" ht="13.2">
      <c r="A224" s="65" t="str">
        <f>HYPERLINK("https://dunjudge.me/analysis/problems/738/","IOI 02-xor")</f>
        <v>IOI 02-xor</v>
      </c>
      <c r="B224" s="20" t="s">
        <v>6652</v>
      </c>
      <c r="C224" s="17"/>
      <c r="D224" s="65" t="str">
        <f>HYPERLINK("https://github.com/mostafa-saad/MyCompetitiveProgramming/blob/master/Olympiad/IOI/official/2002","Editorial")</f>
        <v>Editorial</v>
      </c>
      <c r="E224" s="31" t="s">
        <v>125</v>
      </c>
      <c r="F224" s="37"/>
      <c r="G224" s="67"/>
      <c r="H224" s="67"/>
    </row>
    <row r="225" spans="1:8" ht="13.2">
      <c r="A225" s="65" t="str">
        <f>HYPERLINK("https://oj.uz/problem/view/POI11_prz","POI 11-prz")</f>
        <v>POI 11-prz</v>
      </c>
      <c r="B225" s="20" t="s">
        <v>212</v>
      </c>
      <c r="C225" s="17"/>
      <c r="D225" s="65" t="str">
        <f t="shared" ref="D225:D226" si="8">HYPERLINK("https://github.com/mostafa-saad/MyCompetitiveProgramming/blob/master/Olympiad/POI/official/find_editorial_sols_guidelines.txt","Editorial")</f>
        <v>Editorial</v>
      </c>
      <c r="E225" s="31" t="s">
        <v>125</v>
      </c>
      <c r="F225" s="37"/>
      <c r="G225" s="67"/>
      <c r="H225" s="67"/>
    </row>
    <row r="226" spans="1:8" ht="13.2">
      <c r="A226" s="65" t="str">
        <f>HYPERLINK("https://oj.uz/problem/view/POI13_ins","POI 13-ins")</f>
        <v>POI 13-ins</v>
      </c>
      <c r="B226" s="37" t="s">
        <v>147</v>
      </c>
      <c r="C226" s="24"/>
      <c r="D226" s="65" t="str">
        <f t="shared" si="8"/>
        <v>Editorial</v>
      </c>
      <c r="E226" s="31" t="s">
        <v>125</v>
      </c>
      <c r="F226" s="37"/>
      <c r="G226" s="67"/>
      <c r="H226" s="67"/>
    </row>
    <row r="227" spans="1:8" ht="13.2">
      <c r="A227" s="65" t="str">
        <f>HYPERLINK("https://dunjudge.me/analysis/problems/1478/","NOIPrelim 18-snail")</f>
        <v>NOIPrelim 18-snail</v>
      </c>
      <c r="B227" s="37" t="s">
        <v>124</v>
      </c>
      <c r="C227" s="24"/>
      <c r="D227" s="69"/>
      <c r="E227" s="31" t="s">
        <v>125</v>
      </c>
      <c r="F227" s="37"/>
      <c r="G227" s="67"/>
      <c r="H227" s="67"/>
    </row>
    <row r="228" spans="1:8" ht="13.2">
      <c r="A228" s="65" t="str">
        <f>HYPERLINK("https://dunjudge.me/analysis/problems/677/","NOISelection 15-globalwarming2")</f>
        <v>NOISelection 15-globalwarming2</v>
      </c>
      <c r="B228" s="37" t="s">
        <v>124</v>
      </c>
      <c r="C228" s="24"/>
      <c r="D228" s="69"/>
      <c r="E228" s="31" t="s">
        <v>125</v>
      </c>
      <c r="F228" s="37"/>
      <c r="G228" s="67"/>
      <c r="H228" s="67"/>
    </row>
    <row r="229" spans="1:8" ht="13.2">
      <c r="A229" s="65" t="str">
        <f>HYPERLINK("https://dunjudge.me/analysis/problems/1475/","NOISelection 18-spotlights")</f>
        <v>NOISelection 18-spotlights</v>
      </c>
      <c r="B229" s="37" t="s">
        <v>124</v>
      </c>
      <c r="C229" s="24"/>
      <c r="D229" s="69"/>
      <c r="E229" s="31" t="s">
        <v>125</v>
      </c>
      <c r="F229" s="37"/>
      <c r="G229" s="67"/>
      <c r="H229" s="67"/>
    </row>
    <row r="230" spans="1:8" ht="13.2">
      <c r="A230" s="65" t="str">
        <f>HYPERLINK("https://dunjudge.me/analysis/problems/1474/","NOISelection 18-stagegames")</f>
        <v>NOISelection 18-stagegames</v>
      </c>
      <c r="B230" s="37" t="s">
        <v>124</v>
      </c>
      <c r="C230" s="24"/>
      <c r="D230" s="69"/>
      <c r="E230" s="31" t="s">
        <v>125</v>
      </c>
      <c r="F230" s="37"/>
      <c r="G230" s="67"/>
      <c r="H230" s="67"/>
    </row>
    <row r="231" spans="1:8" ht="13.2">
      <c r="A231" s="65" t="str">
        <f>HYPERLINK("https://wcipeg.com/problem/ioi0023","IOI 00-Blocks")</f>
        <v>IOI 00-Blocks</v>
      </c>
      <c r="B231" s="20" t="s">
        <v>6653</v>
      </c>
      <c r="C231" s="24">
        <v>7</v>
      </c>
      <c r="D231" s="65" t="str">
        <f>HYPERLINK("https://github.com/mostafa-saad/MyCompetitiveProgramming/blob/master/Olympiad/IOI/IOI-00-Blocks.txt","Sol")</f>
        <v>Sol</v>
      </c>
      <c r="E231" s="31" t="s">
        <v>332</v>
      </c>
      <c r="F231" s="37"/>
      <c r="G231" s="67"/>
      <c r="H231" s="67"/>
    </row>
    <row r="232" spans="1:8" ht="13.2">
      <c r="A232" s="65" t="str">
        <f>HYPERLINK("https://szkopul.edu.pl/problemset/problem/0EGjXu64CRLc5S2-EQOZ0eR1/site/", "POI 08-Kingdom")</f>
        <v>POI 08-Kingdom</v>
      </c>
      <c r="B232" s="37" t="s">
        <v>6654</v>
      </c>
      <c r="C232" s="24">
        <v>6.8</v>
      </c>
      <c r="D232" s="65" t="str">
        <f>HYPERLINK("https://github.com/mostafa-saad/MyCompetitiveProgramming/blob/master/Olympiad/POI/official/find_editorial_sols_guidelines.txt","Editorial")</f>
        <v>Editorial</v>
      </c>
      <c r="E232" s="31" t="s">
        <v>332</v>
      </c>
      <c r="F232" s="37" t="s">
        <v>201</v>
      </c>
      <c r="G232" s="67"/>
      <c r="H232" s="67"/>
    </row>
    <row r="233" spans="1:8" ht="13.2">
      <c r="A233" s="65" t="str">
        <f>HYPERLINK("https://dunjudge.me/analysis/problems/734/","IOI 01-depot")</f>
        <v>IOI 01-depot</v>
      </c>
      <c r="B233" s="20" t="s">
        <v>6655</v>
      </c>
      <c r="C233" s="24">
        <v>6.6</v>
      </c>
      <c r="D233" s="65" t="str">
        <f>HYPERLINK("https://github.com/mostafa-saad/MyCompetitiveProgramming/blob/master/Olympiad/IOI/IOI-01-depot.txt","Sol")</f>
        <v>Sol</v>
      </c>
      <c r="E233" s="31" t="s">
        <v>332</v>
      </c>
      <c r="F233" s="37" t="s">
        <v>201</v>
      </c>
      <c r="G233" s="67"/>
      <c r="H233" s="67"/>
    </row>
    <row r="234" spans="1:8" ht="13.2">
      <c r="A234" s="65" t="str">
        <f>HYPERLINK("http://usaco.org/index.php?page=viewproblem2&amp;cpid=211","USACO 12dec-gangs")</f>
        <v>USACO 12dec-gangs</v>
      </c>
      <c r="B234" s="20" t="s">
        <v>6656</v>
      </c>
      <c r="C234" s="17">
        <v>6.5</v>
      </c>
      <c r="D234" s="65" t="str">
        <f>HYPERLINK("https://github.com/updown2/OI-Practice/blob/master/USACO/2012-2013/December/Gold/Gangs.cpp","Sol")</f>
        <v>Sol</v>
      </c>
      <c r="E234" s="31" t="s">
        <v>332</v>
      </c>
      <c r="F234" s="37" t="s">
        <v>139</v>
      </c>
      <c r="G234" s="67"/>
      <c r="H234" s="67"/>
    </row>
    <row r="235" spans="1:8" ht="13.2">
      <c r="A235" s="65" t="str">
        <f>HYPERLINK("https://cses.fi/185/list/","CEOI 06-Queue")</f>
        <v>CEOI 06-Queue</v>
      </c>
      <c r="B235" s="20" t="s">
        <v>6657</v>
      </c>
      <c r="C235" s="24">
        <v>6</v>
      </c>
      <c r="D235" s="65" t="str">
        <f>HYPERLINK("https://github.com/mostafa-saad/MyCompetitiveProgramming/blob/master/Olympiad/CEOI/CEOI-06-Queue.txt","Sol")</f>
        <v>Sol</v>
      </c>
      <c r="E235" s="31" t="s">
        <v>332</v>
      </c>
      <c r="F235" s="37" t="s">
        <v>201</v>
      </c>
      <c r="G235" s="67"/>
      <c r="H235" s="67"/>
    </row>
    <row r="236" spans="1:8" ht="13.2">
      <c r="A236" s="65" t="str">
        <f>HYPERLINK("https://contest.yandex.ru/snss2018/contest/8760/problems/B","SNSS 18-R2-B")</f>
        <v>SNSS 18-R2-B</v>
      </c>
      <c r="B236" s="20" t="s">
        <v>6658</v>
      </c>
      <c r="C236" s="21">
        <v>5.25</v>
      </c>
      <c r="D236" s="69" t="s">
        <v>7810</v>
      </c>
      <c r="E236" s="31" t="s">
        <v>332</v>
      </c>
      <c r="F236" s="37" t="s">
        <v>139</v>
      </c>
      <c r="G236" s="67"/>
      <c r="H236" s="67"/>
    </row>
    <row r="237" spans="1:8" ht="13.2">
      <c r="A237" s="65" t="str">
        <f>HYPERLINK("https://dmoj.ca/problem/coci14c4p5","COCI 14-Sabor")</f>
        <v>COCI 14-Sabor</v>
      </c>
      <c r="B237" s="20" t="s">
        <v>6659</v>
      </c>
      <c r="C237" s="24">
        <v>5</v>
      </c>
      <c r="D237" s="65" t="str">
        <f>HYPERLINK("https://github.com/mostafa-saad/MyCompetitiveProgramming/blob/master/Olympiad/COCI/COCI-14-Sabor.txt","Sol")</f>
        <v>Sol</v>
      </c>
      <c r="E237" s="31" t="s">
        <v>332</v>
      </c>
      <c r="F237" s="37" t="s">
        <v>139</v>
      </c>
      <c r="G237" s="67"/>
      <c r="H237" s="67"/>
    </row>
    <row r="238" spans="1:8" ht="13.2">
      <c r="A238" s="65" t="str">
        <f>HYPERLINK("https://www.infoarena.ro/problema/cartite","infoarena cartite")</f>
        <v>infoarena cartite</v>
      </c>
      <c r="B238" s="20" t="s">
        <v>6660</v>
      </c>
      <c r="C238" s="21">
        <v>5</v>
      </c>
      <c r="D238" s="65" t="str">
        <f>HYPERLINK("https://github.com/stefdasca/CompetitiveProgramming/blob/master/Infoarena/cartite.cpp","Sol")</f>
        <v>Sol</v>
      </c>
      <c r="E238" s="31" t="s">
        <v>332</v>
      </c>
      <c r="F238" s="37"/>
      <c r="G238" s="67"/>
      <c r="H238" s="67"/>
    </row>
    <row r="239" spans="1:8" ht="13.2">
      <c r="A239" s="65" t="str">
        <f>HYPERLINK("https://dmoj.ca/problem/coci08c5p6","COCI 08-Kruska")</f>
        <v>COCI 08-Kruska</v>
      </c>
      <c r="B239" s="15" t="s">
        <v>6661</v>
      </c>
      <c r="C239" s="24">
        <v>5</v>
      </c>
      <c r="D239" s="65" t="str">
        <f>HYPERLINK("https://github.com/mostafa-saad/MyCompetitiveProgramming/blob/master/Olympiad/COCI/official/2009/contest5_solutions","Editorial")</f>
        <v>Editorial</v>
      </c>
      <c r="E239" s="31" t="s">
        <v>332</v>
      </c>
      <c r="F239" s="37"/>
      <c r="G239" s="67"/>
      <c r="H239" s="67"/>
    </row>
    <row r="240" spans="1:8" ht="13.2">
      <c r="A240" s="65" t="str">
        <f>HYPERLINK("https://dmoj.ca/problem/coci07c4p3","COCI 07-Lektira")</f>
        <v>COCI 07-Lektira</v>
      </c>
      <c r="B240" s="15" t="s">
        <v>359</v>
      </c>
      <c r="C240" s="24">
        <v>5</v>
      </c>
      <c r="D240" s="65" t="str">
        <f>HYPERLINK("https://github.com/mostafa-saad/MyCompetitiveProgramming/tree/master/Olympiad/COCI/official/2008/contest4_solutions","Editorial")</f>
        <v>Editorial</v>
      </c>
      <c r="E240" s="31" t="s">
        <v>332</v>
      </c>
      <c r="F240" s="37"/>
      <c r="G240" s="67"/>
      <c r="H240" s="67"/>
    </row>
    <row r="241" spans="1:8" ht="13.2">
      <c r="A241" s="69" t="s">
        <v>6662</v>
      </c>
      <c r="B241" s="20" t="s">
        <v>6663</v>
      </c>
      <c r="C241" s="17">
        <v>5</v>
      </c>
      <c r="D241" s="69"/>
      <c r="E241" s="31" t="s">
        <v>332</v>
      </c>
      <c r="F241" s="37"/>
      <c r="G241" s="67"/>
      <c r="H241" s="67"/>
    </row>
    <row r="242" spans="1:8" ht="13.2">
      <c r="A242" s="65" t="str">
        <f>HYPERLINK("https://oj.uz/problem/view/JOI19_ho_t1","JOI 19-Bitaro")</f>
        <v>JOI 19-Bitaro</v>
      </c>
      <c r="B242" s="37" t="s">
        <v>6664</v>
      </c>
      <c r="C242" s="24">
        <v>4</v>
      </c>
      <c r="D242" s="69"/>
      <c r="E242" s="31" t="s">
        <v>332</v>
      </c>
      <c r="F242" s="37"/>
      <c r="G242" s="67"/>
      <c r="H242" s="67"/>
    </row>
    <row r="243" spans="1:8" ht="13.2">
      <c r="A243" s="65" t="str">
        <f>HYPERLINK("https://www.infoarena.ro/problema/marceland","infoarena marceland")</f>
        <v>infoarena marceland</v>
      </c>
      <c r="B243" s="20" t="s">
        <v>6665</v>
      </c>
      <c r="C243" s="21">
        <v>3.5</v>
      </c>
      <c r="D243" s="65" t="str">
        <f>HYPERLINK("https://github.com/stefdasca/CompetitiveProgramming/blob/master/Infoarena/marceland.cpp","Sol")</f>
        <v>Sol</v>
      </c>
      <c r="E243" s="31" t="s">
        <v>332</v>
      </c>
      <c r="F243" s="37"/>
      <c r="G243" s="67"/>
      <c r="H243" s="67"/>
    </row>
    <row r="244" spans="1:8" ht="13.2">
      <c r="A244" s="65" t="str">
        <f>HYPERLINK("https://dmoj.ca/problem/coci14c6p2","COCI 14-Niko")</f>
        <v>COCI 14-Niko</v>
      </c>
      <c r="B244" s="20" t="s">
        <v>359</v>
      </c>
      <c r="C244" s="24">
        <v>3</v>
      </c>
      <c r="D244" s="65" t="str">
        <f>HYPERLINK("https://github.com/mostafa-saad/MyCompetitiveProgramming/blob/master/Olympiad/COCI/official/2015/contest6_solutions","Editorial")</f>
        <v>Editorial</v>
      </c>
      <c r="E244" s="31" t="s">
        <v>332</v>
      </c>
      <c r="F244" s="37"/>
      <c r="G244" s="67"/>
      <c r="H244" s="67"/>
    </row>
    <row r="245" spans="1:8" ht="13.2">
      <c r="A245" s="65" t="str">
        <f>HYPERLINK("https://oj.uz/problem/view/IOI16_laugh","IOI 16-laugh")</f>
        <v>IOI 16-laugh</v>
      </c>
      <c r="B245" s="20" t="s">
        <v>359</v>
      </c>
      <c r="C245" s="17">
        <v>3</v>
      </c>
      <c r="D245" s="65" t="str">
        <f>HYPERLINK("https://github.com/mostafa-saad/MyCompetitiveProgramming/blob/master/Olympiad/IOI/official/2016","Editorial")</f>
        <v>Editorial</v>
      </c>
      <c r="E245" s="31" t="s">
        <v>332</v>
      </c>
      <c r="F245" s="37"/>
      <c r="G245" s="67"/>
      <c r="H245" s="67"/>
    </row>
    <row r="246" spans="1:8" ht="13.2">
      <c r="A246" s="65" t="str">
        <f>HYPERLINK("https://cses.fi/100/list/","Baltic 11-Ice Cream")</f>
        <v>Baltic 11-Ice Cream</v>
      </c>
      <c r="B246" s="37" t="s">
        <v>341</v>
      </c>
      <c r="C246" s="24">
        <v>3</v>
      </c>
      <c r="D246" s="65" t="str">
        <f>HYPERLINK("https://github.com/mostafa-saad/MyCompetitiveProgramming/blob/master/Olympiad/Baltic/official/boi2011_solutions","Editorial")</f>
        <v>Editorial</v>
      </c>
      <c r="E246" s="31" t="s">
        <v>332</v>
      </c>
      <c r="F246" s="37"/>
      <c r="G246" s="67"/>
      <c r="H246" s="67"/>
    </row>
    <row r="247" spans="1:8" ht="13.2">
      <c r="A247" s="69" t="s">
        <v>6666</v>
      </c>
      <c r="B247" s="20" t="s">
        <v>6667</v>
      </c>
      <c r="C247" s="21">
        <v>2</v>
      </c>
      <c r="D247" s="65" t="str">
        <f>HYPERLINK("https://github.com/dolphingarlic/CompetitiveProgramming/blob/master/COI/COCI%2020-emacs.cpp", "Sol")</f>
        <v>Sol</v>
      </c>
      <c r="E247" s="31" t="s">
        <v>332</v>
      </c>
      <c r="F247" s="37"/>
      <c r="G247" s="67"/>
      <c r="H247" s="67"/>
    </row>
    <row r="248" spans="1:8" ht="13.2">
      <c r="A248" s="65" t="str">
        <f>HYPERLINK("https://dmoj.ca/problem/nccc6s2","CCCMock 19-PusheenPuzzlePresent")</f>
        <v>CCCMock 19-PusheenPuzzlePresent</v>
      </c>
      <c r="B248" s="20" t="s">
        <v>359</v>
      </c>
      <c r="C248" s="24">
        <v>2</v>
      </c>
      <c r="D248" s="69"/>
      <c r="E248" s="31" t="s">
        <v>332</v>
      </c>
      <c r="F248" s="37"/>
      <c r="G248" s="67"/>
      <c r="H248" s="67"/>
    </row>
    <row r="249" spans="1:8" ht="13.2">
      <c r="A249" s="65" t="str">
        <f>HYPERLINK("https://cses.fi/231/task/A","DatatähtiOpen 19-A")</f>
        <v>DatatähtiOpen 19-A</v>
      </c>
      <c r="B249" s="20" t="s">
        <v>341</v>
      </c>
      <c r="C249" s="24">
        <v>2</v>
      </c>
      <c r="D249" s="69"/>
      <c r="E249" s="31" t="s">
        <v>332</v>
      </c>
      <c r="F249" s="37"/>
      <c r="G249" s="67"/>
      <c r="H249" s="67"/>
    </row>
    <row r="250" spans="1:8" ht="13.2">
      <c r="A250" s="65" t="str">
        <f>HYPERLINK("https://contest.yandex.ru/ioi/contest/568/enter/","IOI 09-poi")</f>
        <v>IOI 09-poi</v>
      </c>
      <c r="B250" s="15" t="s">
        <v>341</v>
      </c>
      <c r="C250" s="17">
        <v>1</v>
      </c>
      <c r="D250" s="65" t="str">
        <f>HYPERLINK("https://github.com/updown2/OI-Practice/blob/master/JOI/2018/Stove.cpp","Sol")</f>
        <v>Sol</v>
      </c>
      <c r="E250" s="31" t="s">
        <v>332</v>
      </c>
      <c r="F250" s="37"/>
      <c r="G250" s="67"/>
      <c r="H250" s="67"/>
    </row>
    <row r="251" spans="1:8" ht="13.2">
      <c r="A251" s="65" t="str">
        <f>HYPERLINK("https://oj.uz/problem/view/COCI17_baza","COCI 17-baza")</f>
        <v>COCI 17-baza</v>
      </c>
      <c r="B251" s="20" t="s">
        <v>359</v>
      </c>
      <c r="C251" s="24">
        <v>1</v>
      </c>
      <c r="D251" s="69"/>
      <c r="E251" s="31" t="s">
        <v>332</v>
      </c>
      <c r="F251" s="37"/>
      <c r="G251" s="67"/>
      <c r="H251" s="67"/>
    </row>
    <row r="252" spans="1:8" ht="13.2">
      <c r="A252" s="65" t="str">
        <f>HYPERLINK("https://dmoj.ca/problem/coci14c5p1","COCI 14-Funghi")</f>
        <v>COCI 14-Funghi</v>
      </c>
      <c r="B252" s="20" t="s">
        <v>359</v>
      </c>
      <c r="C252" s="24">
        <v>1</v>
      </c>
      <c r="D252" s="69"/>
      <c r="E252" s="31" t="s">
        <v>332</v>
      </c>
      <c r="F252" s="37"/>
      <c r="G252" s="67"/>
      <c r="H252" s="67"/>
    </row>
    <row r="253" spans="1:8" ht="13.2">
      <c r="A253" s="65" t="str">
        <f>HYPERLINK("https://oj.uz/problem/view/COCI15_karte","COCI 15-karte")</f>
        <v>COCI 15-karte</v>
      </c>
      <c r="B253" s="20" t="s">
        <v>359</v>
      </c>
      <c r="C253" s="24">
        <v>1</v>
      </c>
      <c r="D253" s="69"/>
      <c r="E253" s="31" t="s">
        <v>332</v>
      </c>
      <c r="F253" s="37"/>
      <c r="G253" s="67"/>
      <c r="H253" s="67"/>
    </row>
    <row r="254" spans="1:8" ht="13.2">
      <c r="A254" s="65" t="str">
        <f>HYPERLINK("https://cses.fi/204/list/","Baltic 18-Worm")</f>
        <v>Baltic 18-Worm</v>
      </c>
      <c r="B254" s="37" t="s">
        <v>6668</v>
      </c>
      <c r="C254" s="24"/>
      <c r="D254" s="65" t="str">
        <f>HYPERLINK("https://github.com/mostafa-saad/MyCompetitiveProgramming/tree/master/Olympiad/Baltic/official/boi2018_solutions","Editorial")</f>
        <v>Editorial</v>
      </c>
      <c r="E254" s="31" t="s">
        <v>332</v>
      </c>
      <c r="F254" s="37"/>
      <c r="G254" s="67"/>
      <c r="H254" s="67"/>
    </row>
    <row r="255" spans="1:8" ht="13.2">
      <c r="A255" s="65" t="str">
        <f>HYPERLINK("https://dunjudge.me/analysis/problems/421/","NOISelection 14-anglerfish")</f>
        <v>NOISelection 14-anglerfish</v>
      </c>
      <c r="B255" s="37" t="s">
        <v>359</v>
      </c>
      <c r="C255" s="24"/>
      <c r="D255" s="69"/>
      <c r="E255" s="31" t="s">
        <v>332</v>
      </c>
      <c r="F255" s="37"/>
      <c r="G255" s="67"/>
      <c r="H255" s="67"/>
    </row>
    <row r="256" spans="1:8" ht="13.2">
      <c r="A256" s="65" t="str">
        <f>HYPERLINK("https://wcipeg.com/problem/coci074p6","COCI 07-Kocke")</f>
        <v>COCI 07-Kocke</v>
      </c>
      <c r="B256" s="15" t="s">
        <v>6669</v>
      </c>
      <c r="C256" s="24">
        <v>7</v>
      </c>
      <c r="D256" s="65" t="str">
        <f>HYPERLINK("https://github.com/mostafa-saad/MyCompetitiveProgramming/blob/master/Olympiad/COCI/COCI-07-Kocke.txt","Sol")</f>
        <v>Sol</v>
      </c>
      <c r="E256" s="31" t="s">
        <v>503</v>
      </c>
      <c r="F256" s="37" t="s">
        <v>201</v>
      </c>
      <c r="G256" s="67"/>
      <c r="H256" s="67"/>
    </row>
    <row r="257" spans="1:8" ht="13.2">
      <c r="A257" s="65" t="str">
        <f>HYPERLINK("https://oj.uz/problem/view/COI19_segway","COI 19-segway")</f>
        <v>COI 19-segway</v>
      </c>
      <c r="B257" s="37" t="s">
        <v>502</v>
      </c>
      <c r="C257" s="24">
        <v>5.5</v>
      </c>
      <c r="D257" s="65" t="str">
        <f>HYPERLINK("https://github.com/mostafa-saad/MyCompetitiveProgramming/blob/master/Olympiad/COI/COI-19-segway.txt","Sol")</f>
        <v>Sol</v>
      </c>
      <c r="E257" s="31" t="s">
        <v>503</v>
      </c>
      <c r="F257" s="37" t="s">
        <v>139</v>
      </c>
      <c r="G257" s="67"/>
      <c r="H257" s="67"/>
    </row>
    <row r="258" spans="1:8" ht="13.2">
      <c r="A258" s="65" t="str">
        <f>HYPERLINK("https://oj.uz/problems/source/326", "APIO 18-newhome")</f>
        <v>APIO 18-newhome</v>
      </c>
      <c r="B258" s="23" t="s">
        <v>6670</v>
      </c>
      <c r="C258" s="24">
        <v>8.25</v>
      </c>
      <c r="D258" s="65" t="str">
        <f>HYPERLINK("https://github.com/mostafa-saad/MyCompetitiveProgramming/blob/master/Olympiad/APIO/APIO-18-newhome.txt","Sol")</f>
        <v>Sol</v>
      </c>
      <c r="E258" s="31" t="s">
        <v>575</v>
      </c>
      <c r="F258" s="37" t="s">
        <v>173</v>
      </c>
      <c r="G258" s="67"/>
      <c r="H258" s="67"/>
    </row>
    <row r="259" spans="1:8" ht="13.2">
      <c r="A259" s="65" t="str">
        <f>HYPERLINK("https://dunjudge.me/analysis/problems/559/","APIO 09-Convention")</f>
        <v>APIO 09-Convention</v>
      </c>
      <c r="B259" s="20" t="s">
        <v>6671</v>
      </c>
      <c r="C259" s="17">
        <v>7.75</v>
      </c>
      <c r="D259" s="65" t="str">
        <f>HYPERLINK("https://github.com/mostafa-saad/MyCompetitiveProgramming/blob/master/Olympiad/APIO/APIO-09-Convention.txt","Sol")</f>
        <v>Sol</v>
      </c>
      <c r="E259" s="31" t="s">
        <v>575</v>
      </c>
      <c r="F259" s="37" t="s">
        <v>201</v>
      </c>
      <c r="G259" s="67"/>
      <c r="H259" s="67"/>
    </row>
    <row r="260" spans="1:8" ht="13.2">
      <c r="A260" s="65" t="str">
        <f>HYPERLINK("https://dmoj.ca/problem/mcco17p3","CCOMock 17-Connection")</f>
        <v>CCOMock 17-Connection</v>
      </c>
      <c r="B260" s="37" t="s">
        <v>6672</v>
      </c>
      <c r="C260" s="24">
        <v>7.5</v>
      </c>
      <c r="D260" s="65" t="str">
        <f>HYPERLINK("https://github.com/mostafa-saad/MyCompetitiveProgramming/blob/master/Olympiad/CCO/CCOMock-17-Connection.txt","Sol")</f>
        <v>Sol</v>
      </c>
      <c r="E260" s="31" t="s">
        <v>575</v>
      </c>
      <c r="F260" s="37" t="s">
        <v>139</v>
      </c>
      <c r="G260" s="67"/>
      <c r="H260" s="67"/>
    </row>
    <row r="261" spans="1:8" ht="13.2">
      <c r="A261" s="65" t="str">
        <f>HYPERLINK("https://oj.uz/problem/view/JOI19_timeleap","JOISC 19-timeleap")</f>
        <v>JOISC 19-timeleap</v>
      </c>
      <c r="B261" s="37" t="s">
        <v>587</v>
      </c>
      <c r="C261" s="21">
        <v>7.5</v>
      </c>
      <c r="D261" s="69"/>
      <c r="E261" s="31" t="s">
        <v>575</v>
      </c>
      <c r="F261" s="37" t="s">
        <v>139</v>
      </c>
      <c r="G261" s="67"/>
      <c r="H261" s="67"/>
    </row>
    <row r="262" spans="1:8" ht="13.2">
      <c r="A262" s="65" t="str">
        <f>HYPERLINK("https://oj.uz/problem/view/BOI15_edi","Baltic 15-edi")</f>
        <v>Baltic 15-edi</v>
      </c>
      <c r="B262" s="20" t="s">
        <v>6673</v>
      </c>
      <c r="C262" s="24">
        <v>7.25</v>
      </c>
      <c r="D262" s="65" t="str">
        <f>HYPERLINK("https://github.com/mostafa-saad/MyCompetitiveProgramming/blob/master/Olympiad/Baltic/Baltic-15-edi.txt","Sol")</f>
        <v>Sol</v>
      </c>
      <c r="E262" s="31" t="s">
        <v>575</v>
      </c>
      <c r="F262" s="37" t="s">
        <v>139</v>
      </c>
      <c r="G262" s="67"/>
      <c r="H262" s="67"/>
    </row>
    <row r="263" spans="1:8" ht="13.2">
      <c r="A263" s="65" t="str">
        <f>HYPERLINK("https://oj.uz/problem/view/COI15_ogledala","COI 15-ogledala")</f>
        <v>COI 15-ogledala</v>
      </c>
      <c r="B263" s="20" t="s">
        <v>6674</v>
      </c>
      <c r="C263" s="24">
        <v>7</v>
      </c>
      <c r="D263" s="65" t="str">
        <f>HYPERLINK("https://github.com/mostafa-saad/MyCompetitiveProgramming/tree/master/Olympiad/COI/official/2015","Editorial")</f>
        <v>Editorial</v>
      </c>
      <c r="E263" s="31" t="s">
        <v>575</v>
      </c>
      <c r="F263" s="37" t="s">
        <v>201</v>
      </c>
      <c r="G263" s="67"/>
      <c r="H263" s="67"/>
    </row>
    <row r="264" spans="1:8" ht="13.2">
      <c r="A264" s="65" t="str">
        <f>HYPERLINK("https://oj.uz/problems/source/60", "CEOI 13-adriatic")</f>
        <v>CEOI 13-adriatic</v>
      </c>
      <c r="B264" s="23" t="s">
        <v>6675</v>
      </c>
      <c r="C264" s="17">
        <v>7</v>
      </c>
      <c r="D264" s="65" t="str">
        <f>HYPERLINK("https://github.com/tmwilliamlin168/CompetitiveProgramming/blob/master/CEOI/13-Adriatic.cpp", "Sol")</f>
        <v>Sol</v>
      </c>
      <c r="E264" s="31" t="s">
        <v>575</v>
      </c>
      <c r="F264" s="37"/>
      <c r="G264" s="67"/>
      <c r="H264" s="67"/>
    </row>
    <row r="265" spans="1:8" ht="13.2">
      <c r="A265" s="65" t="str">
        <f>HYPERLINK("https://oj.uz/problem/view/IOI19_rect","IOI 19-rect")</f>
        <v>IOI 19-rect</v>
      </c>
      <c r="B265" s="37" t="s">
        <v>6676</v>
      </c>
      <c r="C265" s="24">
        <v>6.8</v>
      </c>
      <c r="D265" s="65" t="str">
        <f>HYPERLINK("https://github.com/mostafa-saad/MyCompetitiveProgramming/blob/master/Olympiad/IOI/IOI-19-rect.txt","Sol")</f>
        <v>Sol</v>
      </c>
      <c r="E265" s="31" t="s">
        <v>575</v>
      </c>
      <c r="F265" s="37" t="s">
        <v>139</v>
      </c>
      <c r="G265" s="67"/>
      <c r="H265" s="67"/>
    </row>
    <row r="266" spans="1:8" ht="13.2">
      <c r="A266" s="65" t="str">
        <f>HYPERLINK("https://www.infoarena.ro/problema/ssdj","infoarena ssdj")</f>
        <v>infoarena ssdj</v>
      </c>
      <c r="B266" s="20" t="s">
        <v>6677</v>
      </c>
      <c r="C266" s="21">
        <v>6.8</v>
      </c>
      <c r="D266" s="65" t="str">
        <f>HYPERLINK("https://github.com/mostafa-saad/MyCompetitiveProgramming/blob/master/Olympiad/infoarena/infoarena-ssdj.txt","Sol")</f>
        <v>Sol</v>
      </c>
      <c r="E266" s="31" t="s">
        <v>575</v>
      </c>
      <c r="F266" s="37" t="s">
        <v>139</v>
      </c>
      <c r="G266" s="67"/>
      <c r="H266" s="67"/>
    </row>
    <row r="267" spans="1:8" ht="13.2">
      <c r="A267" s="65" t="str">
        <f>HYPERLINK("https://oj.uz/problem/view/APIO15_bridge","APIO 15-bridge")</f>
        <v>APIO 15-bridge</v>
      </c>
      <c r="B267" s="15" t="s">
        <v>6678</v>
      </c>
      <c r="C267" s="17">
        <v>6.75</v>
      </c>
      <c r="D267" s="65" t="str">
        <f>HYPERLINK("https://github.com/mostafa-saad/MyCompetitiveProgramming/blob/master/Olympiad/APIO/APIO-15-bridge.txt","Sol")</f>
        <v>Sol</v>
      </c>
      <c r="E267" s="31" t="s">
        <v>575</v>
      </c>
      <c r="F267" s="37" t="s">
        <v>1112</v>
      </c>
      <c r="G267" s="67"/>
      <c r="H267" s="67"/>
    </row>
    <row r="268" spans="1:8" ht="13.2">
      <c r="A268" s="65" t="str">
        <f>HYPERLINK("https://oj.uz/problem/view/CEOI11_tea","CEOI 11-Teams")</f>
        <v>CEOI 11-Teams</v>
      </c>
      <c r="B268" s="20" t="s">
        <v>6679</v>
      </c>
      <c r="C268" s="24">
        <v>6.6</v>
      </c>
      <c r="D268" s="65" t="str">
        <f>HYPERLINK("https://github.com/mostafa-saad/MyCompetitiveProgramming/blob/master/Olympiad/CEOI/CEOI-11-Teams.txt","Sol. Find O(N)")</f>
        <v>Sol. Find O(N)</v>
      </c>
      <c r="E268" s="31" t="s">
        <v>575</v>
      </c>
      <c r="F268" s="37"/>
      <c r="G268" s="67"/>
      <c r="H268" s="67"/>
    </row>
    <row r="269" spans="1:8" ht="13.2">
      <c r="A269" s="65" t="str">
        <f>HYPERLINK("http://usaco.org/index.php?page=viewproblem2&amp;cpid=837", "USACO 18mar-sortgold")</f>
        <v>USACO 18mar-sortgold</v>
      </c>
      <c r="B269" s="20" t="s">
        <v>6680</v>
      </c>
      <c r="C269" s="24">
        <v>6.5</v>
      </c>
      <c r="D269" s="65" t="str">
        <f>HYPERLINK("https://github.com/dolphingarlic/CompetitiveProgramming/blob/master/USACO/USACO%2018-out_of_sorts_gold.cpp","Sol")</f>
        <v>Sol</v>
      </c>
      <c r="E269" s="31" t="s">
        <v>575</v>
      </c>
      <c r="F269" s="37" t="s">
        <v>1053</v>
      </c>
      <c r="G269" s="67"/>
      <c r="H269" s="67"/>
    </row>
    <row r="270" spans="1:8" ht="13.2">
      <c r="A270" s="65" t="str">
        <f>HYPERLINK("http://usaco.org/index.php?page=viewproblem2&amp;cpid=194", "USACO 12nov-cbs-gold")</f>
        <v>USACO 12nov-cbs-gold</v>
      </c>
      <c r="B270" s="20" t="s">
        <v>6681</v>
      </c>
      <c r="C270" s="21">
        <v>6.5</v>
      </c>
      <c r="D270" s="69"/>
      <c r="E270" s="31" t="s">
        <v>575</v>
      </c>
      <c r="F270" s="37" t="s">
        <v>154</v>
      </c>
      <c r="G270" s="67"/>
      <c r="H270" s="67"/>
    </row>
    <row r="271" spans="1:8" ht="13.2">
      <c r="A271" s="65" t="str">
        <f>HYPERLINK("https://oj.uz/problem/view/IOI15_horses","IOI 15-horses")</f>
        <v>IOI 15-horses</v>
      </c>
      <c r="B271" s="18" t="s">
        <v>6682</v>
      </c>
      <c r="C271" s="17">
        <v>6.5</v>
      </c>
      <c r="D271" s="65" t="str">
        <f>HYPERLINK("https://github.com/mostafa-saad/MyCompetitiveProgramming/blob/master/Olympiad/IOI/official/2015","Editorial")</f>
        <v>Editorial</v>
      </c>
      <c r="E271" s="31" t="s">
        <v>575</v>
      </c>
      <c r="F271" s="37"/>
      <c r="G271" s="67"/>
      <c r="H271" s="67"/>
    </row>
    <row r="272" spans="1:8" ht="13.2">
      <c r="A272" s="65" t="str">
        <f>HYPERLINK("https://oj.uz/problems/source/59", "CEOI 13-tram")</f>
        <v>CEOI 13-tram</v>
      </c>
      <c r="B272" s="23" t="s">
        <v>601</v>
      </c>
      <c r="C272" s="17">
        <v>6.5</v>
      </c>
      <c r="D272" s="65" t="str">
        <f>HYPERLINK("https://github.com/tmwilliamlin168/CompetitiveProgramming/blob/master/CEOI/13-Tram.cpp", "Sol")</f>
        <v>Sol</v>
      </c>
      <c r="E272" s="31" t="s">
        <v>575</v>
      </c>
      <c r="F272" s="37"/>
      <c r="G272" s="67"/>
      <c r="H272" s="67"/>
    </row>
    <row r="273" spans="1:8" ht="13.2">
      <c r="A273" s="65" t="str">
        <f>HYPERLINK("https://www.infoarena.ro/problema/cover","infoarena cover")</f>
        <v>infoarena cover</v>
      </c>
      <c r="B273" s="37" t="s">
        <v>6683</v>
      </c>
      <c r="C273" s="21">
        <v>6.5</v>
      </c>
      <c r="D273" s="65" t="str">
        <f>HYPERLINK("https://github.com/stefdasca/CompetitiveProgramming/blob/master/Infoarena/cover.cpp","Sol")</f>
        <v>Sol</v>
      </c>
      <c r="E273" s="31" t="s">
        <v>575</v>
      </c>
      <c r="F273" s="37"/>
      <c r="G273" s="67"/>
      <c r="H273" s="67"/>
    </row>
    <row r="274" spans="1:8" ht="13.2">
      <c r="A274" s="65" t="str">
        <f>HYPERLINK("http://usaco.org/index.php?page=viewproblem2&amp;cpid=722","USACO 17feb-friendcross")</f>
        <v>USACO 17feb-friendcross</v>
      </c>
      <c r="B274" s="20" t="s">
        <v>587</v>
      </c>
      <c r="C274" s="21">
        <v>6.5</v>
      </c>
      <c r="D274" s="69"/>
      <c r="E274" s="31" t="s">
        <v>575</v>
      </c>
      <c r="F274" s="37"/>
      <c r="G274" s="67"/>
      <c r="H274" s="67"/>
    </row>
    <row r="275" spans="1:8" ht="13.2">
      <c r="A275" s="65" t="str">
        <f>HYPERLINK("https://oj.uz/problem/view/COI14_kosta","COI 14-kosta")</f>
        <v>COI 14-kosta</v>
      </c>
      <c r="B275" s="20" t="s">
        <v>6684</v>
      </c>
      <c r="C275" s="24">
        <v>6.5</v>
      </c>
      <c r="D275" s="65" t="str">
        <f>HYPERLINK("https://github.com/mostafa-saad/MyCompetitiveProgramming/tree/master/Olympiad/COI/official/2014","Editorial")</f>
        <v>Editorial</v>
      </c>
      <c r="E275" s="31" t="s">
        <v>575</v>
      </c>
      <c r="F275" s="37"/>
      <c r="G275" s="67"/>
      <c r="H275" s="67"/>
    </row>
    <row r="276" spans="1:8" ht="13.2">
      <c r="A276" s="65" t="str">
        <f>HYPERLINK("https://csacademy.com/contest/ceoi-2018-day-1/task/lottery/", "CEOI 18-Lottery")</f>
        <v>CEOI 18-Lottery</v>
      </c>
      <c r="B276" s="20" t="s">
        <v>6685</v>
      </c>
      <c r="C276" s="21">
        <v>6.25</v>
      </c>
      <c r="D276" s="65" t="str">
        <f>HYPERLINK("https://github.com/mostafa-saad/MyCompetitiveProgramming/blob/master/Olympiad/CEOI/CEOI-18-Lottery.txt","Sol")</f>
        <v>Sol</v>
      </c>
      <c r="E276" s="31" t="s">
        <v>575</v>
      </c>
      <c r="F276" s="37" t="s">
        <v>139</v>
      </c>
      <c r="G276" s="67"/>
      <c r="H276" s="67"/>
    </row>
    <row r="277" spans="1:8" ht="13.2">
      <c r="A277" s="65" t="str">
        <f>HYPERLINK("https://oj.uz/problem/view/COCI18_strah","COCI 19-strah")</f>
        <v>COCI 19-strah</v>
      </c>
      <c r="B277" s="20" t="s">
        <v>6686</v>
      </c>
      <c r="C277" s="17">
        <v>6.25</v>
      </c>
      <c r="D277" s="65" t="str">
        <f>HYPERLINK("https://github.com/Szawinis/CompetitiveProgramming/blob/master/Olympiad/COCI/COCI18-strah.cpp","Sol")</f>
        <v>Sol</v>
      </c>
      <c r="E277" s="31" t="s">
        <v>575</v>
      </c>
      <c r="F277" s="37" t="s">
        <v>139</v>
      </c>
      <c r="G277" s="67"/>
      <c r="H277" s="67"/>
    </row>
    <row r="278" spans="1:8" ht="13.2">
      <c r="A278" s="65" t="str">
        <f>HYPERLINK("https://dunjudge.me/analysis/problems/704/","NOI 15-banana_farm")</f>
        <v>NOI 15-banana_farm</v>
      </c>
      <c r="B278" s="37" t="s">
        <v>6687</v>
      </c>
      <c r="C278" s="24">
        <v>6.25</v>
      </c>
      <c r="D278" s="65" t="str">
        <f>HYPERLINK("https://github.com/mostafa-saad/MyCompetitiveProgramming/blob/master/Olympiad/NOI/official","Editorial")</f>
        <v>Editorial</v>
      </c>
      <c r="E278" s="31" t="s">
        <v>575</v>
      </c>
      <c r="F278" s="37"/>
      <c r="G278" s="67"/>
      <c r="H278" s="67"/>
    </row>
    <row r="279" spans="1:8" ht="13.2">
      <c r="A279" s="65" t="str">
        <f>HYPERLINK("https://oj.uz/problem/view/IOI13_robots","IOI 13-robots")</f>
        <v>IOI 13-robots</v>
      </c>
      <c r="B279" s="18" t="s">
        <v>6688</v>
      </c>
      <c r="C279" s="17">
        <v>6</v>
      </c>
      <c r="D279" s="65" t="str">
        <f>HYPERLINK("https://github.com/mostafa-saad/MyCompetitiveProgramming/blob/master/Olympiad/IOI/IOI-13-robots.txt","Sol")</f>
        <v>Sol</v>
      </c>
      <c r="E279" s="31" t="s">
        <v>575</v>
      </c>
      <c r="F279" s="37" t="s">
        <v>3311</v>
      </c>
      <c r="G279" s="67"/>
      <c r="H279" s="67"/>
    </row>
    <row r="280" spans="1:8" ht="13.2">
      <c r="A280" s="65" t="str">
        <f>HYPERLINK("https://contest.yandex.ru/ioi/contest/562/problems/B/","IOI 06-pyramid")</f>
        <v>IOI 06-pyramid</v>
      </c>
      <c r="B280" s="15" t="s">
        <v>6689</v>
      </c>
      <c r="C280" s="24">
        <v>6</v>
      </c>
      <c r="D280" s="65" t="str">
        <f>HYPERLINK("https://github.com/mostafa-saad/MyCompetitiveProgramming/blob/master/Olympiad/IOI/IOI-06-pyramid.txt","Sol")</f>
        <v>Sol</v>
      </c>
      <c r="E280" s="31" t="s">
        <v>575</v>
      </c>
      <c r="F280" s="37" t="s">
        <v>139</v>
      </c>
      <c r="G280" s="67"/>
      <c r="H280" s="67"/>
    </row>
    <row r="281" spans="1:8" ht="13.2">
      <c r="A281" s="65" t="str">
        <f>HYPERLINK("https://cses.fi/180/list/","CEOI 09-Logs")</f>
        <v>CEOI 09-Logs</v>
      </c>
      <c r="B281" s="20" t="s">
        <v>643</v>
      </c>
      <c r="C281" s="24">
        <v>6</v>
      </c>
      <c r="D281" s="65" t="str">
        <f>HYPERLINK("https://github.com/MetalBall887/Competitive-Programming/blob/master/Olympiad/CEOI/CEOI%2009-Logs.cpp","Sol")</f>
        <v>Sol</v>
      </c>
      <c r="E281" s="31" t="s">
        <v>575</v>
      </c>
      <c r="F281" s="37" t="s">
        <v>139</v>
      </c>
      <c r="G281" s="67"/>
      <c r="H281" s="67"/>
    </row>
    <row r="282" spans="1:8" ht="13.2">
      <c r="A282" s="65" t="str">
        <f>HYPERLINK("https://infoarena.ro/problema/eq","infoarena eq")</f>
        <v>infoarena eq</v>
      </c>
      <c r="B282" s="20" t="s">
        <v>6690</v>
      </c>
      <c r="C282" s="17">
        <v>6</v>
      </c>
      <c r="D282" s="65" t="str">
        <f>HYPERLINK("https://github.com/mostafa-saad/MyCompetitiveProgramming/blob/master/Olympiad/infoarena/infoarena-eq.txt","Sol")</f>
        <v>Sol</v>
      </c>
      <c r="E282" s="31" t="s">
        <v>575</v>
      </c>
      <c r="F282" s="37" t="s">
        <v>139</v>
      </c>
      <c r="G282" s="67"/>
      <c r="H282" s="67"/>
    </row>
    <row r="283" spans="1:8" ht="13.2">
      <c r="A283" s="65" t="str">
        <f>HYPERLINK("http://usaco.org/index.php?page=viewproblem2&amp;cpid=770", "USACO 17dec-greedy-plat")</f>
        <v>USACO 17dec-greedy-plat</v>
      </c>
      <c r="B283" s="20" t="s">
        <v>611</v>
      </c>
      <c r="C283" s="21">
        <v>6</v>
      </c>
      <c r="D283" s="69"/>
      <c r="E283" s="31" t="s">
        <v>575</v>
      </c>
      <c r="F283" s="37" t="s">
        <v>201</v>
      </c>
      <c r="G283" s="67"/>
      <c r="H283" s="67"/>
    </row>
    <row r="284" spans="1:8" ht="13.2">
      <c r="A284" s="65" t="str">
        <f>HYPERLINK("https://wcipeg.com/problem/coci093p5","COCI 09-Patuljci")</f>
        <v>COCI 09-Patuljci</v>
      </c>
      <c r="B284" s="73" t="s">
        <v>6691</v>
      </c>
      <c r="C284" s="66">
        <v>6</v>
      </c>
      <c r="D284" s="65" t="str">
        <f>HYPERLINK("https://github.com/mostafa-saad/MyCompetitiveProgramming/blob/master/Olympiad/COCI/official/2010/contest3_solutions","Editorial")</f>
        <v>Editorial</v>
      </c>
      <c r="E284" s="31" t="s">
        <v>575</v>
      </c>
      <c r="F284" s="37"/>
      <c r="G284" s="67"/>
      <c r="H284" s="67"/>
    </row>
    <row r="285" spans="1:8" ht="13.2">
      <c r="A285" s="65" t="str">
        <f>HYPERLINK("https://www.infoarena.ro/problema/struti", "Infoarena Struti")</f>
        <v>Infoarena Struti</v>
      </c>
      <c r="B285" s="20" t="s">
        <v>6692</v>
      </c>
      <c r="C285" s="17">
        <v>6</v>
      </c>
      <c r="D285" s="65" t="str">
        <f>HYPERLINK("https://github.com/stefdasca/CompetitiveProgramming/blob/master/Infoarena/struti.cpp","Sol")</f>
        <v>Sol</v>
      </c>
      <c r="E285" s="31" t="s">
        <v>575</v>
      </c>
      <c r="F285" s="37"/>
      <c r="G285" s="67"/>
      <c r="H285" s="67"/>
    </row>
    <row r="286" spans="1:8" ht="13.2">
      <c r="A286" s="65" t="str">
        <f>HYPERLINK("https://training.ia-toki.org/problemsets/87/problems/445/","TOKIOpen 17-Radius")</f>
        <v>TOKIOpen 17-Radius</v>
      </c>
      <c r="B286" s="20" t="s">
        <v>587</v>
      </c>
      <c r="C286" s="24">
        <v>6</v>
      </c>
      <c r="D286" s="65" t="str">
        <f>HYPERLINK("https://github.com/win11905/submission/blob/master/TOKI/17/radius/radius.cpp","Sol")</f>
        <v>Sol</v>
      </c>
      <c r="E286" s="31" t="s">
        <v>575</v>
      </c>
      <c r="F286" s="37"/>
      <c r="G286" s="67"/>
      <c r="H286" s="67"/>
    </row>
    <row r="287" spans="1:8" ht="13.2">
      <c r="A287" s="65" t="str">
        <f>HYPERLINK("https://dmoj.ca/problem/coci07c4p5","COCI 07-Poklon")</f>
        <v>COCI 07-Poklon</v>
      </c>
      <c r="B287" s="15" t="s">
        <v>587</v>
      </c>
      <c r="C287" s="24">
        <v>6</v>
      </c>
      <c r="D287" s="65" t="str">
        <f>HYPERLINK("https://github.com/mostafa-saad/MyCompetitiveProgramming/tree/master/Olympiad/COCI/official/2008/contest4_solutions","Editorial")</f>
        <v>Editorial</v>
      </c>
      <c r="E287" s="31" t="s">
        <v>575</v>
      </c>
      <c r="F287" s="37"/>
      <c r="G287" s="67"/>
      <c r="H287" s="67"/>
    </row>
    <row r="288" spans="1:8" ht="13.2">
      <c r="A288" s="65" t="str">
        <f>HYPERLINK("https://www.infoarena.ro/problema/regat","infoarena regat")</f>
        <v>infoarena regat</v>
      </c>
      <c r="B288" s="20" t="s">
        <v>6693</v>
      </c>
      <c r="C288" s="21">
        <v>5.75</v>
      </c>
      <c r="D288" s="65" t="str">
        <f>HYPERLINK("https://github.com/mostafa-saad/MyCompetitiveProgramming/blob/master/Olympiad/infoarena/infoarena_regat.txt","Sol")</f>
        <v>Sol</v>
      </c>
      <c r="E288" s="31" t="s">
        <v>575</v>
      </c>
      <c r="F288" s="37" t="s">
        <v>139</v>
      </c>
      <c r="G288" s="67"/>
      <c r="H288" s="67"/>
    </row>
    <row r="289" spans="1:8" ht="13.2">
      <c r="A289" s="65" t="str">
        <f>HYPERLINK("https://csacademy.com/contest/balkan-oi-2017-day-2/","Balkan 17-Monsters")</f>
        <v>Balkan 17-Monsters</v>
      </c>
      <c r="B289" s="18" t="s">
        <v>6694</v>
      </c>
      <c r="C289" s="21">
        <v>5.5</v>
      </c>
      <c r="D289" s="65" t="str">
        <f>HYPERLINK("https://github.com/mostafa-saad/MyCompetitiveProgramming/blob/master/Olympiad/Balkan/Balkan-17-Monsters.txt","Sol")</f>
        <v>Sol</v>
      </c>
      <c r="E289" s="31" t="s">
        <v>575</v>
      </c>
      <c r="F289" s="37" t="s">
        <v>196</v>
      </c>
      <c r="G289" s="67"/>
      <c r="H289" s="67"/>
    </row>
    <row r="290" spans="1:8" ht="13.2">
      <c r="A290" s="65" t="str">
        <f>HYPERLINK("https://csacademy.com/contest/junior-challenge-2017-day-2/task/ultimateorbs","ROJS 17-ultimateorbs")</f>
        <v>ROJS 17-ultimateorbs</v>
      </c>
      <c r="B290" s="37" t="s">
        <v>6695</v>
      </c>
      <c r="C290" s="21">
        <v>5.5</v>
      </c>
      <c r="D290" s="65" t="str">
        <f>HYPERLINK("https://github.com/mostafa-saad/MyCompetitiveProgramming/blob/master/Olympiad/ROS/ROJS-17-ultimateorbs.txt","Sol")</f>
        <v>Sol</v>
      </c>
      <c r="E290" s="31" t="s">
        <v>575</v>
      </c>
      <c r="F290" s="37" t="s">
        <v>196</v>
      </c>
      <c r="G290" s="67"/>
      <c r="H290" s="67"/>
    </row>
    <row r="291" spans="1:8" ht="13.2">
      <c r="A291" s="65" t="str">
        <f>HYPERLINK("https://dmoj.ca/problem/coi06p1", "COI 06-Patrik")</f>
        <v>COI 06-Patrik</v>
      </c>
      <c r="B291" s="20" t="s">
        <v>6696</v>
      </c>
      <c r="C291" s="21">
        <v>5.5</v>
      </c>
      <c r="D291" s="65" t="str">
        <f>HYPERLINK("https://github.com/mostafa-saad/MyCompetitiveProgramming/blob/master/Olympiad/COI/COI-06-Patrik.txt","Sol")</f>
        <v>Sol</v>
      </c>
      <c r="E291" s="31" t="s">
        <v>575</v>
      </c>
      <c r="F291" s="37" t="s">
        <v>139</v>
      </c>
      <c r="G291" s="67"/>
      <c r="H291" s="67"/>
    </row>
    <row r="292" spans="1:8" ht="13.2">
      <c r="A292" s="65" t="str">
        <f>HYPERLINK("https://www.infoarena.ro/problema/permsort", "infoarena permsort")</f>
        <v>infoarena permsort</v>
      </c>
      <c r="B292" s="20" t="s">
        <v>587</v>
      </c>
      <c r="C292" s="17">
        <v>5.5</v>
      </c>
      <c r="D292" s="65" t="str">
        <f>HYPERLINK("https://github.com/mostafa-saad/MyCompetitiveProgramming/blob/master/Olympiad/infoarena/infoarena-permsort.txt","Sol")</f>
        <v>Sol</v>
      </c>
      <c r="E292" s="31" t="s">
        <v>575</v>
      </c>
      <c r="F292" s="37" t="s">
        <v>139</v>
      </c>
      <c r="G292" s="67"/>
      <c r="H292" s="67"/>
    </row>
    <row r="293" spans="1:8" ht="13.2">
      <c r="A293" s="65" t="str">
        <f>HYPERLINK("https://oj.uz/problem/view/JOI19_examination", "JOISC 19-Examination")</f>
        <v>JOISC 19-Examination</v>
      </c>
      <c r="B293" s="20" t="s">
        <v>6697</v>
      </c>
      <c r="C293" s="21">
        <v>5.5</v>
      </c>
      <c r="D293" s="65" t="str">
        <f>HYPERLINK("https://github.com/Szawinis/CompetitiveProgramming/blob/master/Olympiad/JOI/JOISC19-examination.cpp","Sol")</f>
        <v>Sol</v>
      </c>
      <c r="E293" s="31" t="s">
        <v>575</v>
      </c>
      <c r="F293" s="37" t="s">
        <v>201</v>
      </c>
      <c r="G293" s="67"/>
      <c r="H293" s="67"/>
    </row>
    <row r="294" spans="1:8" ht="13.2">
      <c r="A294" s="65" t="str">
        <f>HYPERLINK("https://csacademy.com/contest/ejoi-2017-day-1/task/magic/","EJOI 17-magic")</f>
        <v>EJOI 17-magic</v>
      </c>
      <c r="B294" s="20" t="s">
        <v>616</v>
      </c>
      <c r="C294" s="24">
        <v>5.5</v>
      </c>
      <c r="D294" s="65" t="str">
        <f>HYPERLINK("https://github.com/Rockbet/Problems/blob/master/EJOI/2017/Day%201/Magic.cpp","Sol")</f>
        <v>Sol</v>
      </c>
      <c r="E294" s="31" t="s">
        <v>575</v>
      </c>
      <c r="F294" s="37" t="s">
        <v>201</v>
      </c>
      <c r="G294" s="67"/>
      <c r="H294" s="67"/>
    </row>
    <row r="295" spans="1:8" ht="13.2">
      <c r="A295" s="65" t="str">
        <f>HYPERLINK("http://usaco.org/index.php?page=viewproblem2&amp;cpid=495","USACO 14dec-marathon")</f>
        <v>USACO 14dec-marathon</v>
      </c>
      <c r="B295" s="20" t="s">
        <v>6698</v>
      </c>
      <c r="C295" s="21">
        <v>5.5</v>
      </c>
      <c r="D295" s="65" t="str">
        <f>HYPERLINK("https://github.com/SpeedOfMagic/CompetitiveProgramming/blob/master/USACO/USACO%2014dec-marathon.cpp","Sol")</f>
        <v>Sol</v>
      </c>
      <c r="E295" s="31" t="s">
        <v>575</v>
      </c>
      <c r="F295" s="37"/>
      <c r="G295" s="67"/>
      <c r="H295" s="67"/>
    </row>
    <row r="296" spans="1:8" ht="13.2">
      <c r="A296" s="65" t="str">
        <f>HYPERLINK("https://github.com/stefdasca/CompetitiveProgramming/blob/master/Info1Cup/National%20Round/Simple%20(Ro)%20(1).pdf","Info1Cup 19-Simple")</f>
        <v>Info1Cup 19-Simple</v>
      </c>
      <c r="B296" s="20" t="s">
        <v>6699</v>
      </c>
      <c r="C296" s="21">
        <v>5.5</v>
      </c>
      <c r="D296" s="65" t="str">
        <f>HYPERLINK("https://github.com/stefdasca/CompetitiveProgramming/blob/master/Info1Cup/National%20Round/simple.cpp","Sol")</f>
        <v>Sol</v>
      </c>
      <c r="E296" s="31" t="s">
        <v>575</v>
      </c>
      <c r="F296" s="37"/>
      <c r="G296" s="67"/>
      <c r="H296" s="67"/>
    </row>
    <row r="297" spans="1:8" ht="13.2">
      <c r="A297" s="65" t="str">
        <f>HYPERLINK("https://www.infoarena.ro/problema/omizi","infoarena omizi")</f>
        <v>infoarena omizi</v>
      </c>
      <c r="B297" s="20" t="s">
        <v>6700</v>
      </c>
      <c r="C297" s="17">
        <v>5.5</v>
      </c>
      <c r="D297" s="65" t="str">
        <f>HYPERLINK("https://github.com/stefdasca/CompetitiveProgramming/blob/master/Infoarena/omizi.cpp","Sol")</f>
        <v>Sol</v>
      </c>
      <c r="E297" s="31" t="s">
        <v>575</v>
      </c>
      <c r="F297" s="37"/>
      <c r="G297" s="67"/>
      <c r="H297" s="67"/>
    </row>
    <row r="298" spans="1:8" ht="13.2">
      <c r="A298" s="65" t="str">
        <f>HYPERLINK("https://dmoj.ca/problem/dmopc15c1p6","DMOPC 15-LeleiandContest")</f>
        <v>DMOPC 15-LeleiandContest</v>
      </c>
      <c r="B298" s="37" t="s">
        <v>6701</v>
      </c>
      <c r="C298" s="24">
        <v>5</v>
      </c>
      <c r="D298" s="69"/>
      <c r="E298" s="31" t="s">
        <v>575</v>
      </c>
      <c r="F298" s="37"/>
      <c r="G298" s="67"/>
      <c r="H298" s="67"/>
    </row>
    <row r="299" spans="1:8" ht="13.2">
      <c r="A299" s="65" t="str">
        <f>HYPERLINK("https://www.infoarena.ro/problema/troll","infoarena troll")</f>
        <v>infoarena troll</v>
      </c>
      <c r="B299" s="20" t="s">
        <v>6702</v>
      </c>
      <c r="C299" s="21">
        <v>5</v>
      </c>
      <c r="D299" s="65" t="str">
        <f>HYPERLINK("https://github.com/stefdasca/CompetitiveProgramming/blob/master/Infoarena/troll.cpp","Sol")</f>
        <v>Sol</v>
      </c>
      <c r="E299" s="31" t="s">
        <v>575</v>
      </c>
      <c r="F299" s="37"/>
      <c r="G299" s="67"/>
      <c r="H299" s="67"/>
    </row>
    <row r="300" spans="1:8" ht="13.2">
      <c r="A300" s="65" t="str">
        <f>HYPERLINK("https://dunjudge.me/analysis/problems/959/","MCO 16-cablecar")</f>
        <v>MCO 16-cablecar</v>
      </c>
      <c r="B300" s="37" t="s">
        <v>6703</v>
      </c>
      <c r="C300" s="24">
        <v>5</v>
      </c>
      <c r="D300" s="65" t="str">
        <f>HYPERLINK("https://github.com/mostafa-saad/MyCompetitiveProgramming/tree/master/Olympiad/MCO/official","Editorial")</f>
        <v>Editorial</v>
      </c>
      <c r="E300" s="31" t="s">
        <v>575</v>
      </c>
      <c r="F300" s="37"/>
      <c r="G300" s="67"/>
      <c r="H300" s="67"/>
    </row>
    <row r="301" spans="1:8" ht="13.2">
      <c r="A301" s="65" t="str">
        <f>HYPERLINK("https://oj.uz/problem/view/POI11_tem","POI 11-Temp")</f>
        <v>POI 11-Temp</v>
      </c>
      <c r="B301" s="25" t="s">
        <v>6704</v>
      </c>
      <c r="C301" s="24">
        <v>4</v>
      </c>
      <c r="D301" s="65" t="str">
        <f>HYPERLINK("https://github.com/nikolapesic2802/Programming-Practice/blob/master/Temperature/main.cpp","Sol")</f>
        <v>Sol</v>
      </c>
      <c r="E301" s="31" t="s">
        <v>575</v>
      </c>
      <c r="F301" s="37" t="s">
        <v>139</v>
      </c>
      <c r="G301" s="67"/>
      <c r="H301" s="67"/>
    </row>
    <row r="302" spans="1:8" ht="13.2">
      <c r="A302" s="65" t="str">
        <f>HYPERLINK("https://dunjudge.me/analysis/problems/272/","NOI 08-lvm")</f>
        <v>NOI 08-lvm</v>
      </c>
      <c r="B302" s="37" t="s">
        <v>6705</v>
      </c>
      <c r="C302" s="24">
        <v>4</v>
      </c>
      <c r="D302" s="65" t="str">
        <f t="shared" ref="D302:D303" si="9">HYPERLINK("https://github.com/mostafa-saad/MyCompetitiveProgramming/blob/master/Olympiad/NOI/official","Editorial")</f>
        <v>Editorial</v>
      </c>
      <c r="E302" s="31" t="s">
        <v>575</v>
      </c>
      <c r="F302" s="37" t="s">
        <v>201</v>
      </c>
      <c r="G302" s="67"/>
      <c r="H302" s="67"/>
    </row>
    <row r="303" spans="1:8" ht="13.2">
      <c r="A303" s="65" t="str">
        <f>HYPERLINK("https://dunjudge.me/analysis/problems/115/","NOI 10-card")</f>
        <v>NOI 10-card</v>
      </c>
      <c r="B303" s="37" t="s">
        <v>6705</v>
      </c>
      <c r="C303" s="24">
        <v>4</v>
      </c>
      <c r="D303" s="65" t="str">
        <f t="shared" si="9"/>
        <v>Editorial</v>
      </c>
      <c r="E303" s="31" t="s">
        <v>575</v>
      </c>
      <c r="F303" s="37" t="s">
        <v>201</v>
      </c>
      <c r="G303" s="67"/>
      <c r="H303" s="67"/>
    </row>
    <row r="304" spans="1:8" ht="13.2">
      <c r="A304" s="65" t="str">
        <f>HYPERLINK("https://www.infoarena.ro/problema/heavymetal","infoarena heavymetal")</f>
        <v>infoarena heavymetal</v>
      </c>
      <c r="B304" s="20" t="s">
        <v>6706</v>
      </c>
      <c r="C304" s="17">
        <v>4</v>
      </c>
      <c r="D304" s="65" t="str">
        <f>HYPERLINK("https://github.com/stefdasca/CompetitiveProgramming/blob/master/Infoarena/heavymetal.cpp","Sol")</f>
        <v>Sol</v>
      </c>
      <c r="E304" s="31" t="s">
        <v>575</v>
      </c>
      <c r="F304" s="37"/>
      <c r="G304" s="67"/>
      <c r="H304" s="67"/>
    </row>
    <row r="305" spans="1:8" ht="13.2">
      <c r="A305" s="65" t="str">
        <f>HYPERLINK("https://dunjudge.me/analysis/problems/694/","NOIMOCK 15-lilypads")</f>
        <v>NOIMOCK 15-lilypads</v>
      </c>
      <c r="B305" s="37" t="s">
        <v>6707</v>
      </c>
      <c r="C305" s="24">
        <v>4</v>
      </c>
      <c r="D305" s="69"/>
      <c r="E305" s="31" t="s">
        <v>575</v>
      </c>
      <c r="F305" s="37"/>
      <c r="G305" s="67"/>
      <c r="H305" s="67"/>
    </row>
    <row r="306" spans="1:8" ht="13.2">
      <c r="A306" s="65" t="str">
        <f>HYPERLINK("https://oj.uz/problem/view/COCI17_programiranje","COCI 17-programiranje")</f>
        <v>COCI 17-programiranje</v>
      </c>
      <c r="B306" s="15" t="s">
        <v>587</v>
      </c>
      <c r="C306" s="72">
        <v>3</v>
      </c>
      <c r="D306" s="69"/>
      <c r="E306" s="31" t="s">
        <v>575</v>
      </c>
      <c r="F306" s="37"/>
      <c r="G306" s="67"/>
      <c r="H306" s="67"/>
    </row>
    <row r="307" spans="1:8" ht="13.2">
      <c r="A307" s="65" t="str">
        <f>HYPERLINK("https://dunjudge.me/analysis/problems/1375/","COCI 12-razlika")</f>
        <v>COCI 12-razlika</v>
      </c>
      <c r="B307" s="37" t="s">
        <v>6708</v>
      </c>
      <c r="C307" s="24">
        <v>3</v>
      </c>
      <c r="D307" s="65" t="str">
        <f>HYPERLINK("https://github.com/mostafa-saad/MyCompetitiveProgramming/blob/master/Olympiad/COCI/official/2013/contest4_solutions","Editorial")</f>
        <v>Editorial</v>
      </c>
      <c r="E307" s="31" t="s">
        <v>575</v>
      </c>
      <c r="F307" s="37"/>
      <c r="G307" s="67"/>
      <c r="H307" s="67"/>
    </row>
    <row r="308" spans="1:8" ht="13.2">
      <c r="A308" s="65" t="str">
        <f>HYPERLINK("https://oj.uz/problem/view/COCI14_utrka","COCI 14-utrka")</f>
        <v>COCI 14-utrka</v>
      </c>
      <c r="B308" s="20" t="s">
        <v>587</v>
      </c>
      <c r="C308" s="24">
        <v>2</v>
      </c>
      <c r="D308" s="69"/>
      <c r="E308" s="31" t="s">
        <v>575</v>
      </c>
      <c r="F308" s="37"/>
      <c r="G308" s="67"/>
      <c r="H308" s="67"/>
    </row>
    <row r="309" spans="1:8" ht="13.2">
      <c r="A309" s="65" t="str">
        <f>HYPERLINK("https://dmoj.ca/problem/coci06c2p3","COCI 06-Kolone")</f>
        <v>COCI 06-Kolone</v>
      </c>
      <c r="B309" s="15" t="s">
        <v>587</v>
      </c>
      <c r="C309" s="24">
        <v>2</v>
      </c>
      <c r="D309" s="65" t="str">
        <f>HYPERLINK("https://github.com/mostafa-saad/MyCompetitiveProgramming/tree/master/Olympiad/COCI/official/2007/contest2_solutions","Editorial")</f>
        <v>Editorial</v>
      </c>
      <c r="E309" s="31" t="s">
        <v>575</v>
      </c>
      <c r="F309" s="37"/>
      <c r="G309" s="67"/>
      <c r="H309" s="67"/>
    </row>
    <row r="310" spans="1:8" ht="13.2">
      <c r="A310" s="65" t="str">
        <f>HYPERLINK("https://dunjudge.me/analysis/problems/420/","NOISelection 14-ikanbilis")</f>
        <v>NOISelection 14-ikanbilis</v>
      </c>
      <c r="B310" s="37" t="s">
        <v>587</v>
      </c>
      <c r="C310" s="24"/>
      <c r="D310" s="69"/>
      <c r="E310" s="31" t="s">
        <v>575</v>
      </c>
      <c r="F310" s="37"/>
      <c r="G310" s="67"/>
      <c r="H310" s="67"/>
    </row>
    <row r="311" spans="1:8" ht="13.2">
      <c r="A311" s="65" t="str">
        <f>HYPERLINK("https://dunjudge.me/analysis/problems/418/","NOISelection 14-middlenumber")</f>
        <v>NOISelection 14-middlenumber</v>
      </c>
      <c r="B311" s="37" t="s">
        <v>587</v>
      </c>
      <c r="C311" s="24"/>
      <c r="D311" s="69"/>
      <c r="E311" s="31" t="s">
        <v>575</v>
      </c>
      <c r="F311" s="37"/>
      <c r="G311" s="67"/>
      <c r="H311" s="67"/>
    </row>
    <row r="312" spans="1:8" ht="13.2">
      <c r="A312" s="65" t="str">
        <f>HYPERLINK("https://dunjudge.me/analysis/problems/682/","NOISelection 15-rotarylock")</f>
        <v>NOISelection 15-rotarylock</v>
      </c>
      <c r="B312" s="37" t="s">
        <v>587</v>
      </c>
      <c r="C312" s="24"/>
      <c r="D312" s="69"/>
      <c r="E312" s="31" t="s">
        <v>575</v>
      </c>
      <c r="F312" s="37"/>
      <c r="G312" s="67"/>
      <c r="H312" s="67"/>
    </row>
    <row r="313" spans="1:8" ht="13.2">
      <c r="A313" s="65" t="str">
        <f>HYPERLINK("https://dunjudge.me/analysis/problems/931/","NOISelection 16-catgameshow")</f>
        <v>NOISelection 16-catgameshow</v>
      </c>
      <c r="B313" s="37" t="s">
        <v>587</v>
      </c>
      <c r="C313" s="24"/>
      <c r="D313" s="69"/>
      <c r="E313" s="31" t="s">
        <v>575</v>
      </c>
      <c r="F313" s="37"/>
      <c r="G313" s="67"/>
      <c r="H313" s="67"/>
    </row>
    <row r="314" spans="1:8" ht="13.2">
      <c r="A314" s="65" t="str">
        <f>HYPERLINK("https://dunjudge.me/analysis/problems/951/","NOISelection 16-counting")</f>
        <v>NOISelection 16-counting</v>
      </c>
      <c r="B314" s="37" t="s">
        <v>587</v>
      </c>
      <c r="C314" s="24"/>
      <c r="D314" s="69"/>
      <c r="E314" s="31" t="s">
        <v>575</v>
      </c>
      <c r="F314" s="37"/>
      <c r="G314" s="67"/>
      <c r="H314" s="67"/>
    </row>
    <row r="315" spans="1:8" ht="13.2">
      <c r="A315" s="65" t="str">
        <f>HYPERLINK("https://oj.uz/problem/view/BOI17_friends","Baltic 17-Friends")</f>
        <v>Baltic 17-Friends</v>
      </c>
      <c r="B315" s="18" t="s">
        <v>6709</v>
      </c>
      <c r="C315" s="17">
        <v>8</v>
      </c>
      <c r="D315" s="65" t="str">
        <f>HYPERLINK("https://codeforces.com/blog/entry/51740?#comment-356943","hints")</f>
        <v>hints</v>
      </c>
      <c r="E315" s="31" t="s">
        <v>655</v>
      </c>
      <c r="F315" s="37"/>
      <c r="G315" s="67"/>
      <c r="H315" s="67"/>
    </row>
    <row r="316" spans="1:8" ht="13.2">
      <c r="A316" s="65" t="str">
        <f>HYPERLINK("https://oj.uz/problem/view/BOI14_sequence","Baltic 14-sequence")</f>
        <v>Baltic 14-sequence</v>
      </c>
      <c r="B316" s="20" t="s">
        <v>6710</v>
      </c>
      <c r="C316" s="24">
        <v>7</v>
      </c>
      <c r="D316" s="65" t="str">
        <f>HYPERLINK("https://github.com/mostafa-saad/MyCompetitiveProgramming/blob/master/Olympiad/Baltic/Baltic-14-sequence.txt","Sol")</f>
        <v>Sol</v>
      </c>
      <c r="E316" s="31" t="s">
        <v>655</v>
      </c>
      <c r="F316" s="37" t="s">
        <v>154</v>
      </c>
      <c r="G316" s="67"/>
      <c r="H316" s="67"/>
    </row>
    <row r="317" spans="1:8" ht="13.2">
      <c r="A317" s="65" t="str">
        <f>HYPERLINK("https://oj.uz/problem/view/IOI15_scales","IOI 15-scales")</f>
        <v>IOI 15-scales</v>
      </c>
      <c r="B317" s="23" t="s">
        <v>6711</v>
      </c>
      <c r="C317" s="24">
        <v>6.75</v>
      </c>
      <c r="D317" s="65" t="str">
        <f>HYPERLINK("https://github.com/mostafa-saad/MyCompetitiveProgramming/blob/master/Olympiad/IOI/official/2015","Editorial")</f>
        <v>Editorial</v>
      </c>
      <c r="E317" s="31" t="s">
        <v>655</v>
      </c>
      <c r="F317" s="37" t="s">
        <v>201</v>
      </c>
      <c r="G317" s="67"/>
      <c r="H317" s="67"/>
    </row>
    <row r="318" spans="1:8" ht="13.2">
      <c r="A318" s="65" t="str">
        <f>HYPERLINK("https://codeforces.com/group/swEqtABRxe/contest/227527/problem/A", "IOIQ 18-r1-A")</f>
        <v>IOIQ 18-r1-A</v>
      </c>
      <c r="B318" s="20" t="s">
        <v>6712</v>
      </c>
      <c r="C318" s="17">
        <v>5</v>
      </c>
      <c r="D318" s="65" t="str">
        <f>HYPERLINK("https://ideone.com/gbGHt9", "Sol")</f>
        <v>Sol</v>
      </c>
      <c r="E318" s="31" t="s">
        <v>655</v>
      </c>
      <c r="F318" s="37"/>
      <c r="G318" s="67"/>
      <c r="H318" s="67"/>
    </row>
    <row r="319" spans="1:8" ht="13.2">
      <c r="A319" s="65" t="str">
        <f>HYPERLINK("https://oj.uz/problem/view/JOI17_park","JOISC 17-park")</f>
        <v>JOISC 17-park</v>
      </c>
      <c r="B319" s="20" t="s">
        <v>6713</v>
      </c>
      <c r="C319" s="24">
        <v>7.75</v>
      </c>
      <c r="D319" s="65" t="str">
        <f>HYPERLINK("https://github.com/mostafa-saad/MyCompetitiveProgramming/blob/master/Olympiad/JOI/JOISC-17-park.txt","Sol")</f>
        <v>Sol</v>
      </c>
      <c r="E319" s="31" t="s">
        <v>805</v>
      </c>
      <c r="F319" s="37" t="s">
        <v>139</v>
      </c>
      <c r="G319" s="67"/>
      <c r="H319" s="67"/>
    </row>
    <row r="320" spans="1:8" ht="13.2">
      <c r="A320" s="65" t="str">
        <f>HYPERLINK("https://oj.uz/problems/source/314","JOISC 18-worstreporter3")</f>
        <v>JOISC 18-worstreporter3</v>
      </c>
      <c r="B320" s="18" t="s">
        <v>814</v>
      </c>
      <c r="C320" s="17">
        <v>7.5</v>
      </c>
      <c r="D320" s="65" t="str">
        <f>HYPERLINK("https://codeforces.com/blog/entry/58433","sol (See reply from tsouza)")</f>
        <v>sol (See reply from tsouza)</v>
      </c>
      <c r="E320" s="31" t="s">
        <v>805</v>
      </c>
      <c r="F320" s="37"/>
      <c r="G320" s="67"/>
      <c r="H320" s="67"/>
    </row>
    <row r="321" spans="1:8" ht="13.2">
      <c r="A321" s="65" t="str">
        <f>HYPERLINK("https://oj.uz/problem/view/APIO17_koala","APIO 17-koala")</f>
        <v>APIO 17-koala</v>
      </c>
      <c r="B321" s="20" t="s">
        <v>6714</v>
      </c>
      <c r="C321" s="24">
        <v>7.5</v>
      </c>
      <c r="D321" s="65" t="str">
        <f>HYPERLINK("https://github.com/mostafa-saad/MyCompetitiveProgramming/blob/master/Olympiad/APIO/official/2017","Sol")</f>
        <v>Sol</v>
      </c>
      <c r="E321" s="31" t="s">
        <v>805</v>
      </c>
      <c r="F321" s="37"/>
      <c r="G321" s="67"/>
      <c r="H321" s="67"/>
    </row>
    <row r="322" spans="1:8" ht="13.2">
      <c r="A322" s="65" t="str">
        <f>HYPERLINK("https://oj.uz/problem/view/IOI10_hottercolder","IOI 10-hottercolder")</f>
        <v>IOI 10-hottercolder</v>
      </c>
      <c r="B322" s="20" t="s">
        <v>6715</v>
      </c>
      <c r="C322" s="24">
        <v>7.5</v>
      </c>
      <c r="D322" s="65" t="str">
        <f>HYPERLINK("https://github.com/mostafa-saad/MyCompetitiveProgramming/blob/master/Olympiad/IOI/official/2010","Editorial")</f>
        <v>Editorial</v>
      </c>
      <c r="E322" s="31" t="s">
        <v>805</v>
      </c>
      <c r="F322" s="37"/>
      <c r="G322" s="67"/>
      <c r="H322" s="67"/>
    </row>
    <row r="323" spans="1:8" ht="13.2">
      <c r="A323" s="65" t="str">
        <f>HYPERLINK("https://oj.uz/problem/view/CEOI16_icc","CEOI 16-icc")</f>
        <v>CEOI 16-icc</v>
      </c>
      <c r="B323" s="20" t="s">
        <v>6716</v>
      </c>
      <c r="C323" s="17">
        <v>7</v>
      </c>
      <c r="D323" s="65" t="str">
        <f>HYPERLINK("https://github.com/mostafa-saad/MyCompetitiveProgramming/blob/master/Olympiad/CEOI/CEOI-16-icc.txt", "Sol")</f>
        <v>Sol</v>
      </c>
      <c r="E323" s="31" t="s">
        <v>805</v>
      </c>
      <c r="F323" s="37" t="s">
        <v>139</v>
      </c>
      <c r="G323" s="67"/>
      <c r="H323" s="67"/>
    </row>
    <row r="324" spans="1:8" ht="13.2">
      <c r="A324" s="65" t="str">
        <f>HYPERLINK("https://oj.uz/problem/view/JOI17_arranging_tickets","JOISC 17-arranging_tickets")</f>
        <v>JOISC 17-arranging_tickets</v>
      </c>
      <c r="B324" s="23" t="s">
        <v>814</v>
      </c>
      <c r="C324" s="24">
        <v>7</v>
      </c>
      <c r="D324" s="65" t="str">
        <f>HYPERLINK("https://github.com/mostafa-saad/MyCompetitiveProgramming/blob/master/Olympiad/JOI/JOISC-17-arranging_tickets.txt","Sol")</f>
        <v>Sol</v>
      </c>
      <c r="E324" s="31" t="s">
        <v>805</v>
      </c>
      <c r="F324" s="37" t="s">
        <v>201</v>
      </c>
      <c r="G324" s="67"/>
      <c r="H324" s="67"/>
    </row>
    <row r="325" spans="1:8" ht="13.2">
      <c r="A325" s="65" t="str">
        <f>HYPERLINK("infoarena.ro/problema/engineer","infoarena engineer")</f>
        <v>infoarena engineer</v>
      </c>
      <c r="B325" s="20" t="s">
        <v>6717</v>
      </c>
      <c r="C325" s="17">
        <v>6.8</v>
      </c>
      <c r="D325" s="65" t="str">
        <f>HYPERLINK("https://github.com/stefdasca/CompetitiveProgramming/blob/master/Infoarena/engineer.cpp","Sol")</f>
        <v>Sol</v>
      </c>
      <c r="E325" s="31" t="s">
        <v>805</v>
      </c>
      <c r="F325" s="37" t="s">
        <v>139</v>
      </c>
      <c r="G325" s="67"/>
      <c r="H325" s="67"/>
    </row>
    <row r="326" spans="1:8" ht="13.2">
      <c r="A326" s="65" t="str">
        <f>HYPERLINK("https://oj.uz/problem/view/IOI15_sorting","IOI 15-sorting")</f>
        <v>IOI 15-sorting</v>
      </c>
      <c r="B326" s="18" t="s">
        <v>814</v>
      </c>
      <c r="C326" s="17">
        <v>6.75</v>
      </c>
      <c r="D326" s="65" t="str">
        <f>HYPERLINK("https://github.com/mostafa-saad/MyCompetitiveProgramming/blob/master/Olympiad/IOI/IOI-15-sorting.txt","Sol")</f>
        <v>Sol</v>
      </c>
      <c r="E326" s="31" t="s">
        <v>805</v>
      </c>
      <c r="F326" s="37"/>
      <c r="G326" s="67"/>
      <c r="H326" s="67"/>
    </row>
    <row r="327" spans="1:8" ht="13.2">
      <c r="A327" s="65" t="str">
        <f>HYPERLINK("http://www.usaco.org/index.php?page=viewproblem2&amp;cpid=1020","USACO 20feb-deleg")</f>
        <v>USACO 20feb-deleg</v>
      </c>
      <c r="B327" s="20" t="s">
        <v>814</v>
      </c>
      <c r="C327" s="17">
        <v>6.75</v>
      </c>
      <c r="D327" s="69"/>
      <c r="E327" s="31" t="s">
        <v>805</v>
      </c>
      <c r="F327" s="37"/>
      <c r="G327" s="67"/>
      <c r="H327" s="67"/>
    </row>
    <row r="328" spans="1:8" ht="13.2">
      <c r="A328" s="65" t="str">
        <f>HYPERLINK("http://usaco.org/index.php?page=viewproblem2&amp;cpid=674", "USACO 16dec-roboherd-plat")</f>
        <v>USACO 16dec-roboherd-plat</v>
      </c>
      <c r="B328" s="20" t="s">
        <v>811</v>
      </c>
      <c r="C328" s="21">
        <v>6.7</v>
      </c>
      <c r="D328" s="69"/>
      <c r="E328" s="31" t="s">
        <v>805</v>
      </c>
      <c r="F328" s="37" t="s">
        <v>154</v>
      </c>
      <c r="G328" s="67"/>
      <c r="H328" s="67"/>
    </row>
    <row r="329" spans="1:8" ht="13.2">
      <c r="A329" s="65" t="str">
        <f>HYPERLINK("https://cses.fi/190/list/","CEOI 08-Snake")</f>
        <v>CEOI 08-Snake</v>
      </c>
      <c r="B329" s="20" t="s">
        <v>6718</v>
      </c>
      <c r="C329" s="24">
        <v>6.6</v>
      </c>
      <c r="D329" s="65" t="str">
        <f>HYPERLINK("https://github.com/mostafa-saad/MyCompetitiveProgramming/blob/master/Olympiad/CEOI/CEOI-08-Snake.txt","Sol")</f>
        <v>Sol</v>
      </c>
      <c r="E329" s="31" t="s">
        <v>805</v>
      </c>
      <c r="F329" s="37" t="s">
        <v>201</v>
      </c>
      <c r="G329" s="67"/>
      <c r="H329" s="67"/>
    </row>
    <row r="330" spans="1:8" ht="13.2">
      <c r="A330" s="65" t="str">
        <f>HYPERLINK("https://oj.uz/problems/source/55","JOIOC 14-fortune_telling2")</f>
        <v>JOIOC 14-fortune_telling2</v>
      </c>
      <c r="B330" s="15" t="s">
        <v>6719</v>
      </c>
      <c r="C330" s="24">
        <v>6.5</v>
      </c>
      <c r="D330" s="69"/>
      <c r="E330" s="31" t="s">
        <v>805</v>
      </c>
      <c r="F330" s="37"/>
      <c r="G330" s="67"/>
      <c r="H330" s="67"/>
    </row>
    <row r="331" spans="1:8" ht="13.2">
      <c r="A331" s="65" t="str">
        <f>HYPERLINK("https://www.infoarena.ro/problema/password2","infoarena password2")</f>
        <v>infoarena password2</v>
      </c>
      <c r="B331" s="23" t="s">
        <v>6720</v>
      </c>
      <c r="C331" s="24">
        <v>6.3</v>
      </c>
      <c r="D331" s="65" t="str">
        <f>HYPERLINK("https://github.com/mostafa-saad/MyCompetitiveProgramming/blob/master/Olympiad/infoarena/infoarena-password2.txt","Sol")</f>
        <v>Sol</v>
      </c>
      <c r="E331" s="31" t="s">
        <v>805</v>
      </c>
      <c r="F331" s="37" t="s">
        <v>139</v>
      </c>
      <c r="G331" s="67"/>
      <c r="H331" s="67"/>
    </row>
    <row r="332" spans="1:8" ht="13.2">
      <c r="A332" s="65" t="str">
        <f>HYPERLINK("https://oj.uz/problem/view/COI16_torrent","COI 16-torrent")</f>
        <v>COI 16-torrent</v>
      </c>
      <c r="B332" s="20" t="s">
        <v>6721</v>
      </c>
      <c r="C332" s="24">
        <v>6.3</v>
      </c>
      <c r="D332" s="65" t="str">
        <f>HYPERLINK("https://github.com/mostafa-saad/MyCompetitiveProgramming/blob/master/Olympiad/COI/COI-16-torrent.txt","Sol")</f>
        <v>Sol</v>
      </c>
      <c r="E332" s="31" t="s">
        <v>805</v>
      </c>
      <c r="F332" s="37" t="s">
        <v>139</v>
      </c>
      <c r="G332" s="67"/>
      <c r="H332" s="67"/>
    </row>
    <row r="333" spans="1:8" ht="13.2">
      <c r="A333" s="65" t="str">
        <f>HYPERLINK("https://training.ia-toki.org/problemsets/113/problems/629/","TOKIOpen 18-GroupChat")</f>
        <v>TOKIOpen 18-GroupChat</v>
      </c>
      <c r="B333" s="20" t="s">
        <v>6722</v>
      </c>
      <c r="C333" s="24">
        <v>6.25</v>
      </c>
      <c r="D333" s="65" t="str">
        <f>HYPERLINK("https://github.com/mostafa-saad/MyCompetitiveProgramming/blob/master/Olympiad/TOKI/TOKIOpen-18-GroupChat.txt","Sol")</f>
        <v>Sol</v>
      </c>
      <c r="E333" s="31" t="s">
        <v>805</v>
      </c>
      <c r="F333" s="37" t="s">
        <v>173</v>
      </c>
      <c r="G333" s="67"/>
      <c r="H333" s="67"/>
    </row>
    <row r="334" spans="1:8" ht="13.2">
      <c r="A334" s="65" t="str">
        <f>HYPERLINK("https://contest.yandex.ru/ioi/contest/566/enter/","IOI 05-birthday")</f>
        <v>IOI 05-birthday</v>
      </c>
      <c r="B334" s="15" t="s">
        <v>6723</v>
      </c>
      <c r="C334" s="24">
        <v>6.25</v>
      </c>
      <c r="D334" s="65" t="str">
        <f>HYPERLINK("https://github.com/mostafa-saad/MyCompetitiveProgramming/blob/master/Olympiad/IOI/IOI-05-birthday.txt","Sol")</f>
        <v>Sol</v>
      </c>
      <c r="E334" s="31" t="s">
        <v>805</v>
      </c>
      <c r="F334" s="37" t="s">
        <v>196</v>
      </c>
      <c r="G334" s="67"/>
      <c r="H334" s="67"/>
    </row>
    <row r="335" spans="1:8" ht="13.2">
      <c r="A335" s="65" t="str">
        <f>HYPERLINK("https://csacademy.com/contest/ioi-2016-training-round-1/task/farey_sequence","IOIPractice 16-farey_sequence")</f>
        <v>IOIPractice 16-farey_sequence</v>
      </c>
      <c r="B335" s="37" t="s">
        <v>6724</v>
      </c>
      <c r="C335" s="24">
        <v>6</v>
      </c>
      <c r="D335" s="69"/>
      <c r="E335" s="31" t="s">
        <v>805</v>
      </c>
      <c r="F335" s="37" t="s">
        <v>201</v>
      </c>
      <c r="G335" s="67"/>
      <c r="H335" s="67"/>
    </row>
    <row r="336" spans="1:8" ht="13.2">
      <c r="A336" s="65" t="str">
        <f>HYPERLINK("https://oj.uz/problem/view/IOI11_ricehub","IOI 11-ricehub")</f>
        <v>IOI 11-ricehub</v>
      </c>
      <c r="B336" s="18" t="s">
        <v>6725</v>
      </c>
      <c r="C336" s="17">
        <v>6</v>
      </c>
      <c r="D336" s="65" t="str">
        <f>HYPERLINK("https://github.com/mostafa-saad/MyCompetitiveProgramming/blob/master/Olympiad/IOI/official/2011","Sol")</f>
        <v>Sol</v>
      </c>
      <c r="E336" s="31" t="s">
        <v>805</v>
      </c>
      <c r="F336" s="37"/>
      <c r="G336" s="67"/>
      <c r="H336" s="67"/>
    </row>
    <row r="337" spans="1:8" ht="13.2">
      <c r="A337" s="65" t="str">
        <f>HYPERLINK("http://www.spoj.com/problems/MINSUB/","IZhO 13-burrow")</f>
        <v>IZhO 13-burrow</v>
      </c>
      <c r="B337" s="20" t="s">
        <v>6726</v>
      </c>
      <c r="C337" s="17">
        <v>6</v>
      </c>
      <c r="D337" s="65" t="str">
        <f>HYPERLINK("https://github.com/tmwilliamlin168/CompetitiveProgramming/blob/master/IZHO/13-Burrow.cpp", "Sol")</f>
        <v>Sol</v>
      </c>
      <c r="E337" s="31" t="s">
        <v>805</v>
      </c>
      <c r="F337" s="37"/>
      <c r="G337" s="67"/>
      <c r="H337" s="67"/>
    </row>
    <row r="338" spans="1:8" ht="13.2">
      <c r="A338" s="65" t="str">
        <f>HYPERLINK("https://tioj.ck.tp.edu.tw/problems/1739","APIO 08-Beads")</f>
        <v>APIO 08-Beads</v>
      </c>
      <c r="B338" s="20" t="s">
        <v>6727</v>
      </c>
      <c r="C338" s="17">
        <v>6</v>
      </c>
      <c r="D338" s="65" t="str">
        <f>HYPERLINK("https://github.com/mostafa-saad/MyCompetitiveProgramming/blob/master/Olympiad/APIO/APIO-08-Beads.txt","Sol - Do local test")</f>
        <v>Sol - Do local test</v>
      </c>
      <c r="E338" s="31" t="s">
        <v>805</v>
      </c>
      <c r="F338" s="37"/>
      <c r="G338" s="67"/>
      <c r="H338" s="67"/>
    </row>
    <row r="339" spans="1:8" ht="13.2">
      <c r="A339" s="65" t="str">
        <f>HYPERLINK("https://www.infoarena.ro/problema/minim2","infoarena minim2")</f>
        <v>infoarena minim2</v>
      </c>
      <c r="B339" s="20" t="s">
        <v>6728</v>
      </c>
      <c r="C339" s="21">
        <v>6</v>
      </c>
      <c r="D339" s="65" t="str">
        <f>HYPERLINK("https://github.com/stefdasca/CompetitiveProgramming/blob/master/Infoarena/minim2.cpp","Sol")</f>
        <v>Sol</v>
      </c>
      <c r="E339" s="31" t="s">
        <v>805</v>
      </c>
      <c r="F339" s="37"/>
      <c r="G339" s="67"/>
      <c r="H339" s="67"/>
    </row>
    <row r="340" spans="1:8" ht="13.2">
      <c r="A340" s="65" t="str">
        <f>HYPERLINK("https://oj.uz/problem/view/JOI17_joioi","JOI 17-joioi")</f>
        <v>JOI 17-joioi</v>
      </c>
      <c r="B340" s="20" t="s">
        <v>848</v>
      </c>
      <c r="C340" s="17">
        <v>5.75</v>
      </c>
      <c r="D340" s="65" t="str">
        <f>HYPERLINK("https://github.com/stefdasca/CompetitiveProgramming/blob/master/JOI/JOI%2017-joioi.cpp","Sol")</f>
        <v>Sol</v>
      </c>
      <c r="E340" s="31" t="s">
        <v>805</v>
      </c>
      <c r="F340" s="37" t="s">
        <v>139</v>
      </c>
      <c r="G340" s="67"/>
      <c r="H340" s="67"/>
    </row>
    <row r="341" spans="1:8" ht="13.2">
      <c r="A341" s="65" t="str">
        <f>HYPERLINK("https://szkopul.edu.pl/problemset/problem/07Q0fFk7fU2TmGr6wpPeDCZj/site/", "POI 15-Trous")</f>
        <v>POI 15-Trous</v>
      </c>
      <c r="B341" s="37" t="s">
        <v>6729</v>
      </c>
      <c r="C341" s="24">
        <v>5.5</v>
      </c>
      <c r="D341" s="65" t="str">
        <f>HYPERLINK("https://github.com/mostafa-saad/MyCompetitiveProgramming/blob/master/Olympiad/POI/POI-15-Trous.txt","Sol")</f>
        <v>Sol</v>
      </c>
      <c r="E341" s="31" t="s">
        <v>805</v>
      </c>
      <c r="F341" s="37" t="s">
        <v>154</v>
      </c>
      <c r="G341" s="67"/>
      <c r="H341" s="67"/>
    </row>
    <row r="342" spans="1:8" ht="13.2">
      <c r="A342" s="65" t="str">
        <f>HYPERLINK("https://oj.uz/problem/view/IOI16_dna","IOI 16-dna")</f>
        <v>IOI 16-dna</v>
      </c>
      <c r="B342" s="20" t="s">
        <v>806</v>
      </c>
      <c r="C342" s="21">
        <v>5.5</v>
      </c>
      <c r="D342" s="65" t="str">
        <f>HYPERLINK("https://codeforces.com/blog/entry/46525?#comment-310021","Sol")</f>
        <v>Sol</v>
      </c>
      <c r="E342" s="31" t="s">
        <v>805</v>
      </c>
      <c r="F342" s="37" t="s">
        <v>154</v>
      </c>
      <c r="G342" s="67"/>
      <c r="H342" s="67"/>
    </row>
    <row r="343" spans="1:8" ht="13.2">
      <c r="A343" s="65" t="str">
        <f>HYPERLINK("https://cses.fi/114/list/","Baltic 08-Grid")</f>
        <v>Baltic 08-Grid</v>
      </c>
      <c r="B343" s="37" t="s">
        <v>6730</v>
      </c>
      <c r="C343" s="24">
        <v>5.5</v>
      </c>
      <c r="D343" s="65" t="str">
        <f>HYPERLINK("https://github.com/mostafa-saad/MyCompetitiveProgramming/blob/master/Olympiad/Baltic/Baltic-08-Grid.txt","Sol")</f>
        <v>Sol</v>
      </c>
      <c r="E343" s="31" t="s">
        <v>805</v>
      </c>
      <c r="F343" s="37" t="s">
        <v>139</v>
      </c>
      <c r="G343" s="67"/>
      <c r="H343" s="67"/>
    </row>
    <row r="344" spans="1:8" ht="13.2">
      <c r="A344" s="65" t="str">
        <f>HYPERLINK("https://szkopul.edu.pl/problemset/problem/Cs38m8lWFnOfDskXf43HR3lN/site/", "POI 14-Couriers")</f>
        <v>POI 14-Couriers</v>
      </c>
      <c r="B344" s="37" t="s">
        <v>6731</v>
      </c>
      <c r="C344" s="24">
        <v>5.5</v>
      </c>
      <c r="D344" s="65" t="str">
        <f>HYPERLINK("https://github.com/mostafa-saad/MyCompetitiveProgramming/blob/master/Olympiad/POI/POI-14-Couriers.txt","Sol")</f>
        <v>Sol</v>
      </c>
      <c r="E344" s="31" t="s">
        <v>805</v>
      </c>
      <c r="F344" s="37" t="s">
        <v>139</v>
      </c>
      <c r="G344" s="67"/>
      <c r="H344" s="67"/>
    </row>
    <row r="345" spans="1:8" ht="13.2">
      <c r="A345" s="65" t="str">
        <f>HYPERLINK("https://www.hackerrank.com/contests/ioi-2014-practice-contest-2/challenges","IOIPractice 14-questions-i-ask-myself-ioi14")</f>
        <v>IOIPractice 14-questions-i-ask-myself-ioi14</v>
      </c>
      <c r="B345" s="15" t="s">
        <v>6732</v>
      </c>
      <c r="C345" s="17">
        <v>5.5</v>
      </c>
      <c r="D345" s="65" t="str">
        <f>HYPERLINK("https://github.com/Yehezkiel01/CompetitiveProgramming/blob/master/IOIPractice/IOIPractice-14-questions-i-ask-myself-ioi14.cpp","Sol")</f>
        <v>Sol</v>
      </c>
      <c r="E345" s="31" t="s">
        <v>805</v>
      </c>
      <c r="F345" s="37" t="s">
        <v>201</v>
      </c>
      <c r="G345" s="67"/>
      <c r="H345" s="67"/>
    </row>
    <row r="346" spans="1:8" ht="13.2">
      <c r="A346" s="65" t="str">
        <f>HYPERLINK("https://csacademy.com/contest/ceoi-2017-day-1/tasks/","CEOI 17-mousetrap")</f>
        <v>CEOI 17-mousetrap</v>
      </c>
      <c r="B346" s="18" t="s">
        <v>6733</v>
      </c>
      <c r="C346" s="24">
        <v>5.5</v>
      </c>
      <c r="D346" s="65" t="str">
        <f>HYPERLINK("https://github.com/mostafa-saad/MyCompetitiveProgramming/tree/master/Olympiad/JOI/CEOI/official/2017","Editorial")</f>
        <v>Editorial</v>
      </c>
      <c r="E346" s="31" t="s">
        <v>805</v>
      </c>
      <c r="F346" s="37"/>
      <c r="G346" s="67"/>
      <c r="H346" s="67"/>
    </row>
    <row r="347" spans="1:8" ht="13.2">
      <c r="A347" s="65" t="str">
        <f>HYPERLINK("https://joi2013ho.contest.atcoder.jp/tasks/joi2013ho4","JOI 13-Tower")</f>
        <v>JOI 13-Tower</v>
      </c>
      <c r="B347" s="20" t="s">
        <v>6734</v>
      </c>
      <c r="C347" s="24">
        <v>5.5</v>
      </c>
      <c r="D347" s="69"/>
      <c r="E347" s="31" t="s">
        <v>805</v>
      </c>
      <c r="F347" s="37"/>
      <c r="G347" s="67"/>
      <c r="H347" s="67"/>
    </row>
    <row r="348" spans="1:8" ht="13.2">
      <c r="A348" s="65" t="str">
        <f>HYPERLINK("https://joi2014ho.contest.atcoder.jp/tasks/joi2014ho3","JOI 14-Baumkuchen")</f>
        <v>JOI 14-Baumkuchen</v>
      </c>
      <c r="B348" s="20" t="s">
        <v>6735</v>
      </c>
      <c r="C348" s="17">
        <v>5.5</v>
      </c>
      <c r="D348" s="69"/>
      <c r="E348" s="31" t="s">
        <v>805</v>
      </c>
      <c r="F348" s="37"/>
      <c r="G348" s="67"/>
      <c r="H348" s="67"/>
    </row>
    <row r="349" spans="1:8" ht="13.2">
      <c r="A349" s="65" t="str">
        <f>HYPERLINK("https://dmoj.ca/problem/coci08c2p4","COCI 08-Svada")</f>
        <v>COCI 08-Svada</v>
      </c>
      <c r="B349" s="15" t="s">
        <v>814</v>
      </c>
      <c r="C349" s="24">
        <v>5.25</v>
      </c>
      <c r="D349" s="65" t="str">
        <f>HYPERLINK("https://github.com/mostafa-saad/MyCompetitiveProgramming/blob/master/Olympiad/COCI/official/2009/contest2_solutions","Editorial")</f>
        <v>Editorial</v>
      </c>
      <c r="E349" s="31" t="s">
        <v>805</v>
      </c>
      <c r="F349" s="37"/>
      <c r="G349" s="67"/>
      <c r="H349" s="67"/>
    </row>
    <row r="350" spans="1:8" ht="13.2">
      <c r="A350" s="65" t="str">
        <f>HYPERLINK("https://oj.uz/problem/view/IOI13_cave","IOI 13-cave")</f>
        <v>IOI 13-cave</v>
      </c>
      <c r="B350" s="18" t="s">
        <v>6736</v>
      </c>
      <c r="C350" s="17">
        <v>5</v>
      </c>
      <c r="D350" s="65" t="str">
        <f>HYPERLINK("https://github.com/mostafa-saad/MyCompetitiveProgramming/blob/master/Olympiad/IOI/IOI-13-cave.txt","Sol")</f>
        <v>Sol</v>
      </c>
      <c r="E350" s="31" t="s">
        <v>805</v>
      </c>
      <c r="F350" s="37" t="s">
        <v>196</v>
      </c>
      <c r="G350" s="67"/>
      <c r="H350" s="67"/>
    </row>
    <row r="351" spans="1:8" ht="13.2">
      <c r="A351" s="65" t="str">
        <f>HYPERLINK("https://oj.uz/problems/source/120", "CEOI 14-carnival")</f>
        <v>CEOI 14-carnival</v>
      </c>
      <c r="B351" s="20" t="s">
        <v>6737</v>
      </c>
      <c r="C351" s="17">
        <v>5</v>
      </c>
      <c r="D351" s="65" t="str">
        <f>HYPERLINK("https://github.com/mostafa-saad/MyCompetitiveProgramming/blob/master/Olympiad/CEOI/CEOI-14-carnival.txt","Sol")</f>
        <v>Sol</v>
      </c>
      <c r="E351" s="31" t="s">
        <v>805</v>
      </c>
      <c r="F351" s="37" t="s">
        <v>139</v>
      </c>
      <c r="G351" s="67"/>
      <c r="H351" s="67"/>
    </row>
    <row r="352" spans="1:8" ht="13.2">
      <c r="A352" s="65" t="str">
        <f>HYPERLINK("https://wcipeg.com/problem/coi07p1","COI 07-Glasnici")</f>
        <v>COI 07-Glasnici</v>
      </c>
      <c r="B352" s="15" t="s">
        <v>814</v>
      </c>
      <c r="C352" s="24">
        <v>5</v>
      </c>
      <c r="D352" s="65" t="str">
        <f>HYPERLINK("https://github.com/mostafa-saad/MyCompetitiveProgramming/tree/master/Olympiad/COCI/official/2008/olympiad_solutions","Editorial")</f>
        <v>Editorial</v>
      </c>
      <c r="E352" s="31" t="s">
        <v>805</v>
      </c>
      <c r="F352" s="37" t="s">
        <v>139</v>
      </c>
      <c r="G352" s="67"/>
      <c r="H352" s="67"/>
    </row>
    <row r="353" spans="1:8" ht="13.2">
      <c r="A353" s="65" t="str">
        <f>HYPERLINK("https://oj.uz/problem/view/IOI07_aliens","IOI 07-aliens")</f>
        <v>IOI 07-aliens</v>
      </c>
      <c r="B353" s="23" t="s">
        <v>6738</v>
      </c>
      <c r="C353" s="24">
        <v>5</v>
      </c>
      <c r="D353" s="65" t="str">
        <f>HYPERLINK("https://github.com/mostafa-saad/MyCompetitiveProgramming/blob/master/Olympiad/IOI/official/2007","Editorial")</f>
        <v>Editorial</v>
      </c>
      <c r="E353" s="31" t="s">
        <v>805</v>
      </c>
      <c r="F353" s="37" t="s">
        <v>613</v>
      </c>
      <c r="G353" s="67"/>
      <c r="H353" s="67"/>
    </row>
    <row r="354" spans="1:8" ht="13.2">
      <c r="A354" s="65" t="str">
        <f>HYPERLINK("https://training.ia-toki.org/problemsets/3/problems/9/","OSN 15-2C")</f>
        <v>OSN 15-2C</v>
      </c>
      <c r="B354" s="20" t="s">
        <v>814</v>
      </c>
      <c r="C354" s="17">
        <v>5</v>
      </c>
      <c r="D354" s="65" t="str">
        <f>HYPERLINK("https://github.com/win11905/submission/blob/master/OCN/15/2C.cpp","Sol")</f>
        <v>Sol</v>
      </c>
      <c r="E354" s="31" t="s">
        <v>805</v>
      </c>
      <c r="F354" s="37" t="s">
        <v>201</v>
      </c>
      <c r="G354" s="67"/>
      <c r="H354" s="67"/>
    </row>
    <row r="355" spans="1:8" ht="13.2">
      <c r="A355" s="65" t="str">
        <f>HYPERLINK("https://codeforces.com/group/swEqtABRxe/contest/243438/problem/A", "IOIQ 19-d2-A")</f>
        <v>IOIQ 19-d2-A</v>
      </c>
      <c r="B355" s="20" t="s">
        <v>814</v>
      </c>
      <c r="C355" s="17">
        <v>5</v>
      </c>
      <c r="D355" s="65" t="str">
        <f>HYPERLINK("https://github.com/ahmedibrahim404/CompetitiveProgramming/blob/master/EOI/IOI_Quals'19/D2_A/main.cpp","Sol")</f>
        <v>Sol</v>
      </c>
      <c r="E355" s="31" t="s">
        <v>805</v>
      </c>
      <c r="F355" s="37"/>
      <c r="G355" s="67"/>
      <c r="H355" s="67"/>
    </row>
    <row r="356" spans="1:8" ht="13.2">
      <c r="A356" s="65" t="str">
        <f>HYPERLINK("https://codeforces.com/group/swEqtABRxe/contest/243437/problem/A", "IOIQ 19-d1-A")</f>
        <v>IOIQ 19-d1-A</v>
      </c>
      <c r="B356" s="20" t="s">
        <v>6739</v>
      </c>
      <c r="C356" s="17">
        <v>5</v>
      </c>
      <c r="D356" s="69"/>
      <c r="E356" s="31" t="s">
        <v>805</v>
      </c>
      <c r="F356" s="37"/>
      <c r="G356" s="67"/>
      <c r="H356" s="67"/>
    </row>
    <row r="357" spans="1:8" ht="13.2">
      <c r="A357" s="65" t="str">
        <f>HYPERLINK("https://dunjudge.me/analysis/problems/146/","NOI 07-hole")</f>
        <v>NOI 07-hole</v>
      </c>
      <c r="B357" s="37" t="s">
        <v>908</v>
      </c>
      <c r="C357" s="24">
        <v>4.5</v>
      </c>
      <c r="D357" s="65" t="str">
        <f>HYPERLINK("https://github.com/mostafa-saad/MyCompetitiveProgramming/blob/master/Olympiad/NOI/NOI-07-hole.txt","Sol")</f>
        <v>Sol</v>
      </c>
      <c r="E357" s="31" t="s">
        <v>805</v>
      </c>
      <c r="F357" s="37" t="s">
        <v>139</v>
      </c>
      <c r="G357" s="67"/>
      <c r="H357" s="67"/>
    </row>
    <row r="358" spans="1:8" ht="13.2">
      <c r="A358" s="65" t="str">
        <f>HYPERLINK("https://szkopul.edu.pl/problemset/problem/p5XIDH2wrPz6KrUOJCv2RjGq/site/", "POI 05-Cash")</f>
        <v>POI 05-Cash</v>
      </c>
      <c r="B358" s="37" t="s">
        <v>814</v>
      </c>
      <c r="C358" s="24">
        <v>4.5</v>
      </c>
      <c r="D358" s="65" t="str">
        <f>HYPERLINK("https://github.com/sofhiasouza/CompetitiveProgramming/blob/master/POI/cash.cpp","Sol")</f>
        <v>Sol</v>
      </c>
      <c r="E358" s="31" t="s">
        <v>805</v>
      </c>
      <c r="F358" s="37" t="s">
        <v>201</v>
      </c>
      <c r="G358" s="67"/>
      <c r="H358" s="67"/>
    </row>
    <row r="359" spans="1:8" ht="13.2">
      <c r="A359" s="65" t="str">
        <f>HYPERLINK("https://oj.uz/problem/view/IOI19_cycle","IOIPractice 19-cycle")</f>
        <v>IOIPractice 19-cycle</v>
      </c>
      <c r="B359" s="23" t="s">
        <v>808</v>
      </c>
      <c r="C359" s="24">
        <v>4</v>
      </c>
      <c r="D359" s="65" t="str">
        <f>HYPERLINK("https://github.com/nikolapesic2802/Programming-Practice/blob/master/Cycle/main.cpp","Sol")</f>
        <v>Sol</v>
      </c>
      <c r="E359" s="31" t="s">
        <v>805</v>
      </c>
      <c r="F359" s="37" t="s">
        <v>139</v>
      </c>
      <c r="G359" s="67"/>
      <c r="H359" s="67"/>
    </row>
    <row r="360" spans="1:8" ht="13.2">
      <c r="A360" s="65" t="str">
        <f>HYPERLINK("https://oj.uz/problem/view/IOI09_mecho","IOI 09-mecho")</f>
        <v>IOI 09-mecho</v>
      </c>
      <c r="B360" s="20" t="s">
        <v>6740</v>
      </c>
      <c r="C360" s="24">
        <v>4</v>
      </c>
      <c r="D360" s="65" t="str">
        <f>HYPERLINK("https://github.com/tmwilliamlin168/CompetitiveProgramming/blob/master/IOI/09-Mecho.cpp", "Sol")</f>
        <v>Sol</v>
      </c>
      <c r="E360" s="31" t="s">
        <v>805</v>
      </c>
      <c r="F360" s="37"/>
      <c r="G360" s="67"/>
      <c r="H360" s="67"/>
    </row>
    <row r="361" spans="1:8" ht="13.2">
      <c r="A361" s="65" t="str">
        <f>HYPERLINK("https://oj.uz/problem/view/COCI18_cipele","COCI 19-cipele")</f>
        <v>COCI 19-cipele</v>
      </c>
      <c r="B361" s="20" t="s">
        <v>848</v>
      </c>
      <c r="C361" s="17">
        <v>3.5</v>
      </c>
      <c r="D361" s="69"/>
      <c r="E361" s="31" t="s">
        <v>805</v>
      </c>
      <c r="F361" s="37"/>
      <c r="G361" s="67"/>
      <c r="H361" s="67"/>
    </row>
    <row r="362" spans="1:8" ht="13.2">
      <c r="A362" s="65" t="str">
        <f>HYPERLINK("https://cses.fi/101/list/","Baltic 11-Plagarism")</f>
        <v>Baltic 11-Plagarism</v>
      </c>
      <c r="B362" s="37" t="s">
        <v>811</v>
      </c>
      <c r="C362" s="24">
        <v>3.5</v>
      </c>
      <c r="D362" s="65" t="str">
        <f>HYPERLINK("https://github.com/mostafa-saad/MyCompetitiveProgramming/blob/master/Olympiad/Baltic/official/boi2011_solutions","Editorial")</f>
        <v>Editorial</v>
      </c>
      <c r="E362" s="31" t="s">
        <v>805</v>
      </c>
      <c r="F362" s="37"/>
      <c r="G362" s="67"/>
      <c r="H362" s="67"/>
    </row>
    <row r="363" spans="1:8" ht="13.2">
      <c r="A363" s="65" t="str">
        <f>HYPERLINK("https://dunjudge.me/analysis/problems/1360/","COCI 12-ljubomora")</f>
        <v>COCI 12-ljubomora</v>
      </c>
      <c r="B363" s="20" t="s">
        <v>814</v>
      </c>
      <c r="C363" s="24">
        <v>2</v>
      </c>
      <c r="D363" s="65" t="str">
        <f>HYPERLINK("https://github.com/mostafa-saad/MyCompetitiveProgramming/blob/master/Olympiad/COCI/official/2013/contest1_solutions","Editorial")</f>
        <v>Editorial</v>
      </c>
      <c r="E363" s="31" t="s">
        <v>805</v>
      </c>
      <c r="F363" s="37"/>
      <c r="G363" s="67"/>
      <c r="H363" s="67"/>
    </row>
    <row r="364" spans="1:8" ht="13.2">
      <c r="A364" s="65" t="str">
        <f>HYPERLINK("https://dmoj.ca/contest/cco18d2","CCO 18-GradientDescent")</f>
        <v>CCO 18-GradientDescent</v>
      </c>
      <c r="B364" s="23" t="s">
        <v>6741</v>
      </c>
      <c r="C364" s="17">
        <v>5.5</v>
      </c>
      <c r="D364" s="65" t="str">
        <f>HYPERLINK("https://github.com/mostafa-saad/MyCompetitiveProgramming/blob/master/Olympiad/CCO/CCO-18-GradientDescent.txt","Sol")</f>
        <v>Sol</v>
      </c>
      <c r="E364" s="31" t="s">
        <v>910</v>
      </c>
      <c r="F364" s="37" t="s">
        <v>139</v>
      </c>
      <c r="G364" s="67"/>
      <c r="H364" s="67"/>
    </row>
    <row r="365" spans="1:8" ht="13.2">
      <c r="A365" s="65" t="str">
        <f>HYPERLINK("https://oj.uz/problem/view/CEOI15_bobek","CEOI 15-bobek")</f>
        <v>CEOI 15-bobek</v>
      </c>
      <c r="B365" s="20" t="s">
        <v>6742</v>
      </c>
      <c r="C365" s="17">
        <v>5.5</v>
      </c>
      <c r="D365" s="65" t="str">
        <f>HYPERLINK("https://github.com/SpeedOfMagic/CompetitiveProgramming/blob/master/CEOI/15-bobek.cpp","AC")</f>
        <v>AC</v>
      </c>
      <c r="E365" s="31" t="s">
        <v>951</v>
      </c>
      <c r="F365" s="37" t="s">
        <v>139</v>
      </c>
      <c r="G365" s="67"/>
      <c r="H365" s="67"/>
    </row>
    <row r="366" spans="1:8" ht="13.2">
      <c r="A366" s="65" t="str">
        <f>HYPERLINK("https://oj.uz/problem/view/COCI17_san","COCI 17-san")</f>
        <v>COCI 17-san</v>
      </c>
      <c r="B366" s="23" t="s">
        <v>956</v>
      </c>
      <c r="C366" s="24">
        <v>5.5</v>
      </c>
      <c r="D366" s="65" t="str">
        <f>HYPERLINK("https://github.com/mostafa-saad/MyCompetitiveProgramming/blob/master/Olympiad/COCI/official/2018/contest2_solutions","Editorial")</f>
        <v>Editorial</v>
      </c>
      <c r="E366" s="31" t="s">
        <v>951</v>
      </c>
      <c r="F366" s="37" t="s">
        <v>139</v>
      </c>
      <c r="G366" s="67"/>
      <c r="H366" s="67"/>
    </row>
    <row r="367" spans="1:8" ht="13.2">
      <c r="A367" s="65" t="str">
        <f>HYPERLINK("https://oj.uz/problem/view/CEOI18_fib","CEOI 18-Fib")</f>
        <v>CEOI 18-Fib</v>
      </c>
      <c r="B367" s="15" t="s">
        <v>6743</v>
      </c>
      <c r="C367" s="21">
        <v>8.5</v>
      </c>
      <c r="D367" s="65" t="str">
        <f>HYPERLINK("https://github.com/mostafa-saad/MyCompetitiveProgramming/tree/master/Olympiad/CEOI/official/2018/day2","Editorial")</f>
        <v>Editorial</v>
      </c>
      <c r="E367" s="31" t="s">
        <v>1018</v>
      </c>
      <c r="F367" s="37"/>
      <c r="G367" s="67"/>
      <c r="H367" s="67"/>
    </row>
    <row r="368" spans="1:8" ht="13.2">
      <c r="A368" s="65" t="str">
        <f>HYPERLINK("https://oj.uz/problem/view/IOI18_meetings","IOI 18-meetings")</f>
        <v>IOI 18-meetings</v>
      </c>
      <c r="B368" s="20" t="s">
        <v>6744</v>
      </c>
      <c r="C368" s="24">
        <v>8.1</v>
      </c>
      <c r="D368" s="65" t="str">
        <f>HYPERLINK("https://github.com/mostafa-saad/MyCompetitiveProgramming/blob/master/Olympiad/IOI/IOI-18-meetings.txt","Sol")</f>
        <v>Sol</v>
      </c>
      <c r="E368" s="31" t="s">
        <v>1018</v>
      </c>
      <c r="F368" s="37" t="s">
        <v>154</v>
      </c>
      <c r="G368" s="67"/>
      <c r="H368" s="67"/>
    </row>
    <row r="369" spans="1:8" ht="13.2">
      <c r="A369" s="65" t="str">
        <f>HYPERLINK("https://codeforces.com/contest/1192/problem/B","CEOI 19-Diameter")</f>
        <v>CEOI 19-Diameter</v>
      </c>
      <c r="B369" s="23" t="s">
        <v>6745</v>
      </c>
      <c r="C369" s="24">
        <v>8</v>
      </c>
      <c r="D369" s="65" t="str">
        <f>HYPERLINK("https://codeforces.com/blog/entry/68676","Editorial")</f>
        <v>Editorial</v>
      </c>
      <c r="E369" s="31" t="s">
        <v>1018</v>
      </c>
      <c r="F369" s="37" t="s">
        <v>201</v>
      </c>
      <c r="G369" s="67"/>
      <c r="H369" s="67"/>
    </row>
    <row r="370" spans="1:8" ht="13.2">
      <c r="A370" s="65" t="str">
        <f>HYPERLINK("https://contest.yandex.ru/ioi/contest/568/enter/","IOI 09-archery")</f>
        <v>IOI 09-archery</v>
      </c>
      <c r="B370" s="23" t="s">
        <v>6746</v>
      </c>
      <c r="C370" s="24">
        <v>7.75</v>
      </c>
      <c r="D370" s="65" t="str">
        <f>HYPERLINK("https://github.com/mostafa-saad/MyCompetitiveProgramming/blob/master/Olympiad/IOI/official/2009","Editorial")</f>
        <v>Editorial</v>
      </c>
      <c r="E370" s="31" t="s">
        <v>1018</v>
      </c>
      <c r="F370" s="37" t="s">
        <v>139</v>
      </c>
      <c r="G370" s="67"/>
      <c r="H370" s="67"/>
    </row>
    <row r="371" spans="1:8" ht="13.2">
      <c r="A371" s="65" t="str">
        <f>HYPERLINK("https://oj.uz/problem/view/IOI14_holiday","IOI 14-holiday")</f>
        <v>IOI 14-holiday</v>
      </c>
      <c r="B371" s="15" t="s">
        <v>6747</v>
      </c>
      <c r="C371" s="24">
        <v>7.5</v>
      </c>
      <c r="D371" s="65" t="str">
        <f>HYPERLINK("https://github.com/mostafa-saad/MyCompetitiveProgramming/blob/master/Olympiad/IOI/IOI-14-holiday.txt","Sol")</f>
        <v>Sol</v>
      </c>
      <c r="E371" s="31" t="s">
        <v>1018</v>
      </c>
      <c r="F371" s="37" t="s">
        <v>173</v>
      </c>
      <c r="G371" s="67"/>
      <c r="H371" s="67"/>
    </row>
    <row r="372" spans="1:8" ht="13.2">
      <c r="A372" s="65" t="str">
        <f>HYPERLINK("https://oj.uz/problem/view/JOI17_railway_trip","JOISC 17-railway_trip")</f>
        <v>JOISC 17-railway_trip</v>
      </c>
      <c r="B372" s="20" t="s">
        <v>6748</v>
      </c>
      <c r="C372" s="24">
        <v>7.5</v>
      </c>
      <c r="D372" s="65" t="str">
        <f>HYPERLINK("https://github.com/mostafa-saad/MyCompetitiveProgramming/blob/master/Olympiad/JOI/JOISC-17-railway_trip.txt","Sol")</f>
        <v>Sol</v>
      </c>
      <c r="E372" s="31" t="s">
        <v>1018</v>
      </c>
      <c r="F372" s="37" t="s">
        <v>139</v>
      </c>
      <c r="G372" s="67"/>
      <c r="H372" s="67"/>
    </row>
    <row r="373" spans="1:8" ht="13.2">
      <c r="A373" s="65" t="str">
        <f>HYPERLINK("https://oj.uz/problem/view/JOI19_antennas", "JOISC 19-Antennas")</f>
        <v>JOISC 19-Antennas</v>
      </c>
      <c r="B373" s="23" t="s">
        <v>6749</v>
      </c>
      <c r="C373" s="21">
        <v>7.5</v>
      </c>
      <c r="D373" s="65" t="str">
        <f>HYPERLINK("https://github.com/nikolapesic2802/Programming-Practice/blob/master/Two%20Antennas/main.cpp","Sol")</f>
        <v>Sol</v>
      </c>
      <c r="E373" s="31" t="s">
        <v>1018</v>
      </c>
      <c r="F373" s="37" t="s">
        <v>139</v>
      </c>
      <c r="G373" s="67"/>
      <c r="H373" s="67"/>
    </row>
    <row r="374" spans="1:8" ht="13.2">
      <c r="A374" s="65" t="str">
        <f>HYPERLINK("https://oj.uz/problem/view/JOI19_jumps","JOIOC 19-jumps")</f>
        <v>JOIOC 19-jumps</v>
      </c>
      <c r="B374" s="37" t="s">
        <v>1017</v>
      </c>
      <c r="C374" s="24">
        <v>7.5</v>
      </c>
      <c r="D374" s="65" t="str">
        <f>HYPERLINK("https://github.com/tmwilliamlin168/CompetitiveProgramming/blob/master/JOI/19O-Jumps.cpp", "Sol (no editrial)")</f>
        <v>Sol (no editrial)</v>
      </c>
      <c r="E374" s="31" t="s">
        <v>1018</v>
      </c>
      <c r="F374" s="37" t="s">
        <v>201</v>
      </c>
      <c r="G374" s="67"/>
      <c r="H374" s="67"/>
    </row>
    <row r="375" spans="1:8" ht="13.2">
      <c r="A375" s="65" t="str">
        <f>HYPERLINK("https://www.hackerrank.com/contests/boi-2016/challenges","Balkan 16-Lefkaritika")</f>
        <v>Balkan 16-Lefkaritika</v>
      </c>
      <c r="B375" s="37" t="s">
        <v>6750</v>
      </c>
      <c r="C375" s="24">
        <v>7.5</v>
      </c>
      <c r="D375" s="65" t="str">
        <f>HYPERLINK("https://github.com/mostafa-saad/MyCompetitiveProgramming/tree/master/Olympiad/Balkan/official/2016","Sol (no editorial)")</f>
        <v>Sol (no editorial)</v>
      </c>
      <c r="E375" s="31" t="s">
        <v>1018</v>
      </c>
      <c r="F375" s="37"/>
      <c r="G375" s="67"/>
      <c r="H375" s="67"/>
    </row>
    <row r="376" spans="1:8" ht="13.2">
      <c r="A376" s="65" t="str">
        <f>HYPERLINK("https://oj.uz/problem/view/IOI08_fish","IOI 08-fish")</f>
        <v>IOI 08-fish</v>
      </c>
      <c r="B376" s="20" t="s">
        <v>1017</v>
      </c>
      <c r="C376" s="24">
        <v>7.5</v>
      </c>
      <c r="D376" s="65" t="str">
        <f>HYPERLINK("https://github.com/mostafa-saad/MyCompetitiveProgramming/blob/master/Olympiad/IOI/official/2008","Editorial")</f>
        <v>Editorial</v>
      </c>
      <c r="E376" s="31" t="s">
        <v>1018</v>
      </c>
      <c r="F376" s="37"/>
      <c r="G376" s="67"/>
      <c r="H376" s="67"/>
    </row>
    <row r="377" spans="1:8" ht="13.2">
      <c r="A377" s="65" t="str">
        <f>HYPERLINK("https://www.hackerrank.com/contests/ioi-2014-practice-contest-2/challenges","IOIPractice 14-grand-noi-icpc-battle-ioi14")</f>
        <v>IOIPractice 14-grand-noi-icpc-battle-ioi14</v>
      </c>
      <c r="B377" s="15" t="s">
        <v>6751</v>
      </c>
      <c r="C377" s="17">
        <v>7.5</v>
      </c>
      <c r="D377" s="69"/>
      <c r="E377" s="31" t="s">
        <v>1018</v>
      </c>
      <c r="F377" s="37"/>
      <c r="G377" s="67"/>
      <c r="H377" s="67"/>
    </row>
    <row r="378" spans="1:8" ht="13.2">
      <c r="A378" s="65" t="str">
        <f>HYPERLINK("https://oj.uz/problem/view/IOI08_pyramid_base","IOI 08-pyramid_base")</f>
        <v>IOI 08-pyramid_base</v>
      </c>
      <c r="B378" s="20" t="s">
        <v>6752</v>
      </c>
      <c r="C378" s="24">
        <v>7.25</v>
      </c>
      <c r="D378" s="65" t="str">
        <f>HYPERLINK("https://github.com/mostafa-saad/MyCompetitiveProgramming/blob/master/Olympiad/IOI/IOI-08-pyramid_base.txt","Sol")</f>
        <v>Sol</v>
      </c>
      <c r="E378" s="31" t="s">
        <v>1018</v>
      </c>
      <c r="F378" s="37" t="s">
        <v>154</v>
      </c>
      <c r="G378" s="67"/>
      <c r="H378" s="67"/>
    </row>
    <row r="379" spans="1:8" ht="13.2">
      <c r="A379" s="65" t="str">
        <f>HYPERLINK("https://oj.uz/problem/view/IOI18_seats","IOI 18-seats")</f>
        <v>IOI 18-seats</v>
      </c>
      <c r="B379" s="20" t="s">
        <v>6753</v>
      </c>
      <c r="C379" s="24">
        <v>7.25</v>
      </c>
      <c r="D379" s="65" t="str">
        <f>HYPERLINK("https://github.com/nikolapesic2802/Programming-Practice/blob/master/Seats/IOI%202018%20Seats.txt","Sol")</f>
        <v>Sol</v>
      </c>
      <c r="E379" s="31" t="s">
        <v>1018</v>
      </c>
      <c r="F379" s="37" t="s">
        <v>139</v>
      </c>
      <c r="G379" s="67"/>
      <c r="H379" s="67"/>
    </row>
    <row r="380" spans="1:8" ht="13.2">
      <c r="A380" s="65" t="str">
        <f>HYPERLINK("https://oj.uz/problem/view/COI18_svjetlost","COI 18-svjetlost")</f>
        <v>COI 18-svjetlost</v>
      </c>
      <c r="B380" s="20" t="s">
        <v>6754</v>
      </c>
      <c r="C380" s="24">
        <v>7.25</v>
      </c>
      <c r="D380" s="69"/>
      <c r="E380" s="31" t="s">
        <v>1018</v>
      </c>
      <c r="F380" s="37"/>
      <c r="G380" s="67"/>
      <c r="H380" s="67"/>
    </row>
    <row r="381" spans="1:8" ht="13.2">
      <c r="A381" s="65" t="str">
        <f>HYPERLINK("https://oj.uz/problem/view/IOI13_wombats","IOI 13-wombats")</f>
        <v>IOI 13-wombats</v>
      </c>
      <c r="B381" s="37" t="s">
        <v>6755</v>
      </c>
      <c r="C381" s="24">
        <v>7.1</v>
      </c>
      <c r="D381" s="65" t="str">
        <f>HYPERLINK("https://github.com/mostafa-saad/MyCompetitiveProgramming/blob/master/Olympiad/IOI/IOI-13-wombats.txt","Sol")</f>
        <v>Sol</v>
      </c>
      <c r="E381" s="31" t="s">
        <v>1018</v>
      </c>
      <c r="F381" s="37" t="s">
        <v>154</v>
      </c>
      <c r="G381" s="67"/>
      <c r="H381" s="67"/>
    </row>
    <row r="382" spans="1:8" ht="13.2">
      <c r="A382" s="65" t="str">
        <f>HYPERLINK("https://oj.uz/problem/view/APIO17_rainbow","APIO 17-rainbow")</f>
        <v>APIO 17-rainbow</v>
      </c>
      <c r="B382" s="20" t="s">
        <v>6756</v>
      </c>
      <c r="C382" s="24">
        <v>7.1</v>
      </c>
      <c r="D382" s="65" t="str">
        <f>HYPERLINK("https://github.com/mostafa-saad/MyCompetitiveProgramming/blob/master/Olympiad/APIO/APIO-17-rainbow.txt","Sol")</f>
        <v>Sol</v>
      </c>
      <c r="E382" s="31" t="s">
        <v>1018</v>
      </c>
      <c r="F382" s="37" t="s">
        <v>154</v>
      </c>
      <c r="G382" s="67"/>
      <c r="H382" s="67"/>
    </row>
    <row r="383" spans="1:8" ht="13.2">
      <c r="A383" s="65" t="str">
        <f>HYPERLINK("https://oj.uz/problem/view/IOI13_game","IOI 13-game")</f>
        <v>IOI 13-game</v>
      </c>
      <c r="B383" s="18" t="s">
        <v>6757</v>
      </c>
      <c r="C383" s="17">
        <v>7</v>
      </c>
      <c r="D383" s="65" t="str">
        <f>HYPERLINK("http://blog.brucemerry.org.za/2013/07/","Editorial")</f>
        <v>Editorial</v>
      </c>
      <c r="E383" s="31" t="s">
        <v>1018</v>
      </c>
      <c r="F383" s="37" t="s">
        <v>201</v>
      </c>
      <c r="G383" s="67"/>
      <c r="H383" s="67"/>
    </row>
    <row r="384" spans="1:8" ht="13.2">
      <c r="A384" s="65" t="str">
        <f>HYPERLINK("https://oj.uz/problems/source/316","JOISC 18-wildboar")</f>
        <v>JOISC 18-wildboar</v>
      </c>
      <c r="B384" s="23" t="s">
        <v>6758</v>
      </c>
      <c r="C384" s="24">
        <v>7</v>
      </c>
      <c r="D384" s="65" t="str">
        <f>HYPERLINK("https://github.com/mostafa-saad/MyCompetitiveProgramming/blob/master/Olympiad/JOI/JOISC-18-wildboar.txt","Sol")</f>
        <v>Sol</v>
      </c>
      <c r="E384" s="31" t="s">
        <v>1018</v>
      </c>
      <c r="F384" s="37" t="s">
        <v>201</v>
      </c>
      <c r="G384" s="67"/>
      <c r="H384" s="67"/>
    </row>
    <row r="385" spans="1:8" ht="13.2">
      <c r="A385" s="65" t="str">
        <f>HYPERLINK("https://www.acmicpc.net/problem/11783","Balkan 15-Happiness")</f>
        <v>Balkan 15-Happiness</v>
      </c>
      <c r="B385" s="18" t="s">
        <v>6759</v>
      </c>
      <c r="C385" s="17">
        <v>7</v>
      </c>
      <c r="D385" s="65" t="str">
        <f>HYPERLINK("https://github.com/mostafa-saad/MyCompetitiveProgramming/tree/master/Olympiad/Balkan/official/2015","Sol (no editorial)")</f>
        <v>Sol (no editorial)</v>
      </c>
      <c r="E385" s="31" t="s">
        <v>1018</v>
      </c>
      <c r="F385" s="37"/>
      <c r="G385" s="67"/>
      <c r="H385" s="67"/>
    </row>
    <row r="386" spans="1:8" ht="13.2">
      <c r="A386" s="65" t="str">
        <f>HYPERLINK("https://www.infoarena.ro/problema/kinder","infoarena kinder")</f>
        <v>infoarena kinder</v>
      </c>
      <c r="B386" s="20" t="s">
        <v>6760</v>
      </c>
      <c r="C386" s="21">
        <v>7</v>
      </c>
      <c r="D386" s="65" t="str">
        <f>HYPERLINK("https://github.com/stefdasca/CompetitiveProgramming/blob/master/Infoarena/kinder.cpp","Sol")</f>
        <v>Sol</v>
      </c>
      <c r="E386" s="31" t="s">
        <v>1018</v>
      </c>
      <c r="F386" s="37"/>
      <c r="G386" s="67"/>
      <c r="H386" s="67"/>
    </row>
    <row r="387" spans="1:8" ht="13.2">
      <c r="A387" s="65" t="str">
        <f>HYPERLINK("https://oj.uz/problem/view/IZhO12_apple","IZhO 12-apple")</f>
        <v>IZhO 12-apple</v>
      </c>
      <c r="B387" s="37" t="s">
        <v>6761</v>
      </c>
      <c r="C387" s="24">
        <v>7</v>
      </c>
      <c r="D387" s="69"/>
      <c r="E387" s="31" t="s">
        <v>1018</v>
      </c>
      <c r="F387" s="37"/>
      <c r="G387" s="67"/>
      <c r="H387" s="67"/>
    </row>
    <row r="388" spans="1:8" ht="13.2">
      <c r="A388" s="65" t="str">
        <f>HYPERLINK("http://www.usaco.org/index.php?page=viewproblem2&amp;cpid=1022","USACO 20feb-help")</f>
        <v>USACO 20feb-help</v>
      </c>
      <c r="B388" s="20" t="s">
        <v>1040</v>
      </c>
      <c r="C388" s="17">
        <v>7</v>
      </c>
      <c r="D388" s="69"/>
      <c r="E388" s="31" t="s">
        <v>1018</v>
      </c>
      <c r="F388" s="37"/>
      <c r="G388" s="67"/>
      <c r="H388" s="67"/>
    </row>
    <row r="389" spans="1:8" ht="13.2">
      <c r="A389" s="65" t="str">
        <f>HYPERLINK("https://www.acmicpc.net/problem/5251","Balkan 12-Spiral")</f>
        <v>Balkan 12-Spiral</v>
      </c>
      <c r="B389" s="37" t="s">
        <v>6762</v>
      </c>
      <c r="C389" s="24">
        <v>7</v>
      </c>
      <c r="D389" s="65" t="str">
        <f>HYPERLINK("https://github.com/mostafa-saad/MyCompetitiveProgramming/tree/master/Olympiad/Balkan/official/2012","Sol (no editorial)+English txt")</f>
        <v>Sol (no editorial)+English txt</v>
      </c>
      <c r="E389" s="31" t="s">
        <v>1018</v>
      </c>
      <c r="F389" s="37"/>
      <c r="G389" s="67"/>
      <c r="H389" s="67"/>
    </row>
    <row r="390" spans="1:8" ht="13.2">
      <c r="A390" s="65" t="str">
        <f>HYPERLINK("https://oj.uz/problem/view/BOI18_election","Balkan 18-election")</f>
        <v>Balkan 18-election</v>
      </c>
      <c r="B390" s="20" t="s">
        <v>1017</v>
      </c>
      <c r="C390" s="24">
        <v>6.8</v>
      </c>
      <c r="D390" s="65" t="str">
        <f>HYPERLINK("https://github.com/mostafa-saad/MyCompetitiveProgramming/blob/master/Olympiad/Balkan/Balkan-18-election.txt","Sol")</f>
        <v>Sol</v>
      </c>
      <c r="E390" s="31" t="s">
        <v>1018</v>
      </c>
      <c r="F390" s="37" t="s">
        <v>154</v>
      </c>
      <c r="G390" s="67"/>
      <c r="H390" s="67"/>
    </row>
    <row r="391" spans="1:8" ht="13.2">
      <c r="A391" s="65" t="str">
        <f>HYPERLINK("https://oj.uz/problem/view/IOI18_doll","IOI 18-doll")</f>
        <v>IOI 18-doll</v>
      </c>
      <c r="B391" s="20" t="s">
        <v>6763</v>
      </c>
      <c r="C391" s="21">
        <v>6.75</v>
      </c>
      <c r="D391" s="65" t="str">
        <f>HYPERLINK("https://github.com/mostafa-saad/MyCompetitiveProgramming/blob/master/Olympiad/IOI/IOI-18-Doll.txt","Sol")</f>
        <v>Sol</v>
      </c>
      <c r="E391" s="31" t="s">
        <v>1018</v>
      </c>
      <c r="F391" s="37" t="s">
        <v>173</v>
      </c>
      <c r="G391" s="67"/>
      <c r="H391" s="67"/>
    </row>
    <row r="392" spans="1:8" ht="13.2">
      <c r="A392" s="65" t="str">
        <f>HYPERLINK("https://szkopul.edu.pl/problemset/problem/OQjANSOOD_-c38gh8p6g3Gxp/site/", "POI 06-Tetris_3D")</f>
        <v>POI 06-Tetris_3D</v>
      </c>
      <c r="B392" s="37" t="s">
        <v>6764</v>
      </c>
      <c r="C392" s="24">
        <v>6.75</v>
      </c>
      <c r="D392" s="65" t="str">
        <f>HYPERLINK("https://github.com/mostafa-saad/MyCompetitiveProgramming/blob/master/Olympiad/POI/POI-06-Tetris_3D.txt","Sol")</f>
        <v>Sol</v>
      </c>
      <c r="E392" s="31" t="s">
        <v>1018</v>
      </c>
      <c r="F392" s="37" t="s">
        <v>173</v>
      </c>
      <c r="G392" s="67"/>
      <c r="H392" s="67"/>
    </row>
    <row r="393" spans="1:8" ht="13.2">
      <c r="A393" s="65" t="str">
        <f>HYPERLINK("https://oj.uz/problem/view/JOI17_port_facility","JOISC 17-PortFacility")</f>
        <v>JOISC 17-PortFacility</v>
      </c>
      <c r="B393" s="20" t="s">
        <v>6765</v>
      </c>
      <c r="C393" s="21">
        <v>6.75</v>
      </c>
      <c r="D393" s="65" t="str">
        <f>HYPERLINK("https://github.com/mostafa-saad/MyCompetitiveProgramming/blob/master/Olympiad/JOI/JOISC-17-PortFacility.txt","Sol")</f>
        <v>Sol</v>
      </c>
      <c r="E393" s="31" t="s">
        <v>1018</v>
      </c>
      <c r="F393" s="37" t="s">
        <v>196</v>
      </c>
      <c r="G393" s="67"/>
      <c r="H393" s="67"/>
    </row>
    <row r="394" spans="1:8" ht="13.2">
      <c r="A394" s="65" t="str">
        <f>HYPERLINK("https://dunjudge.me/analysis/problems/803/","COCI 14-norma")</f>
        <v>COCI 14-norma</v>
      </c>
      <c r="B394" s="20" t="s">
        <v>6766</v>
      </c>
      <c r="C394" s="24">
        <v>6.75</v>
      </c>
      <c r="D394" s="65" t="str">
        <f>HYPERLINK("https://github.com/mostafa-saad/MyCompetitiveProgramming/blob/master/Olympiad/COCI/COCI-14-norma.txt","Sol")</f>
        <v>Sol</v>
      </c>
      <c r="E394" s="31" t="s">
        <v>1018</v>
      </c>
      <c r="F394" s="37" t="s">
        <v>139</v>
      </c>
      <c r="G394" s="67"/>
      <c r="H394" s="67"/>
    </row>
    <row r="395" spans="1:8" ht="13.2">
      <c r="A395" s="65" t="str">
        <f>HYPERLINK("https://www.acmicpc.net/problem/5252","Balkan 12-BestTeams")</f>
        <v>Balkan 12-BestTeams</v>
      </c>
      <c r="B395" s="37" t="s">
        <v>1207</v>
      </c>
      <c r="C395" s="24">
        <v>6.75</v>
      </c>
      <c r="D395" s="65" t="str">
        <f>HYPERLINK("https://github.com/mostafa-saad/MyCompetitiveProgramming/blob/master/Olympiad/Balkan/Balkan-12-BestTeams.txt","Sol")</f>
        <v>Sol</v>
      </c>
      <c r="E395" s="31" t="s">
        <v>1018</v>
      </c>
      <c r="F395" s="37" t="s">
        <v>201</v>
      </c>
      <c r="G395" s="67"/>
      <c r="H395" s="67"/>
    </row>
    <row r="396" spans="1:8" ht="13.2">
      <c r="A396" s="65" t="str">
        <f>HYPERLINK("https://wcipeg.com/problem/coci091p6","COCI 09-Aladin")</f>
        <v>COCI 09-Aladin</v>
      </c>
      <c r="B396" s="15" t="s">
        <v>6767</v>
      </c>
      <c r="C396" s="24">
        <v>6.75</v>
      </c>
      <c r="D396" s="65" t="str">
        <f>HYPERLINK("https://github.com/mostafa-saad/MyCompetitiveProgramming/blob/master/Olympiad/COCI/COCI-09-Aladin.txt","Sol")</f>
        <v>Sol</v>
      </c>
      <c r="E396" s="31" t="s">
        <v>1018</v>
      </c>
      <c r="F396" s="37" t="s">
        <v>201</v>
      </c>
      <c r="G396" s="67"/>
      <c r="H396" s="67"/>
    </row>
    <row r="397" spans="1:8" ht="13.2">
      <c r="A397" s="65" t="str">
        <f>HYPERLINK("https://oj.uz/problem/view/IOI15_teams","IOI 15-teams")</f>
        <v>IOI 15-teams</v>
      </c>
      <c r="B397" s="23" t="s">
        <v>6768</v>
      </c>
      <c r="C397" s="24">
        <v>6.75</v>
      </c>
      <c r="D397" s="65" t="str">
        <f>HYPERLINK("https://github.com/mostafa-saad/MyCompetitiveProgramming/blob/master/Olympiad/IOI/official/2015","Editorial")</f>
        <v>Editorial</v>
      </c>
      <c r="E397" s="31" t="s">
        <v>1018</v>
      </c>
      <c r="F397" s="37" t="s">
        <v>242</v>
      </c>
      <c r="G397" s="67"/>
      <c r="H397" s="67"/>
    </row>
    <row r="398" spans="1:8" ht="13.2">
      <c r="A398" s="65" t="str">
        <f>HYPERLINK("https://oj.uz/problem/view/IOI14_wall","IOI 14-wall")</f>
        <v>IOI 14-wall</v>
      </c>
      <c r="B398" s="18" t="s">
        <v>1043</v>
      </c>
      <c r="C398" s="17">
        <v>6.75</v>
      </c>
      <c r="D398" s="65" t="str">
        <f>HYPERLINK("http://blog.brucemerry.org.za/2014/07/","Editorial")</f>
        <v>Editorial</v>
      </c>
      <c r="E398" s="31" t="s">
        <v>1018</v>
      </c>
      <c r="F398" s="37"/>
      <c r="G398" s="67"/>
      <c r="H398" s="67"/>
    </row>
    <row r="399" spans="1:8" ht="13.2">
      <c r="A399" s="65" t="str">
        <f>HYPERLINK("https://oj.uz/problem/view/COI19_tenis","COI 19-tenis")</f>
        <v>COI 19-tenis</v>
      </c>
      <c r="B399" s="37" t="s">
        <v>6769</v>
      </c>
      <c r="C399" s="24">
        <v>6.7</v>
      </c>
      <c r="D399" s="65" t="str">
        <f>HYPERLINK("https://github.com/mostafa-saad/MyCompetitiveProgramming/blob/master/Olympiad/COI/COI-19-tenis.txt","Sol")</f>
        <v>Sol</v>
      </c>
      <c r="E399" s="31" t="s">
        <v>1018</v>
      </c>
      <c r="F399" s="37" t="s">
        <v>154</v>
      </c>
      <c r="G399" s="67"/>
      <c r="H399" s="67"/>
    </row>
    <row r="400" spans="1:8" ht="13.2">
      <c r="A400" s="65" t="str">
        <f>HYPERLINK("https://oj.uz/problem/view/IOI07_sails","IOI 07-sails")</f>
        <v>IOI 07-sails</v>
      </c>
      <c r="B400" s="20" t="s">
        <v>6770</v>
      </c>
      <c r="C400" s="24">
        <v>6.6</v>
      </c>
      <c r="D400" s="65" t="str">
        <f>HYPERLINK("https://github.com/mostafa-saad/MyCompetitiveProgramming/blob/master/Olympiad/IOI/IOI-07-sails.txt","Sol")</f>
        <v>Sol</v>
      </c>
      <c r="E400" s="31" t="s">
        <v>1018</v>
      </c>
      <c r="F400" s="37" t="s">
        <v>154</v>
      </c>
      <c r="G400" s="67"/>
      <c r="H400" s="67"/>
    </row>
    <row r="401" spans="1:8" ht="13.2">
      <c r="A401" s="65" t="str">
        <f>HYPERLINK("https://oj.uz/problems/source/56","JOIOC 14-pinball")</f>
        <v>JOIOC 14-pinball</v>
      </c>
      <c r="B401" s="15" t="s">
        <v>1040</v>
      </c>
      <c r="C401" s="17">
        <v>6.5</v>
      </c>
      <c r="D401" s="65" t="str">
        <f>HYPERLINK("https://github.com/SpeedOfMagic/CompetitiveProgramming/blob/master/JOIOC/14-pinball.cpp","Sol")</f>
        <v>Sol</v>
      </c>
      <c r="E401" s="31" t="s">
        <v>1018</v>
      </c>
      <c r="F401" s="37" t="s">
        <v>139</v>
      </c>
      <c r="G401" s="67"/>
      <c r="H401" s="67"/>
    </row>
    <row r="402" spans="1:8" ht="13.2">
      <c r="A402" s="65" t="str">
        <f>HYPERLINK("https://szkopul.edu.pl/problemset/problem/EwpbJWZPly_zZ5i4ytg_8fDE/site/", "POI 09-Ice_Skates")</f>
        <v>POI 09-Ice_Skates</v>
      </c>
      <c r="B402" s="37" t="s">
        <v>6771</v>
      </c>
      <c r="C402" s="24">
        <v>6.5</v>
      </c>
      <c r="D402" s="65" t="str">
        <f>HYPERLINK("https://github.com/mostafa-saad/MyCompetitiveProgramming/blob/master/Olympiad/POI/POI-09-Ice_Skates.txt","Sol")</f>
        <v>Sol</v>
      </c>
      <c r="E402" s="31" t="s">
        <v>1018</v>
      </c>
      <c r="F402" s="37" t="s">
        <v>139</v>
      </c>
      <c r="G402" s="67"/>
      <c r="H402" s="67"/>
    </row>
    <row r="403" spans="1:8" ht="13.2">
      <c r="A403" s="65" t="str">
        <f>HYPERLINK("https://dmoj.ca/problem/coci15c3p5","COCI 15-Nekameleoni")</f>
        <v>COCI 15-Nekameleoni</v>
      </c>
      <c r="B403" s="37" t="s">
        <v>6772</v>
      </c>
      <c r="C403" s="24">
        <v>6.5</v>
      </c>
      <c r="D403" s="65" t="str">
        <f>HYPERLINK("https://github.com/mostafa-saad/MyCompetitiveProgramming/blob/master/Olympiad/COCI/COCI-15-Nekameleoni.txt","Sol")</f>
        <v>Sol</v>
      </c>
      <c r="E403" s="31" t="s">
        <v>1018</v>
      </c>
      <c r="F403" s="37" t="s">
        <v>139</v>
      </c>
      <c r="G403" s="67"/>
      <c r="H403" s="67"/>
    </row>
    <row r="404" spans="1:8" ht="13.2">
      <c r="A404" s="65" t="str">
        <f>HYPERLINK("https://codeforces.com/gym/102257/","APIO 19-street_lamps")</f>
        <v>APIO 19-street_lamps</v>
      </c>
      <c r="B404" s="37" t="s">
        <v>1207</v>
      </c>
      <c r="C404" s="24">
        <v>6.5</v>
      </c>
      <c r="D404" s="65" t="str">
        <f>HYPERLINK("https://github.com/Evilandrew228/CompetitiveProgramming/blob/master/APIO%2019-street_lamps", "Sol")</f>
        <v>Sol</v>
      </c>
      <c r="E404" s="31" t="s">
        <v>1018</v>
      </c>
      <c r="F404" s="37"/>
      <c r="G404" s="67"/>
      <c r="H404" s="67"/>
    </row>
    <row r="405" spans="1:8" ht="13.2">
      <c r="A405" s="65" t="str">
        <f>HYPERLINK("https://oj.uz/problem/view/COCI15_relativnost","COCI 15-relativnost")</f>
        <v>COCI 15-relativnost</v>
      </c>
      <c r="B405" s="20" t="s">
        <v>6773</v>
      </c>
      <c r="C405" s="24">
        <v>6.5</v>
      </c>
      <c r="D405" s="65" t="str">
        <f>HYPERLINK("https://github.com/mostafa-saad/MyCompetitiveProgramming/blob/master/Olympiad/COCI/COCI-15-relativnost.txt","Sol")</f>
        <v>Sol</v>
      </c>
      <c r="E405" s="31" t="s">
        <v>1018</v>
      </c>
      <c r="F405" s="37"/>
      <c r="G405" s="67"/>
      <c r="H405" s="67"/>
    </row>
    <row r="406" spans="1:8" ht="13.2">
      <c r="A406" s="65" t="str">
        <f>HYPERLINK("https://oj.uz/problem/view/COCI17_garaza","COCI 17-garaza")</f>
        <v>COCI 17-garaza</v>
      </c>
      <c r="B406" s="20" t="s">
        <v>6774</v>
      </c>
      <c r="C406" s="24">
        <v>6.5</v>
      </c>
      <c r="D406" s="65" t="str">
        <f>HYPERLINK("https://github.com/mostafa-saad/MyCompetitiveProgramming/blob/master/Olympiad/COCI/official/2018/contest2_solutions","Editorial")</f>
        <v>Editorial</v>
      </c>
      <c r="E406" s="31" t="s">
        <v>1018</v>
      </c>
      <c r="F406" s="37"/>
      <c r="G406" s="67"/>
      <c r="H406" s="67"/>
    </row>
    <row r="407" spans="1:8" ht="13.2">
      <c r="A407" s="65" t="str">
        <f>HYPERLINK("https://oj.uz/problem/view/balkan11_trapezoid","Balkan 11-Trapezoid")</f>
        <v>Balkan 11-Trapezoid</v>
      </c>
      <c r="B407" s="20" t="s">
        <v>6775</v>
      </c>
      <c r="C407" s="21">
        <v>6.4</v>
      </c>
      <c r="D407" s="65" t="str">
        <f>HYPERLINK("https://github.com/mostafa-saad/MyCompetitiveProgramming/blob/master/Olympiad/Balkan/Balkan-11-Trapezoid.txt","Sol")</f>
        <v>Sol</v>
      </c>
      <c r="E407" s="31" t="s">
        <v>1018</v>
      </c>
      <c r="F407" s="37" t="s">
        <v>154</v>
      </c>
      <c r="G407" s="67"/>
      <c r="H407" s="67"/>
    </row>
    <row r="408" spans="1:8" ht="13.2">
      <c r="A408" s="65" t="str">
        <f>HYPERLINK("https://oj.uz/problem/view/COI14_krave","COI 14-krave")</f>
        <v>COI 14-krave</v>
      </c>
      <c r="B408" s="20" t="s">
        <v>6776</v>
      </c>
      <c r="C408" s="24">
        <v>6.3</v>
      </c>
      <c r="D408" s="65" t="str">
        <f>HYPERLINK("https://github.com/mostafa-saad/MyCompetitiveProgramming/blob/master/Olympiad/COI/COI-14-krave.txt","Sol")</f>
        <v>Sol</v>
      </c>
      <c r="E408" s="31" t="s">
        <v>1018</v>
      </c>
      <c r="F408" s="37" t="s">
        <v>139</v>
      </c>
      <c r="G408" s="67"/>
      <c r="H408" s="67"/>
    </row>
    <row r="409" spans="1:8" ht="13.2">
      <c r="A409" s="65" t="str">
        <f>HYPERLINK("https://oj.uz/problems/source/121", "CEOI 14-cake")</f>
        <v>CEOI 14-cake</v>
      </c>
      <c r="B409" s="20" t="s">
        <v>6777</v>
      </c>
      <c r="C409" s="17">
        <v>6.3</v>
      </c>
      <c r="D409" s="65" t="str">
        <f>HYPERLINK("https://github.com/stefdasca/CompetitiveProgramming/blob/master/CEOI/CEOI%2014-cake.cpp","Sol")</f>
        <v>Sol</v>
      </c>
      <c r="E409" s="31" t="s">
        <v>1018</v>
      </c>
      <c r="F409" s="37" t="s">
        <v>139</v>
      </c>
      <c r="G409" s="67"/>
      <c r="H409" s="67"/>
    </row>
    <row r="410" spans="1:8" ht="13.2">
      <c r="A410" s="65" t="str">
        <f>HYPERLINK("https://open.kattis.com/problem-sources/Baltic%20Olympiad%20in%20Informatics%202017%2C%20Day%201","Baltic 17-Toll")</f>
        <v>Baltic 17-Toll</v>
      </c>
      <c r="B410" s="18" t="s">
        <v>6778</v>
      </c>
      <c r="C410" s="17">
        <v>6.25</v>
      </c>
      <c r="D410" s="65" t="str">
        <f>HYPERLINK("https://github.com/Szawinis/CompetitiveProgramming/blob/master/Olympiad/Baltic/Baltic17-toll.cpp","Sol")</f>
        <v>Sol</v>
      </c>
      <c r="E410" s="31" t="s">
        <v>1018</v>
      </c>
      <c r="F410" s="37"/>
      <c r="G410" s="67"/>
      <c r="H410" s="67"/>
    </row>
    <row r="411" spans="1:8" ht="13.2">
      <c r="A411" s="65" t="str">
        <f>HYPERLINK("https://oj.uz/problem/view/COCI17_plahte","COCI 17-plahte")</f>
        <v>COCI 17-plahte</v>
      </c>
      <c r="B411" s="37" t="s">
        <v>6779</v>
      </c>
      <c r="C411" s="24">
        <v>6.25</v>
      </c>
      <c r="D411" s="65" t="str">
        <f>HYPERLINK("https://github.com/mostafa-saad/MyCompetitiveProgramming/blob/master/Olympiad/COCI/official/2018/contest1_solutions","Editorial")</f>
        <v>Editorial</v>
      </c>
      <c r="E411" s="31" t="s">
        <v>1018</v>
      </c>
      <c r="F411" s="37"/>
      <c r="G411" s="67"/>
      <c r="H411" s="67"/>
    </row>
    <row r="412" spans="1:8" ht="13.2">
      <c r="A412" s="65" t="str">
        <f>HYPERLINK("https://szkopul.edu.pl/problemset/problem/k-RYEjhwNTo_XdaCidXQUGMU/site/", "POI 15-Movie")</f>
        <v>POI 15-Movie</v>
      </c>
      <c r="B412" s="37" t="s">
        <v>1017</v>
      </c>
      <c r="C412" s="24">
        <v>6.25</v>
      </c>
      <c r="D412" s="65" t="str">
        <f>HYPERLINK("https://github.com/mostafa-saad/MyCompetitiveProgramming/blob/master/Olympiad/POI/official/find_editorial_sols_guidelines.txt","Editorial")</f>
        <v>Editorial</v>
      </c>
      <c r="E412" s="31" t="s">
        <v>1018</v>
      </c>
      <c r="F412" s="37"/>
      <c r="G412" s="67"/>
      <c r="H412" s="67"/>
    </row>
    <row r="413" spans="1:8" ht="13.2">
      <c r="A413" s="65" t="str">
        <f>HYPERLINK("https://cses.fi/179/list/","CEOI 09-Harbingers")</f>
        <v>CEOI 09-Harbingers</v>
      </c>
      <c r="B413" s="20" t="s">
        <v>6780</v>
      </c>
      <c r="C413" s="24">
        <v>6.25</v>
      </c>
      <c r="D413" s="65" t="str">
        <f>HYPERLINK("https://github.com/mostafa-saad/MyCompetitiveProgramming/tree/master/Olympiad/CEOI/official/2009","Editorial")</f>
        <v>Editorial</v>
      </c>
      <c r="E413" s="31" t="s">
        <v>1018</v>
      </c>
      <c r="F413" s="37"/>
      <c r="G413" s="67"/>
      <c r="H413" s="67"/>
    </row>
    <row r="414" spans="1:8" ht="13.2">
      <c r="A414" s="65" t="str">
        <f>HYPERLINK("https://oj.uz/problem/view/COI15_dostava","COI 15-dostava")</f>
        <v>COI 15-dostava</v>
      </c>
      <c r="B414" s="74" t="s">
        <v>6781</v>
      </c>
      <c r="C414" s="66">
        <v>6.25</v>
      </c>
      <c r="D414" s="65" t="str">
        <f>HYPERLINK("https://github.com/mostafa-saad/MyCompetitiveProgramming/tree/master/Olympiad/COI/official/2015","Editorial")</f>
        <v>Editorial</v>
      </c>
      <c r="E414" s="31" t="s">
        <v>1018</v>
      </c>
      <c r="F414" s="37"/>
      <c r="G414" s="67"/>
      <c r="H414" s="67"/>
    </row>
    <row r="415" spans="1:8" ht="13.2">
      <c r="A415" s="65" t="str">
        <f>HYPERLINK("https://www.infoarena.ro/problema/arb","infoarena arb")</f>
        <v>infoarena arb</v>
      </c>
      <c r="B415" s="20" t="s">
        <v>1165</v>
      </c>
      <c r="C415" s="21">
        <v>6.1</v>
      </c>
      <c r="D415" s="69"/>
      <c r="E415" s="31" t="s">
        <v>1018</v>
      </c>
      <c r="F415" s="37"/>
      <c r="G415" s="67"/>
      <c r="H415" s="67"/>
    </row>
    <row r="416" spans="1:8" ht="13.2">
      <c r="A416" s="65" t="str">
        <f>HYPERLINK("https://oj.uz/problem/view/JOI18_bubblesort2","JOIOC 18-bubblesort2")</f>
        <v>JOIOC 18-bubblesort2</v>
      </c>
      <c r="B416" s="20" t="s">
        <v>6782</v>
      </c>
      <c r="C416" s="21">
        <v>6</v>
      </c>
      <c r="D416" s="65" t="str">
        <f>HYPERLINK("https://github.com/mostafa-saad/MyCompetitiveProgramming/blob/master/Olympiad/JOI/JOIOC-18-bubblesort2.txt","Sol")</f>
        <v>Sol</v>
      </c>
      <c r="E416" s="31" t="s">
        <v>1018</v>
      </c>
      <c r="F416" s="37" t="s">
        <v>139</v>
      </c>
      <c r="G416" s="67"/>
      <c r="H416" s="67"/>
    </row>
    <row r="417" spans="1:8" ht="13.2">
      <c r="A417" s="65" t="str">
        <f>HYPERLINK("https://contest.yandex.ru/ioi/contest/566/enter/","IOI 05-mountains")</f>
        <v>IOI 05-mountains</v>
      </c>
      <c r="B417" s="23" t="s">
        <v>6783</v>
      </c>
      <c r="C417" s="24">
        <v>6</v>
      </c>
      <c r="D417" s="65" t="str">
        <f>HYPERLINK("https://github.com/mostafa-saad/MyCompetitiveProgramming/blob/master/Olympiad/IOI/IOI-05-mountains.txt","Sol")</f>
        <v>Sol</v>
      </c>
      <c r="E417" s="31" t="s">
        <v>1018</v>
      </c>
      <c r="F417" s="37" t="s">
        <v>139</v>
      </c>
      <c r="G417" s="67"/>
      <c r="H417" s="67"/>
    </row>
    <row r="418" spans="1:8" ht="13.2">
      <c r="A418" s="65" t="str">
        <f>HYPERLINK("https://www.infoarena.ro/problema/fibo4","infoarena fibo4")</f>
        <v>infoarena fibo4</v>
      </c>
      <c r="B418" s="20" t="s">
        <v>6784</v>
      </c>
      <c r="C418" s="21">
        <v>6</v>
      </c>
      <c r="D418" s="65" t="str">
        <f>HYPERLINK("https://github.com/mostafa-saad/MyCompetitiveProgramming/blob/master/Olympiad/infoarena/infoarena_fibo4.txt","Sol")</f>
        <v>Sol</v>
      </c>
      <c r="E418" s="31" t="s">
        <v>1018</v>
      </c>
      <c r="F418" s="37" t="s">
        <v>139</v>
      </c>
      <c r="G418" s="67"/>
      <c r="H418" s="67"/>
    </row>
    <row r="419" spans="1:8" ht="13.2">
      <c r="A419" s="65" t="str">
        <f>HYPERLINK("https://csacademy.com/contest/ceoi-2018-day-1/task/global-warming/", "CEOI 18-Global")</f>
        <v>CEOI 18-Global</v>
      </c>
      <c r="B419" s="20" t="s">
        <v>6785</v>
      </c>
      <c r="C419" s="21">
        <v>6</v>
      </c>
      <c r="D419" s="65" t="str">
        <f>HYPERLINK("https://github.com/mostafa-saad/MyCompetitiveProgramming/blob/master/Olympiad/CEOI/CEOI-18-Global.txt","Sol")</f>
        <v>Sol</v>
      </c>
      <c r="E419" s="31" t="s">
        <v>1018</v>
      </c>
      <c r="F419" s="37" t="s">
        <v>201</v>
      </c>
      <c r="G419" s="67"/>
      <c r="H419" s="67"/>
    </row>
    <row r="420" spans="1:8" ht="13.2">
      <c r="A420" s="65" t="str">
        <f>HYPERLINK("https://csacademy.com/contest/junior-challenge-2017-day-2/task/cntgigelmat","ROJS 17-cntgigelmat")</f>
        <v>ROJS 17-cntgigelmat</v>
      </c>
      <c r="B420" s="37" t="s">
        <v>6786</v>
      </c>
      <c r="C420" s="24">
        <v>6</v>
      </c>
      <c r="D420" s="65" t="str">
        <f>HYPERLINK("https://github.com/MetalBall887/Competitive-Programming/blob/master/CSAcademy/ROJS%2017-cntgigelmat.cpp","Sol")</f>
        <v>Sol</v>
      </c>
      <c r="E420" s="31" t="s">
        <v>1018</v>
      </c>
      <c r="F420" s="37" t="s">
        <v>201</v>
      </c>
      <c r="G420" s="67"/>
      <c r="H420" s="67"/>
    </row>
    <row r="421" spans="1:8" ht="13.2">
      <c r="A421" s="65" t="str">
        <f>HYPERLINK("https://dmoj.ca/problem/coci06c4p6","COCI 06-Ispiti")</f>
        <v>COCI 06-Ispiti</v>
      </c>
      <c r="B421" s="15" t="s">
        <v>6787</v>
      </c>
      <c r="C421" s="24">
        <v>6</v>
      </c>
      <c r="D421" s="65" t="str">
        <f>HYPERLINK("https://github.com/mostafa-saad/MyCompetitiveProgramming/blob/master/Olympiad/COCI/COCI-06-Ispiti.txt","Sol")</f>
        <v>Sol</v>
      </c>
      <c r="E421" s="31" t="s">
        <v>1018</v>
      </c>
      <c r="F421" s="37" t="s">
        <v>201</v>
      </c>
      <c r="G421" s="67"/>
      <c r="H421" s="67"/>
    </row>
    <row r="422" spans="1:8" ht="13.2">
      <c r="A422" s="65" t="str">
        <f>HYPERLINK("https://www.infoarena.ro/problema/minuni","infoarena minuni")</f>
        <v>infoarena minuni</v>
      </c>
      <c r="B422" s="20" t="s">
        <v>1017</v>
      </c>
      <c r="C422" s="21">
        <v>6</v>
      </c>
      <c r="D422" s="65" t="str">
        <f>HYPERLINK("https://github.com/stefdasca/CompetitiveProgramming/blob/master/Infoarena/minuni.cpp","Sol")</f>
        <v>Sol</v>
      </c>
      <c r="E422" s="31" t="s">
        <v>1018</v>
      </c>
      <c r="F422" s="37" t="s">
        <v>201</v>
      </c>
      <c r="G422" s="67"/>
      <c r="H422" s="67"/>
    </row>
    <row r="423" spans="1:8" ht="13.2">
      <c r="A423" s="65" t="str">
        <f>HYPERLINK("http://www.usaco.org/index.php?page=viewproblem2&amp;cpid=973","USACO 19dec-plat-snowcow")</f>
        <v>USACO 19dec-plat-snowcow</v>
      </c>
      <c r="B423" s="20" t="s">
        <v>6788</v>
      </c>
      <c r="C423" s="17">
        <v>6</v>
      </c>
      <c r="D423" s="69"/>
      <c r="E423" s="31" t="s">
        <v>1018</v>
      </c>
      <c r="F423" s="37" t="s">
        <v>242</v>
      </c>
      <c r="G423" s="67"/>
      <c r="H423" s="67"/>
    </row>
    <row r="424" spans="1:8" ht="13.2">
      <c r="A424" s="65" t="str">
        <f>HYPERLINK("https://oj.uz/problem/view/BOI11_grow","Baltic 11-Trees")</f>
        <v>Baltic 11-Trees</v>
      </c>
      <c r="B424" s="37" t="s">
        <v>6789</v>
      </c>
      <c r="C424" s="24">
        <v>6</v>
      </c>
      <c r="D424" s="69"/>
      <c r="E424" s="31" t="s">
        <v>1018</v>
      </c>
      <c r="F424" s="37"/>
      <c r="G424" s="67"/>
      <c r="H424" s="67"/>
    </row>
    <row r="425" spans="1:8" ht="13.2">
      <c r="A425" s="65" t="str">
        <f>HYPERLINK("https://oj.uz/problem/view/POI13_kon","POI 13-kon")</f>
        <v>POI 13-kon</v>
      </c>
      <c r="B425" s="20" t="s">
        <v>6790</v>
      </c>
      <c r="C425" s="17">
        <v>6</v>
      </c>
      <c r="D425" s="65" t="str">
        <f>HYPERLINK("https://github.com/mostafa-saad/MyCompetitiveProgramming/blob/master/Olympiad/POI/POI-13-kon.txt","Sol")</f>
        <v>Sol</v>
      </c>
      <c r="E425" s="31" t="s">
        <v>1018</v>
      </c>
      <c r="F425" s="37"/>
      <c r="G425" s="67"/>
      <c r="H425" s="67"/>
    </row>
    <row r="426" spans="1:8" ht="13.2">
      <c r="A426" s="65" t="str">
        <f>HYPERLINK("https://szkopul.edu.pl/problemset/problem/BnzEADCfeJFjjev1Y9iHQANg/site/", "POI 14-Rally")</f>
        <v>POI 14-Rally</v>
      </c>
      <c r="B426" s="23" t="s">
        <v>6791</v>
      </c>
      <c r="C426" s="24">
        <v>6</v>
      </c>
      <c r="D426" s="69"/>
      <c r="E426" s="31" t="s">
        <v>1018</v>
      </c>
      <c r="F426" s="37"/>
      <c r="G426" s="67"/>
      <c r="H426" s="67"/>
    </row>
    <row r="427" spans="1:8" ht="13.2">
      <c r="A427" s="65" t="str">
        <f>HYPERLINK("https://oj.uz/problem/view/IZhO14_divide","IZHO 14-divide")</f>
        <v>IZHO 14-divide</v>
      </c>
      <c r="B427" s="20" t="s">
        <v>6792</v>
      </c>
      <c r="C427" s="24">
        <v>5.5</v>
      </c>
      <c r="D427" s="65" t="str">
        <f>HYPERLINK("https://github.com/Coder-Boy1/Others/blob/master/IZHO%2014-divide","Sol")</f>
        <v>Sol</v>
      </c>
      <c r="E427" s="31" t="s">
        <v>1018</v>
      </c>
      <c r="F427" s="37" t="s">
        <v>139</v>
      </c>
      <c r="G427" s="67"/>
      <c r="H427" s="67"/>
    </row>
    <row r="428" spans="1:8" ht="13.2">
      <c r="A428" s="65" t="str">
        <f>HYPERLINK("https://dunjudge.me/analysis/problems/1230/","NOI 17-very_best_pokemon")</f>
        <v>NOI 17-very_best_pokemon</v>
      </c>
      <c r="B428" s="37" t="s">
        <v>6793</v>
      </c>
      <c r="C428" s="24">
        <v>5.5</v>
      </c>
      <c r="D428" s="65" t="str">
        <f>HYPERLINK("https://github.com/mostafa-saad/MyCompetitiveProgramming/blob/master/Olympiad/NOI/NOI-17-very_best_pokemon.txt","Sol")</f>
        <v>Sol</v>
      </c>
      <c r="E428" s="31" t="s">
        <v>1018</v>
      </c>
      <c r="F428" s="37" t="s">
        <v>139</v>
      </c>
      <c r="G428" s="67"/>
      <c r="H428" s="67"/>
    </row>
    <row r="429" spans="1:8" ht="13.2">
      <c r="A429" s="65" t="str">
        <f>HYPERLINK("https://www.infoarena.ro/problema/sir3","infoarena sir3")</f>
        <v>infoarena sir3</v>
      </c>
      <c r="B429" s="20" t="s">
        <v>1017</v>
      </c>
      <c r="C429" s="24">
        <v>5.5</v>
      </c>
      <c r="D429" s="65" t="str">
        <f>HYPERLINK("https://github.com/stefdasca/CompetitiveProgramming/blob/master/Infoarena/sir3.cpp","Sol")</f>
        <v>Sol</v>
      </c>
      <c r="E429" s="31" t="s">
        <v>1018</v>
      </c>
      <c r="F429" s="37" t="s">
        <v>139</v>
      </c>
      <c r="G429" s="67"/>
      <c r="H429" s="67"/>
    </row>
    <row r="430" spans="1:8" ht="13.2">
      <c r="A430" s="65" t="str">
        <f>HYPERLINK("http://usaco.org/index.php?page=viewproblem2&amp;cpid=900", "USACO 19jan-redistricting_plat")</f>
        <v>USACO 19jan-redistricting_plat</v>
      </c>
      <c r="B430" s="20" t="s">
        <v>1040</v>
      </c>
      <c r="C430" s="21">
        <v>5.5</v>
      </c>
      <c r="D430" s="69"/>
      <c r="E430" s="31" t="s">
        <v>1018</v>
      </c>
      <c r="F430" s="37" t="s">
        <v>201</v>
      </c>
      <c r="G430" s="67"/>
      <c r="H430" s="67"/>
    </row>
    <row r="431" spans="1:8" ht="13.2">
      <c r="A431" s="65" t="str">
        <f>HYPERLINK("https://oj.uz/problem/view/COCI17_poklon","COCI 17-poklon")</f>
        <v>COCI 17-poklon</v>
      </c>
      <c r="B431" s="20" t="s">
        <v>6794</v>
      </c>
      <c r="C431" s="24">
        <v>5.5</v>
      </c>
      <c r="D431" s="65" t="str">
        <f>HYPERLINK("https://github.com/mostafa-saad/MyCompetitiveProgramming/blob/master/Olympiad/COCI/official/2017/contest5_solutions","Editorial")</f>
        <v>Editorial</v>
      </c>
      <c r="E431" s="31" t="s">
        <v>1018</v>
      </c>
      <c r="F431" s="37" t="s">
        <v>201</v>
      </c>
      <c r="G431" s="67"/>
      <c r="H431" s="67"/>
    </row>
    <row r="432" spans="1:8" ht="13.2">
      <c r="A432" s="65" t="str">
        <f>HYPERLINK("https://joisc2013-day1.contest.atcoder.jp/tasks/joisc2013_collecting","JOISC 13-Collecting")</f>
        <v>JOISC 13-Collecting</v>
      </c>
      <c r="B432" s="20" t="s">
        <v>6795</v>
      </c>
      <c r="C432" s="24">
        <v>5.5</v>
      </c>
      <c r="D432" s="69"/>
      <c r="E432" s="31" t="s">
        <v>1018</v>
      </c>
      <c r="F432" s="37"/>
      <c r="G432" s="67"/>
      <c r="H432" s="67"/>
    </row>
    <row r="433" spans="1:8" ht="13.2">
      <c r="A433" s="65" t="str">
        <f>HYPERLINK("https://oj.uz/problem/view/JOI17_foehn_phenomena","JOI 17-foehnPhenomena")</f>
        <v>JOI 17-foehnPhenomena</v>
      </c>
      <c r="B433" s="23" t="s">
        <v>1027</v>
      </c>
      <c r="C433" s="24">
        <v>5</v>
      </c>
      <c r="D433" s="65" t="str">
        <f>HYPERLINK("https://github.com/nikolapesic2802/Programming-Practice/blob/master/Foehn%20Phenomena/main.cpp","Sol")</f>
        <v>Sol</v>
      </c>
      <c r="E433" s="31" t="s">
        <v>1018</v>
      </c>
      <c r="F433" s="37" t="s">
        <v>139</v>
      </c>
      <c r="G433" s="67"/>
      <c r="H433" s="67"/>
    </row>
    <row r="434" spans="1:8" ht="13.2">
      <c r="A434" s="65" t="str">
        <f>HYPERLINK("https://oj.uz/problem/view/COCI17_deda","COCI 17-deda")</f>
        <v>COCI 17-deda</v>
      </c>
      <c r="B434" s="20" t="s">
        <v>1027</v>
      </c>
      <c r="C434" s="24">
        <v>5</v>
      </c>
      <c r="D434" s="65" t="str">
        <f>HYPERLINK("https://github.com/mostafa-saad/MyCompetitiveProgramming/blob/master/Olympiad/COCI/COCI-17-deda.txt","Sol")</f>
        <v>Sol</v>
      </c>
      <c r="E434" s="31" t="s">
        <v>1018</v>
      </c>
      <c r="F434" s="37" t="s">
        <v>201</v>
      </c>
      <c r="G434" s="67"/>
      <c r="H434" s="67"/>
    </row>
    <row r="435" spans="1:8" ht="13.2">
      <c r="A435" s="65" t="str">
        <f>HYPERLINK("https://oj.uz/problem/view/JOI15_sterilizing","JOIOC 15-sterilizing")</f>
        <v>JOIOC 15-sterilizing</v>
      </c>
      <c r="B435" s="23" t="s">
        <v>1017</v>
      </c>
      <c r="C435" s="24">
        <v>5</v>
      </c>
      <c r="D435" s="65" t="str">
        <f>HYPERLINK("https://github.com/SpeedOfMagic/CompetitiveProgramming/blob/master/JOIOC/15-sterilizing.cpp","Sol")</f>
        <v>Sol</v>
      </c>
      <c r="E435" s="31" t="s">
        <v>1018</v>
      </c>
      <c r="F435" s="37" t="s">
        <v>201</v>
      </c>
      <c r="G435" s="67"/>
      <c r="H435" s="67"/>
    </row>
    <row r="436" spans="1:8" ht="13.2">
      <c r="A436" s="65" t="str">
        <f>HYPERLINK("https://szkopul.edu.pl/problemset/problem/lR_LabSUC2n7EMmDHpw-wk_b/site/", "POI 17-Strikes")</f>
        <v>POI 17-Strikes</v>
      </c>
      <c r="B436" s="37" t="s">
        <v>6796</v>
      </c>
      <c r="C436" s="24">
        <v>5</v>
      </c>
      <c r="D436" s="65" t="str">
        <f>HYPERLINK("https://github.com/Shash-Wat/competitive-programming/blob/master/POI/poi_strike.cpp","Sol (no editorial)")</f>
        <v>Sol (no editorial)</v>
      </c>
      <c r="E436" s="31" t="s">
        <v>1018</v>
      </c>
      <c r="F436" s="37" t="s">
        <v>201</v>
      </c>
      <c r="G436" s="67"/>
      <c r="H436" s="67"/>
    </row>
    <row r="437" spans="1:8" ht="13.2">
      <c r="A437" s="65" t="str">
        <f>HYPERLINK("https://dmoj.ca/problem/coci07c3p6","COCI 07-Redoks")</f>
        <v>COCI 07-Redoks</v>
      </c>
      <c r="B437" s="15" t="s">
        <v>1043</v>
      </c>
      <c r="C437" s="24">
        <v>5</v>
      </c>
      <c r="D437" s="65" t="str">
        <f>HYPERLINK("https://github.com/mostafa-saad/MyCompetitiveProgramming/blob/master/Olympiad/COCI/COCI-07-Redoks.txt","Sol")</f>
        <v>Sol</v>
      </c>
      <c r="E437" s="31" t="s">
        <v>1018</v>
      </c>
      <c r="F437" s="37"/>
      <c r="G437" s="67"/>
      <c r="H437" s="67"/>
    </row>
    <row r="438" spans="1:8" ht="13.2">
      <c r="A438" s="65" t="str">
        <f>HYPERLINK("https://codeforces.com/group/swEqtABRxe/contest/243435/problem/A", "IOIQ 19-r2-A")</f>
        <v>IOIQ 19-r2-A</v>
      </c>
      <c r="B438" s="20" t="s">
        <v>6797</v>
      </c>
      <c r="C438" s="17">
        <v>5</v>
      </c>
      <c r="D438" s="69"/>
      <c r="E438" s="31" t="s">
        <v>1018</v>
      </c>
      <c r="F438" s="37"/>
      <c r="G438" s="67"/>
      <c r="H438" s="67"/>
    </row>
    <row r="439" spans="1:8" ht="13.2">
      <c r="A439" s="65" t="str">
        <f>HYPERLINK("https://wcipeg.com/problem/coci087p6","COI 08-Cvjetici")</f>
        <v>COI 08-Cvjetici</v>
      </c>
      <c r="B439" s="15" t="s">
        <v>6798</v>
      </c>
      <c r="C439" s="24">
        <v>5</v>
      </c>
      <c r="D439" s="65" t="str">
        <f>HYPERLINK("https://github.com/mostafa-saad/MyCompetitiveProgramming/blob/master/Olympiad/COI/COI-08-Cvjetici.txt","Sol")</f>
        <v>Sol</v>
      </c>
      <c r="E439" s="31" t="s">
        <v>1018</v>
      </c>
      <c r="F439" s="37"/>
      <c r="G439" s="67"/>
      <c r="H439" s="67"/>
    </row>
    <row r="440" spans="1:8" ht="13.2">
      <c r="A440" s="65" t="str">
        <f>HYPERLINK("https://csacademy.com/contest/junior-challenge-2017-day-1/task/remove-update","ROJS 17-remove_update")</f>
        <v>ROJS 17-remove_update</v>
      </c>
      <c r="B440" s="37" t="s">
        <v>6799</v>
      </c>
      <c r="C440" s="24">
        <v>5</v>
      </c>
      <c r="D440" s="65" t="str">
        <f>HYPERLINK("https://github.com/nikolapesic2802/Programming-Practice/blob/master/Remove%20Update/main.cpp","Sol")</f>
        <v>Sol</v>
      </c>
      <c r="E440" s="31" t="s">
        <v>1018</v>
      </c>
      <c r="F440" s="37"/>
      <c r="G440" s="67"/>
      <c r="H440" s="67"/>
    </row>
    <row r="441" spans="1:8" ht="13.2">
      <c r="A441" s="65" t="str">
        <f>HYPERLINK("https://dmoj.ca/problem/cco13p2","CCO 13-Tourney")</f>
        <v>CCO 13-Tourney</v>
      </c>
      <c r="B441" s="37" t="s">
        <v>1017</v>
      </c>
      <c r="C441" s="24">
        <v>5</v>
      </c>
      <c r="D441" s="69"/>
      <c r="E441" s="31" t="s">
        <v>1018</v>
      </c>
      <c r="F441" s="37"/>
      <c r="G441" s="67"/>
      <c r="H441" s="67"/>
    </row>
    <row r="442" spans="1:8" ht="13.2">
      <c r="A442" s="65" t="str">
        <f>HYPERLINK("https://dmoj.ca/problem/dmopc18c4p4","DMOPC 18-HenriLabData")</f>
        <v>DMOPC 18-HenriLabData</v>
      </c>
      <c r="B442" s="37" t="s">
        <v>1017</v>
      </c>
      <c r="C442" s="24">
        <v>5</v>
      </c>
      <c r="D442" s="69"/>
      <c r="E442" s="31" t="s">
        <v>1018</v>
      </c>
      <c r="F442" s="37"/>
      <c r="G442" s="67"/>
      <c r="H442" s="67"/>
    </row>
    <row r="443" spans="1:8" ht="13.2">
      <c r="A443" s="65" t="str">
        <f>HYPERLINK("http://usaco.org/index.php?page=viewproblem2&amp;cpid=578", "USACO 15dec-haybales-plat")</f>
        <v>USACO 15dec-haybales-plat</v>
      </c>
      <c r="B443" s="20" t="s">
        <v>1017</v>
      </c>
      <c r="C443" s="21">
        <v>5</v>
      </c>
      <c r="D443" s="69"/>
      <c r="E443" s="31" t="s">
        <v>1018</v>
      </c>
      <c r="F443" s="37"/>
      <c r="G443" s="67"/>
      <c r="H443" s="67"/>
    </row>
    <row r="444" spans="1:8" ht="13.2">
      <c r="A444" s="65" t="str">
        <f>HYPERLINK("https://www.e-olymp.com/en/problems/7482","IZhO 13-Trading")</f>
        <v>IZhO 13-Trading</v>
      </c>
      <c r="B444" s="20" t="s">
        <v>6800</v>
      </c>
      <c r="C444" s="24">
        <v>4.5</v>
      </c>
      <c r="D444" s="65" t="str">
        <f>HYPERLINK("https://github.com/tmwilliamlin168/CompetitiveProgramming/blob/master/IZHO/13-Trading.cpp","Sol")</f>
        <v>Sol</v>
      </c>
      <c r="E444" s="31" t="s">
        <v>1018</v>
      </c>
      <c r="F444" s="37"/>
      <c r="G444" s="67"/>
      <c r="H444" s="67"/>
    </row>
    <row r="445" spans="1:8" ht="13.2">
      <c r="A445" s="65" t="str">
        <f>HYPERLINK("https://csacademy.com/contest/round-80/task/sortall/","ROUSelection 18-sortall")</f>
        <v>ROUSelection 18-sortall</v>
      </c>
      <c r="B445" s="37" t="s">
        <v>6801</v>
      </c>
      <c r="C445" s="24">
        <v>8.5</v>
      </c>
      <c r="D445" s="69"/>
      <c r="E445" s="31" t="s">
        <v>1223</v>
      </c>
      <c r="F445" s="37"/>
      <c r="G445" s="67"/>
      <c r="H445" s="67"/>
    </row>
    <row r="446" spans="1:8" ht="13.2">
      <c r="A446" s="65" t="str">
        <f>HYPERLINK("https://oj.uz/problems/source/6","JOIOC 13-synchronization")</f>
        <v>JOIOC 13-synchronization</v>
      </c>
      <c r="B446" s="15" t="s">
        <v>6802</v>
      </c>
      <c r="C446" s="17">
        <v>7.5</v>
      </c>
      <c r="D446" s="65" t="str">
        <f>HYPERLINK("https://github.com/mostafa-saad/MyCompetitiveProgramming/blob/master/Olympiad/JOI/JOIOC-13-synchronization.txt","Sol")</f>
        <v>Sol</v>
      </c>
      <c r="E446" s="31" t="s">
        <v>1223</v>
      </c>
      <c r="F446" s="37" t="s">
        <v>154</v>
      </c>
      <c r="G446" s="67"/>
      <c r="H446" s="67"/>
    </row>
    <row r="447" spans="1:8" ht="13.2">
      <c r="A447" s="65" t="str">
        <f>HYPERLINK("http://usaco.org/index.php?page=viewproblem2&amp;cpid=865", "USACO 18dec-itoutplat")</f>
        <v>USACO 18dec-itoutplat</v>
      </c>
      <c r="B447" s="20" t="s">
        <v>6803</v>
      </c>
      <c r="C447" s="21">
        <v>7.25</v>
      </c>
      <c r="D447" s="65" t="str">
        <f>HYPERLINK("https://github.com/tmwilliamlin168/CompetitiveProgramming/blob/master/USACO/Contests/1819_1P/Itout.cpp", "Sol")</f>
        <v>Sol</v>
      </c>
      <c r="E447" s="31" t="s">
        <v>1223</v>
      </c>
      <c r="F447" s="37" t="s">
        <v>154</v>
      </c>
      <c r="G447" s="67"/>
      <c r="H447" s="67"/>
    </row>
    <row r="448" spans="1:8" ht="13.2">
      <c r="A448" s="65" t="str">
        <f>HYPERLINK("https://oj.uz/problem/view/COCI16_zoltan","COCI 16-zoltan")</f>
        <v>COCI 16-zoltan</v>
      </c>
      <c r="B448" s="20" t="s">
        <v>6804</v>
      </c>
      <c r="C448" s="24">
        <v>7</v>
      </c>
      <c r="D448" s="65" t="str">
        <f>HYPERLINK("https://github.com/mostafa-saad/MyCompetitiveProgramming/blob/master/Olympiad/COCI/COCI-16-zoltan.txt","Sol")</f>
        <v>Sol</v>
      </c>
      <c r="E448" s="31" t="s">
        <v>1223</v>
      </c>
      <c r="F448" s="37" t="s">
        <v>139</v>
      </c>
      <c r="G448" s="67"/>
      <c r="H448" s="67"/>
    </row>
    <row r="449" spans="1:8" ht="13.2">
      <c r="A449" s="65" t="str">
        <f>HYPERLINK("https://oj.uz/problem/view/COCI18_suncanje","COCI 19-suncanje")</f>
        <v>COCI 19-suncanje</v>
      </c>
      <c r="B449" s="37" t="s">
        <v>6805</v>
      </c>
      <c r="C449" s="17">
        <v>7</v>
      </c>
      <c r="D449" s="65" t="str">
        <f>HYPERLINK("https://github.com/Szawinis/CompetitiveProgramming/blob/master/Olympiad/COCI/COCI18-suncanje.cpp","Sol")</f>
        <v>Sol</v>
      </c>
      <c r="E449" s="31" t="s">
        <v>1223</v>
      </c>
      <c r="F449" s="37" t="s">
        <v>201</v>
      </c>
      <c r="G449" s="67"/>
      <c r="H449" s="67"/>
    </row>
    <row r="450" spans="1:8" ht="13.2">
      <c r="A450" s="65" t="str">
        <f>HYPERLINK("https://oj.uz/problem/view/JOI19_cake3", "JOISC 19-Cake3")</f>
        <v>JOISC 19-Cake3</v>
      </c>
      <c r="B450" s="20" t="s">
        <v>6806</v>
      </c>
      <c r="C450" s="21">
        <v>7</v>
      </c>
      <c r="D450" s="69"/>
      <c r="E450" s="31" t="s">
        <v>1223</v>
      </c>
      <c r="F450" s="37"/>
      <c r="G450" s="67"/>
      <c r="H450" s="67"/>
    </row>
    <row r="451" spans="1:8" ht="13.2">
      <c r="A451" s="65" t="str">
        <f>HYPERLINK("https://joi2013ho.contest.atcoder.jp/tasks/joi2013ho5","JOI 13-BubbleSort")</f>
        <v>JOI 13-BubbleSort</v>
      </c>
      <c r="B451" s="20" t="s">
        <v>6807</v>
      </c>
      <c r="C451" s="24">
        <v>6.8</v>
      </c>
      <c r="D451" s="65" t="str">
        <f>HYPERLINK("https://github.com/mostafa-saad/MyCompetitiveProgramming/blob/master/Olympiad/JOI/JOI-13-BubbleSort.txt","Sol")</f>
        <v>Sol</v>
      </c>
      <c r="E451" s="31" t="s">
        <v>1223</v>
      </c>
      <c r="F451" s="37" t="s">
        <v>154</v>
      </c>
      <c r="G451" s="67"/>
      <c r="H451" s="67"/>
    </row>
    <row r="452" spans="1:8" ht="13.2">
      <c r="A452" s="65" t="str">
        <f>HYPERLINK("http://usaco.org/index.php?page=viewproblem2&amp;cpid=840", "USACO 18mar-sortplat")</f>
        <v>USACO 18mar-sortplat</v>
      </c>
      <c r="B452" s="20" t="s">
        <v>6808</v>
      </c>
      <c r="C452" s="24">
        <v>6.8</v>
      </c>
      <c r="D452" s="69"/>
      <c r="E452" s="31" t="s">
        <v>1223</v>
      </c>
      <c r="F452" s="37" t="s">
        <v>139</v>
      </c>
      <c r="G452" s="67"/>
      <c r="H452" s="67"/>
    </row>
    <row r="453" spans="1:8" ht="13.2">
      <c r="A453" s="65" t="str">
        <f>HYPERLINK("https://oj.uz/problem/view/COI15_ruka","COI 15-ruka")</f>
        <v>COI 15-ruka</v>
      </c>
      <c r="B453" s="20" t="s">
        <v>6809</v>
      </c>
      <c r="C453" s="17">
        <v>6.7</v>
      </c>
      <c r="D453" s="65" t="str">
        <f>HYPERLINK("https://github.com/mostafa-saad/MyCompetitiveProgramming/blob/master/Olympiad/COI/COI-15-ruka.txt","Sol")</f>
        <v>Sol</v>
      </c>
      <c r="E453" s="31" t="s">
        <v>1223</v>
      </c>
      <c r="F453" s="37" t="s">
        <v>154</v>
      </c>
      <c r="G453" s="67"/>
      <c r="H453" s="67"/>
    </row>
    <row r="454" spans="1:8" ht="13.2">
      <c r="A454" s="65" t="str">
        <f>HYPERLINK("https://oj.uz/problem/view/IOI07_pairs","IOI 07-pairs")</f>
        <v>IOI 07-pairs</v>
      </c>
      <c r="B454" s="20" t="s">
        <v>6810</v>
      </c>
      <c r="C454" s="24">
        <v>6.5</v>
      </c>
      <c r="D454" s="65" t="str">
        <f>HYPERLINK("https://github.com/mostafa-saad/MyCompetitiveProgramming/blob/master/Olympiad/IOI/official/2007","Editorial")</f>
        <v>Editorial</v>
      </c>
      <c r="E454" s="31" t="s">
        <v>1223</v>
      </c>
      <c r="F454" s="37" t="s">
        <v>201</v>
      </c>
      <c r="G454" s="67"/>
      <c r="H454" s="67"/>
    </row>
    <row r="455" spans="1:8" ht="13.2">
      <c r="A455" s="65" t="str">
        <f>HYPERLINK("https://oj.uz/problem/view/JOI20_ho_t5","JOI 20-Fire")</f>
        <v>JOI 20-Fire</v>
      </c>
      <c r="B455" s="25" t="s">
        <v>6811</v>
      </c>
      <c r="C455" s="24">
        <v>6.5</v>
      </c>
      <c r="D455" s="65" t="str">
        <f>HYPERLINK("https://github.com/mostafa-saad/MyCompetitiveProgramming/tree/master/Olympiad/JOI/official/JOI/2020","Official Code")</f>
        <v>Official Code</v>
      </c>
      <c r="E455" s="31" t="s">
        <v>1223</v>
      </c>
      <c r="F455" s="37"/>
      <c r="G455" s="67"/>
      <c r="H455" s="67"/>
    </row>
    <row r="456" spans="1:8" ht="13.2">
      <c r="A456" s="65" t="str">
        <f>HYPERLINK("https://joi2016ho.contest.atcoder.jp/tasks/joi2016ho_e","JOI 16-GeologicFault")</f>
        <v>JOI 16-GeologicFault</v>
      </c>
      <c r="B456" s="20" t="s">
        <v>6812</v>
      </c>
      <c r="C456" s="17">
        <v>6.5</v>
      </c>
      <c r="D456" s="69"/>
      <c r="E456" s="31" t="s">
        <v>1223</v>
      </c>
      <c r="F456" s="37"/>
      <c r="G456" s="67"/>
      <c r="H456" s="67"/>
    </row>
    <row r="457" spans="1:8" ht="13.2">
      <c r="A457" s="65" t="str">
        <f>HYPERLINK("http://usaco.org/index.php?page=viewproblem2&amp;cpid=532","USACO 15feb-gold_hopscotch")</f>
        <v>USACO 15feb-gold_hopscotch</v>
      </c>
      <c r="B457" s="20" t="s">
        <v>6813</v>
      </c>
      <c r="C457" s="21">
        <v>6.25</v>
      </c>
      <c r="D457" s="69"/>
      <c r="E457" s="31" t="s">
        <v>1223</v>
      </c>
      <c r="F457" s="37" t="s">
        <v>139</v>
      </c>
      <c r="G457" s="67"/>
      <c r="H457" s="67"/>
    </row>
    <row r="458" spans="1:8" ht="13.2">
      <c r="A458" s="65" t="str">
        <f>HYPERLINK("http://usaco.org/index.php?page=viewproblem2&amp;cpid=624","USACO 16feb-balancing-plat")</f>
        <v>USACO 16feb-balancing-plat</v>
      </c>
      <c r="B458" s="20" t="s">
        <v>6814</v>
      </c>
      <c r="C458" s="24">
        <v>6.25</v>
      </c>
      <c r="D458" s="69"/>
      <c r="E458" s="31" t="s">
        <v>1223</v>
      </c>
      <c r="F458" s="37" t="s">
        <v>139</v>
      </c>
      <c r="G458" s="67"/>
      <c r="H458" s="67"/>
    </row>
    <row r="459" spans="1:8" ht="13.2">
      <c r="A459" s="65" t="str">
        <f>HYPERLINK("https://oj.uz/problem/view/COCI15_vudu","COCI 15-vudu")</f>
        <v>COCI 15-vudu</v>
      </c>
      <c r="B459" s="20" t="s">
        <v>6815</v>
      </c>
      <c r="C459" s="24">
        <v>6</v>
      </c>
      <c r="D459" s="65" t="str">
        <f>HYPERLINK("https://github.com/mostafa-saad/MyCompetitiveProgramming/blob/master/Olympiad/JOI/COCI/COCI-15-vudu.txt","Sol")</f>
        <v>Sol</v>
      </c>
      <c r="E459" s="31" t="s">
        <v>1223</v>
      </c>
      <c r="F459" s="37" t="s">
        <v>154</v>
      </c>
      <c r="G459" s="67"/>
      <c r="H459" s="67"/>
    </row>
    <row r="460" spans="1:8" ht="13.2">
      <c r="A460" s="65" t="str">
        <f>HYPERLINK("http://usaco.org/index.php?page=viewproblem2&amp;cpid=722", "USACO 17feb-friendcross-plat")</f>
        <v>USACO 17feb-friendcross-plat</v>
      </c>
      <c r="B460" s="20" t="s">
        <v>6816</v>
      </c>
      <c r="C460" s="21">
        <v>6</v>
      </c>
      <c r="D460" s="65" t="str">
        <f>HYPERLINK("https://github.com/MohamedAhmed04/Competitive-programming/blob/master/USACO/17-February-Platinum-WhyDidTheCowCrossTheRoadIII.cpp","Sol")</f>
        <v>Sol</v>
      </c>
      <c r="E460" s="31" t="s">
        <v>1223</v>
      </c>
      <c r="F460" s="37" t="s">
        <v>139</v>
      </c>
      <c r="G460" s="67"/>
      <c r="H460" s="67"/>
    </row>
    <row r="461" spans="1:8" ht="13.2">
      <c r="A461" s="65" t="str">
        <f>HYPERLINK("http://usaco.org/index.php?page=viewproblem2&amp;cpid=696", "USACO 17jan-promote-plat")</f>
        <v>USACO 17jan-promote-plat</v>
      </c>
      <c r="B461" s="20" t="s">
        <v>6817</v>
      </c>
      <c r="C461" s="21">
        <v>5.5</v>
      </c>
      <c r="D461" s="69"/>
      <c r="E461" s="31" t="s">
        <v>1223</v>
      </c>
      <c r="F461" s="37"/>
      <c r="G461" s="67"/>
      <c r="H461" s="67"/>
    </row>
    <row r="462" spans="1:8" ht="13.2">
      <c r="A462" s="65" t="str">
        <f>HYPERLINK("http://usaco.org/index.php?page=viewproblem2&amp;cpid=91", "USACO 11nov-median-gold")</f>
        <v>USACO 11nov-median-gold</v>
      </c>
      <c r="B462" s="20" t="s">
        <v>1222</v>
      </c>
      <c r="C462" s="21">
        <v>5.5</v>
      </c>
      <c r="D462" s="69"/>
      <c r="E462" s="31" t="s">
        <v>1223</v>
      </c>
      <c r="F462" s="37"/>
      <c r="G462" s="67"/>
      <c r="H462" s="67"/>
    </row>
    <row r="463" spans="1:8" ht="13.2">
      <c r="A463" s="65" t="str">
        <f>HYPERLINK("https://dmoj.ca/problem/coci07c2p4","COCI 07-Turbo")</f>
        <v>COCI 07-Turbo</v>
      </c>
      <c r="B463" s="15" t="s">
        <v>1222</v>
      </c>
      <c r="C463" s="24">
        <v>5.25</v>
      </c>
      <c r="D463" s="65" t="str">
        <f>HYPERLINK("https://github.com/mostafa-saad/MyCompetitiveProgramming/tree/master/Olympiad/COCI/official/2008/contest2_solutions","Editorial")</f>
        <v>Editorial</v>
      </c>
      <c r="E463" s="31" t="s">
        <v>1223</v>
      </c>
      <c r="F463" s="37" t="s">
        <v>139</v>
      </c>
      <c r="G463" s="67"/>
      <c r="H463" s="67"/>
    </row>
    <row r="464" spans="1:8" ht="13.2">
      <c r="A464" s="65" t="str">
        <f>HYPERLINK("https://cses.fi/231/task/C","Datatähti Open19-C")</f>
        <v>Datatähti Open19-C</v>
      </c>
      <c r="B464" s="20" t="s">
        <v>6818</v>
      </c>
      <c r="C464" s="24">
        <v>5</v>
      </c>
      <c r="D464" s="69"/>
      <c r="E464" s="31" t="s">
        <v>1223</v>
      </c>
      <c r="F464" s="37" t="s">
        <v>139</v>
      </c>
      <c r="G464" s="67"/>
      <c r="H464" s="67"/>
    </row>
    <row r="465" spans="1:8" ht="13.2">
      <c r="A465" s="65" t="str">
        <f>HYPERLINK("https://oj.uz/problem/view/COCI17_krov","COCI 17-krov")</f>
        <v>COCI 17-krov</v>
      </c>
      <c r="B465" s="20" t="s">
        <v>6819</v>
      </c>
      <c r="C465" s="24">
        <v>5</v>
      </c>
      <c r="D465" s="69"/>
      <c r="E465" s="31" t="s">
        <v>1223</v>
      </c>
      <c r="F465" s="37" t="s">
        <v>201</v>
      </c>
      <c r="G465" s="67"/>
      <c r="H465" s="67"/>
    </row>
    <row r="466" spans="1:8" ht="13.2">
      <c r="A466" s="65" t="str">
        <f>HYPERLINK("https://wcipeg.com/problem/coci063p4","COCI 06-Tenkici")</f>
        <v>COCI 06-Tenkici</v>
      </c>
      <c r="B466" s="15" t="s">
        <v>6820</v>
      </c>
      <c r="C466" s="24">
        <v>5</v>
      </c>
      <c r="D466" s="65" t="str">
        <f>HYPERLINK("https://github.com/mostafa-saad/MyCompetitiveProgramming/blob/master/Olympiad/CEOI/COCI-06-Tenkici","Sol")</f>
        <v>Sol</v>
      </c>
      <c r="E466" s="31" t="s">
        <v>1223</v>
      </c>
      <c r="F466" s="37" t="s">
        <v>201</v>
      </c>
      <c r="G466" s="67"/>
      <c r="H466" s="67"/>
    </row>
    <row r="467" spans="1:8" ht="13.2">
      <c r="A467" s="65" t="str">
        <f>HYPERLINK("https://oj.uz/problem/view/IZhO17_game","IZhO 17-GAME")</f>
        <v>IZhO 17-GAME</v>
      </c>
      <c r="B467" s="20" t="s">
        <v>1222</v>
      </c>
      <c r="C467" s="24">
        <v>5</v>
      </c>
      <c r="D467" s="69"/>
      <c r="E467" s="31" t="s">
        <v>1223</v>
      </c>
      <c r="F467" s="37"/>
      <c r="G467" s="67"/>
      <c r="H467" s="67"/>
    </row>
    <row r="468" spans="1:8" ht="13.2">
      <c r="A468" s="65" t="str">
        <f>HYPERLINK("http://usaco.org/index.php?page=viewproblem2&amp;cpid=102", "USACO 11dec-grassplant-gold")</f>
        <v>USACO 11dec-grassplant-gold</v>
      </c>
      <c r="B468" s="20" t="s">
        <v>6821</v>
      </c>
      <c r="C468" s="21">
        <v>5</v>
      </c>
      <c r="D468" s="69"/>
      <c r="E468" s="31" t="s">
        <v>1223</v>
      </c>
      <c r="F468" s="37"/>
      <c r="G468" s="67"/>
      <c r="H468" s="67"/>
    </row>
    <row r="469" spans="1:8" ht="13.2">
      <c r="A469" s="65" t="str">
        <f>HYPERLINK("https://oj.uz/problem/view/IZhO19_sortbooks","IZhO 19-sortbooks")</f>
        <v>IZhO 19-sortbooks</v>
      </c>
      <c r="B469" s="20" t="s">
        <v>1222</v>
      </c>
      <c r="C469" s="24">
        <v>5</v>
      </c>
      <c r="D469" s="69"/>
      <c r="E469" s="31" t="s">
        <v>1223</v>
      </c>
      <c r="F469" s="37"/>
      <c r="G469" s="67"/>
      <c r="H469" s="67"/>
    </row>
    <row r="470" spans="1:8" ht="13.2">
      <c r="A470" s="65" t="str">
        <f>HYPERLINK("https://www.infoarena.ro/problema/nrsec","infoarena nrsec")</f>
        <v>infoarena nrsec</v>
      </c>
      <c r="B470" s="20" t="s">
        <v>1273</v>
      </c>
      <c r="C470" s="21">
        <v>4.5</v>
      </c>
      <c r="D470" s="65" t="str">
        <f>HYPERLINK("https://github.com/stefdasca/CompetitiveProgramming/blob/master/Infoarena/nrsec.cpp","Sol")</f>
        <v>Sol</v>
      </c>
      <c r="E470" s="31" t="s">
        <v>1223</v>
      </c>
      <c r="F470" s="37"/>
      <c r="G470" s="67"/>
      <c r="H470" s="67"/>
    </row>
    <row r="471" spans="1:8" ht="13.2">
      <c r="A471" s="65" t="str">
        <f>HYPERLINK("https://dmoj.ca/problem/ioi01p1","IOI 01-mobile")</f>
        <v>IOI 01-mobile</v>
      </c>
      <c r="B471" s="20" t="s">
        <v>1329</v>
      </c>
      <c r="C471" s="24">
        <v>4.5</v>
      </c>
      <c r="D471" s="65" t="str">
        <f>HYPERLINK("https://github.com/mostafa-saad/MyCompetitiveProgramming/blob/master/Olympiad/IOI/official/2001","Editorial")</f>
        <v>Editorial</v>
      </c>
      <c r="E471" s="31" t="s">
        <v>1223</v>
      </c>
      <c r="F471" s="37"/>
      <c r="G471" s="67"/>
      <c r="H471" s="67"/>
    </row>
    <row r="472" spans="1:8" ht="13.2">
      <c r="A472" s="65" t="str">
        <f>HYPERLINK("https://szkopul.edu.pl/problemset/problem/-MwFkVBU5fdldohfNl-xSjHa/site/", "POI 09-Algorithm_Speedup")</f>
        <v>POI 09-Algorithm_Speedup</v>
      </c>
      <c r="B472" s="37" t="s">
        <v>6822</v>
      </c>
      <c r="C472" s="24">
        <v>8</v>
      </c>
      <c r="D472" s="65" t="str">
        <f>HYPERLINK("https://github.com/mostafa-saad/MyCompetitiveProgramming/blob/master/Olympiad/POI/official/find_editorial_sols_guidelines.txt","Editorial")</f>
        <v>Editorial</v>
      </c>
      <c r="E472" s="31" t="s">
        <v>1337</v>
      </c>
      <c r="F472" s="37"/>
      <c r="G472" s="67"/>
      <c r="H472" s="67"/>
    </row>
    <row r="473" spans="1:8" ht="13.2">
      <c r="A473" s="65" t="str">
        <f>HYPERLINK("https://oj.uz/problem/view/COI17_trapezi","COI 17-trapezi")</f>
        <v>COI 17-trapezi</v>
      </c>
      <c r="B473" s="20" t="s">
        <v>6823</v>
      </c>
      <c r="C473" s="24">
        <v>7.75</v>
      </c>
      <c r="D473" s="65" t="str">
        <f>HYPERLINK("https://codeforces.com/blog/entry/51198","Sol by ko_osaga")</f>
        <v>Sol by ko_osaga</v>
      </c>
      <c r="E473" s="31" t="s">
        <v>1337</v>
      </c>
      <c r="F473" s="37"/>
      <c r="G473" s="67"/>
      <c r="H473" s="67"/>
    </row>
    <row r="474" spans="1:8" ht="13.2">
      <c r="A474" s="65" t="str">
        <f>HYPERLINK("https://oj.uz/problem/view/APIO16_fireworks","APIO 16-fireworks")</f>
        <v>APIO 16-fireworks</v>
      </c>
      <c r="B474" s="15" t="s">
        <v>6824</v>
      </c>
      <c r="C474" s="24">
        <v>7.5</v>
      </c>
      <c r="D474" s="65" t="str">
        <f>HYPERLINK("https://github.com/mostafa-saad/MyCompetitiveProgramming/blob/master/Olympiad/APIO/APIO-16-fireworks.txt","Sol")</f>
        <v>Sol</v>
      </c>
      <c r="E474" s="31" t="s">
        <v>1337</v>
      </c>
      <c r="F474" s="37" t="s">
        <v>173</v>
      </c>
      <c r="G474" s="67"/>
      <c r="H474" s="67"/>
    </row>
    <row r="475" spans="1:8" ht="13.2">
      <c r="A475" s="65" t="str">
        <f>HYPERLINK("https://oj.uz/problem/view/BOI13_vim","Baltic 13-vim")</f>
        <v>Baltic 13-vim</v>
      </c>
      <c r="B475" s="20" t="s">
        <v>1348</v>
      </c>
      <c r="C475" s="24">
        <v>7.5</v>
      </c>
      <c r="D475" s="65" t="str">
        <f>HYPERLINK("https://github.com/mostafa-saad/MyCompetitiveProgramming/blob/master/Olympiad/Baltic/Baltic-13-vim.txt","Sol")</f>
        <v>Sol</v>
      </c>
      <c r="E475" s="31" t="s">
        <v>1337</v>
      </c>
      <c r="F475" s="37" t="s">
        <v>154</v>
      </c>
      <c r="G475" s="67"/>
      <c r="H475" s="67"/>
    </row>
    <row r="476" spans="1:8" ht="13.2">
      <c r="A476" s="65" t="str">
        <f>HYPERLINK("https://cses.fi/111/list/","Baltic 07-Sorting")</f>
        <v>Baltic 07-Sorting</v>
      </c>
      <c r="B476" s="37" t="s">
        <v>6825</v>
      </c>
      <c r="C476" s="24">
        <v>7.5</v>
      </c>
      <c r="D476" s="65" t="str">
        <f>HYPERLINK("https://github.com/mostafa-saad/MyCompetitiveProgramming/blob/master/Olympiad/Baltic/official/boi2007_solutions","Editorial")</f>
        <v>Editorial</v>
      </c>
      <c r="E476" s="31" t="s">
        <v>1337</v>
      </c>
      <c r="F476" s="37" t="s">
        <v>154</v>
      </c>
      <c r="G476" s="67"/>
      <c r="H476" s="67"/>
    </row>
    <row r="477" spans="1:8" ht="13.2">
      <c r="A477" s="65" t="str">
        <f>HYPERLINK("https://oj.uz/problem/view/JOI19_dishes", "JOISC 19-Dishes")</f>
        <v>JOISC 19-Dishes</v>
      </c>
      <c r="B477" s="20" t="s">
        <v>1561</v>
      </c>
      <c r="C477" s="21">
        <v>7.5</v>
      </c>
      <c r="D477" s="69"/>
      <c r="E477" s="31" t="s">
        <v>1337</v>
      </c>
      <c r="F477" s="37" t="s">
        <v>139</v>
      </c>
      <c r="G477" s="67"/>
      <c r="H477" s="67"/>
    </row>
    <row r="478" spans="1:8" ht="13.2">
      <c r="A478" s="65" t="str">
        <f>HYPERLINK("https://szkopul.edu.pl/problemset/problem/kYVp05sX8lzHWNwn93xjcYwH/site/", "POI 15-Car")</f>
        <v>POI 15-Car</v>
      </c>
      <c r="B478" s="37" t="s">
        <v>1348</v>
      </c>
      <c r="C478" s="24">
        <v>7.5</v>
      </c>
      <c r="D478" s="65" t="str">
        <f>HYPERLINK("https://github.com/mostafa-saad/MyCompetitiveProgramming/blob/master/Olympiad/POI/official/find_editorial_sols_guidelines.txt","Editorial")</f>
        <v>Editorial</v>
      </c>
      <c r="E478" s="31" t="s">
        <v>1337</v>
      </c>
      <c r="F478" s="37"/>
      <c r="G478" s="67"/>
      <c r="H478" s="67"/>
    </row>
    <row r="479" spans="1:8" ht="13.2">
      <c r="A479" s="65" t="str">
        <f>HYPERLINK("https://cses.fi/108/list/","Baltic 09-Monument")</f>
        <v>Baltic 09-Monument</v>
      </c>
      <c r="B479" s="37" t="s">
        <v>6826</v>
      </c>
      <c r="C479" s="24">
        <v>7.25</v>
      </c>
      <c r="D479" s="65" t="str">
        <f>HYPERLINK("https://github.com/mostafa-saad/MyCompetitiveProgramming/blob/master/Olympiad/Baltic/Baltic-09-Monument.txt","Sol")</f>
        <v>Sol</v>
      </c>
      <c r="E479" s="31" t="s">
        <v>1337</v>
      </c>
      <c r="F479" s="37" t="s">
        <v>139</v>
      </c>
      <c r="G479" s="67"/>
      <c r="H479" s="67"/>
    </row>
    <row r="480" spans="1:8" ht="13.2">
      <c r="A480" s="65" t="str">
        <f>HYPERLINK("https://wcipeg.com/problem/coi09p3","COI 09-Loza")</f>
        <v>COI 09-Loza</v>
      </c>
      <c r="B480" s="23" t="s">
        <v>6827</v>
      </c>
      <c r="C480" s="24">
        <v>7.25</v>
      </c>
      <c r="D480" s="65" t="str">
        <f>HYPERLINK("https://github.com/mostafa-saad/MyCompetitiveProgramming/blob/master/Olympiad/COI/COI-09-Loza.txt","Sol")</f>
        <v>Sol</v>
      </c>
      <c r="E480" s="31" t="s">
        <v>1337</v>
      </c>
      <c r="F480" s="37" t="s">
        <v>139</v>
      </c>
      <c r="G480" s="67"/>
      <c r="H480" s="67"/>
    </row>
    <row r="481" spans="1:8" ht="13.2">
      <c r="A481" s="65" t="str">
        <f>HYPERLINK("https://dmoj.ca/problem/coci08c1p6","COCI 08-Krtica")</f>
        <v>COCI 08-Krtica</v>
      </c>
      <c r="B481" s="15" t="s">
        <v>6828</v>
      </c>
      <c r="C481" s="24">
        <v>7.25</v>
      </c>
      <c r="D481" s="65" t="str">
        <f>HYPERLINK("https://github.com/mostafa-saad/MyCompetitiveProgramming/blob/master/Olympiad/COCI/COCI-08-Krtica.txt","Sol")</f>
        <v>Sol</v>
      </c>
      <c r="E481" s="31" t="s">
        <v>1337</v>
      </c>
      <c r="F481" s="37"/>
      <c r="G481" s="67"/>
      <c r="H481" s="67"/>
    </row>
    <row r="482" spans="1:8" ht="13.2">
      <c r="A482" s="65" t="str">
        <f>HYPERLINK("https://oj.uz/problem/view/BOI19_necklace4","Baltic 19-necklace4")</f>
        <v>Baltic 19-necklace4</v>
      </c>
      <c r="B482" s="37" t="s">
        <v>6829</v>
      </c>
      <c r="C482" s="24">
        <v>7.25</v>
      </c>
      <c r="D482" s="65" t="str">
        <f>HYPERLINK("https://github.com/mostafa-saad/MyCompetitiveProgramming/tree/master/Olympiad/Baltic/official/boi2019_solutions","Editorial")</f>
        <v>Editorial</v>
      </c>
      <c r="E482" s="31" t="s">
        <v>1337</v>
      </c>
      <c r="F482" s="37"/>
      <c r="G482" s="67"/>
      <c r="H482" s="67"/>
    </row>
    <row r="483" spans="1:8" ht="13.2">
      <c r="A483" s="65" t="str">
        <f>HYPERLINK("https://csacademy.com/contest/balkan-oi-2017-day-2/","Balkan 17-Cats")</f>
        <v>Balkan 17-Cats</v>
      </c>
      <c r="B483" s="18" t="s">
        <v>6830</v>
      </c>
      <c r="C483" s="17">
        <v>7.1</v>
      </c>
      <c r="D483" s="65" t="str">
        <f>HYPERLINK("https://github.com/mostafa-saad/MyCompetitiveProgramming/blob/master/Olympiad/Balkan/Balkan-17-Cats.txt","Sol")</f>
        <v>Sol</v>
      </c>
      <c r="E483" s="31" t="s">
        <v>1337</v>
      </c>
      <c r="F483" s="37" t="s">
        <v>1053</v>
      </c>
      <c r="G483" s="67"/>
      <c r="H483" s="67"/>
    </row>
    <row r="484" spans="1:8" ht="13.2">
      <c r="A484" s="65" t="str">
        <f>HYPERLINK("https://oj.uz/problem/view/IOI17_wiring","IOI 17-wiring")</f>
        <v>IOI 17-wiring</v>
      </c>
      <c r="B484" s="15" t="s">
        <v>6831</v>
      </c>
      <c r="C484" s="17">
        <v>7.1</v>
      </c>
      <c r="D484" s="65" t="str">
        <f>HYPERLINK("https://github.com/mostafa-saad/MyCompetitiveProgramming/blob/master/Olympiad/IOI/IOI-17-wiring.txt","Sol")</f>
        <v>Sol</v>
      </c>
      <c r="E484" s="31" t="s">
        <v>1337</v>
      </c>
      <c r="F484" s="37" t="s">
        <v>139</v>
      </c>
      <c r="G484" s="67"/>
      <c r="H484" s="67"/>
    </row>
    <row r="485" spans="1:8" ht="13.2">
      <c r="A485" s="65" t="str">
        <f>HYPERLINK("https://csacademy.com/contest/junior-challenge-2017-day-1/task/chromatic-number/","ROJS 17-chromatic_number")</f>
        <v>ROJS 17-chromatic_number</v>
      </c>
      <c r="B485" s="37" t="s">
        <v>6832</v>
      </c>
      <c r="C485" s="24">
        <v>7.1</v>
      </c>
      <c r="D485" s="69"/>
      <c r="E485" s="31" t="s">
        <v>1337</v>
      </c>
      <c r="F485" s="37"/>
      <c r="G485" s="67"/>
      <c r="H485" s="67"/>
    </row>
    <row r="486" spans="1:8" ht="13.2">
      <c r="A486" s="65" t="str">
        <f>HYPERLINK("https://cses.fi/180/list/","CEOI 09-Sorting")</f>
        <v>CEOI 09-Sorting</v>
      </c>
      <c r="B486" s="20" t="s">
        <v>1348</v>
      </c>
      <c r="C486" s="24">
        <v>7</v>
      </c>
      <c r="D486" s="65" t="str">
        <f>HYPERLINK("https://github.com/mostafa-saad/MyCompetitiveProgramming/blob/master/Olympiad/CEOI/CEOI-09-Sorting.txt","Sol")</f>
        <v>Sol</v>
      </c>
      <c r="E486" s="31" t="s">
        <v>1337</v>
      </c>
      <c r="F486" s="37" t="s">
        <v>139</v>
      </c>
      <c r="G486" s="67"/>
      <c r="H486" s="67"/>
    </row>
    <row r="487" spans="1:8" ht="13.2">
      <c r="A487" s="65" t="str">
        <f>HYPERLINK("oj.uz/problem/view/LMIO19_bulves", "LMIO 19-bulves")</f>
        <v>LMIO 19-bulves</v>
      </c>
      <c r="B487" s="37" t="s">
        <v>6833</v>
      </c>
      <c r="C487" s="24">
        <v>7</v>
      </c>
      <c r="D487" s="65" t="str">
        <f>HYPERLINK("https://github.com/dolphingarlic/CompetitiveProgramming/blob/master/LMIO/LMIO%2019-bulves.cpp", "Sol")</f>
        <v>Sol</v>
      </c>
      <c r="E487" s="31" t="s">
        <v>1337</v>
      </c>
      <c r="F487" s="37" t="s">
        <v>139</v>
      </c>
      <c r="G487" s="67"/>
      <c r="H487" s="67"/>
    </row>
    <row r="488" spans="1:8" ht="13.2">
      <c r="A488" s="65" t="str">
        <f>HYPERLINK("https://oj.uz/problem/view/BOI18_homecoming","Balkan 18-homecoming")</f>
        <v>Balkan 18-homecoming</v>
      </c>
      <c r="B488" s="20" t="s">
        <v>1384</v>
      </c>
      <c r="C488" s="17">
        <v>7</v>
      </c>
      <c r="D488" s="69" t="s">
        <v>7810</v>
      </c>
      <c r="E488" s="31" t="s">
        <v>1337</v>
      </c>
      <c r="F488" s="37"/>
      <c r="G488" s="67"/>
      <c r="H488" s="67"/>
    </row>
    <row r="489" spans="1:8" ht="13.2">
      <c r="A489" s="65" t="str">
        <f>HYPERLINK("https://cses.fi/185/list/","CEOI 06-Walk")</f>
        <v>CEOI 06-Walk</v>
      </c>
      <c r="B489" s="20" t="s">
        <v>6834</v>
      </c>
      <c r="C489" s="24">
        <v>7</v>
      </c>
      <c r="D489" s="65" t="str">
        <f>HYPERLINK("https://github.com/mostafa-saad/MyCompetitiveProgramming/blob/master/Olympiad/CEOI/CEOI-06-Walk.txt","Sol")</f>
        <v>Sol</v>
      </c>
      <c r="E489" s="31" t="s">
        <v>1337</v>
      </c>
      <c r="F489" s="37"/>
      <c r="G489" s="67"/>
      <c r="H489" s="67"/>
    </row>
    <row r="490" spans="1:8" ht="13.2">
      <c r="A490" s="65" t="str">
        <f>HYPERLINK("https://www.infoarena.ro/problema/cladiri","infoarena cladiri")</f>
        <v>infoarena cladiri</v>
      </c>
      <c r="B490" s="20" t="s">
        <v>6835</v>
      </c>
      <c r="C490" s="17">
        <v>7</v>
      </c>
      <c r="D490" s="65" t="str">
        <f>HYPERLINK("https://github.com/stefdasca/CompetitiveProgramming/blob/master/Infoarena/cladiri.cpp","Sol")</f>
        <v>Sol</v>
      </c>
      <c r="E490" s="31" t="s">
        <v>1337</v>
      </c>
      <c r="F490" s="37"/>
      <c r="G490" s="67"/>
      <c r="H490" s="67"/>
    </row>
    <row r="491" spans="1:8" ht="13.2">
      <c r="A491" s="65" t="str">
        <f>HYPERLINK("https://www.infoarena.ro/problema/zuma","infoarena zuma")</f>
        <v>infoarena zuma</v>
      </c>
      <c r="B491" s="20" t="s">
        <v>6836</v>
      </c>
      <c r="C491" s="17">
        <v>7</v>
      </c>
      <c r="D491" s="65" t="str">
        <f>HYPERLINK("https://github.com/stefdasca/CompetitiveProgramming/blob/master/Infoarena/zuma.cpp","Sol")</f>
        <v>Sol</v>
      </c>
      <c r="E491" s="31" t="s">
        <v>1337</v>
      </c>
      <c r="F491" s="37"/>
      <c r="G491" s="67"/>
      <c r="H491" s="67"/>
    </row>
    <row r="492" spans="1:8" ht="13.2">
      <c r="A492" s="65" t="str">
        <f>HYPERLINK("https://dunjudge.me/analysis/problems/543/","COI 10-kamion")</f>
        <v>COI 10-kamion</v>
      </c>
      <c r="B492" s="20" t="s">
        <v>1348</v>
      </c>
      <c r="C492" s="24">
        <v>7</v>
      </c>
      <c r="D492" s="65" t="str">
        <f>HYPERLINK("https://github.com/mostafa-saad/MyCompetitiveProgramming/blob/master/Olympiad/COI/COI-10-kamion.txt","Sol")</f>
        <v>Sol</v>
      </c>
      <c r="E492" s="31" t="s">
        <v>1337</v>
      </c>
      <c r="F492" s="37"/>
      <c r="G492" s="67"/>
      <c r="H492" s="67"/>
    </row>
    <row r="493" spans="1:8" ht="13.2">
      <c r="A493" s="65" t="str">
        <f>HYPERLINK("https://oj.uz/problem/view/BOI15_tug","Baltic 15-tug")</f>
        <v>Baltic 15-tug</v>
      </c>
      <c r="B493" s="23" t="s">
        <v>6837</v>
      </c>
      <c r="C493" s="24">
        <v>6.8</v>
      </c>
      <c r="D493" s="65" t="str">
        <f>HYPERLINK("https://github.com/mostafa-saad/MyCompetitiveProgramming/blob/master/Olympiad/Baltic/Baltic-15-tug.txt","Sol")</f>
        <v>Sol</v>
      </c>
      <c r="E493" s="31" t="s">
        <v>1337</v>
      </c>
      <c r="F493" s="37" t="s">
        <v>139</v>
      </c>
      <c r="G493" s="67"/>
      <c r="H493" s="67"/>
    </row>
    <row r="494" spans="1:8" ht="13.2">
      <c r="A494" s="65" t="str">
        <f>HYPERLINK("https://wcipeg.com/problem/coi08p1","COI 08-Izbori")</f>
        <v>COI 08-Izbori</v>
      </c>
      <c r="B494" s="37" t="s">
        <v>1374</v>
      </c>
      <c r="C494" s="24">
        <v>6.8</v>
      </c>
      <c r="D494" s="65" t="str">
        <f>HYPERLINK("https://github.com/mostafa-saad/MyCompetitiveProgramming/blob/master/Olympiad/COI/COI-08-Izbori.txt","Sol")</f>
        <v>Sol</v>
      </c>
      <c r="E494" s="31" t="s">
        <v>1337</v>
      </c>
      <c r="F494" s="37" t="s">
        <v>139</v>
      </c>
      <c r="G494" s="67"/>
      <c r="H494" s="67"/>
    </row>
    <row r="495" spans="1:8" ht="13.2">
      <c r="A495" s="65" t="str">
        <f>HYPERLINK("https://oj.uz/problem/view/IZhO19_segments","IZhO 19-segments")</f>
        <v>IZhO 19-segments</v>
      </c>
      <c r="B495" s="20" t="s">
        <v>6838</v>
      </c>
      <c r="C495" s="24">
        <v>6.75</v>
      </c>
      <c r="D495" s="65" t="str">
        <f>HYPERLINK("https://github.com/stefdasca/CompetitiveProgramming/blob/master/IZhO/IZhO%2019-segments.cpp","Sol. See Solution E notes in codeforces")</f>
        <v>Sol. See Solution E notes in codeforces</v>
      </c>
      <c r="E495" s="31" t="s">
        <v>1337</v>
      </c>
      <c r="F495" s="37" t="s">
        <v>196</v>
      </c>
      <c r="G495" s="67"/>
      <c r="H495" s="67"/>
    </row>
    <row r="496" spans="1:8" ht="13.2">
      <c r="A496" s="65" t="str">
        <f>HYPERLINK("https://www.infoarena.ro/problema/fft2d","infoarena fft2d")</f>
        <v>infoarena fft2d</v>
      </c>
      <c r="B496" s="20" t="s">
        <v>6839</v>
      </c>
      <c r="C496" s="21">
        <v>6.75</v>
      </c>
      <c r="D496" s="65" t="str">
        <f>HYPERLINK("https://github.com/mostafa-saad/MyCompetitiveProgramming/blob/master/Olympiad/infoarena/infoarena_fft2d.txt","Sol")</f>
        <v>Sol</v>
      </c>
      <c r="E496" s="31" t="s">
        <v>1337</v>
      </c>
      <c r="F496" s="37" t="s">
        <v>139</v>
      </c>
      <c r="G496" s="67"/>
      <c r="H496" s="67"/>
    </row>
    <row r="497" spans="1:8" ht="13.2">
      <c r="A497" s="65" t="str">
        <f>HYPERLINK("https://www.infoarena.ro/problema/turnuri","infoarena turnuri")</f>
        <v>infoarena turnuri</v>
      </c>
      <c r="B497" s="20" t="s">
        <v>6840</v>
      </c>
      <c r="C497" s="24">
        <v>6.75</v>
      </c>
      <c r="D497" s="65" t="str">
        <f>HYPERLINK("https://github.com/mostafa-saad/MyCompetitiveProgramming/blob/master/Olympiad/infoarena/infoarena_turnuri.txt","Sol")</f>
        <v>Sol</v>
      </c>
      <c r="E497" s="31" t="s">
        <v>1337</v>
      </c>
      <c r="F497" s="37" t="s">
        <v>139</v>
      </c>
      <c r="G497" s="67"/>
      <c r="H497" s="67"/>
    </row>
    <row r="498" spans="1:8" ht="13.2">
      <c r="A498" s="65" t="str">
        <f>HYPERLINK("https://oj.uz/problem/view/JOI17_abduction2","JOISC 17-abduction2")</f>
        <v>JOISC 17-abduction2</v>
      </c>
      <c r="B498" s="20" t="s">
        <v>6841</v>
      </c>
      <c r="C498" s="24">
        <v>6.75</v>
      </c>
      <c r="D498" s="65" t="str">
        <f>HYPERLINK("https://github.com/mostafa-saad/MyCompetitiveProgramming/blob/master/Olympiad/JOI/JOISC-17-abduction2.txt","Sol")</f>
        <v>Sol</v>
      </c>
      <c r="E498" s="31" t="s">
        <v>1337</v>
      </c>
      <c r="F498" s="37" t="s">
        <v>139</v>
      </c>
      <c r="G498" s="67"/>
      <c r="H498" s="67"/>
    </row>
    <row r="499" spans="1:8" ht="13.2">
      <c r="A499" s="65" t="str">
        <f>HYPERLINK("https://www.infoarena.ro/problema/matcnt", "infoarena matcnt")</f>
        <v>infoarena matcnt</v>
      </c>
      <c r="B499" s="20" t="s">
        <v>1406</v>
      </c>
      <c r="C499" s="17">
        <v>6.75</v>
      </c>
      <c r="D499" s="65" t="str">
        <f>HYPERLINK("https://github.com/mostafa-saad/MyCompetitiveProgramming/blob/master/Olympiad/infoarena/infoarena_matcnt.txt","Sol")</f>
        <v>Sol</v>
      </c>
      <c r="E499" s="31" t="s">
        <v>1337</v>
      </c>
      <c r="F499" s="37" t="s">
        <v>139</v>
      </c>
      <c r="G499" s="67"/>
      <c r="H499" s="67"/>
    </row>
    <row r="500" spans="1:8" ht="13.2">
      <c r="A500" s="65" t="str">
        <f>HYPERLINK("https://oj.uz/problems/source/313","JOISC 18-tents")</f>
        <v>JOISC 18-tents</v>
      </c>
      <c r="B500" s="18" t="s">
        <v>6842</v>
      </c>
      <c r="C500" s="17">
        <v>6.75</v>
      </c>
      <c r="D500" s="65" t="str">
        <f>HYPERLINK("https://codeforces.com/blog/entry/58433","sol (See reality420 reply on problem C)")</f>
        <v>sol (See reality420 reply on problem C)</v>
      </c>
      <c r="E500" s="31" t="s">
        <v>1337</v>
      </c>
      <c r="F500" s="37"/>
      <c r="G500" s="67"/>
      <c r="H500" s="67"/>
    </row>
    <row r="501" spans="1:8" ht="13.2">
      <c r="A501" s="65" t="str">
        <f>HYPERLINK("https://szkopul.edu.pl/problemset/problem/5UgslCU-C5vsermqgJGm_C5A/site/", "POI 07-Quaternary")</f>
        <v>POI 07-Quaternary</v>
      </c>
      <c r="B501" s="37" t="s">
        <v>6843</v>
      </c>
      <c r="C501" s="24">
        <v>6.75</v>
      </c>
      <c r="D501" s="65" t="str">
        <f>HYPERLINK("https://github.com/mostafa-saad/MyCompetitiveProgramming/blob/master/Olympiad/POI/POI-07-Quaternary.txt","Sol")</f>
        <v>Sol</v>
      </c>
      <c r="E501" s="31" t="s">
        <v>1337</v>
      </c>
      <c r="F501" s="37"/>
      <c r="G501" s="67"/>
      <c r="H501" s="67"/>
    </row>
    <row r="502" spans="1:8" ht="13.2">
      <c r="A502" s="65" t="str">
        <f>HYPERLINK("https://dmoj.ca/problem/cco12p6","CCO 12-WindsOfWar")</f>
        <v>CCO 12-WindsOfWar</v>
      </c>
      <c r="B502" s="37" t="s">
        <v>6844</v>
      </c>
      <c r="C502" s="24">
        <v>6.75</v>
      </c>
      <c r="D502" s="69"/>
      <c r="E502" s="31" t="s">
        <v>1337</v>
      </c>
      <c r="F502" s="37"/>
      <c r="G502" s="67"/>
      <c r="H502" s="67"/>
    </row>
    <row r="503" spans="1:8" ht="13.2">
      <c r="A503" s="65" t="str">
        <f>HYPERLINK("https://oj.uz/problem/view/JOI18_security_gate","JOISC 18-security_gate")</f>
        <v>JOISC 18-security_gate</v>
      </c>
      <c r="B503" s="15" t="s">
        <v>1354</v>
      </c>
      <c r="C503" s="24">
        <v>6.75</v>
      </c>
      <c r="D503" s="69"/>
      <c r="E503" s="31" t="s">
        <v>1337</v>
      </c>
      <c r="F503" s="37"/>
      <c r="G503" s="67"/>
      <c r="H503" s="67"/>
    </row>
    <row r="504" spans="1:8" ht="13.2">
      <c r="A504" s="65" t="str">
        <f>HYPERLINK("https://codeforces.com/contest/1193","CEOI 19-MagicTree")</f>
        <v>CEOI 19-MagicTree</v>
      </c>
      <c r="B504" s="37" t="s">
        <v>6845</v>
      </c>
      <c r="C504" s="24">
        <v>6.7</v>
      </c>
      <c r="D504" s="65" t="str">
        <f>HYPERLINK("https://github.com/mostafa-saad/MyCompetitiveProgramming/blob/master/Olympiad/CEOI/CEOI-19-MagicTree.txt","Sol")</f>
        <v>Sol</v>
      </c>
      <c r="E504" s="31" t="s">
        <v>1337</v>
      </c>
      <c r="F504" s="37" t="s">
        <v>154</v>
      </c>
      <c r="G504" s="67"/>
      <c r="H504" s="67"/>
    </row>
    <row r="505" spans="1:8" ht="13.2">
      <c r="A505" s="65" t="str">
        <f>HYPERLINK("https://szkopul.edu.pl/problemset/problem/RLQLNV4gL3Y22K9B2GgEMQIj/site/", "POI 06-Aesthetics")</f>
        <v>POI 06-Aesthetics</v>
      </c>
      <c r="B505" s="37" t="s">
        <v>6846</v>
      </c>
      <c r="C505" s="24">
        <v>6.7</v>
      </c>
      <c r="D505" s="65" t="str">
        <f>HYPERLINK("https://github.com/mostafa-saad/MyCompetitiveProgramming/blob/master/Olympiad/POI/POI-06-Aesthetics.txt","Sol")</f>
        <v>Sol</v>
      </c>
      <c r="E505" s="31" t="s">
        <v>1337</v>
      </c>
      <c r="F505" s="37" t="s">
        <v>154</v>
      </c>
      <c r="G505" s="67"/>
      <c r="H505" s="67"/>
    </row>
    <row r="506" spans="1:8" ht="13.2">
      <c r="A506" s="65" t="str">
        <f>HYPERLINK("https://csacademy.com/contest/ioi-2016-training-round-4/task/k-consecutive/","IOIPractice 16-k-consecutive")</f>
        <v>IOIPractice 16-k-consecutive</v>
      </c>
      <c r="B506" s="37" t="s">
        <v>6847</v>
      </c>
      <c r="C506" s="24">
        <v>6.7</v>
      </c>
      <c r="D506" s="65" t="str">
        <f>HYPERLINK("https://github.com/mostafa-saad/MyCompetitiveProgramming/blob/master/Olympiad/IOI/IOIPractice-16-k-consecutive.txt","Sol")</f>
        <v>Sol</v>
      </c>
      <c r="E506" s="31" t="s">
        <v>1337</v>
      </c>
      <c r="F506" s="37" t="s">
        <v>139</v>
      </c>
      <c r="G506" s="67"/>
      <c r="H506" s="67"/>
    </row>
    <row r="507" spans="1:8" ht="13.2">
      <c r="A507" s="65" t="str">
        <f>HYPERLINK("https://infoarena.ro/problema/xreverse","infoarena xreverse")</f>
        <v>infoarena xreverse</v>
      </c>
      <c r="B507" s="37" t="s">
        <v>6848</v>
      </c>
      <c r="C507" s="24">
        <v>6.7</v>
      </c>
      <c r="D507" s="65" t="str">
        <f>HYPERLINK("https://github.com/mostafa-saad/MyCompetitiveProgramming/blob/master/Olympiad/infoarena/infoarena_xreverse.txt","Sol")</f>
        <v>Sol</v>
      </c>
      <c r="E507" s="31" t="s">
        <v>1337</v>
      </c>
      <c r="F507" s="37" t="s">
        <v>139</v>
      </c>
      <c r="G507" s="67"/>
      <c r="H507" s="67"/>
    </row>
    <row r="508" spans="1:8" ht="13.2">
      <c r="A508" s="65" t="str">
        <f>HYPERLINK("https://szkopul.edu.pl/problemset/problem/lGqKS9urITMjTXhpdaHqyoEL/site/", "POI 04-Maximal")</f>
        <v>POI 04-Maximal</v>
      </c>
      <c r="B508" s="37" t="s">
        <v>6849</v>
      </c>
      <c r="C508" s="24">
        <v>6.7</v>
      </c>
      <c r="D508" s="65" t="str">
        <f>HYPERLINK("https://github.com/mostafa-saad/MyCompetitiveProgramming/blob/master/Olympiad/POI/POI-04-Maximal.txt","Sol")</f>
        <v>Sol</v>
      </c>
      <c r="E508" s="31" t="s">
        <v>1337</v>
      </c>
      <c r="F508" s="37" t="s">
        <v>139</v>
      </c>
      <c r="G508" s="67"/>
      <c r="H508" s="67"/>
    </row>
    <row r="509" spans="1:8" ht="13.2">
      <c r="A509" s="65" t="str">
        <f>HYPERLINK("https://cses.fi/106/list/","Baltic 10-Candies")</f>
        <v>Baltic 10-Candies</v>
      </c>
      <c r="B509" s="37" t="s">
        <v>6850</v>
      </c>
      <c r="C509" s="24">
        <v>6.5</v>
      </c>
      <c r="D509" s="65" t="str">
        <f>HYPERLINK("https://github.com/mostafa-saad/MyCompetitiveProgramming/blob/master/Olympiad/Baltic/Baltic-10-Candies.txt","Sol")</f>
        <v>Sol</v>
      </c>
      <c r="E509" s="31" t="s">
        <v>1337</v>
      </c>
      <c r="F509" s="37" t="s">
        <v>154</v>
      </c>
      <c r="G509" s="67"/>
      <c r="H509" s="67"/>
    </row>
    <row r="510" spans="1:8" ht="13.2">
      <c r="A510" s="65" t="str">
        <f>HYPERLINK("https://oj.uz/problem/view/BOI16_swap","Baltic 16-swap")</f>
        <v>Baltic 16-swap</v>
      </c>
      <c r="B510" s="20" t="s">
        <v>6851</v>
      </c>
      <c r="C510" s="24">
        <v>6.5</v>
      </c>
      <c r="D510" s="65" t="str">
        <f>HYPERLINK("https://github.com/mostafa-saad/MyCompetitiveProgramming/blob/master/Olympiad/Baltic/Baltic-16-swap.txt","Sol")</f>
        <v>Sol</v>
      </c>
      <c r="E510" s="31" t="s">
        <v>1337</v>
      </c>
      <c r="F510" s="37" t="s">
        <v>139</v>
      </c>
      <c r="G510" s="67"/>
      <c r="H510" s="67"/>
    </row>
    <row r="511" spans="1:8" ht="13.2">
      <c r="A511" s="65" t="str">
        <f>HYPERLINK("https://cses.fi/179/list/","CEOI 09-Photo")</f>
        <v>CEOI 09-Photo</v>
      </c>
      <c r="B511" s="20" t="s">
        <v>6852</v>
      </c>
      <c r="C511" s="24">
        <v>6.5</v>
      </c>
      <c r="D511" s="65" t="str">
        <f>HYPERLINK("https://github.com/mostafa-saad/MyCompetitiveProgramming/blob/master/Olympiad/CEOI/CEOI-09-Photo.txt","Sol")</f>
        <v>Sol</v>
      </c>
      <c r="E511" s="31" t="s">
        <v>1337</v>
      </c>
      <c r="F511" s="37" t="s">
        <v>139</v>
      </c>
      <c r="G511" s="67"/>
      <c r="H511" s="67"/>
    </row>
    <row r="512" spans="1:8" ht="13.2">
      <c r="A512" s="65" t="str">
        <f>HYPERLINK("https://dmoj.ca/problem/coci08c6p5","COCI 08-Dostava")</f>
        <v>COCI 08-Dostava</v>
      </c>
      <c r="B512" s="15" t="s">
        <v>6853</v>
      </c>
      <c r="C512" s="24">
        <v>6.5</v>
      </c>
      <c r="D512" s="65" t="str">
        <f>HYPERLINK("https://github.com/mostafa-saad/MyCompetitiveProgramming/blob/master/Olympiad/COCI/COCI-08-Dostava.txt","Sol")</f>
        <v>Sol</v>
      </c>
      <c r="E512" s="31" t="s">
        <v>1337</v>
      </c>
      <c r="F512" s="37" t="s">
        <v>139</v>
      </c>
      <c r="G512" s="67"/>
      <c r="H512" s="67"/>
    </row>
    <row r="513" spans="1:8" ht="13.2">
      <c r="A513" s="65" t="str">
        <f>HYPERLINK("https://szkopul.edu.pl/problemset/problem/Mk-9GNDtSal6h_8T4n9Ezq9M/site/", "POI 16-Messenger")</f>
        <v>POI 16-Messenger</v>
      </c>
      <c r="B513" s="37" t="s">
        <v>6854</v>
      </c>
      <c r="C513" s="24">
        <v>6.5</v>
      </c>
      <c r="D513" s="65" t="str">
        <f>HYPERLINK("https://github.com/mostafa-saad/MyCompetitiveProgramming/blob/master/Olympiad/POI/POI-16-Messenger.txt","Sol")</f>
        <v>Sol</v>
      </c>
      <c r="E513" s="31" t="s">
        <v>1337</v>
      </c>
      <c r="F513" s="37" t="s">
        <v>139</v>
      </c>
      <c r="G513" s="67"/>
      <c r="H513" s="67"/>
    </row>
    <row r="514" spans="1:8" ht="13.2">
      <c r="A514" s="65" t="str">
        <f>HYPERLINK("https://szkopul.edu.pl/problemset/problem/3bBT-3VuSu78UsxTQSwaJzVo/site/", "POI 13-Polarization")</f>
        <v>POI 13-Polarization</v>
      </c>
      <c r="B514" s="37" t="s">
        <v>6855</v>
      </c>
      <c r="C514" s="24">
        <v>6.5</v>
      </c>
      <c r="D514" s="65" t="str">
        <f>HYPERLINK("https://github.com/mostafa-saad/MyCompetitiveProgramming/blob/master/Olympiad/POI/POI-13-Polarization.txt","Sol")</f>
        <v>Sol</v>
      </c>
      <c r="E514" s="31" t="s">
        <v>1337</v>
      </c>
      <c r="F514" s="37" t="s">
        <v>139</v>
      </c>
      <c r="G514" s="67"/>
      <c r="H514" s="67"/>
    </row>
    <row r="515" spans="1:8" ht="13.2">
      <c r="A515" s="65" t="str">
        <f>HYPERLINK("http://usaco.org/index.php?page=viewproblem2&amp;cpid=972#","USACO 20dec-pieaters-plat")</f>
        <v>USACO 20dec-pieaters-plat</v>
      </c>
      <c r="B515" s="23" t="s">
        <v>6856</v>
      </c>
      <c r="C515" s="24">
        <v>6.5</v>
      </c>
      <c r="D515" s="69"/>
      <c r="E515" s="31" t="s">
        <v>1337</v>
      </c>
      <c r="F515" s="37" t="s">
        <v>201</v>
      </c>
      <c r="G515" s="67"/>
      <c r="H515" s="67"/>
    </row>
    <row r="516" spans="1:8" ht="13.2">
      <c r="A516" s="65" t="str">
        <f>HYPERLINK("https://cses.fi/98/list/","Baltic 12-Brackets")</f>
        <v>Baltic 12-Brackets</v>
      </c>
      <c r="B516" s="37" t="s">
        <v>6857</v>
      </c>
      <c r="C516" s="24">
        <v>6.5</v>
      </c>
      <c r="D516" s="65" t="str">
        <f>HYPERLINK("https://github.com/mostafa-saad/MyCompetitiveProgramming/blob/master/Olympiad/Baltic/Baltic-12-Brackets.txt","Sol")</f>
        <v>Sol</v>
      </c>
      <c r="E516" s="31" t="s">
        <v>1337</v>
      </c>
      <c r="F516" s="37" t="s">
        <v>201</v>
      </c>
      <c r="G516" s="67"/>
      <c r="H516" s="67"/>
    </row>
    <row r="517" spans="1:8" ht="13.2">
      <c r="A517" s="65" t="str">
        <f>HYPERLINK("http://usaco.org/index.php?page=viewproblem2&amp;cpid=902", "USACO 19jan-tracking2_plat")</f>
        <v>USACO 19jan-tracking2_plat</v>
      </c>
      <c r="B517" s="20" t="s">
        <v>1375</v>
      </c>
      <c r="C517" s="21">
        <v>6.5</v>
      </c>
      <c r="D517" s="69"/>
      <c r="E517" s="31" t="s">
        <v>1337</v>
      </c>
      <c r="F517" s="37" t="s">
        <v>201</v>
      </c>
      <c r="G517" s="67"/>
      <c r="H517" s="67"/>
    </row>
    <row r="518" spans="1:8" ht="13.2">
      <c r="A518" s="65" t="str">
        <f>HYPERLINK("https://www.infoarena.ro/problema/culmi","Infoarena culmi")</f>
        <v>Infoarena culmi</v>
      </c>
      <c r="B518" s="20" t="s">
        <v>6858</v>
      </c>
      <c r="C518" s="21">
        <v>6.5</v>
      </c>
      <c r="D518" s="65" t="str">
        <f>HYPERLINK("https://github.com/stefdasca/CompetitiveProgramming/blob/master/Infoarena/culmi.cpp","Sol")</f>
        <v>Sol</v>
      </c>
      <c r="E518" s="31" t="s">
        <v>1337</v>
      </c>
      <c r="F518" s="37" t="s">
        <v>201</v>
      </c>
      <c r="G518" s="67"/>
      <c r="H518" s="67"/>
    </row>
    <row r="519" spans="1:8" ht="13.2">
      <c r="A519" s="65" t="str">
        <f>HYPERLINK("https://oj.uz/problem/view/BOI18_parentrises","Balkan 18-parentrises")</f>
        <v>Balkan 18-parentrises</v>
      </c>
      <c r="B519" s="20" t="s">
        <v>1348</v>
      </c>
      <c r="C519" s="17">
        <v>6.5</v>
      </c>
      <c r="D519" s="65" t="str">
        <f>HYPERLINK("https://github.com/mostafa-saad/MyCompetitiveProgramming/blob/master/Olympiad/Balkan/official/2018/","Editorial")</f>
        <v>Editorial</v>
      </c>
      <c r="E519" s="31" t="s">
        <v>1337</v>
      </c>
      <c r="F519" s="37"/>
      <c r="G519" s="67"/>
      <c r="H519" s="67"/>
    </row>
    <row r="520" spans="1:8" ht="13.2">
      <c r="A520" s="65" t="str">
        <f>HYPERLINK("https://oj.uz/problems/source/197", "CEOI 16-popeala")</f>
        <v>CEOI 16-popeala</v>
      </c>
      <c r="B520" s="20" t="s">
        <v>1348</v>
      </c>
      <c r="C520" s="24">
        <v>6.5</v>
      </c>
      <c r="D520" s="65" t="str">
        <f>HYPERLINK("https://github.com/mostafa-saad/MyCompetitiveProgramming/blob/master/Olympiad/CEOI/CEOI-16-popeala.txt","Sol")</f>
        <v>Sol</v>
      </c>
      <c r="E520" s="31" t="s">
        <v>1337</v>
      </c>
      <c r="F520" s="37"/>
      <c r="G520" s="67"/>
      <c r="H520" s="67"/>
    </row>
    <row r="521" spans="1:8" ht="13.2">
      <c r="A521" s="65" t="str">
        <f>HYPERLINK("https://www.infoarena.ro/problema/ksecv","infoarena ksecv")</f>
        <v>infoarena ksecv</v>
      </c>
      <c r="B521" s="20" t="s">
        <v>6859</v>
      </c>
      <c r="C521" s="17">
        <v>6.5</v>
      </c>
      <c r="D521" s="65" t="str">
        <f>HYPERLINK("https://github.com/stefdasca/CompetitiveProgramming/blob/master/Infoarena/ksecv.cpp","Sol")</f>
        <v>Sol</v>
      </c>
      <c r="E521" s="31" t="s">
        <v>1337</v>
      </c>
      <c r="F521" s="37"/>
      <c r="G521" s="67"/>
      <c r="H521" s="67"/>
    </row>
    <row r="522" spans="1:8" ht="13.2">
      <c r="A522" s="65" t="str">
        <f>HYPERLINK("https://dunjudge.me/analysis/problems/28/","NOI 11-tour")</f>
        <v>NOI 11-tour</v>
      </c>
      <c r="B522" s="37" t="s">
        <v>6860</v>
      </c>
      <c r="C522" s="24">
        <v>6.5</v>
      </c>
      <c r="D522" s="65" t="str">
        <f>HYPERLINK("https://github.com/mostafa-saad/MyCompetitiveProgramming/blob/master/Olympiad/NOI/NOI-11-tour.txt","Sol")</f>
        <v>Sol</v>
      </c>
      <c r="E522" s="31" t="s">
        <v>1337</v>
      </c>
      <c r="F522" s="37"/>
      <c r="G522" s="67"/>
      <c r="H522" s="67"/>
    </row>
    <row r="523" spans="1:8" ht="13.2">
      <c r="A523" s="65" t="str">
        <f>HYPERLINK("https://oj.uz/problem/view/COCI18_vrtic","COCI 18-vrtic")</f>
        <v>COCI 18-vrtic</v>
      </c>
      <c r="B523" s="20" t="s">
        <v>1354</v>
      </c>
      <c r="C523" s="24">
        <v>6.5</v>
      </c>
      <c r="D523" s="69"/>
      <c r="E523" s="31" t="s">
        <v>1337</v>
      </c>
      <c r="F523" s="37"/>
      <c r="G523" s="67"/>
      <c r="H523" s="67"/>
    </row>
    <row r="524" spans="1:8" ht="13.2">
      <c r="A524" s="65" t="str">
        <f>HYPERLINK("https://www.infoarena.ro/problema/aiacubiti","infoarena aiacubiti")</f>
        <v>infoarena aiacubiti</v>
      </c>
      <c r="B524" s="20" t="s">
        <v>6861</v>
      </c>
      <c r="C524" s="17">
        <v>6.4</v>
      </c>
      <c r="D524" s="65" t="str">
        <f>HYPERLINK("https://github.com/mostafa-saad/MyCompetitiveProgramming/blob/master/Olympiad/infoarena/infoarena-aiacubiti.txt","Sol")</f>
        <v>Sol</v>
      </c>
      <c r="E524" s="31" t="s">
        <v>1337</v>
      </c>
      <c r="F524" s="37" t="s">
        <v>154</v>
      </c>
      <c r="G524" s="67"/>
      <c r="H524" s="67"/>
    </row>
    <row r="525" spans="1:8" ht="13.2">
      <c r="A525" s="65" t="str">
        <f>HYPERLINK("https://www.infoarena.ro/problema/desc", "Infoarena Desc")</f>
        <v>Infoarena Desc</v>
      </c>
      <c r="B525" s="20" t="s">
        <v>6862</v>
      </c>
      <c r="C525" s="17">
        <v>6.4</v>
      </c>
      <c r="D525" s="65" t="str">
        <f>HYPERLINK("https://github.com/mostafa-saad/MyCompetitiveProgramming/blob/master/Olympiad/infoarena/Infoarena_Desc.txt","Sol")</f>
        <v>Sol</v>
      </c>
      <c r="E525" s="31" t="s">
        <v>1337</v>
      </c>
      <c r="F525" s="37" t="s">
        <v>196</v>
      </c>
      <c r="G525" s="67"/>
      <c r="H525" s="67"/>
    </row>
    <row r="526" spans="1:8" ht="13.2">
      <c r="A526" s="65" t="str">
        <f>HYPERLINK("https://oj.uz/problems/source/307","JOI 18-Dangomaker")</f>
        <v>JOI 18-Dangomaker</v>
      </c>
      <c r="B526" s="15" t="s">
        <v>6863</v>
      </c>
      <c r="C526" s="24">
        <v>6.3</v>
      </c>
      <c r="D526" s="65" t="str">
        <f>HYPERLINK("https://github.com/mostafa-saad/MyCompetitiveProgramming/blob/master/Olympiad/JOI/JOI-18-Dangomaker.txt","Sol")</f>
        <v>Sol</v>
      </c>
      <c r="E526" s="31" t="s">
        <v>1337</v>
      </c>
      <c r="F526" s="37" t="s">
        <v>1053</v>
      </c>
      <c r="G526" s="67"/>
      <c r="H526" s="67"/>
    </row>
    <row r="527" spans="1:8" ht="13.2">
      <c r="A527" s="65" t="str">
        <f>HYPERLINK("https://dmoj.ca/problem/coci07c6p6","COCI 07-Cestarine")</f>
        <v>COCI 07-Cestarine</v>
      </c>
      <c r="B527" s="15" t="s">
        <v>6864</v>
      </c>
      <c r="C527" s="24">
        <v>6.3</v>
      </c>
      <c r="D527" s="65" t="str">
        <f>HYPERLINK("https://github.com/mostafa-saad/MyCompetitiveProgramming/blob/master/Olympiad/COCI/COCI-07-Cestarine.txt","Sol")</f>
        <v>Sol</v>
      </c>
      <c r="E527" s="31" t="s">
        <v>1337</v>
      </c>
      <c r="F527" s="37" t="s">
        <v>139</v>
      </c>
      <c r="G527" s="67"/>
      <c r="H527" s="67"/>
    </row>
    <row r="528" spans="1:8" ht="13.2">
      <c r="A528" s="65" t="str">
        <f>HYPERLINK("https://szkopul.edu.pl/problemset/problem/klvaggzD-q4Acz_WLtkn0JXJ/site/", "POI 05-Banknote")</f>
        <v>POI 05-Banknote</v>
      </c>
      <c r="B528" s="37" t="s">
        <v>6865</v>
      </c>
      <c r="C528" s="24">
        <v>6.25</v>
      </c>
      <c r="D528" s="65" t="str">
        <f>HYPERLINK("https://github.com/mostafa-saad/MyCompetitiveProgramming/blob/master/Olympiad/POI/POI-05-Banknote.txt","Sol")</f>
        <v>Sol</v>
      </c>
      <c r="E528" s="31" t="s">
        <v>1337</v>
      </c>
      <c r="F528" s="37" t="s">
        <v>173</v>
      </c>
      <c r="G528" s="67"/>
      <c r="H528" s="67"/>
    </row>
    <row r="529" spans="1:8" ht="13.2">
      <c r="A529" s="65" t="str">
        <f>HYPERLINK("https://oj.uz/problem/view/IZhO14_blocks","IZhO 14-blocks")</f>
        <v>IZhO 14-blocks</v>
      </c>
      <c r="B529" s="37" t="s">
        <v>6866</v>
      </c>
      <c r="C529" s="24">
        <v>6.25</v>
      </c>
      <c r="D529" s="65" t="str">
        <f>HYPERLINK("https://github.com/mostafa-saad/MyCompetitiveProgramming/blob/master/Olympiad/IZhO/IZhO-14-blocks.txt","Sol")</f>
        <v>Sol</v>
      </c>
      <c r="E529" s="31" t="s">
        <v>1337</v>
      </c>
      <c r="F529" s="37" t="s">
        <v>154</v>
      </c>
      <c r="G529" s="67"/>
      <c r="H529" s="67"/>
    </row>
    <row r="530" spans="1:8" ht="13.2">
      <c r="A530" s="65" t="str">
        <f>HYPERLINK("https://www.acmicpc.net/problem/7081","Balkan 09-Reading")</f>
        <v>Balkan 09-Reading</v>
      </c>
      <c r="B530" s="37" t="s">
        <v>6867</v>
      </c>
      <c r="C530" s="24">
        <v>6.25</v>
      </c>
      <c r="D530" s="65" t="str">
        <f>HYPERLINK("https://github.com/mostafa-saad/MyCompetitiveProgramming/blob/master/Olympiad/Balkan/Balkan-09-Reading.txt","Sol")</f>
        <v>Sol</v>
      </c>
      <c r="E530" s="31" t="s">
        <v>1337</v>
      </c>
      <c r="F530" s="37" t="s">
        <v>154</v>
      </c>
      <c r="G530" s="67"/>
      <c r="H530" s="67"/>
    </row>
    <row r="531" spans="1:8" ht="13.2">
      <c r="A531" s="65" t="str">
        <f>HYPERLINK("https://training.olinfo.it/contests/oii2018/tasks/cena/description","OII 18-cena")</f>
        <v>OII 18-cena</v>
      </c>
      <c r="B531" s="23" t="s">
        <v>6868</v>
      </c>
      <c r="C531" s="24">
        <v>6.25</v>
      </c>
      <c r="D531" s="65" t="str">
        <f>HYPERLINK("https://github.com/mostafa-saad/MyCompetitiveProgramming/blob/master/Olympiad/OII/OII-18-cena.txt","Sol")</f>
        <v>Sol</v>
      </c>
      <c r="E531" s="31" t="s">
        <v>1337</v>
      </c>
      <c r="F531" s="37" t="s">
        <v>139</v>
      </c>
      <c r="G531" s="67"/>
      <c r="H531" s="67"/>
    </row>
    <row r="532" spans="1:8" ht="13.2">
      <c r="A532" s="65" t="str">
        <f>HYPERLINK("https://cses.fi/99/list/","Baltic 12-Melody")</f>
        <v>Baltic 12-Melody</v>
      </c>
      <c r="B532" s="37" t="s">
        <v>6869</v>
      </c>
      <c r="C532" s="24">
        <v>6.25</v>
      </c>
      <c r="D532" s="65" t="str">
        <f>HYPERLINK("https://github.com/mostafa-saad/MyCompetitiveProgramming/blob/master/Olympiad/Baltic/Baltic-12-Melody.txt","Sol")</f>
        <v>Sol</v>
      </c>
      <c r="E532" s="31" t="s">
        <v>1337</v>
      </c>
      <c r="F532" s="37" t="s">
        <v>139</v>
      </c>
      <c r="G532" s="67"/>
      <c r="H532" s="67"/>
    </row>
    <row r="533" spans="1:8" ht="13.2">
      <c r="A533" s="65" t="str">
        <f>HYPERLINK("https://oj.uz/problem/view/BOI13_brunhilda","Baltic 13-brunhilda")</f>
        <v>Baltic 13-brunhilda</v>
      </c>
      <c r="B533" s="20" t="s">
        <v>6870</v>
      </c>
      <c r="C533" s="24">
        <v>6.25</v>
      </c>
      <c r="D533" s="65" t="str">
        <f>HYPERLINK("https://github.com/mostafa-saad/MyCompetitiveProgramming/blob/master/Olympiad/Baltic/Baltic-13-brunhilda.txt","Sol")</f>
        <v>Sol</v>
      </c>
      <c r="E533" s="31" t="s">
        <v>1337</v>
      </c>
      <c r="F533" s="37" t="s">
        <v>139</v>
      </c>
      <c r="G533" s="67"/>
      <c r="H533" s="67"/>
    </row>
    <row r="534" spans="1:8" ht="13.2">
      <c r="A534" s="65" t="str">
        <f>HYPERLINK("http://usaco.org/index.php?page=viewproblem2&amp;cpid=792", "USACO 18jan-lifeguards-plat")</f>
        <v>USACO 18jan-lifeguards-plat</v>
      </c>
      <c r="B534" s="20" t="s">
        <v>6871</v>
      </c>
      <c r="C534" s="21">
        <v>6.25</v>
      </c>
      <c r="D534" s="65" t="str">
        <f>HYPERLINK("https://github.com/thecodingwizard/competitive-programming/blob/master/USACO/2018jan/plat/lifeguards%20(legit%20solution).cpp","Sol")</f>
        <v>Sol</v>
      </c>
      <c r="E534" s="31" t="s">
        <v>1337</v>
      </c>
      <c r="F534" s="37" t="s">
        <v>139</v>
      </c>
      <c r="G534" s="67"/>
      <c r="H534" s="67"/>
    </row>
    <row r="535" spans="1:8" ht="13.2">
      <c r="A535" s="65" t="str">
        <f>HYPERLINK("https://codeforces.com/contest/1192/problem/C","CEOI 19-cubeword")</f>
        <v>CEOI 19-cubeword</v>
      </c>
      <c r="B535" s="23" t="s">
        <v>6872</v>
      </c>
      <c r="C535" s="24">
        <v>6.25</v>
      </c>
      <c r="D535" s="65" t="str">
        <f>HYPERLINK("https://codeforces.com/blog/entry/68676","Editorial")</f>
        <v>Editorial</v>
      </c>
      <c r="E535" s="31" t="s">
        <v>1337</v>
      </c>
      <c r="F535" s="37" t="s">
        <v>139</v>
      </c>
      <c r="G535" s="67"/>
      <c r="H535" s="67"/>
    </row>
    <row r="536" spans="1:8" ht="13.2">
      <c r="A536" s="65" t="str">
        <f>HYPERLINK("https://www.infoarena.ro/problema/sormin","infoarena sormin")</f>
        <v>infoarena sormin</v>
      </c>
      <c r="B536" s="20" t="s">
        <v>6873</v>
      </c>
      <c r="C536" s="21">
        <v>6.25</v>
      </c>
      <c r="D536" s="65" t="str">
        <f>HYPERLINK("https://github.com/mostafa-saad/MyCompetitiveProgramming/blob/master/Olympiad/infoarena/infoarena_sormin.txt","Sol")</f>
        <v>Sol</v>
      </c>
      <c r="E536" s="31" t="s">
        <v>1337</v>
      </c>
      <c r="F536" s="37" t="s">
        <v>139</v>
      </c>
      <c r="G536" s="67"/>
      <c r="H536" s="67"/>
    </row>
    <row r="537" spans="1:8" ht="13.2">
      <c r="A537" s="65" t="str">
        <f>HYPERLINK("https://szkopul.edu.pl/problemset/problem/YjtAwdQrSiGcE_RLiEJpGiYE/site/", "POI 10-Sheep")</f>
        <v>POI 10-Sheep</v>
      </c>
      <c r="B537" s="37" t="s">
        <v>6874</v>
      </c>
      <c r="C537" s="24">
        <v>6.25</v>
      </c>
      <c r="D537" s="65" t="str">
        <f>HYPERLINK("https://github.com/mostafa-saad/MyCompetitiveProgramming/blob/master/Olympiad/POI/POI-10-Sheep.txt","Sol")</f>
        <v>Sol</v>
      </c>
      <c r="E537" s="31" t="s">
        <v>1337</v>
      </c>
      <c r="F537" s="37" t="s">
        <v>139</v>
      </c>
      <c r="G537" s="67"/>
      <c r="H537" s="67"/>
    </row>
    <row r="538" spans="1:8" ht="13.2">
      <c r="A538" s="65" t="str">
        <f>HYPERLINK("https://csacademy.com/contest/ioi-2016-training-round-1/task/polygon_partition","IOIPractice 16-polygon_partition")</f>
        <v>IOIPractice 16-polygon_partition</v>
      </c>
      <c r="B538" s="37" t="s">
        <v>6875</v>
      </c>
      <c r="C538" s="24">
        <v>6.25</v>
      </c>
      <c r="D538" s="65" t="str">
        <f>HYPERLINK("https://github.com/thecodingwizard/competitive-programming/blob/master/IOI/IOIPractice%2016-polygon.cpp","Sol")</f>
        <v>Sol</v>
      </c>
      <c r="E538" s="31" t="s">
        <v>1337</v>
      </c>
      <c r="F538" s="37" t="s">
        <v>139</v>
      </c>
      <c r="G538" s="67"/>
      <c r="H538" s="67"/>
    </row>
    <row r="539" spans="1:8" ht="13.2">
      <c r="A539" s="65" t="str">
        <f>HYPERLINK("https://oj.uz/problem/view/COI19_ljetopica","COI 19-ljetopica")</f>
        <v>COI 19-ljetopica</v>
      </c>
      <c r="B539" s="37" t="s">
        <v>6876</v>
      </c>
      <c r="C539" s="24">
        <v>6.25</v>
      </c>
      <c r="D539" s="65" t="str">
        <f>HYPERLINK("https://github.com/mostafa-saad/MyCompetitiveProgramming/blob/master/Olympiad/COI/COI-19-ljetopica.txt","Sol")</f>
        <v>Sol</v>
      </c>
      <c r="E539" s="31" t="s">
        <v>1337</v>
      </c>
      <c r="F539" s="37" t="s">
        <v>201</v>
      </c>
      <c r="G539" s="67"/>
      <c r="H539" s="67"/>
    </row>
    <row r="540" spans="1:8" ht="13.2">
      <c r="A540" s="65" t="str">
        <f>HYPERLINK("https://cses.fi/105/list/","Baltic 10-Lego")</f>
        <v>Baltic 10-Lego</v>
      </c>
      <c r="B540" s="37" t="s">
        <v>6877</v>
      </c>
      <c r="C540" s="24">
        <v>6.25</v>
      </c>
      <c r="D540" s="65" t="str">
        <f>HYPERLINK("https://github.com/mostafa-saad/MyCompetitiveProgramming/blob/master/Olympiad/Baltic/official/boi2010_solutions","Editorial")</f>
        <v>Editorial</v>
      </c>
      <c r="E540" s="31" t="s">
        <v>1337</v>
      </c>
      <c r="F540" s="37" t="s">
        <v>201</v>
      </c>
      <c r="G540" s="67"/>
      <c r="H540" s="67"/>
    </row>
    <row r="541" spans="1:8" ht="13.2">
      <c r="A541" s="65" t="str">
        <f>HYPERLINK("https://szkopul.edu.pl/problemset/problem/VeQ6A1Xb8DUSlbUb8eQncsFX/site/", "POI 15-Squares")</f>
        <v>POI 15-Squares</v>
      </c>
      <c r="B541" s="37" t="s">
        <v>6878</v>
      </c>
      <c r="C541" s="24">
        <v>6.25</v>
      </c>
      <c r="D541" s="65" t="str">
        <f>HYPERLINK("https://github.com/mostafa-saad/MyCompetitiveProgramming/blob/master/Olympiad/POI/POI-15-Squares.txt","Sol")</f>
        <v>Sol</v>
      </c>
      <c r="E541" s="31" t="s">
        <v>1337</v>
      </c>
      <c r="F541" s="37"/>
      <c r="G541" s="67"/>
      <c r="H541" s="67"/>
    </row>
    <row r="542" spans="1:8" ht="13.2">
      <c r="A542" s="65" t="str">
        <f>HYPERLINK("https://contest.yandex.ru/ioi/contest/562/problems/D/","IOI 06-mexico")</f>
        <v>IOI 06-mexico</v>
      </c>
      <c r="B542" s="15" t="s">
        <v>6879</v>
      </c>
      <c r="C542" s="24">
        <v>6.25</v>
      </c>
      <c r="D542" s="65" t="str">
        <f>HYPERLINK("https://github.com/mostafa-saad/MyCompetitiveProgramming/blob/master/Olympiad/IOI/official/2006/ioi06_mexico_sol.pdf","Editorial")</f>
        <v>Editorial</v>
      </c>
      <c r="E542" s="31" t="s">
        <v>1337</v>
      </c>
      <c r="F542" s="37"/>
      <c r="G542" s="67"/>
      <c r="H542" s="67"/>
    </row>
    <row r="543" spans="1:8" ht="13.2">
      <c r="A543" s="65" t="str">
        <f>HYPERLINK("https://www.infoarena.ro/problema/aiacupalindroame","infoarena aiacupalindroame")</f>
        <v>infoarena aiacupalindroame</v>
      </c>
      <c r="B543" s="20" t="s">
        <v>6880</v>
      </c>
      <c r="C543" s="17">
        <v>6.25</v>
      </c>
      <c r="D543" s="65" t="str">
        <f>HYPERLINK("https://github.com/stefdasca/CompetitiveProgramming/blob/master/Infoarena/aiacupalindroame.cpp","Sol")</f>
        <v>Sol</v>
      </c>
      <c r="E543" s="31" t="s">
        <v>1337</v>
      </c>
      <c r="F543" s="37"/>
      <c r="G543" s="67"/>
      <c r="H543" s="67"/>
    </row>
    <row r="544" spans="1:8" ht="13.2">
      <c r="A544" s="65" t="str">
        <f>HYPERLINK("https://dunjudge.me/analysis/problems/753/","IOI 01-ioiwari")</f>
        <v>IOI 01-ioiwari</v>
      </c>
      <c r="B544" s="20" t="s">
        <v>6881</v>
      </c>
      <c r="C544" s="24">
        <v>6.25</v>
      </c>
      <c r="D544" s="65" t="str">
        <f>HYPERLINK("https://github.com/mostafa-saad/MyCompetitiveProgramming/blob/master/Olympiad/IOI/official/2001","Editorial")</f>
        <v>Editorial</v>
      </c>
      <c r="E544" s="31" t="s">
        <v>1337</v>
      </c>
      <c r="F544" s="37"/>
      <c r="G544" s="67"/>
      <c r="H544" s="67"/>
    </row>
    <row r="545" spans="1:8" ht="13.2">
      <c r="A545" s="65" t="str">
        <f>HYPERLINK("https://dmoj.ca/problem/ioi02p4","IOI 02-Batch")</f>
        <v>IOI 02-Batch</v>
      </c>
      <c r="B545" s="20" t="s">
        <v>6882</v>
      </c>
      <c r="C545" s="24">
        <v>6.1</v>
      </c>
      <c r="D545" s="65" t="str">
        <f>HYPERLINK("https://github.com/mostafa-saad/MyCompetitiveProgramming/blob/master/Olympiad/IOI/IOI-02-Batch.txt","Sol")</f>
        <v>Sol</v>
      </c>
      <c r="E545" s="31" t="s">
        <v>1337</v>
      </c>
      <c r="F545" s="37" t="s">
        <v>139</v>
      </c>
      <c r="G545" s="67"/>
      <c r="H545" s="67"/>
    </row>
    <row r="546" spans="1:8" ht="13.2">
      <c r="A546" s="65" t="str">
        <f>HYPERLINK("https://dmoj.ca/problem/utso15p3","UTSOpen 15-Pogo")</f>
        <v>UTSOpen 15-Pogo</v>
      </c>
      <c r="B546" s="37" t="s">
        <v>6883</v>
      </c>
      <c r="C546" s="24">
        <v>6.1</v>
      </c>
      <c r="D546" s="69"/>
      <c r="E546" s="31" t="s">
        <v>1337</v>
      </c>
      <c r="F546" s="37"/>
      <c r="G546" s="67"/>
      <c r="H546" s="67"/>
    </row>
    <row r="547" spans="1:8" ht="13.2">
      <c r="A547" s="65" t="str">
        <f>HYPERLINK("https://www.infoarena.ro/problema/pitici3", "infoarena pitici3")</f>
        <v>infoarena pitici3</v>
      </c>
      <c r="B547" s="20" t="s">
        <v>6884</v>
      </c>
      <c r="C547" s="17">
        <v>6</v>
      </c>
      <c r="D547" s="65" t="str">
        <f>HYPERLINK("https://github.com/mostafa-saad/MyCompetitiveProgramming/blob/master/Olympiad/infoarena/infoarena-pitici3.txt","Sol")</f>
        <v>Sol</v>
      </c>
      <c r="E547" s="31" t="s">
        <v>1337</v>
      </c>
      <c r="F547" s="37" t="s">
        <v>139</v>
      </c>
      <c r="G547" s="67"/>
      <c r="H547" s="67"/>
    </row>
    <row r="548" spans="1:8" ht="13.2">
      <c r="A548" s="65" t="str">
        <f>HYPERLINK("https://cses.fi/116/list/","Baltic 05-Bus_Trip")</f>
        <v>Baltic 05-Bus_Trip</v>
      </c>
      <c r="B548" s="37" t="s">
        <v>6885</v>
      </c>
      <c r="C548" s="24">
        <v>6</v>
      </c>
      <c r="D548" s="65" t="str">
        <f>HYPERLINK("https://github.com/mostafa-saad/MyCompetitiveProgramming/blob/master/Olympiad/Baltic/Baltic-05-Bus_Trip.txt","Sol")</f>
        <v>Sol</v>
      </c>
      <c r="E548" s="31" t="s">
        <v>1337</v>
      </c>
      <c r="F548" s="37" t="s">
        <v>139</v>
      </c>
      <c r="G548" s="67"/>
      <c r="H548" s="67"/>
    </row>
    <row r="549" spans="1:8" ht="13.2">
      <c r="A549" s="65" t="str">
        <f>HYPERLINK("https://www.infoarena.ro/problema/lcdr", "infoarena lcdr")</f>
        <v>infoarena lcdr</v>
      </c>
      <c r="B549" s="20" t="s">
        <v>6886</v>
      </c>
      <c r="C549" s="17">
        <v>6</v>
      </c>
      <c r="D549" s="65" t="str">
        <f>HYPERLINK("https://github.com/mostafa-saad/MyCompetitiveProgramming/blob/master/Olympiad/infoarena/infoarena_lcdr.txt","Sol")</f>
        <v>Sol</v>
      </c>
      <c r="E549" s="31" t="s">
        <v>1337</v>
      </c>
      <c r="F549" s="37" t="s">
        <v>139</v>
      </c>
      <c r="G549" s="67"/>
      <c r="H549" s="67"/>
    </row>
    <row r="550" spans="1:8" ht="13.2">
      <c r="A550" s="65" t="str">
        <f>HYPERLINK("http://www.usaco.org/index.php?page=viewproblem2&amp;cpid=994","USACO 20jan-threesum-gold")</f>
        <v>USACO 20jan-threesum-gold</v>
      </c>
      <c r="B550" s="37" t="s">
        <v>1348</v>
      </c>
      <c r="C550" s="24">
        <v>6</v>
      </c>
      <c r="D550" s="69"/>
      <c r="E550" s="31" t="s">
        <v>1337</v>
      </c>
      <c r="F550" s="37" t="s">
        <v>139</v>
      </c>
      <c r="G550" s="67"/>
      <c r="H550" s="67"/>
    </row>
    <row r="551" spans="1:8" ht="13.2">
      <c r="A551" s="69" t="s">
        <v>6887</v>
      </c>
      <c r="B551" s="20" t="s">
        <v>6888</v>
      </c>
      <c r="C551" s="21">
        <v>6</v>
      </c>
      <c r="D551" s="65" t="str">
        <f>HYPERLINK("https://github.com/win11905/submission/blob/master/COI/19/ljepotica.cpp","Sol")</f>
        <v>Sol</v>
      </c>
      <c r="E551" s="31" t="s">
        <v>1337</v>
      </c>
      <c r="F551" s="37" t="s">
        <v>139</v>
      </c>
      <c r="G551" s="67"/>
      <c r="H551" s="67"/>
    </row>
    <row r="552" spans="1:8" ht="13.2">
      <c r="A552" s="65" t="str">
        <f>HYPERLINK("https://oj.uz/problem/view/IOI15_boxes","IOI 15-boxes")</f>
        <v>IOI 15-boxes</v>
      </c>
      <c r="B552" s="18" t="s">
        <v>1366</v>
      </c>
      <c r="C552" s="17">
        <v>6</v>
      </c>
      <c r="D552" s="65" t="str">
        <f>HYPERLINK("https://github.com/mostafa-saad/MyCompetitiveProgramming/blob/master/Olympiad/IOI/IOI-15-boxes.txt","Sol")</f>
        <v>Sol</v>
      </c>
      <c r="E552" s="31" t="s">
        <v>1337</v>
      </c>
      <c r="F552" s="37" t="s">
        <v>201</v>
      </c>
      <c r="G552" s="67"/>
      <c r="H552" s="67"/>
    </row>
    <row r="553" spans="1:8" ht="13.2">
      <c r="A553" s="65" t="str">
        <f>HYPERLINK("https://oj.uz/problem/view/COCI14_bob","COCI 14-bob")</f>
        <v>COCI 14-bob</v>
      </c>
      <c r="B553" s="20" t="s">
        <v>6889</v>
      </c>
      <c r="C553" s="24">
        <v>6</v>
      </c>
      <c r="D553" s="65" t="str">
        <f>HYPERLINK("https://github.com/mostafa-saad/MyCompetitiveProgramming/blob/master/Olympiad/COCI/COCI-14-bob.txt","Sol")</f>
        <v>Sol</v>
      </c>
      <c r="E553" s="31" t="s">
        <v>1337</v>
      </c>
      <c r="F553" s="37" t="s">
        <v>201</v>
      </c>
      <c r="G553" s="67"/>
      <c r="H553" s="67"/>
    </row>
    <row r="554" spans="1:8" ht="13.2">
      <c r="A554" s="65" t="str">
        <f>HYPERLINK("https://www.infoarena.ro/problema/retea3","infoarena retea3")</f>
        <v>infoarena retea3</v>
      </c>
      <c r="B554" s="37" t="s">
        <v>1346</v>
      </c>
      <c r="C554" s="24">
        <v>6</v>
      </c>
      <c r="D554" s="65" t="str">
        <f>HYPERLINK("https://github.com/mostafa-saad/MyCompetitiveProgramming/blob/master/Olympiad/infoarena/infoarena-retea3.txt","Sol")</f>
        <v>Sol</v>
      </c>
      <c r="E554" s="31" t="s">
        <v>1337</v>
      </c>
      <c r="F554" s="37" t="s">
        <v>201</v>
      </c>
      <c r="G554" s="67"/>
      <c r="H554" s="67"/>
    </row>
    <row r="555" spans="1:8" ht="13.2">
      <c r="A555" s="65" t="str">
        <f>HYPERLINK("https://oj.uz/problem/view/COCI15_savez","COCI 15-savez")</f>
        <v>COCI 15-savez</v>
      </c>
      <c r="B555" s="20" t="s">
        <v>6890</v>
      </c>
      <c r="C555" s="24">
        <v>6</v>
      </c>
      <c r="D555" s="65" t="str">
        <f>HYPERLINK("https://github.com/mostafa-saad/MyCompetitiveProgramming/blob/master/Olympiad/COCI/COCI-15-savez.txt","Sol")</f>
        <v>Sol</v>
      </c>
      <c r="E555" s="31" t="s">
        <v>1337</v>
      </c>
      <c r="F555" s="37" t="s">
        <v>201</v>
      </c>
      <c r="G555" s="67"/>
      <c r="H555" s="67"/>
    </row>
    <row r="556" spans="1:8" ht="13.2">
      <c r="A556" s="65" t="str">
        <f>HYPERLINK("https://wcipeg.com/problem/coci094p5","COCI 09-Kaboom")</f>
        <v>COCI 09-Kaboom</v>
      </c>
      <c r="B556" s="15" t="s">
        <v>1348</v>
      </c>
      <c r="C556" s="24">
        <v>6</v>
      </c>
      <c r="D556" s="65" t="str">
        <f>HYPERLINK("https://github.com/mostafa-saad/MyCompetitiveProgramming/blob/master/Olympiad/CEOI/COCI-09-Kaboom","Sol")</f>
        <v>Sol</v>
      </c>
      <c r="E556" s="31" t="s">
        <v>1337</v>
      </c>
      <c r="F556" s="37" t="s">
        <v>242</v>
      </c>
      <c r="G556" s="67"/>
      <c r="H556" s="67"/>
    </row>
    <row r="557" spans="1:8" ht="13.2">
      <c r="A557" s="65" t="str">
        <f>HYPERLINK("https://cses.fi/186/list/","CEOI 06-Link")</f>
        <v>CEOI 06-Link</v>
      </c>
      <c r="B557" s="20" t="s">
        <v>1348</v>
      </c>
      <c r="C557" s="24">
        <v>6</v>
      </c>
      <c r="D557" s="65" t="str">
        <f>HYPERLINK("https://github.com/mostafa-saad/MyCompetitiveProgramming/tree/master/Olympiad/CEOI/official/2006","Editorial")</f>
        <v>Editorial</v>
      </c>
      <c r="E557" s="31" t="s">
        <v>1337</v>
      </c>
      <c r="F557" s="37" t="s">
        <v>6891</v>
      </c>
      <c r="G557" s="67"/>
      <c r="H557" s="67"/>
    </row>
    <row r="558" spans="1:8" ht="13.2">
      <c r="A558" s="65" t="str">
        <f>HYPERLINK("https://contest.yandex.ru/ioi/contest/568/enter/","IOI 09-raisins")</f>
        <v>IOI 09-raisins</v>
      </c>
      <c r="B558" s="18" t="s">
        <v>1687</v>
      </c>
      <c r="C558" s="17">
        <v>6</v>
      </c>
      <c r="D558" s="65" t="str">
        <f>HYPERLINK("https://github.com/mostafa-saad/MyCompetitiveProgramming/blob/master/Olympiad/IOI/official/2009","Editorial")</f>
        <v>Editorial</v>
      </c>
      <c r="E558" s="31" t="s">
        <v>1337</v>
      </c>
      <c r="F558" s="37"/>
      <c r="G558" s="67"/>
      <c r="H558" s="67"/>
    </row>
    <row r="559" spans="1:8" ht="13.2">
      <c r="A559" s="65" t="str">
        <f>HYPERLINK("https://oj.uz/problem/view/IZhO17_bootfall","IZhO 17-bootfall")</f>
        <v>IZhO 17-bootfall</v>
      </c>
      <c r="B559" s="20" t="s">
        <v>1481</v>
      </c>
      <c r="C559" s="24">
        <v>6</v>
      </c>
      <c r="D559" s="65" t="str">
        <f>HYPERLINK("https://github.com/stefdasca/CompetitiveProgramming/blob/master/IZhO/IZhO%2017-bootfall.cpp","Sol")</f>
        <v>Sol</v>
      </c>
      <c r="E559" s="31" t="s">
        <v>1337</v>
      </c>
      <c r="F559" s="37"/>
      <c r="G559" s="67"/>
      <c r="H559" s="67"/>
    </row>
    <row r="560" spans="1:8" ht="13.2">
      <c r="A560" s="65" t="str">
        <f>HYPERLINK("https://cses.fi/191/list/","CEOI 05-Service")</f>
        <v>CEOI 05-Service</v>
      </c>
      <c r="B560" s="37" t="s">
        <v>6892</v>
      </c>
      <c r="C560" s="24">
        <v>6</v>
      </c>
      <c r="D560" s="65" t="str">
        <f>HYPERLINK("https://github.com/mostafa-saad/MyCompetitiveProgramming/tree/master/Olympiad/CEOI/official/2005","Editorial")</f>
        <v>Editorial</v>
      </c>
      <c r="E560" s="31" t="s">
        <v>1337</v>
      </c>
      <c r="F560" s="37"/>
      <c r="G560" s="67"/>
      <c r="H560" s="67"/>
    </row>
    <row r="561" spans="1:8" ht="13.2">
      <c r="A561" s="65" t="str">
        <f>HYPERLINK("https://www.infoarena.ro/problema/pitici","infoarena pitici")</f>
        <v>infoarena pitici</v>
      </c>
      <c r="B561" s="20" t="s">
        <v>6893</v>
      </c>
      <c r="C561" s="21">
        <v>6</v>
      </c>
      <c r="D561" s="69"/>
      <c r="E561" s="31" t="s">
        <v>1337</v>
      </c>
      <c r="F561" s="37"/>
      <c r="G561" s="67"/>
      <c r="H561" s="67"/>
    </row>
    <row r="562" spans="1:8" ht="13.2">
      <c r="A562" s="65" t="str">
        <f>HYPERLINK("https://oj.uz/problem/view/JOI19_lamps","JOISC 19-lamps")</f>
        <v>JOISC 19-lamps</v>
      </c>
      <c r="B562" s="20" t="s">
        <v>1348</v>
      </c>
      <c r="C562" s="21">
        <v>6</v>
      </c>
      <c r="D562" s="69"/>
      <c r="E562" s="31" t="s">
        <v>1337</v>
      </c>
      <c r="F562" s="37"/>
      <c r="G562" s="67"/>
      <c r="H562" s="67"/>
    </row>
    <row r="563" spans="1:8" ht="13.2">
      <c r="A563" s="65" t="str">
        <f>HYPERLINK("https://www.infoarena.ro/problema/v2d","infoarena v2d")</f>
        <v>infoarena v2d</v>
      </c>
      <c r="B563" s="20" t="s">
        <v>6894</v>
      </c>
      <c r="C563" s="21">
        <v>6</v>
      </c>
      <c r="D563" s="65" t="str">
        <f>HYPERLINK("https://github.com/stefdasca/CompetitiveProgramming/blob/master/Infoarena/v2d.cpp","Sol")</f>
        <v>Sol</v>
      </c>
      <c r="E563" s="31" t="s">
        <v>1337</v>
      </c>
      <c r="F563" s="37"/>
      <c r="G563" s="67"/>
      <c r="H563" s="67"/>
    </row>
    <row r="564" spans="1:8" ht="13.2">
      <c r="A564" s="65" t="str">
        <f>HYPERLINK("https://oj.uz/problem/view/IOI16_paint","IOI 16-paint")</f>
        <v>IOI 16-paint</v>
      </c>
      <c r="B564" s="18" t="s">
        <v>6895</v>
      </c>
      <c r="C564" s="17">
        <v>5.75</v>
      </c>
      <c r="D564" s="65" t="str">
        <f>HYPERLINK("https://github.com/mostafa-saad/MyCompetitiveProgramming/blob/master/Olympiad/IOI/IOI-16-paint.txt","Sol")</f>
        <v>Sol</v>
      </c>
      <c r="E564" s="31" t="s">
        <v>1337</v>
      </c>
      <c r="F564" s="37" t="s">
        <v>196</v>
      </c>
      <c r="G564" s="67"/>
      <c r="H564" s="67"/>
    </row>
    <row r="565" spans="1:8" ht="13.2">
      <c r="A565" s="65" t="str">
        <f>HYPERLINK("http://usaco.org/index.php?page=viewproblem2&amp;cpid=698", "USACO 17jan-subrev-plat")</f>
        <v>USACO 17jan-subrev-plat</v>
      </c>
      <c r="B565" s="20" t="s">
        <v>1348</v>
      </c>
      <c r="C565" s="21">
        <v>5.75</v>
      </c>
      <c r="D565" s="69"/>
      <c r="E565" s="31" t="s">
        <v>1337</v>
      </c>
      <c r="F565" s="37" t="s">
        <v>139</v>
      </c>
      <c r="G565" s="67"/>
      <c r="H565" s="67"/>
    </row>
    <row r="566" spans="1:8" ht="13.2">
      <c r="A566" s="65" t="str">
        <f>HYPERLINK("https://oj.uz/problem/view/COCI17_kas","COCI 17-kas")</f>
        <v>COCI 17-kas</v>
      </c>
      <c r="B566" s="20" t="s">
        <v>6896</v>
      </c>
      <c r="C566" s="24">
        <v>5.75</v>
      </c>
      <c r="D566" s="65" t="str">
        <f>HYPERLINK("https://github.com/mostafa-saad/MyCompetitiveProgramming/blob/master/Olympiad/COCI/COCI-17-kas.txt","Sol")</f>
        <v>Sol</v>
      </c>
      <c r="E566" s="31" t="s">
        <v>1337</v>
      </c>
      <c r="F566" s="37" t="s">
        <v>139</v>
      </c>
      <c r="G566" s="67"/>
      <c r="H566" s="67"/>
    </row>
    <row r="567" spans="1:8" ht="13.2">
      <c r="A567" s="65" t="str">
        <f>HYPERLINK("https://cses.fi/problemset/task/1112/","CSES 1112")</f>
        <v>CSES 1112</v>
      </c>
      <c r="B567" s="23" t="s">
        <v>6897</v>
      </c>
      <c r="C567" s="24">
        <v>5.75</v>
      </c>
      <c r="D567" s="65" t="str">
        <f>HYPERLINK("https://github.com/nya-nya-meow/CompetitiveProgramming/blob/master/CSES/CSES%201112%20-%20Substrings.cpp","Sol")</f>
        <v>Sol</v>
      </c>
      <c r="E567" s="31" t="s">
        <v>1337</v>
      </c>
      <c r="F567" s="37" t="s">
        <v>139</v>
      </c>
      <c r="G567" s="67"/>
      <c r="H567" s="67"/>
    </row>
    <row r="568" spans="1:8" ht="13.2">
      <c r="A568" s="65" t="str">
        <f>HYPERLINK("https://dmoj.ca/problem/coci08c4p4","COCI 08-Slikar")</f>
        <v>COCI 08-Slikar</v>
      </c>
      <c r="B568" s="23" t="s">
        <v>6898</v>
      </c>
      <c r="C568" s="24">
        <v>5.75</v>
      </c>
      <c r="D568" s="65" t="str">
        <f>HYPERLINK("https://github.com/mostafa-saad/MyCompetitiveProgramming/blob/master/Olympiad/COCI/COCI-08-Slikar.txt","Sol")</f>
        <v>Sol</v>
      </c>
      <c r="E568" s="31" t="s">
        <v>1337</v>
      </c>
      <c r="F568" s="37" t="s">
        <v>139</v>
      </c>
      <c r="G568" s="67"/>
      <c r="H568" s="67"/>
    </row>
    <row r="569" spans="1:8" ht="13.2">
      <c r="A569" s="65" t="str">
        <f>HYPERLINK("https://www.hackerrank.com/contests/ioi-2014-practice-contest-1/challenges","IOIPractice 14-skwishinese-ioi14")</f>
        <v>IOIPractice 14-skwishinese-ioi14</v>
      </c>
      <c r="B569" s="15" t="s">
        <v>6899</v>
      </c>
      <c r="C569" s="24">
        <v>5.75</v>
      </c>
      <c r="D569" s="65" t="str">
        <f>HYPERLINK("https://github.com/mostafa-saad/MyCompetitiveProgramming/blob/master/Olympiad/IOI/IOIPractice-14-skwishinese-ioi14.txt","Sol")</f>
        <v>Sol</v>
      </c>
      <c r="E569" s="31" t="s">
        <v>1337</v>
      </c>
      <c r="F569" s="37" t="s">
        <v>139</v>
      </c>
      <c r="G569" s="67"/>
      <c r="H569" s="67"/>
    </row>
    <row r="570" spans="1:8" ht="13.2">
      <c r="A570" s="65" t="str">
        <f>HYPERLINK("https://www.infoarena.ro/problema/scara2","infoarena scara2")</f>
        <v>infoarena scara2</v>
      </c>
      <c r="B570" s="20" t="s">
        <v>1352</v>
      </c>
      <c r="C570" s="21">
        <v>5.75</v>
      </c>
      <c r="D570" s="65" t="str">
        <f>HYPERLINK("https://github.com/stefdasca/CompetitiveProgramming/blob/master/Infoarena/scara2.cpp","Sol")</f>
        <v>Sol</v>
      </c>
      <c r="E570" s="31" t="s">
        <v>1337</v>
      </c>
      <c r="F570" s="37" t="s">
        <v>139</v>
      </c>
      <c r="G570" s="67"/>
      <c r="H570" s="67"/>
    </row>
    <row r="571" spans="1:8" ht="13.2">
      <c r="A571" s="65" t="str">
        <f>HYPERLINK("http://usaco.org/index.php?page=viewproblem2&amp;cpid=721", "USACO 17feb-nocross-plat")</f>
        <v>USACO 17feb-nocross-plat</v>
      </c>
      <c r="B571" s="20" t="s">
        <v>6900</v>
      </c>
      <c r="C571" s="21">
        <v>5.75</v>
      </c>
      <c r="D571" s="69"/>
      <c r="E571" s="31" t="s">
        <v>1337</v>
      </c>
      <c r="F571" s="37" t="s">
        <v>201</v>
      </c>
      <c r="G571" s="67"/>
      <c r="H571" s="67"/>
    </row>
    <row r="572" spans="1:8" ht="13.2">
      <c r="A572" s="65" t="str">
        <f>HYPERLINK("https://www.infoarena.ro/problema/secvbest","infoarena secvbest")</f>
        <v>infoarena secvbest</v>
      </c>
      <c r="B572" s="20" t="s">
        <v>6901</v>
      </c>
      <c r="C572" s="21">
        <v>5.75</v>
      </c>
      <c r="D572" s="65" t="str">
        <f>HYPERLINK("https://github.com/stefdasca/CompetitiveProgramming/blob/master/Infoarena/secvbest.cpp","Sol")</f>
        <v>Sol</v>
      </c>
      <c r="E572" s="31" t="s">
        <v>1337</v>
      </c>
      <c r="F572" s="37" t="s">
        <v>201</v>
      </c>
      <c r="G572" s="67"/>
      <c r="H572" s="67"/>
    </row>
    <row r="573" spans="1:8" ht="13.2">
      <c r="A573" s="65" t="str">
        <f>HYPERLINK("https://dunjudge.me/analysis/problems/26/","NOI 11-tutor")</f>
        <v>NOI 11-tutor</v>
      </c>
      <c r="B573" s="37" t="s">
        <v>6902</v>
      </c>
      <c r="C573" s="21">
        <v>5.75</v>
      </c>
      <c r="D573" s="65" t="str">
        <f>HYPERLINK("https://github.com/mostafa-saad/MyCompetitiveProgramming/blob/master/Olympiad/NOI/official/2011.pptx","Editorial")</f>
        <v>Editorial</v>
      </c>
      <c r="E573" s="31" t="s">
        <v>1337</v>
      </c>
      <c r="F573" s="37"/>
      <c r="G573" s="67"/>
      <c r="H573" s="67"/>
    </row>
    <row r="574" spans="1:8" ht="13.2">
      <c r="A574" s="65" t="str">
        <f>HYPERLINK("https://oj.uz/problem/view/BOI19_kitchen","Baltic 19-kitchen")</f>
        <v>Baltic 19-kitchen</v>
      </c>
      <c r="B574" s="37" t="s">
        <v>1348</v>
      </c>
      <c r="C574" s="24">
        <v>5.5</v>
      </c>
      <c r="D574" s="65" t="str">
        <f>HYPERLINK("https://github.com/mostafa-saad/MyCompetitiveProgramming/tree/master/Olympiad/Baltic/official/boi2019_solutions","Editorial")</f>
        <v>Editorial</v>
      </c>
      <c r="E574" s="31" t="s">
        <v>1337</v>
      </c>
      <c r="F574" s="37" t="s">
        <v>139</v>
      </c>
      <c r="G574" s="67"/>
      <c r="H574" s="67"/>
    </row>
    <row r="575" spans="1:8" ht="13.2">
      <c r="A575" s="65" t="str">
        <f>HYPERLINK("https://oj.uz/problem/view/COCI17_vode","COCI 17-vode")</f>
        <v>COCI 17-vode</v>
      </c>
      <c r="B575" s="20" t="s">
        <v>6903</v>
      </c>
      <c r="C575" s="24">
        <v>5.5</v>
      </c>
      <c r="D575" s="65" t="str">
        <f>HYPERLINK("https://github.com/Rockbet/Problems/blob/master/COCI/COCI%202017-2018/Vode.cpp","Sol")</f>
        <v>Sol</v>
      </c>
      <c r="E575" s="31" t="s">
        <v>1337</v>
      </c>
      <c r="F575" s="37" t="s">
        <v>139</v>
      </c>
      <c r="G575" s="67"/>
      <c r="H575" s="67"/>
    </row>
    <row r="576" spans="1:8" ht="13.2">
      <c r="A576" s="65" t="str">
        <f>HYPERLINK("http://usaco.org/index.php?page=viewproblem2&amp;cpid=648","USACO 16mar-262144-plat")</f>
        <v>USACO 16mar-262144-plat</v>
      </c>
      <c r="B576" s="37" t="s">
        <v>1541</v>
      </c>
      <c r="C576" s="24">
        <v>5.5</v>
      </c>
      <c r="D576" s="69"/>
      <c r="E576" s="31" t="s">
        <v>1337</v>
      </c>
      <c r="F576" s="37" t="s">
        <v>139</v>
      </c>
      <c r="G576" s="67"/>
      <c r="H576" s="67"/>
    </row>
    <row r="577" spans="1:8" ht="13.2">
      <c r="A577" s="65" t="str">
        <f>HYPERLINK("https://szkopul.edu.pl/problemset/problem/_cVmDXXn2TjF0dF1rW6eazA0/site/", "POI 16-Johny")</f>
        <v>POI 16-Johny</v>
      </c>
      <c r="B577" s="37" t="s">
        <v>6904</v>
      </c>
      <c r="C577" s="24">
        <v>5.5</v>
      </c>
      <c r="D577" s="65" t="str">
        <f>HYPERLINK("https://github.com/mostafa-saad/MyCompetitiveProgramming/blob/master/Olympiad/POI/POI-05-Banknote.txt","Sol")</f>
        <v>Sol</v>
      </c>
      <c r="E577" s="31" t="s">
        <v>1337</v>
      </c>
      <c r="F577" s="37" t="s">
        <v>139</v>
      </c>
      <c r="G577" s="67"/>
      <c r="H577" s="67"/>
    </row>
    <row r="578" spans="1:8" ht="13.2">
      <c r="A578" s="65" t="str">
        <f>HYPERLINK("https://szkopul.edu.pl/problemset/problem/i3cF1qQtiXwmwOc_5qRB0ufC/site/", "POI 13-Bytecom")</f>
        <v>POI 13-Bytecom</v>
      </c>
      <c r="B578" s="20" t="s">
        <v>1348</v>
      </c>
      <c r="C578" s="17">
        <v>5.5</v>
      </c>
      <c r="D578" s="65" t="str">
        <f>HYPERLINK("https://www.dropbox.com/s/smryqdsty3vu5br/Bytecomputer.cpp?dl=0","Sol")</f>
        <v>Sol</v>
      </c>
      <c r="E578" s="31" t="s">
        <v>1337</v>
      </c>
      <c r="F578" s="37" t="s">
        <v>139</v>
      </c>
      <c r="G578" s="67"/>
      <c r="H578" s="67"/>
    </row>
    <row r="579" spans="1:8" ht="13.2">
      <c r="A579" s="65" t="str">
        <f>HYPERLINK("https://www.infoarena.ro/problema/amenzi","infoarena amenzi")</f>
        <v>infoarena amenzi</v>
      </c>
      <c r="B579" s="20" t="s">
        <v>6905</v>
      </c>
      <c r="C579" s="21">
        <v>5.5</v>
      </c>
      <c r="D579" s="65" t="str">
        <f>HYPERLINK("https://github.com/stefdasca/CompetitiveProgramming/blob/master/Infoarena/amenzi.cpp","Sol")</f>
        <v>Sol</v>
      </c>
      <c r="E579" s="31" t="s">
        <v>1337</v>
      </c>
      <c r="F579" s="37" t="s">
        <v>139</v>
      </c>
      <c r="G579" s="67"/>
      <c r="H579" s="67"/>
    </row>
    <row r="580" spans="1:8" ht="13.2">
      <c r="A580" s="65" t="str">
        <f>HYPERLINK("https://www.infoarena.ro/problema/peri","infoarena peri")</f>
        <v>infoarena peri</v>
      </c>
      <c r="B580" s="37" t="s">
        <v>6906</v>
      </c>
      <c r="C580" s="21">
        <v>5.5</v>
      </c>
      <c r="D580" s="65" t="str">
        <f>HYPERLINK("https://github.com/stefdasca/CompetitiveProgramming/blob/master/Infoarena/peri.cpp","Sol")</f>
        <v>Sol</v>
      </c>
      <c r="E580" s="31" t="s">
        <v>1337</v>
      </c>
      <c r="F580" s="37" t="s">
        <v>139</v>
      </c>
      <c r="G580" s="67"/>
      <c r="H580" s="67"/>
    </row>
    <row r="581" spans="1:8" ht="13.2">
      <c r="A581" s="65" t="str">
        <f>HYPERLINK("https://oj.uz/problem/view/COCI17_automobil","COCI 17-automobil")</f>
        <v>COCI 17-automobil</v>
      </c>
      <c r="B581" s="20" t="s">
        <v>1543</v>
      </c>
      <c r="C581" s="24">
        <v>5.5</v>
      </c>
      <c r="D581" s="65" t="str">
        <f>HYPERLINK("https://ideone.com/Ejf10T","Sol")</f>
        <v>Sol</v>
      </c>
      <c r="E581" s="31" t="s">
        <v>1337</v>
      </c>
      <c r="F581" s="37" t="s">
        <v>139</v>
      </c>
      <c r="G581" s="67"/>
      <c r="H581" s="67"/>
    </row>
    <row r="582" spans="1:8" ht="13.2">
      <c r="A582" s="65" t="str">
        <f>HYPERLINK("https://cses.fi/109/list/","Baltic 06-Countries")</f>
        <v>Baltic 06-Countries</v>
      </c>
      <c r="B582" s="37" t="s">
        <v>6907</v>
      </c>
      <c r="C582" s="24">
        <v>5.5</v>
      </c>
      <c r="D582" s="65" t="str">
        <f>HYPERLINK("https://github.com/mostafa-saad/MyCompetitiveProgramming/blob/master/Olympiad/Baltic/Baltic-06-Countries.txt","Sol")</f>
        <v>Sol</v>
      </c>
      <c r="E582" s="31" t="s">
        <v>1337</v>
      </c>
      <c r="F582" s="37" t="s">
        <v>201</v>
      </c>
      <c r="G582" s="67"/>
      <c r="H582" s="67"/>
    </row>
    <row r="583" spans="1:8" ht="13.2">
      <c r="A583" s="65" t="str">
        <f>HYPERLINK("https://joi2015ho.contest.atcoder.jp/tasks/joi2015ho_b","JOI 15-Cake2")</f>
        <v>JOI 15-Cake2</v>
      </c>
      <c r="B583" s="20" t="s">
        <v>6908</v>
      </c>
      <c r="C583" s="17">
        <v>5.5</v>
      </c>
      <c r="D583" s="65" t="str">
        <f>HYPERLINK("https://github.com/nikolapesic2802/Programming-Practice/blob/master/Cake%20Division2/main.cpp","Sol")</f>
        <v>Sol</v>
      </c>
      <c r="E583" s="31" t="s">
        <v>1337</v>
      </c>
      <c r="F583" s="37" t="s">
        <v>201</v>
      </c>
      <c r="G583" s="67"/>
      <c r="H583" s="67"/>
    </row>
    <row r="584" spans="1:8" ht="13.2">
      <c r="A584" s="65" t="str">
        <f>HYPERLINK("https://cses.fi/101/list/","Baltic 11-Meetings")</f>
        <v>Baltic 11-Meetings</v>
      </c>
      <c r="B584" s="37" t="s">
        <v>6909</v>
      </c>
      <c r="C584" s="24">
        <v>5.5</v>
      </c>
      <c r="D584" s="65" t="str">
        <f>HYPERLINK("https://github.com/mostafa-saad/MyCompetitiveProgramming/blob/master/Olympiad/Baltic/Baltic-11-Meetings.txt","Sol")</f>
        <v>Sol</v>
      </c>
      <c r="E584" s="31" t="s">
        <v>1337</v>
      </c>
      <c r="F584" s="37" t="s">
        <v>201</v>
      </c>
      <c r="G584" s="67"/>
      <c r="H584" s="67"/>
    </row>
    <row r="585" spans="1:8" ht="13.2">
      <c r="A585" s="65" t="str">
        <f>HYPERLINK("https://oj.uz/problem/view/BOI13_ballmachine","Baltic 13-ballmachine")</f>
        <v>Baltic 13-ballmachine</v>
      </c>
      <c r="B585" s="20" t="s">
        <v>6910</v>
      </c>
      <c r="C585" s="24">
        <v>5.5</v>
      </c>
      <c r="D585" s="65" t="str">
        <f>HYPERLINK("https://github.com/SpeedOfMagic/CompetitiveProgramming/blob/master/Baltic/13-ballmachine.cpp","Sol")</f>
        <v>Sol</v>
      </c>
      <c r="E585" s="31" t="s">
        <v>1337</v>
      </c>
      <c r="F585" s="37"/>
      <c r="G585" s="67"/>
      <c r="H585" s="67"/>
    </row>
    <row r="586" spans="1:8" ht="13.2">
      <c r="A586" s="65" t="str">
        <f>HYPERLINK("https://www.acmicpc.net/problem/1752","IOI 02-Frog")</f>
        <v>IOI 02-Frog</v>
      </c>
      <c r="B586" s="20" t="s">
        <v>6911</v>
      </c>
      <c r="C586" s="24">
        <v>5.5</v>
      </c>
      <c r="D586" s="65" t="str">
        <f>HYPERLINK("https://github.com/mostafa-saad/MyCompetitiveProgramming/blob/master/Olympiad/IOI/IOI-02-Frog.txt","Sol")</f>
        <v>Sol</v>
      </c>
      <c r="E586" s="31" t="s">
        <v>1337</v>
      </c>
      <c r="F586" s="37"/>
      <c r="G586" s="67"/>
      <c r="H586" s="67"/>
    </row>
    <row r="587" spans="1:8" ht="13.2">
      <c r="A587" s="65" t="str">
        <f>HYPERLINK("http://usaco.org/index.php?page=viewproblem2&amp;cpid=285","USACO 13open-photo")</f>
        <v>USACO 13open-photo</v>
      </c>
      <c r="B587" s="20" t="s">
        <v>1348</v>
      </c>
      <c r="C587" s="21">
        <v>5.5</v>
      </c>
      <c r="D587" s="69"/>
      <c r="E587" s="31" t="s">
        <v>1337</v>
      </c>
      <c r="F587" s="37"/>
      <c r="G587" s="67"/>
      <c r="H587" s="67"/>
    </row>
    <row r="588" spans="1:8" ht="13.2">
      <c r="A588" s="65" t="str">
        <f>HYPERLINK("https://oj.uz/problem/view/COI15_kovanice","COI 15-kovanice")</f>
        <v>COI 15-kovanice</v>
      </c>
      <c r="B588" s="20" t="s">
        <v>6912</v>
      </c>
      <c r="C588" s="24">
        <v>5.5</v>
      </c>
      <c r="D588" s="65" t="str">
        <f>HYPERLINK("https://github.com/tmwilliamlin168/CompetitiveProgramming/blob/master/COI/15-Koviance.cpp","Sol")</f>
        <v>Sol</v>
      </c>
      <c r="E588" s="31" t="s">
        <v>1337</v>
      </c>
      <c r="F588" s="37"/>
      <c r="G588" s="67"/>
      <c r="H588" s="67"/>
    </row>
    <row r="589" spans="1:8" ht="13.2">
      <c r="A589" s="65" t="str">
        <f>HYPERLINK("https://boi18-practice-open.kattis.com/problems","BalticPractice 18-Citations")</f>
        <v>BalticPractice 18-Citations</v>
      </c>
      <c r="B589" s="18" t="s">
        <v>6913</v>
      </c>
      <c r="C589" s="17">
        <v>5.5</v>
      </c>
      <c r="D589" s="65" t="str">
        <f>HYPERLINK("https://github.com/updown2/OI-Practice/blob/master/BOI/2018/Citations%20(Practice%20Session).txt","Sol")</f>
        <v>Sol</v>
      </c>
      <c r="E589" s="31" t="s">
        <v>1337</v>
      </c>
      <c r="F589" s="37"/>
      <c r="G589" s="67"/>
      <c r="H589" s="67"/>
    </row>
    <row r="590" spans="1:8" ht="13.2">
      <c r="A590" s="65" t="str">
        <f>HYPERLINK("https://www.infoarena.ro/problema/asmin","infoarena asmin")</f>
        <v>infoarena asmin</v>
      </c>
      <c r="B590" s="20" t="s">
        <v>6914</v>
      </c>
      <c r="C590" s="21">
        <v>5.5</v>
      </c>
      <c r="D590" s="65" t="str">
        <f>HYPERLINK("https://github.com/stefdasca/CompetitiveProgramming/blob/master/Infoarena/asmin.cpp","Sol")</f>
        <v>Sol</v>
      </c>
      <c r="E590" s="31" t="s">
        <v>1337</v>
      </c>
      <c r="F590" s="37"/>
      <c r="G590" s="67"/>
      <c r="H590" s="67"/>
    </row>
    <row r="591" spans="1:8" ht="13.2">
      <c r="A591" s="65" t="str">
        <f>HYPERLINK("https://www.infoarena.ro/problema/nkbiti","infoarena nkbiti")</f>
        <v>infoarena nkbiti</v>
      </c>
      <c r="B591" s="20" t="s">
        <v>6915</v>
      </c>
      <c r="C591" s="21">
        <v>5.5</v>
      </c>
      <c r="D591" s="65" t="str">
        <f>HYPERLINK("https://github.com/stefdasca/CompetitiveProgramming/blob/master/Infoarena/nkbiti.cpp","Sol")</f>
        <v>Sol</v>
      </c>
      <c r="E591" s="31" t="s">
        <v>1337</v>
      </c>
      <c r="F591" s="37"/>
      <c r="G591" s="67"/>
      <c r="H591" s="67"/>
    </row>
    <row r="592" spans="1:8" ht="13.2">
      <c r="A592" s="65" t="str">
        <f>HYPERLINK("https://www.infoarena.ro/problema/profit","infoarena profit")</f>
        <v>infoarena profit</v>
      </c>
      <c r="B592" s="20" t="s">
        <v>6859</v>
      </c>
      <c r="C592" s="17">
        <v>5.5</v>
      </c>
      <c r="D592" s="65" t="str">
        <f>HYPERLINK("https://github.com/stefdasca/CompetitiveProgramming/blob/master/Infoarena/profit.cpp","Sol")</f>
        <v>Sol</v>
      </c>
      <c r="E592" s="31" t="s">
        <v>1337</v>
      </c>
      <c r="F592" s="37"/>
      <c r="G592" s="67"/>
      <c r="H592" s="67"/>
    </row>
    <row r="593" spans="1:8" ht="13.2">
      <c r="A593" s="65" t="str">
        <f>HYPERLINK("https://www.infoarena.ro/problema/zip","infoarena zip")</f>
        <v>infoarena zip</v>
      </c>
      <c r="B593" s="20" t="s">
        <v>6916</v>
      </c>
      <c r="C593" s="21">
        <v>5.5</v>
      </c>
      <c r="D593" s="65" t="str">
        <f>HYPERLINK("https://github.com/stefdasca/CompetitiveProgramming/blob/master/Infoarena/zip.cpp","Sol")</f>
        <v>Sol</v>
      </c>
      <c r="E593" s="31" t="s">
        <v>1337</v>
      </c>
      <c r="F593" s="37"/>
      <c r="G593" s="67"/>
      <c r="H593" s="67"/>
    </row>
    <row r="594" spans="1:8" ht="13.2">
      <c r="A594" s="65" t="str">
        <f>HYPERLINK("https://www.infoarena.ro/problema/zmeu","infoarena zmeu")</f>
        <v>infoarena zmeu</v>
      </c>
      <c r="B594" s="20" t="s">
        <v>6917</v>
      </c>
      <c r="C594" s="17">
        <v>5.5</v>
      </c>
      <c r="D594" s="65" t="str">
        <f>HYPERLINK("https://github.com/stefdasca/CompetitiveProgramming/blob/master/Infoarena/zmeu.cpp","Sol")</f>
        <v>Sol</v>
      </c>
      <c r="E594" s="31" t="s">
        <v>1337</v>
      </c>
      <c r="F594" s="37"/>
      <c r="G594" s="67"/>
      <c r="H594" s="67"/>
    </row>
    <row r="595" spans="1:8" ht="13.2">
      <c r="A595" s="65" t="str">
        <f>HYPERLINK("https://csacademy.com/contest/ioi-2016-training-round-5/task/lights-out/","IOIPractice 16-lights-out")</f>
        <v>IOIPractice 16-lights-out</v>
      </c>
      <c r="B595" s="37" t="s">
        <v>1348</v>
      </c>
      <c r="C595" s="24">
        <v>5.5</v>
      </c>
      <c r="D595" s="69"/>
      <c r="E595" s="31" t="s">
        <v>1337</v>
      </c>
      <c r="F595" s="37"/>
      <c r="G595" s="67"/>
      <c r="H595" s="67"/>
    </row>
    <row r="596" spans="1:8" ht="13.2">
      <c r="A596" s="65" t="str">
        <f>HYPERLINK("https://joisc2013-day2.contest.atcoder.jp/tasks/joisc2013_mascots","JOISC 13-Mascots")</f>
        <v>JOISC 13-Mascots</v>
      </c>
      <c r="B596" s="20" t="s">
        <v>6918</v>
      </c>
      <c r="C596" s="24">
        <v>5.5</v>
      </c>
      <c r="D596" s="69"/>
      <c r="E596" s="31" t="s">
        <v>1337</v>
      </c>
      <c r="F596" s="37"/>
      <c r="G596" s="67"/>
      <c r="H596" s="67"/>
    </row>
    <row r="597" spans="1:8" ht="13.2">
      <c r="A597" s="65" t="str">
        <f>HYPERLINK("https://wcipeg.com/problem/coci097p5","COCI 09-Kraljevi")</f>
        <v>COCI 09-Kraljevi</v>
      </c>
      <c r="B597" s="15" t="s">
        <v>1348</v>
      </c>
      <c r="C597" s="24">
        <v>5.25</v>
      </c>
      <c r="D597" s="65" t="str">
        <f>HYPERLINK("https://github.com/mostafa-saad/MyCompetitiveProgramming/blob/master/Olympiad/COCI/official/2010/contest7_solutions","Editorial")</f>
        <v>Editorial</v>
      </c>
      <c r="E597" s="31" t="s">
        <v>1337</v>
      </c>
      <c r="F597" s="37" t="s">
        <v>139</v>
      </c>
      <c r="G597" s="67"/>
      <c r="H597" s="67"/>
    </row>
    <row r="598" spans="1:8" ht="13.2">
      <c r="A598" s="65" t="str">
        <f>HYPERLINK("https://contest.yandex.ru/ioi/contest/560/enter/","IOI 04-phidias")</f>
        <v>IOI 04-phidias</v>
      </c>
      <c r="B598" s="15" t="s">
        <v>1348</v>
      </c>
      <c r="C598" s="24">
        <v>5.25</v>
      </c>
      <c r="D598" s="65" t="str">
        <f t="shared" ref="D598:D599" si="10">HYPERLINK("https://github.com/mostafa-saad/MyCompetitiveProgramming/blob/master/Olympiad/IOI/official/2004","Editorial")</f>
        <v>Editorial</v>
      </c>
      <c r="E598" s="31" t="s">
        <v>1337</v>
      </c>
      <c r="F598" s="37" t="s">
        <v>139</v>
      </c>
      <c r="G598" s="67"/>
      <c r="H598" s="67"/>
    </row>
    <row r="599" spans="1:8" ht="13.2">
      <c r="A599" s="65" t="str">
        <f>HYPERLINK("https://contest.yandex.ru/ioi/contest/560/enter/","IOI 04-hermes")</f>
        <v>IOI 04-hermes</v>
      </c>
      <c r="B599" s="23" t="s">
        <v>1574</v>
      </c>
      <c r="C599" s="24">
        <v>5.25</v>
      </c>
      <c r="D599" s="65" t="str">
        <f t="shared" si="10"/>
        <v>Editorial</v>
      </c>
      <c r="E599" s="31" t="s">
        <v>1337</v>
      </c>
      <c r="F599" s="37" t="s">
        <v>139</v>
      </c>
      <c r="G599" s="67"/>
      <c r="H599" s="67"/>
    </row>
    <row r="600" spans="1:8" ht="13.2">
      <c r="A600" s="65" t="str">
        <f>HYPERLINK("https://dmoj.ca/problem/coci07c5p5","COCI 07-Barica")</f>
        <v>COCI 07-Barica</v>
      </c>
      <c r="B600" s="15" t="s">
        <v>6919</v>
      </c>
      <c r="C600" s="24">
        <v>5.25</v>
      </c>
      <c r="D600" s="65" t="str">
        <f>HYPERLINK("https://github.com/mostafa-saad/MyCompetitiveProgramming/blob/master/Olympiad/COCI/COCI-07-Barica.txt","Sol")</f>
        <v>Sol</v>
      </c>
      <c r="E600" s="31" t="s">
        <v>1337</v>
      </c>
      <c r="F600" s="37" t="s">
        <v>201</v>
      </c>
      <c r="G600" s="67"/>
      <c r="H600" s="67"/>
    </row>
    <row r="601" spans="1:8" ht="13.2">
      <c r="A601" s="65" t="str">
        <f>HYPERLINK("https://codeforces.com/group/swEqtABRxe/contest/243438/problem/C", "IOIQ 19-d2-C")</f>
        <v>IOIQ 19-d2-C</v>
      </c>
      <c r="B601" s="20" t="s">
        <v>6920</v>
      </c>
      <c r="C601" s="17">
        <v>5.25</v>
      </c>
      <c r="D601" s="69"/>
      <c r="E601" s="31" t="s">
        <v>1337</v>
      </c>
      <c r="F601" s="37"/>
      <c r="G601" s="67"/>
      <c r="H601" s="67"/>
    </row>
    <row r="602" spans="1:8" ht="13.2">
      <c r="A602" s="65" t="str">
        <f>HYPERLINK("https://dunjudge.me/analysis/problems/1385/","COCI 12-jedan")</f>
        <v>COCI 12-jedan</v>
      </c>
      <c r="B602" s="15" t="s">
        <v>6921</v>
      </c>
      <c r="C602" s="24">
        <v>5.25</v>
      </c>
      <c r="D602" s="65" t="str">
        <f>HYPERLINK("https://github.com/mostafa-saad/MyCompetitiveProgramming/blob/master/Olympiad/COCI/official/2013/contest6_solutions","Editorial")</f>
        <v>Editorial</v>
      </c>
      <c r="E602" s="31" t="s">
        <v>1337</v>
      </c>
      <c r="F602" s="37"/>
      <c r="G602" s="67"/>
      <c r="H602" s="67"/>
    </row>
    <row r="603" spans="1:8" ht="13.2">
      <c r="A603" s="65" t="str">
        <f>HYPERLINK("https://dunjudge.me/analysis/problems/699/","NOIMOCK 15-rooms")</f>
        <v>NOIMOCK 15-rooms</v>
      </c>
      <c r="B603" s="37" t="s">
        <v>1358</v>
      </c>
      <c r="C603" s="24">
        <v>5.25</v>
      </c>
      <c r="D603" s="69"/>
      <c r="E603" s="31" t="s">
        <v>1337</v>
      </c>
      <c r="F603" s="37"/>
      <c r="G603" s="67"/>
      <c r="H603" s="67"/>
    </row>
    <row r="604" spans="1:8" ht="13.2">
      <c r="A604" s="65" t="str">
        <f>HYPERLINK("https://cses.fi/105/list/","Baltic 10-PCB")</f>
        <v>Baltic 10-PCB</v>
      </c>
      <c r="B604" s="37" t="s">
        <v>6922</v>
      </c>
      <c r="C604" s="24">
        <v>5</v>
      </c>
      <c r="D604" s="65" t="str">
        <f>HYPERLINK("https://github.com/mostafa-saad/MyCompetitiveProgramming/blob/master/Olympiad/Baltic/Baltic-10-PCB.txt","Sol")</f>
        <v>Sol</v>
      </c>
      <c r="E604" s="31" t="s">
        <v>1337</v>
      </c>
      <c r="F604" s="37" t="s">
        <v>139</v>
      </c>
      <c r="G604" s="67"/>
      <c r="H604" s="67"/>
    </row>
    <row r="605" spans="1:8" ht="13.2">
      <c r="A605" s="65" t="str">
        <f>HYPERLINK("https://dunjudge.me/analysis/problems/1417/","COCI 13-domine")</f>
        <v>COCI 13-domine</v>
      </c>
      <c r="B605" s="20" t="s">
        <v>6923</v>
      </c>
      <c r="C605" s="24">
        <v>5</v>
      </c>
      <c r="D605" s="65" t="str">
        <f>HYPERLINK("https://github.com/mostafa-saad/MyCompetitiveProgramming/blob/master/Olympiad/COCI/official/2014/contest5_solutions","Editorial")</f>
        <v>Editorial</v>
      </c>
      <c r="E605" s="31" t="s">
        <v>1337</v>
      </c>
      <c r="F605" s="37" t="s">
        <v>139</v>
      </c>
      <c r="G605" s="67"/>
      <c r="H605" s="67"/>
    </row>
    <row r="606" spans="1:8" ht="13.2">
      <c r="A606" s="65" t="str">
        <f>HYPERLINK("https://wcipeg.com/problem/coci077p4","COCI 07-Jednakost")</f>
        <v>COCI 07-Jednakost</v>
      </c>
      <c r="B606" s="15" t="s">
        <v>1348</v>
      </c>
      <c r="C606" s="24">
        <v>5</v>
      </c>
      <c r="D606" s="65" t="str">
        <f>HYPERLINK("https://github.com/mostafa-saad/MyCompetitiveProgramming/blob/master/Olympiad/COCI/COCI-07-Jednakost.txt","Sol")</f>
        <v>Sol</v>
      </c>
      <c r="E606" s="31" t="s">
        <v>1337</v>
      </c>
      <c r="F606" s="37" t="s">
        <v>201</v>
      </c>
      <c r="G606" s="67"/>
      <c r="H606" s="67"/>
    </row>
    <row r="607" spans="1:8" ht="13.2">
      <c r="A607" s="65" t="str">
        <f>HYPERLINK("https://dmoj.ca/problem/coci07c1p4","COCI 07-Zapis")</f>
        <v>COCI 07-Zapis</v>
      </c>
      <c r="B607" s="15" t="s">
        <v>1348</v>
      </c>
      <c r="C607" s="24">
        <v>5</v>
      </c>
      <c r="D607" s="65" t="str">
        <f>HYPERLINK("https://github.com/mostafa-saad/MyCompetitiveProgramming/tree/master/Olympiad/COCI/official/2008/contest1_solutions","Editorial")</f>
        <v>Editorial</v>
      </c>
      <c r="E607" s="31" t="s">
        <v>1337</v>
      </c>
      <c r="F607" s="37" t="s">
        <v>201</v>
      </c>
      <c r="G607" s="67"/>
      <c r="H607" s="67"/>
    </row>
    <row r="608" spans="1:8" ht="13.2">
      <c r="A608" s="65" t="str">
        <f>HYPERLINK("http://usaco.org/index.php?page=viewproblem2&amp;cpid=673", "USACO 16dec-team-plat")</f>
        <v>USACO 16dec-team-plat</v>
      </c>
      <c r="B608" s="20" t="s">
        <v>1348</v>
      </c>
      <c r="C608" s="21">
        <v>5</v>
      </c>
      <c r="D608" s="69"/>
      <c r="E608" s="31" t="s">
        <v>1337</v>
      </c>
      <c r="F608" s="37" t="s">
        <v>201</v>
      </c>
      <c r="G608" s="67"/>
      <c r="H608" s="67"/>
    </row>
    <row r="609" spans="1:8" ht="13.2">
      <c r="A609" s="65" t="str">
        <f>HYPERLINK("https://oj.uz/problem/view/COCI18_go","COCI 18-go")</f>
        <v>COCI 18-go</v>
      </c>
      <c r="B609" s="20" t="s">
        <v>1348</v>
      </c>
      <c r="C609" s="24">
        <v>5</v>
      </c>
      <c r="D609" s="65" t="str">
        <f>HYPERLINK("https://ideone.com/xq3cEb","Sol")</f>
        <v>Sol</v>
      </c>
      <c r="E609" s="31" t="s">
        <v>1337</v>
      </c>
      <c r="F609" s="37" t="s">
        <v>201</v>
      </c>
      <c r="G609" s="67"/>
      <c r="H609" s="67"/>
    </row>
    <row r="610" spans="1:8" ht="13.2">
      <c r="A610" s="65" t="str">
        <f>HYPERLINK("https://dmoj.ca/problem/ccc16s4","CCC 16-Combining_Riceballs")</f>
        <v>CCC 16-Combining_Riceballs</v>
      </c>
      <c r="B610" s="37" t="s">
        <v>1348</v>
      </c>
      <c r="C610" s="24">
        <v>5</v>
      </c>
      <c r="D610" s="69"/>
      <c r="E610" s="31" t="s">
        <v>1337</v>
      </c>
      <c r="F610" s="37" t="s">
        <v>201</v>
      </c>
      <c r="G610" s="67"/>
      <c r="H610" s="67"/>
    </row>
    <row r="611" spans="1:8" ht="13.2">
      <c r="A611" s="65" t="str">
        <f>HYPERLINK("https://dmoj.ca/problem/ccc18s4","CCC 18-Balanced_Trees")</f>
        <v>CCC 18-Balanced_Trees</v>
      </c>
      <c r="B611" s="37" t="s">
        <v>1348</v>
      </c>
      <c r="C611" s="24">
        <v>5</v>
      </c>
      <c r="D611" s="69"/>
      <c r="E611" s="31" t="s">
        <v>1337</v>
      </c>
      <c r="F611" s="37" t="s">
        <v>201</v>
      </c>
      <c r="G611" s="67"/>
      <c r="H611" s="67"/>
    </row>
    <row r="612" spans="1:8" ht="13.2">
      <c r="A612" s="65" t="str">
        <f>HYPERLINK("https://oj.uz/problems/source/307","JOI 18-art")</f>
        <v>JOI 18-art</v>
      </c>
      <c r="B612" s="15" t="s">
        <v>6924</v>
      </c>
      <c r="C612" s="17">
        <v>5</v>
      </c>
      <c r="D612" s="65" t="str">
        <f>HYPERLINK("https://github.com/updown2/OI-Practice/blob/master/JOI/2018/Art.cpp", "Sol")</f>
        <v>Sol</v>
      </c>
      <c r="E612" s="31" t="s">
        <v>1337</v>
      </c>
      <c r="F612" s="37"/>
      <c r="G612" s="67"/>
      <c r="H612" s="67"/>
    </row>
    <row r="613" spans="1:8" ht="13.2">
      <c r="A613" s="65" t="str">
        <f>HYPERLINK("https://boi18-day2-open.kattis.com/problems","Baltic 18-Paths")</f>
        <v>Baltic 18-Paths</v>
      </c>
      <c r="B613" s="18" t="s">
        <v>6925</v>
      </c>
      <c r="C613" s="17">
        <v>5</v>
      </c>
      <c r="D613" s="65" t="str">
        <f>HYPERLINK("https://github.com/mostafa-saad/MyCompetitiveProgramming/blob/master/Olympiad/Baltic/Baltic-18-Paths.txt","Sol")</f>
        <v>Sol</v>
      </c>
      <c r="E613" s="31" t="s">
        <v>1337</v>
      </c>
      <c r="F613" s="37"/>
      <c r="G613" s="67"/>
      <c r="H613" s="67"/>
    </row>
    <row r="614" spans="1:8" ht="13.2">
      <c r="A614" s="65" t="str">
        <f>HYPERLINK("https://oj.uz/problems/source/6","JOIOC 13-watching")</f>
        <v>JOIOC 13-watching</v>
      </c>
      <c r="B614" s="15" t="s">
        <v>1374</v>
      </c>
      <c r="C614" s="17">
        <v>5</v>
      </c>
      <c r="D614" s="65" t="str">
        <f>HYPERLINK("https://github.com/mostafa-saad/MyCompetitiveProgramming/blob/master/Olympiad/JOI/JOIOC-13-Watching.txt","Sol")</f>
        <v>Sol</v>
      </c>
      <c r="E614" s="31" t="s">
        <v>1337</v>
      </c>
      <c r="F614" s="37"/>
      <c r="G614" s="67"/>
      <c r="H614" s="67"/>
    </row>
    <row r="615" spans="1:8" ht="13.2">
      <c r="A615" s="65" t="str">
        <f>HYPERLINK("http://usaco.org/index.php?page=viewproblem2&amp;cpid=494","USACO 14dec-guard")</f>
        <v>USACO 14dec-guard</v>
      </c>
      <c r="B615" s="20" t="s">
        <v>6926</v>
      </c>
      <c r="C615" s="21">
        <v>5</v>
      </c>
      <c r="D615" s="65" t="str">
        <f>HYPERLINK("https://github.com/goar5670/CompetitiveProgramming/blob/master/USACO%2014dec-guard.cpp","Sol")</f>
        <v>Sol</v>
      </c>
      <c r="E615" s="31" t="s">
        <v>1337</v>
      </c>
      <c r="F615" s="37"/>
      <c r="G615" s="67"/>
      <c r="H615" s="67"/>
    </row>
    <row r="616" spans="1:8" ht="13.2">
      <c r="A616" s="65" t="str">
        <f>HYPERLINK("https://contest.yandex.ru/ioi/contest/570/enter/","IOI 10-traffic")</f>
        <v>IOI 10-traffic</v>
      </c>
      <c r="B616" s="18" t="s">
        <v>6927</v>
      </c>
      <c r="C616" s="17">
        <v>5</v>
      </c>
      <c r="D616" s="65" t="str">
        <f>HYPERLINK("https://github.com/mostafa-saad/MyCompetitiveProgramming/blob/master/Olympiad/IOI/IOI-10-traffic.txt","Sol")</f>
        <v>Sol</v>
      </c>
      <c r="E616" s="31" t="s">
        <v>1337</v>
      </c>
      <c r="F616" s="37"/>
      <c r="G616" s="67"/>
      <c r="H616" s="67"/>
    </row>
    <row r="617" spans="1:8" ht="13.2">
      <c r="A617" s="65" t="str">
        <f>HYPERLINK("https://oj.uz/problem/view/JOI20_ho_t3","JOI 20-CollectingStamps3")</f>
        <v>JOI 20-CollectingStamps3</v>
      </c>
      <c r="B617" s="25" t="s">
        <v>6928</v>
      </c>
      <c r="C617" s="24">
        <v>5</v>
      </c>
      <c r="D617" s="65" t="str">
        <f>HYPERLINK("https://github.com/mostafa-saad/MyCompetitiveProgramming/blob/master/Olympiad/JOI/JOI-20-CollectingStamps3.txt","Sol")</f>
        <v>Sol</v>
      </c>
      <c r="E617" s="31" t="s">
        <v>1337</v>
      </c>
      <c r="F617" s="37"/>
      <c r="G617" s="67"/>
      <c r="H617" s="67"/>
    </row>
    <row r="618" spans="1:8" ht="13.2">
      <c r="A618" s="65" t="str">
        <f>HYPERLINK("https://dmoj.ca/problem/coci06c2p5","COCI 06-Stol")</f>
        <v>COCI 06-Stol</v>
      </c>
      <c r="B618" s="15" t="s">
        <v>1348</v>
      </c>
      <c r="C618" s="24">
        <v>5</v>
      </c>
      <c r="D618" s="65" t="str">
        <f>HYPERLINK("https://github.com/mostafa-saad/MyCompetitiveProgramming/tree/master/Olympiad/COCI/official/2007/contest2_solutions","Editorial")</f>
        <v>Editorial</v>
      </c>
      <c r="E618" s="31" t="s">
        <v>1337</v>
      </c>
      <c r="F618" s="37"/>
      <c r="G618" s="67"/>
      <c r="H618" s="67"/>
    </row>
    <row r="619" spans="1:8" ht="13.2">
      <c r="A619" s="65" t="str">
        <f>HYPERLINK("https://dunjudge.me/analysis/problems/13/","NOI 10-landscape")</f>
        <v>NOI 10-landscape</v>
      </c>
      <c r="B619" s="37" t="s">
        <v>1348</v>
      </c>
      <c r="C619" s="24">
        <v>5</v>
      </c>
      <c r="D619" s="69"/>
      <c r="E619" s="31" t="s">
        <v>1337</v>
      </c>
      <c r="F619" s="37"/>
      <c r="G619" s="67"/>
      <c r="H619" s="67"/>
    </row>
    <row r="620" spans="1:8" ht="13.2">
      <c r="A620" s="65" t="str">
        <f>HYPERLINK("https://www.infoarena.ro/problema/panza","infoarena panza")</f>
        <v>infoarena panza</v>
      </c>
      <c r="B620" s="20" t="s">
        <v>6929</v>
      </c>
      <c r="C620" s="21">
        <v>5</v>
      </c>
      <c r="D620" s="65" t="str">
        <f>HYPERLINK("https://github.com/stefdasca/CompetitiveProgramming/blob/master/Infoarena/panza.cpp","Sol")</f>
        <v>Sol</v>
      </c>
      <c r="E620" s="31" t="s">
        <v>1337</v>
      </c>
      <c r="F620" s="37"/>
      <c r="G620" s="67"/>
      <c r="H620" s="67"/>
    </row>
    <row r="621" spans="1:8" ht="13.2">
      <c r="A621" s="65" t="str">
        <f>HYPERLINK("https://cses.fi/114/list/","Baltic 08-Elections")</f>
        <v>Baltic 08-Elections</v>
      </c>
      <c r="B621" s="37" t="s">
        <v>1366</v>
      </c>
      <c r="C621" s="24">
        <v>5</v>
      </c>
      <c r="D621" s="65" t="str">
        <f>HYPERLINK("https://github.com/mostafa-saad/MyCompetitiveProgramming/blob/master/Olympiad/Baltic/official/boi2008_solutions","Editorial")</f>
        <v>Editorial</v>
      </c>
      <c r="E621" s="31" t="s">
        <v>1337</v>
      </c>
      <c r="F621" s="37"/>
      <c r="G621" s="67"/>
      <c r="H621" s="67"/>
    </row>
    <row r="622" spans="1:8" ht="13.2">
      <c r="A622" s="65" t="str">
        <f>HYPERLINK("https://dmoj.ca/problem/coci08c2p5","COCI 08-Setnja")</f>
        <v>COCI 08-Setnja</v>
      </c>
      <c r="B622" s="15" t="s">
        <v>6930</v>
      </c>
      <c r="C622" s="24">
        <v>5</v>
      </c>
      <c r="D622" s="65" t="str">
        <f>HYPERLINK("https://github.com/mostafa-saad/MyCompetitiveProgramming/blob/master/Olympiad/COCI/official/2009/contest2_solutions","Editorial")</f>
        <v>Editorial</v>
      </c>
      <c r="E622" s="31" t="s">
        <v>1337</v>
      </c>
      <c r="F622" s="37"/>
      <c r="G622" s="67"/>
      <c r="H622" s="67"/>
    </row>
    <row r="623" spans="1:8" ht="13.2">
      <c r="A623" s="65" t="str">
        <f>HYPERLINK("https://dunjudge.me/analysis/problems/134/","NOI 07-street")</f>
        <v>NOI 07-street</v>
      </c>
      <c r="B623" s="37" t="s">
        <v>1348</v>
      </c>
      <c r="C623" s="24">
        <v>5</v>
      </c>
      <c r="D623" s="65" t="str">
        <f t="shared" ref="D623:D625" si="11">HYPERLINK("https://github.com/mostafa-saad/MyCompetitiveProgramming/blob/master/Olympiad/NOI/official","Editorial")</f>
        <v>Editorial</v>
      </c>
      <c r="E623" s="31" t="s">
        <v>1337</v>
      </c>
      <c r="F623" s="37"/>
      <c r="G623" s="67"/>
      <c r="H623" s="67"/>
    </row>
    <row r="624" spans="1:8" ht="13.2">
      <c r="A624" s="65" t="str">
        <f>HYPERLINK("https://dunjudge.me/analysis/problems/67/","NOI 08-housing")</f>
        <v>NOI 08-housing</v>
      </c>
      <c r="B624" s="37" t="s">
        <v>1348</v>
      </c>
      <c r="C624" s="24">
        <v>5</v>
      </c>
      <c r="D624" s="65" t="str">
        <f t="shared" si="11"/>
        <v>Editorial</v>
      </c>
      <c r="E624" s="31" t="s">
        <v>1337</v>
      </c>
      <c r="F624" s="37"/>
      <c r="G624" s="67"/>
      <c r="H624" s="67"/>
    </row>
    <row r="625" spans="1:8" ht="13.2">
      <c r="A625" s="65" t="str">
        <f>HYPERLINK("https://dunjudge.me/analysis/problems/703/","NOI 15-askonegetonefree")</f>
        <v>NOI 15-askonegetonefree</v>
      </c>
      <c r="B625" s="37" t="s">
        <v>1348</v>
      </c>
      <c r="C625" s="24">
        <v>5</v>
      </c>
      <c r="D625" s="65" t="str">
        <f t="shared" si="11"/>
        <v>Editorial</v>
      </c>
      <c r="E625" s="31" t="s">
        <v>1337</v>
      </c>
      <c r="F625" s="37"/>
      <c r="G625" s="67"/>
      <c r="H625" s="67"/>
    </row>
    <row r="626" spans="1:8" ht="13.2">
      <c r="A626" s="65" t="str">
        <f>HYPERLINK("https://dmoj.ca/problem/ccoprep16q1","Dmoj City_Game")</f>
        <v>Dmoj City_Game</v>
      </c>
      <c r="B626" s="37" t="s">
        <v>1348</v>
      </c>
      <c r="C626" s="24">
        <v>5</v>
      </c>
      <c r="D626" s="69"/>
      <c r="E626" s="31" t="s">
        <v>1337</v>
      </c>
      <c r="F626" s="37"/>
      <c r="G626" s="67"/>
      <c r="H626" s="67"/>
    </row>
    <row r="627" spans="1:8" ht="13.2">
      <c r="A627" s="65" t="str">
        <f>HYPERLINK("https://oj.uz/problem/view/info1cup18_maxcomp","info1cup 18-maxcomp")</f>
        <v>info1cup 18-maxcomp</v>
      </c>
      <c r="B627" s="37" t="s">
        <v>1348</v>
      </c>
      <c r="C627" s="24">
        <v>5</v>
      </c>
      <c r="D627" s="69"/>
      <c r="E627" s="31" t="s">
        <v>1337</v>
      </c>
      <c r="F627" s="37"/>
      <c r="G627" s="67"/>
      <c r="H627" s="67"/>
    </row>
    <row r="628" spans="1:8" ht="13.2">
      <c r="A628" s="65" t="str">
        <f>HYPERLINK("http://usaco.org/index.php?page=viewproblem2&amp;cpid=945","USACO 19mar-snakes-gold")</f>
        <v>USACO 19mar-snakes-gold</v>
      </c>
      <c r="B628" s="20" t="s">
        <v>1348</v>
      </c>
      <c r="C628" s="17">
        <v>5</v>
      </c>
      <c r="D628" s="69"/>
      <c r="E628" s="31" t="s">
        <v>1337</v>
      </c>
      <c r="F628" s="37"/>
      <c r="G628" s="67"/>
      <c r="H628" s="67"/>
    </row>
    <row r="629" spans="1:8" ht="13.2">
      <c r="A629" s="65" t="str">
        <f>HYPERLINK("https://cses.fi/110/list/","Baltic 06-Jump")</f>
        <v>Baltic 06-Jump</v>
      </c>
      <c r="B629" s="70" t="s">
        <v>6931</v>
      </c>
      <c r="C629" s="66">
        <v>5</v>
      </c>
      <c r="D629" s="65" t="str">
        <f>HYPERLINK("https://github.com/mostafa-saad/MyCompetitiveProgramming/blob/master/Olympiad/Baltic/official/boi2006_solutions","Editorial")</f>
        <v>Editorial</v>
      </c>
      <c r="E629" s="31" t="s">
        <v>1337</v>
      </c>
      <c r="F629" s="37"/>
      <c r="G629" s="67"/>
      <c r="H629" s="67"/>
    </row>
    <row r="630" spans="1:8" ht="13.2">
      <c r="A630" s="65" t="str">
        <f>HYPERLINK("https://dunjudge.me/analysis/problems/958/","NOI 16-unlucky_floors")</f>
        <v>NOI 16-unlucky_floors</v>
      </c>
      <c r="B630" s="37" t="s">
        <v>1348</v>
      </c>
      <c r="C630" s="24">
        <v>5</v>
      </c>
      <c r="D630" s="65" t="str">
        <f>HYPERLINK("https://github.com/mostafa-saad/MyCompetitiveProgramming/blob/master/Olympiad/NOI/official","Editorial")</f>
        <v>Editorial</v>
      </c>
      <c r="E630" s="31" t="s">
        <v>1337</v>
      </c>
      <c r="F630" s="37"/>
      <c r="G630" s="67"/>
      <c r="H630" s="67"/>
    </row>
    <row r="631" spans="1:8" ht="13.2">
      <c r="A631" s="65" t="str">
        <f>HYPERLINK("https://szkopul.edu.pl/problemset/problem/uABxo7lIMMVDn0-HB1wCE02w/site/", "POI 09-Inspector")</f>
        <v>POI 09-Inspector</v>
      </c>
      <c r="B631" s="37" t="s">
        <v>1348</v>
      </c>
      <c r="C631" s="24">
        <v>5</v>
      </c>
      <c r="D631" s="65" t="str">
        <f t="shared" ref="D631:D634" si="12">HYPERLINK("https://github.com/mostafa-saad/MyCompetitiveProgramming/blob/master/Olympiad/POI/official/find_editorial_sols_guidelines.txt","Editorial")</f>
        <v>Editorial</v>
      </c>
      <c r="E631" s="31" t="s">
        <v>1337</v>
      </c>
      <c r="F631" s="37"/>
      <c r="G631" s="67"/>
      <c r="H631" s="67"/>
    </row>
    <row r="632" spans="1:8" ht="13.2">
      <c r="A632" s="65" t="str">
        <f>HYPERLINK("https://szkopul.edu.pl/problemset/problem/xmyBMI5AsEiW30_RyePNSXiG/site/", "POI 11-Difference")</f>
        <v>POI 11-Difference</v>
      </c>
      <c r="B632" s="25" t="s">
        <v>6932</v>
      </c>
      <c r="C632" s="17">
        <v>5</v>
      </c>
      <c r="D632" s="65" t="str">
        <f t="shared" si="12"/>
        <v>Editorial</v>
      </c>
      <c r="E632" s="31" t="s">
        <v>1337</v>
      </c>
      <c r="F632" s="37"/>
      <c r="G632" s="67"/>
      <c r="H632" s="67"/>
    </row>
    <row r="633" spans="1:8" ht="13.2">
      <c r="A633" s="65" t="str">
        <f>HYPERLINK("https://oj.uz/problem/view/POI13_luk","POI 13-luk")</f>
        <v>POI 13-luk</v>
      </c>
      <c r="B633" s="37" t="s">
        <v>1346</v>
      </c>
      <c r="C633" s="24">
        <v>5</v>
      </c>
      <c r="D633" s="65" t="str">
        <f t="shared" si="12"/>
        <v>Editorial</v>
      </c>
      <c r="E633" s="31" t="s">
        <v>1337</v>
      </c>
      <c r="F633" s="37"/>
      <c r="G633" s="67"/>
      <c r="H633" s="67"/>
    </row>
    <row r="634" spans="1:8" ht="13.2">
      <c r="A634" s="65" t="str">
        <f>HYPERLINK("https://oj.uz/problem/view/POI13_mor","POI 13-mor")</f>
        <v>POI 13-mor</v>
      </c>
      <c r="B634" s="37" t="s">
        <v>1348</v>
      </c>
      <c r="C634" s="24">
        <v>5</v>
      </c>
      <c r="D634" s="65" t="str">
        <f t="shared" si="12"/>
        <v>Editorial</v>
      </c>
      <c r="E634" s="31" t="s">
        <v>1337</v>
      </c>
      <c r="F634" s="37"/>
      <c r="G634" s="67"/>
      <c r="H634" s="67"/>
    </row>
    <row r="635" spans="1:8" ht="13.2">
      <c r="A635" s="65" t="str">
        <f>HYPERLINK("https://joi2014ho.contest.atcoder.jp/tasks/joi2014ho2","JOI 14-IOIManju")</f>
        <v>JOI 14-IOIManju</v>
      </c>
      <c r="B635" s="20" t="s">
        <v>6933</v>
      </c>
      <c r="C635" s="17">
        <v>5</v>
      </c>
      <c r="D635" s="69"/>
      <c r="E635" s="31" t="s">
        <v>1337</v>
      </c>
      <c r="F635" s="37"/>
      <c r="G635" s="67"/>
      <c r="H635" s="67"/>
    </row>
    <row r="636" spans="1:8" ht="13.2">
      <c r="A636" s="65" t="str">
        <f>HYPERLINK("https://dunjudge.me/analysis/problems/700/","NOIMOCK 15-battleship")</f>
        <v>NOIMOCK 15-battleship</v>
      </c>
      <c r="B636" s="37" t="s">
        <v>1348</v>
      </c>
      <c r="C636" s="24">
        <v>5</v>
      </c>
      <c r="D636" s="69"/>
      <c r="E636" s="31" t="s">
        <v>1337</v>
      </c>
      <c r="F636" s="37"/>
      <c r="G636" s="67"/>
      <c r="H636" s="67"/>
    </row>
    <row r="637" spans="1:8" ht="13.2">
      <c r="A637" s="65" t="str">
        <f>HYPERLINK("https://dunjudge.me/analysis/problems/270/","NOI 09-invest")</f>
        <v>NOI 09-invest</v>
      </c>
      <c r="B637" s="37" t="s">
        <v>6934</v>
      </c>
      <c r="C637" s="24">
        <v>4.75</v>
      </c>
      <c r="D637" s="65" t="str">
        <f>HYPERLINK("https://github.com/mostafa-saad/MyCompetitiveProgramming/blob/master/Olympiad/NOI/official","Editorial")</f>
        <v>Editorial</v>
      </c>
      <c r="E637" s="31" t="s">
        <v>1337</v>
      </c>
      <c r="F637" s="37" t="s">
        <v>139</v>
      </c>
      <c r="G637" s="67"/>
      <c r="H637" s="67"/>
    </row>
    <row r="638" spans="1:8" ht="13.2">
      <c r="A638" s="65" t="str">
        <f>HYPERLINK("https://dmoj.ca/problem/coci06c4p4","COCI 06-Zbrka")</f>
        <v>COCI 06-Zbrka</v>
      </c>
      <c r="B638" s="15" t="s">
        <v>1348</v>
      </c>
      <c r="C638" s="24">
        <v>4.5</v>
      </c>
      <c r="D638" s="65" t="str">
        <f>HYPERLINK("https://github.com/mostafa-saad/MyCompetitiveProgramming/tree/master/Olympiad/COCI/official/2007/contest4_solutions","Editorial")</f>
        <v>Editorial</v>
      </c>
      <c r="E638" s="31" t="s">
        <v>1337</v>
      </c>
      <c r="F638" s="37" t="s">
        <v>139</v>
      </c>
      <c r="G638" s="67"/>
      <c r="H638" s="67"/>
    </row>
    <row r="639" spans="1:8" ht="13.2">
      <c r="A639" s="65" t="str">
        <f>HYPERLINK("https://contest.yandex.ru/snss2018/contest/8703/problems/A","SNSS 18-R5-A")</f>
        <v>SNSS 18-R5-A</v>
      </c>
      <c r="B639" s="20" t="s">
        <v>1348</v>
      </c>
      <c r="C639" s="21">
        <v>4.5</v>
      </c>
      <c r="D639" s="65" t="str">
        <f>HYPERLINK("https://github.com/SpeedOfMagic/CompetitiveProgramming/blob/master/SNSS/18-R5-A.cpp","Sol")</f>
        <v>Sol</v>
      </c>
      <c r="E639" s="31" t="s">
        <v>1337</v>
      </c>
      <c r="F639" s="37" t="s">
        <v>201</v>
      </c>
      <c r="G639" s="67"/>
      <c r="H639" s="67"/>
    </row>
    <row r="640" spans="1:8" ht="13.2">
      <c r="A640" s="65" t="str">
        <f>HYPERLINK("https://cses.fi/116/list/","Baltic 05-Ancient")</f>
        <v>Baltic 05-Ancient</v>
      </c>
      <c r="B640" s="37" t="s">
        <v>6935</v>
      </c>
      <c r="C640" s="24">
        <v>4.5</v>
      </c>
      <c r="D640" s="65" t="str">
        <f>HYPERLINK("https://github.com/mostafa-saad/MyCompetitiveProgramming/blob/master/Olympiad/Baltic/official/boi2005_solutions","Editorial")</f>
        <v>Editorial</v>
      </c>
      <c r="E640" s="31" t="s">
        <v>1337</v>
      </c>
      <c r="F640" s="37"/>
      <c r="G640" s="67"/>
      <c r="H640" s="67"/>
    </row>
    <row r="641" spans="1:8" ht="13.2">
      <c r="A641" s="65" t="str">
        <f>HYPERLINK("https://joi2016ho.contest.atcoder.jp/tasks/joi2016ho_a","JOI 16-Oranges")</f>
        <v>JOI 16-Oranges</v>
      </c>
      <c r="B641" s="20" t="s">
        <v>6936</v>
      </c>
      <c r="C641" s="17">
        <v>4.5</v>
      </c>
      <c r="D641" s="65" t="str">
        <f>HYPERLINK("https://github.com/nikolapesic2802/Programming-Practice/blob/master/Oranges/main.cpp","AC")</f>
        <v>AC</v>
      </c>
      <c r="E641" s="31" t="s">
        <v>1337</v>
      </c>
      <c r="F641" s="37"/>
      <c r="G641" s="67"/>
      <c r="H641" s="67"/>
    </row>
    <row r="642" spans="1:8" ht="13.2">
      <c r="A642" s="65" t="str">
        <f>HYPERLINK("https://www.infoarena.ro/problema/tablou","infoarena tablou")</f>
        <v>infoarena tablou</v>
      </c>
      <c r="B642" s="20" t="s">
        <v>6937</v>
      </c>
      <c r="C642" s="21">
        <v>4.5</v>
      </c>
      <c r="D642" s="65" t="str">
        <f>HYPERLINK("https://github.com/stefdasca/CompetitiveProgramming/blob/master/Infoarena/tablou.cpp","Sol")</f>
        <v>Sol</v>
      </c>
      <c r="E642" s="31" t="s">
        <v>1337</v>
      </c>
      <c r="F642" s="37"/>
      <c r="G642" s="67"/>
      <c r="H642" s="67"/>
    </row>
    <row r="643" spans="1:8" ht="13.2">
      <c r="A643" s="65" t="str">
        <f>HYPERLINK("http://usaco.org/index.php?page=viewproblem2&amp;cpid=193", "USACO 12nov-bbreeds-gold")</f>
        <v>USACO 12nov-bbreeds-gold</v>
      </c>
      <c r="B643" s="20" t="s">
        <v>1348</v>
      </c>
      <c r="C643" s="21">
        <v>4.5</v>
      </c>
      <c r="D643" s="69"/>
      <c r="E643" s="31" t="s">
        <v>1337</v>
      </c>
      <c r="F643" s="37"/>
      <c r="G643" s="67"/>
      <c r="H643" s="67"/>
    </row>
    <row r="644" spans="1:8" ht="13.2">
      <c r="A644" s="65" t="str">
        <f>HYPERLINK("https://dunjudge.me/analysis/problems/695/","NOIMOCK 15-toblerone")</f>
        <v>NOIMOCK 15-toblerone</v>
      </c>
      <c r="B644" s="37" t="s">
        <v>1348</v>
      </c>
      <c r="C644" s="24">
        <v>4.5</v>
      </c>
      <c r="D644" s="69"/>
      <c r="E644" s="31" t="s">
        <v>1337</v>
      </c>
      <c r="F644" s="37"/>
      <c r="G644" s="67"/>
      <c r="H644" s="67"/>
    </row>
    <row r="645" spans="1:8" ht="13.2">
      <c r="A645" s="65" t="str">
        <f>HYPERLINK("https://oj.uz/problem/view/COCI14_studentsko","COCI 14-studentsko")</f>
        <v>COCI 14-studentsko</v>
      </c>
      <c r="B645" s="20" t="s">
        <v>6938</v>
      </c>
      <c r="C645" s="24">
        <v>4</v>
      </c>
      <c r="D645" s="65" t="str">
        <f>HYPERLINK("https://github.com/mostafa-saad/MyCompetitiveProgramming/blob/master/Olympiad/COCI/COCI-14-studentsko.txt","Sol")</f>
        <v>Sol</v>
      </c>
      <c r="E645" s="31" t="s">
        <v>1337</v>
      </c>
      <c r="F645" s="37" t="s">
        <v>139</v>
      </c>
      <c r="G645" s="67"/>
      <c r="H645" s="67"/>
    </row>
    <row r="646" spans="1:8" ht="13.2">
      <c r="A646" s="65" t="str">
        <f>HYPERLINK("https://www.acmicpc.net/problem/7086","Balkan 05-SailingRace")</f>
        <v>Balkan 05-SailingRace</v>
      </c>
      <c r="B646" s="37" t="s">
        <v>1348</v>
      </c>
      <c r="C646" s="24">
        <v>4</v>
      </c>
      <c r="D646" s="65" t="str">
        <f>HYPERLINK("https://github.com/koosaga/olympiad/blob/master/Balkan/balkan05_race.cpp","Sol (no editorial)")</f>
        <v>Sol (no editorial)</v>
      </c>
      <c r="E646" s="31" t="s">
        <v>1337</v>
      </c>
      <c r="F646" s="37" t="s">
        <v>201</v>
      </c>
      <c r="G646" s="67"/>
      <c r="H646" s="67"/>
    </row>
    <row r="647" spans="1:8" ht="13.2">
      <c r="A647" s="65" t="str">
        <f>HYPERLINK("https://oj.uz/problem/view/IOI07_miners","IOI 07-miners")</f>
        <v>IOI 07-miners</v>
      </c>
      <c r="B647" s="18" t="s">
        <v>6939</v>
      </c>
      <c r="C647" s="17">
        <v>4</v>
      </c>
      <c r="D647" s="65" t="str">
        <f>HYPERLINK("https://github.com/mostafa-saad/MyCompetitiveProgramming/blob/master/Olympiad/IOI/official/2007","Editorial")</f>
        <v>Editorial</v>
      </c>
      <c r="E647" s="31" t="s">
        <v>1337</v>
      </c>
      <c r="F647" s="37"/>
      <c r="G647" s="67"/>
      <c r="H647" s="67"/>
    </row>
    <row r="648" spans="1:8" ht="13.2">
      <c r="A648" s="65" t="str">
        <f>HYPERLINK("https://oj.uz/problem/view/COCI19_slicice","COCI 19-slicice")</f>
        <v>COCI 19-slicice</v>
      </c>
      <c r="B648" s="20" t="s">
        <v>1348</v>
      </c>
      <c r="C648" s="21">
        <v>4</v>
      </c>
      <c r="D648" s="65" t="str">
        <f>HYPERLINK("https://github.com/CPSolutionsSzawinis/CompetitiveProgramming/blob/master/Olympiad/COCI/COCI19-slicice.cpp","Sol")</f>
        <v>Sol</v>
      </c>
      <c r="E648" s="31" t="s">
        <v>1337</v>
      </c>
      <c r="F648" s="37"/>
      <c r="G648" s="67"/>
      <c r="H648" s="67"/>
    </row>
    <row r="649" spans="1:8" ht="13.2">
      <c r="A649" s="65" t="str">
        <f>HYPERLINK("https://oj.uz/problem/view/COCI18_mate","COCI 18-mate")</f>
        <v>COCI 18-mate</v>
      </c>
      <c r="B649" s="20" t="s">
        <v>1348</v>
      </c>
      <c r="C649" s="24">
        <v>4</v>
      </c>
      <c r="D649" s="69"/>
      <c r="E649" s="31" t="s">
        <v>1337</v>
      </c>
      <c r="F649" s="37"/>
      <c r="G649" s="67"/>
      <c r="H649" s="67"/>
    </row>
    <row r="650" spans="1:8" ht="13.2">
      <c r="A650" s="65" t="str">
        <f>HYPERLINK("https://codeforces.com/group/swEqtABRxe/contest/243431/problem/B", "IOIQ 19-r1-C")</f>
        <v>IOIQ 19-r1-C</v>
      </c>
      <c r="B650" s="20" t="s">
        <v>1604</v>
      </c>
      <c r="C650" s="17">
        <v>4</v>
      </c>
      <c r="D650" s="69"/>
      <c r="E650" s="31" t="s">
        <v>1337</v>
      </c>
      <c r="F650" s="37"/>
      <c r="G650" s="67"/>
      <c r="H650" s="67"/>
    </row>
    <row r="651" spans="1:8" ht="13.2">
      <c r="A651" s="65" t="str">
        <f>HYPERLINK("https://dunjudge.me/analysis/problems/73/","NOI 10-poke_company")</f>
        <v>NOI 10-poke_company</v>
      </c>
      <c r="B651" s="37" t="s">
        <v>1541</v>
      </c>
      <c r="C651" s="24">
        <v>4</v>
      </c>
      <c r="D651" s="65" t="str">
        <f t="shared" ref="D651:D652" si="13">HYPERLINK("https://github.com/mostafa-saad/MyCompetitiveProgramming/blob/master/Olympiad/NOI/official","Editorial")</f>
        <v>Editorial</v>
      </c>
      <c r="E651" s="31" t="s">
        <v>1337</v>
      </c>
      <c r="F651" s="37"/>
      <c r="G651" s="67"/>
      <c r="H651" s="67"/>
    </row>
    <row r="652" spans="1:8" ht="13.2">
      <c r="A652" s="65" t="str">
        <f>HYPERLINK("https://oj.uz/problem/view/NOI18_journey","NOI 18-journey")</f>
        <v>NOI 18-journey</v>
      </c>
      <c r="B652" s="37" t="s">
        <v>1358</v>
      </c>
      <c r="C652" s="24">
        <v>4</v>
      </c>
      <c r="D652" s="65" t="str">
        <f t="shared" si="13"/>
        <v>Editorial</v>
      </c>
      <c r="E652" s="31" t="s">
        <v>1337</v>
      </c>
      <c r="F652" s="37"/>
      <c r="G652" s="67"/>
      <c r="H652" s="67"/>
    </row>
    <row r="653" spans="1:8" ht="13.2">
      <c r="A653" s="65" t="str">
        <f>HYPERLINK("https://dmoj.ca/contest/cco18d1","CCO 18-GeeseVsHawks")</f>
        <v>CCO 18-GeeseVsHawks</v>
      </c>
      <c r="B653" s="20" t="s">
        <v>1348</v>
      </c>
      <c r="C653" s="17">
        <v>4</v>
      </c>
      <c r="D653" s="65" t="str">
        <f>HYPERLINK("https://github.com/timpostuvan/CompetitiveProgramming/blob/master/Olympiad/CCO/GeeseVsHawks2018.cpp","Sol")</f>
        <v>Sol</v>
      </c>
      <c r="E653" s="31" t="s">
        <v>1337</v>
      </c>
      <c r="F653" s="37"/>
      <c r="G653" s="67"/>
      <c r="H653" s="67"/>
    </row>
    <row r="654" spans="1:8" ht="13.2">
      <c r="A654" s="65" t="str">
        <f>HYPERLINK("https://oj.uz/problem/view/NOI12_walking","NOI 12-walking")</f>
        <v>NOI 12-walking</v>
      </c>
      <c r="B654" s="37" t="s">
        <v>6940</v>
      </c>
      <c r="C654" s="24">
        <v>4</v>
      </c>
      <c r="D654" s="65" t="str">
        <f>HYPERLINK("https://www.comp.nus.edu.sg/~noi/2012/2012_soln.pdf","Editorial")</f>
        <v>Editorial</v>
      </c>
      <c r="E654" s="31" t="s">
        <v>1337</v>
      </c>
      <c r="F654" s="37"/>
      <c r="G654" s="67"/>
      <c r="H654" s="67"/>
    </row>
    <row r="655" spans="1:8" ht="13.2">
      <c r="A655" s="65" t="str">
        <f>HYPERLINK("https://joi2013ho.contest.atcoder.jp/tasks/joi2013ho2","JOI 13-TakeIOITrain")</f>
        <v>JOI 13-TakeIOITrain</v>
      </c>
      <c r="B655" s="20" t="s">
        <v>6941</v>
      </c>
      <c r="C655" s="17">
        <v>4</v>
      </c>
      <c r="D655" s="69"/>
      <c r="E655" s="31" t="s">
        <v>1337</v>
      </c>
      <c r="F655" s="37"/>
      <c r="G655" s="67"/>
      <c r="H655" s="67"/>
    </row>
    <row r="656" spans="1:8" ht="13.2">
      <c r="A656" s="65" t="str">
        <f>HYPERLINK("https://www.infoarena.ro/problema/cerc3","infoarena cerc3")</f>
        <v>infoarena cerc3</v>
      </c>
      <c r="B656" s="20" t="s">
        <v>1433</v>
      </c>
      <c r="C656" s="21">
        <v>3.5</v>
      </c>
      <c r="D656" s="65" t="str">
        <f>HYPERLINK("https://github.com/stefdasca/CompetitiveProgramming/blob/master/Infoarena/cerc3.cpp","Sol")</f>
        <v>Sol</v>
      </c>
      <c r="E656" s="31" t="s">
        <v>1337</v>
      </c>
      <c r="F656" s="37"/>
      <c r="G656" s="67"/>
      <c r="H656" s="67"/>
    </row>
    <row r="657" spans="1:8" ht="13.2">
      <c r="A657" s="65" t="str">
        <f>HYPERLINK("https://dmoj.ca/problem/coci14c1p5","COCI 14-Zabava")</f>
        <v>COCI 14-Zabava</v>
      </c>
      <c r="B657" s="20" t="s">
        <v>1346</v>
      </c>
      <c r="C657" s="24">
        <v>3</v>
      </c>
      <c r="D657" s="65" t="str">
        <f>HYPERLINK("https://github.com/mostafa-saad/MyCompetitiveProgramming/blob/master/Olympiad/COCI/official/2015/contest1_solutions","Editorial")</f>
        <v>Editorial</v>
      </c>
      <c r="E657" s="31" t="s">
        <v>1337</v>
      </c>
      <c r="F657" s="37" t="s">
        <v>201</v>
      </c>
      <c r="G657" s="67"/>
      <c r="H657" s="67"/>
    </row>
    <row r="658" spans="1:8" ht="13.2">
      <c r="A658" s="65" t="str">
        <f>HYPERLINK("https://github.com/stefdasca/CompetitiveProgramming/blob/master/Info1Cup/National%20Round/Mean%20(RO).pdf","Info1Cup 19-Mean")</f>
        <v>Info1Cup 19-Mean</v>
      </c>
      <c r="B658" s="20" t="s">
        <v>6942</v>
      </c>
      <c r="C658" s="21">
        <v>3</v>
      </c>
      <c r="D658" s="65" t="str">
        <f>HYPERLINK("https://github.com/stefdasca/CompetitiveProgramming/blob/master/Info1Cup/National%20Round/mean.cpp","Sol")</f>
        <v>Sol</v>
      </c>
      <c r="E658" s="31" t="s">
        <v>1337</v>
      </c>
      <c r="F658" s="37"/>
      <c r="G658" s="67"/>
      <c r="H658" s="67"/>
    </row>
    <row r="659" spans="1:8" ht="13.2">
      <c r="A659" s="65" t="str">
        <f>HYPERLINK("https://dunjudge.me/analysis/problems/1221/","COCI 14-acm")</f>
        <v>COCI 14-acm</v>
      </c>
      <c r="B659" s="20" t="s">
        <v>1348</v>
      </c>
      <c r="C659" s="24">
        <v>3</v>
      </c>
      <c r="D659" s="65" t="str">
        <f>HYPERLINK("https://github.com/mostafa-saad/MyCompetitiveProgramming/blob/master/Olympiad/COCI/official/2015/contest7_solutions","Editorial")</f>
        <v>Editorial</v>
      </c>
      <c r="E659" s="31" t="s">
        <v>1337</v>
      </c>
      <c r="F659" s="37"/>
      <c r="G659" s="67"/>
      <c r="H659" s="67"/>
    </row>
    <row r="660" spans="1:8" ht="13.2">
      <c r="A660" s="65" t="str">
        <f>HYPERLINK("http://poj.org/problem?id=1159","IOI 00-palindrome")</f>
        <v>IOI 00-palindrome</v>
      </c>
      <c r="B660" s="15" t="s">
        <v>1348</v>
      </c>
      <c r="C660" s="24">
        <v>2</v>
      </c>
      <c r="D660" s="65" t="str">
        <f>HYPERLINK("https://github.com/mostafa-saad/MyCompetitiveProgramming/blob/master/Olympiad/IOI/official/2000","Editorial")</f>
        <v>Editorial</v>
      </c>
      <c r="E660" s="31" t="s">
        <v>1337</v>
      </c>
      <c r="F660" s="37"/>
      <c r="G660" s="67"/>
      <c r="H660" s="67"/>
    </row>
    <row r="661" spans="1:8" ht="13.2">
      <c r="A661" s="65" t="str">
        <f>HYPERLINK("https://dunjudge.me/analysis/problems/1496/","NOI 06-claw")</f>
        <v>NOI 06-claw</v>
      </c>
      <c r="B661" s="37" t="s">
        <v>1358</v>
      </c>
      <c r="C661" s="24"/>
      <c r="D661" s="69"/>
      <c r="E661" s="31" t="s">
        <v>1337</v>
      </c>
      <c r="F661" s="37"/>
      <c r="G661" s="67"/>
      <c r="H661" s="67"/>
    </row>
    <row r="662" spans="1:8" ht="13.2">
      <c r="A662" s="65" t="str">
        <f>HYPERLINK("https://dunjudge.me/analysis/problems/1480/","NOIPrelim 18-knapsack")</f>
        <v>NOIPrelim 18-knapsack</v>
      </c>
      <c r="B662" s="37" t="s">
        <v>1348</v>
      </c>
      <c r="C662" s="24"/>
      <c r="D662" s="69"/>
      <c r="E662" s="31" t="s">
        <v>1337</v>
      </c>
      <c r="F662" s="37"/>
      <c r="G662" s="67"/>
      <c r="H662" s="67"/>
    </row>
    <row r="663" spans="1:8" ht="13.2">
      <c r="A663" s="65" t="str">
        <f>HYPERLINK("https://dunjudge.me/analysis/problems/419/","NOISelection 14-sardines")</f>
        <v>NOISelection 14-sardines</v>
      </c>
      <c r="B663" s="37" t="s">
        <v>1348</v>
      </c>
      <c r="C663" s="24"/>
      <c r="D663" s="69"/>
      <c r="E663" s="31" t="s">
        <v>1337</v>
      </c>
      <c r="F663" s="37"/>
      <c r="G663" s="67"/>
      <c r="H663" s="67"/>
    </row>
    <row r="664" spans="1:8" ht="13.2">
      <c r="A664" s="65" t="str">
        <f>HYPERLINK("https://dunjudge.me/analysis/problems/414/","NOISelection 14-schedule")</f>
        <v>NOISelection 14-schedule</v>
      </c>
      <c r="B664" s="37" t="s">
        <v>1348</v>
      </c>
      <c r="C664" s="24"/>
      <c r="D664" s="69"/>
      <c r="E664" s="31" t="s">
        <v>1337</v>
      </c>
      <c r="F664" s="37"/>
      <c r="G664" s="67"/>
      <c r="H664" s="67"/>
    </row>
    <row r="665" spans="1:8" ht="13.2">
      <c r="A665" s="65" t="str">
        <f>HYPERLINK("https://dunjudge.me/analysis/problems/681/","NOISelection 15-diversity")</f>
        <v>NOISelection 15-diversity</v>
      </c>
      <c r="B665" s="37" t="s">
        <v>1348</v>
      </c>
      <c r="C665" s="24"/>
      <c r="D665" s="69"/>
      <c r="E665" s="31" t="s">
        <v>1337</v>
      </c>
      <c r="F665" s="37"/>
      <c r="G665" s="67"/>
      <c r="H665" s="67"/>
    </row>
    <row r="666" spans="1:8" ht="13.2">
      <c r="A666" s="65" t="str">
        <f>HYPERLINK("https://dunjudge.me/analysis/problems/675/","NOISelection 15-orchard2")</f>
        <v>NOISelection 15-orchard2</v>
      </c>
      <c r="B666" s="37" t="s">
        <v>1348</v>
      </c>
      <c r="C666" s="24"/>
      <c r="D666" s="69"/>
      <c r="E666" s="31" t="s">
        <v>1337</v>
      </c>
      <c r="F666" s="37"/>
      <c r="G666" s="67"/>
      <c r="H666" s="67"/>
    </row>
    <row r="667" spans="1:8" ht="13.2">
      <c r="A667" s="65" t="str">
        <f>HYPERLINK("https://dunjudge.me/analysis/problems/934/","NOISelection 16-catteams")</f>
        <v>NOISelection 16-catteams</v>
      </c>
      <c r="B667" s="37" t="s">
        <v>1561</v>
      </c>
      <c r="C667" s="24"/>
      <c r="D667" s="69"/>
      <c r="E667" s="31" t="s">
        <v>1337</v>
      </c>
      <c r="F667" s="37"/>
      <c r="G667" s="67"/>
      <c r="H667" s="67"/>
    </row>
    <row r="668" spans="1:8" ht="13.2">
      <c r="A668" s="65" t="str">
        <f>HYPERLINK("https://dunjudge.me/analysis/problems/1471/","NOISelection 18-llis")</f>
        <v>NOISelection 18-llis</v>
      </c>
      <c r="B668" s="37" t="s">
        <v>1348</v>
      </c>
      <c r="C668" s="24"/>
      <c r="D668" s="69"/>
      <c r="E668" s="31" t="s">
        <v>1337</v>
      </c>
      <c r="F668" s="37"/>
      <c r="G668" s="67"/>
      <c r="H668" s="67"/>
    </row>
    <row r="669" spans="1:8" ht="13.2">
      <c r="A669" s="65" t="str">
        <f>HYPERLINK("https://dunjudge.me/analysis/problems/1461/","NOISelection 18-modules")</f>
        <v>NOISelection 18-modules</v>
      </c>
      <c r="B669" s="37" t="s">
        <v>1366</v>
      </c>
      <c r="C669" s="24"/>
      <c r="D669" s="69"/>
      <c r="E669" s="31" t="s">
        <v>1337</v>
      </c>
      <c r="F669" s="37"/>
      <c r="G669" s="67"/>
      <c r="H669" s="67"/>
    </row>
    <row r="670" spans="1:8" ht="13.2">
      <c r="A670" s="65" t="str">
        <f>HYPERLINK("https://dunjudge.me/analysis/problems/1473/","NOISelection 18-supperbox")</f>
        <v>NOISelection 18-supperbox</v>
      </c>
      <c r="B670" s="37" t="s">
        <v>1561</v>
      </c>
      <c r="C670" s="24"/>
      <c r="D670" s="69"/>
      <c r="E670" s="31" t="s">
        <v>1337</v>
      </c>
      <c r="F670" s="37"/>
      <c r="G670" s="67"/>
      <c r="H670" s="67"/>
    </row>
    <row r="671" spans="1:8" ht="13.2">
      <c r="A671" s="65" t="str">
        <f>HYPERLINK("https://oj.uz/problem/view/APIO16_boat","APIO 16-boat")</f>
        <v>APIO 16-boat</v>
      </c>
      <c r="B671" s="15" t="s">
        <v>6943</v>
      </c>
      <c r="C671" s="24">
        <v>7.1</v>
      </c>
      <c r="D671" s="65" t="str">
        <f>HYPERLINK("https://github.com/mostafa-saad/MyCompetitiveProgramming/blob/master/Olympiad/APIO/APIO-16-boat.txt","Sol")</f>
        <v>Sol</v>
      </c>
      <c r="E671" s="31" t="s">
        <v>1716</v>
      </c>
      <c r="F671" s="37" t="s">
        <v>139</v>
      </c>
      <c r="G671" s="67"/>
      <c r="H671" s="67"/>
    </row>
    <row r="672" spans="1:8" ht="13.2">
      <c r="A672" s="65" t="str">
        <f>HYPERLINK("https://szkopul.edu.pl/problemset/problem/XNaC6RSk8o9MIJkuaL6O4t0u/site/", "POI 08-Escape")</f>
        <v>POI 08-Escape</v>
      </c>
      <c r="B672" s="37" t="s">
        <v>6944</v>
      </c>
      <c r="C672" s="24">
        <v>7.1</v>
      </c>
      <c r="D672" s="65" t="str">
        <f>HYPERLINK("https://github.com/mostafa-saad/MyCompetitiveProgramming/blob/master/Olympiad/POI/POI-08-Escape.txt","Sol")</f>
        <v>Sol</v>
      </c>
      <c r="E672" s="31" t="s">
        <v>1734</v>
      </c>
      <c r="F672" s="37" t="s">
        <v>201</v>
      </c>
      <c r="G672" s="67"/>
      <c r="H672" s="67"/>
    </row>
    <row r="673" spans="1:8" ht="13.2">
      <c r="A673" s="65" t="str">
        <f>HYPERLINK("https://dmoj.ca/problem/coci14c4p6","COCI 14-Stanovi")</f>
        <v>COCI 14-Stanovi</v>
      </c>
      <c r="B673" s="20" t="s">
        <v>6945</v>
      </c>
      <c r="C673" s="24">
        <v>6.6</v>
      </c>
      <c r="D673" s="65" t="str">
        <f>HYPERLINK("https://github.com/mostafa-saad/MyCompetitiveProgramming/blob/master/Olympiad/COCI/COCI-14-Stanovi.txt","Sol")</f>
        <v>Sol</v>
      </c>
      <c r="E673" s="31" t="s">
        <v>1734</v>
      </c>
      <c r="F673" s="37" t="s">
        <v>139</v>
      </c>
      <c r="G673" s="67"/>
      <c r="H673" s="67"/>
    </row>
    <row r="674" spans="1:8" ht="13.2">
      <c r="A674" s="65" t="str">
        <f>HYPERLINK("https://dmoj.ca/problem/coci14c6p5","COCI 14-Neo")</f>
        <v>COCI 14-Neo</v>
      </c>
      <c r="B674" s="37" t="s">
        <v>6946</v>
      </c>
      <c r="C674" s="21">
        <v>5.75</v>
      </c>
      <c r="D674" s="65" t="str">
        <f>HYPERLINK("https://github.com/mostafa-saad/MyCompetitiveProgramming/blob/master/Olympiad/COCI/official/2015/contest6_solutions","Editorial")</f>
        <v>Editorial</v>
      </c>
      <c r="E674" s="31" t="s">
        <v>1734</v>
      </c>
      <c r="F674" s="37" t="s">
        <v>201</v>
      </c>
      <c r="G674" s="67"/>
      <c r="H674" s="67"/>
    </row>
    <row r="675" spans="1:8" ht="13.2">
      <c r="A675" s="65" t="str">
        <f>HYPERLINK("https://oj.uz/problem/view/APIO13_robots", "APIO 13-Robots")</f>
        <v>APIO 13-Robots</v>
      </c>
      <c r="B675" s="20" t="s">
        <v>6947</v>
      </c>
      <c r="C675" s="17">
        <v>7</v>
      </c>
      <c r="D675" s="65" t="str">
        <f>HYPERLINK("https://github.com/mostafa-saad/MyCompetitiveProgramming/blob/master/Olympiad/APIO/APIO-13-Robots.txt","Sol")</f>
        <v>Sol</v>
      </c>
      <c r="E675" s="31" t="s">
        <v>1793</v>
      </c>
      <c r="F675" s="37" t="s">
        <v>201</v>
      </c>
      <c r="G675" s="67"/>
      <c r="H675" s="67"/>
    </row>
    <row r="676" spans="1:8" ht="13.2">
      <c r="A676" s="65" t="str">
        <f>HYPERLINK("https://szkopul.edu.pl/problemset/problem/Orc2Z7ti1xLaUUQDT1a6RGR5/site/", "POI 16-Stutter")</f>
        <v>POI 16-Stutter</v>
      </c>
      <c r="B676" s="37" t="s">
        <v>6948</v>
      </c>
      <c r="C676" s="24">
        <v>6.25</v>
      </c>
      <c r="D676" s="65" t="str">
        <f>HYPERLINK("https://github.com/mostafa-saad/MyCompetitiveProgramming/blob/master/Olympiad/POI/POI-16-Stutter.txt","Sol")</f>
        <v>Sol</v>
      </c>
      <c r="E676" s="31" t="s">
        <v>1793</v>
      </c>
      <c r="F676" s="37"/>
      <c r="G676" s="67"/>
      <c r="H676" s="67"/>
    </row>
    <row r="677" spans="1:8" ht="13.2">
      <c r="A677" s="65" t="str">
        <f>HYPERLINK("https://csacademy.com/contest/ceoi-2018-day-1/task/cloud-computing/", "CEOI 18-Cloud")</f>
        <v>CEOI 18-Cloud</v>
      </c>
      <c r="B677" s="20" t="s">
        <v>6949</v>
      </c>
      <c r="C677" s="21">
        <v>6</v>
      </c>
      <c r="D677" s="65" t="str">
        <f>HYPERLINK("https://github.com/mostafa-saad/MyCompetitiveProgramming/blob/master/Olympiad/CEOI/CEOI-18-Cloud.txt","Sol")</f>
        <v>Sol</v>
      </c>
      <c r="E677" s="31" t="s">
        <v>1793</v>
      </c>
      <c r="F677" s="37" t="s">
        <v>139</v>
      </c>
      <c r="G677" s="67"/>
      <c r="H677" s="67"/>
    </row>
    <row r="678" spans="1:8" ht="13.2">
      <c r="A678" s="65" t="str">
        <f>HYPERLINK("https://szkopul.edu.pl/problemset/problem/xFjhysZvLsUxEXMI-nHXao74/site/", "POI 06-Teddies")</f>
        <v>POI 06-Teddies</v>
      </c>
      <c r="B678" s="37" t="s">
        <v>6950</v>
      </c>
      <c r="C678" s="24">
        <v>6</v>
      </c>
      <c r="D678" s="65" t="str">
        <f>HYPERLINK("https://github.com/mostafa-saad/MyCompetitiveProgramming/blob/master/Olympiad/POI/POI-06-Teddies.txt","Sol")</f>
        <v>Sol</v>
      </c>
      <c r="E678" s="31" t="s">
        <v>1793</v>
      </c>
      <c r="F678" s="37"/>
      <c r="G678" s="67"/>
      <c r="H678" s="67"/>
    </row>
    <row r="679" spans="1:8" ht="13.2">
      <c r="A679" s="65" t="str">
        <f>HYPERLINK("https://codeforces.com/contest/1193","CEOI 19-AmusementPark")</f>
        <v>CEOI 19-AmusementPark</v>
      </c>
      <c r="B679" s="37" t="s">
        <v>6951</v>
      </c>
      <c r="C679" s="24">
        <v>7.5</v>
      </c>
      <c r="D679" s="65" t="str">
        <f>HYPERLINK("https://codeforces.com/blog/entry/68748","Editorial")</f>
        <v>Editorial</v>
      </c>
      <c r="E679" s="31" t="s">
        <v>1819</v>
      </c>
      <c r="F679" s="37" t="s">
        <v>139</v>
      </c>
      <c r="G679" s="67"/>
      <c r="H679" s="67"/>
    </row>
    <row r="680" spans="1:8" ht="13.2">
      <c r="A680" s="65" t="str">
        <f>HYPERLINK("https://csacademy.com/contest/ejoi-2017-day-1/task/six/","EJOI 17-six")</f>
        <v>EJOI 17-six</v>
      </c>
      <c r="B680" s="20" t="s">
        <v>6952</v>
      </c>
      <c r="C680" s="24">
        <v>7.5</v>
      </c>
      <c r="D680" s="69"/>
      <c r="E680" s="31" t="s">
        <v>1819</v>
      </c>
      <c r="F680" s="37"/>
      <c r="G680" s="67"/>
      <c r="H680" s="67"/>
    </row>
    <row r="681" spans="1:8" ht="13.2">
      <c r="A681" s="65" t="str">
        <f>HYPERLINK("https://oj.uz/problem/view/JOI18_snake_escaping","JOI 18-snakeescaping")</f>
        <v>JOI 18-snakeescaping</v>
      </c>
      <c r="B681" s="15" t="s">
        <v>6953</v>
      </c>
      <c r="C681" s="24">
        <v>7.25</v>
      </c>
      <c r="D681" s="65" t="str">
        <f>HYPERLINK("https://github.com/mostafa-saad/MyCompetitiveProgramming/blob/master/Olympiad/JOI/JOI-18-snakeescaping.txt","Sol")</f>
        <v>Sol</v>
      </c>
      <c r="E681" s="31" t="s">
        <v>1819</v>
      </c>
      <c r="F681" s="37" t="s">
        <v>139</v>
      </c>
      <c r="G681" s="67"/>
      <c r="H681" s="67"/>
    </row>
    <row r="682" spans="1:8" ht="13.2">
      <c r="A682" s="65" t="str">
        <f>HYPERLINK("https://cses.fi/186/list/","CEOI 06-Connect")</f>
        <v>CEOI 06-Connect</v>
      </c>
      <c r="B682" s="20" t="s">
        <v>6954</v>
      </c>
      <c r="C682" s="24">
        <v>7</v>
      </c>
      <c r="D682" s="65" t="str">
        <f>HYPERLINK("https://github.com/mostafa-saad/MyCompetitiveProgramming/blob/master/Olympiad/CEOI/CEOI-06-Connect.txt","Sol")</f>
        <v>Sol</v>
      </c>
      <c r="E682" s="31" t="s">
        <v>1819</v>
      </c>
      <c r="F682" s="37"/>
      <c r="G682" s="67"/>
      <c r="H682" s="67"/>
    </row>
    <row r="683" spans="1:8" ht="13.2">
      <c r="A683" s="65" t="str">
        <f>HYPERLINK("https://oj.uz/problem/view/COCI16_burza","COCI 16-burza")</f>
        <v>COCI 16-burza</v>
      </c>
      <c r="B683" s="20" t="s">
        <v>6955</v>
      </c>
      <c r="C683" s="24">
        <v>6.8</v>
      </c>
      <c r="D683" s="65" t="str">
        <f>HYPERLINK("https://github.com/mostafa-saad/MyCompetitiveProgramming/blob/master/Olympiad/COCI/COCI-16-burza.txt","Sol")</f>
        <v>Sol</v>
      </c>
      <c r="E683" s="31" t="s">
        <v>1819</v>
      </c>
      <c r="F683" s="37" t="s">
        <v>154</v>
      </c>
      <c r="G683" s="67"/>
      <c r="H683" s="67"/>
    </row>
    <row r="684" spans="1:8" ht="13.2">
      <c r="A684" s="65" t="str">
        <f>HYPERLINK("https://oj.uz/problem/view/IZhO17_subsequence","IZhO 17-subsequence")</f>
        <v>IZhO 17-subsequence</v>
      </c>
      <c r="B684" s="20" t="s">
        <v>6956</v>
      </c>
      <c r="C684" s="24">
        <v>6.6</v>
      </c>
      <c r="D684" s="65" t="str">
        <f>HYPERLINK("https://github.com/mostafa-saad/MyCompetitiveProgramming/blob/master/Olympiad/IZhO/IZhO-17-subsequence.txt","Sol")</f>
        <v>Sol</v>
      </c>
      <c r="E684" s="31" t="s">
        <v>1819</v>
      </c>
      <c r="F684" s="37" t="s">
        <v>154</v>
      </c>
      <c r="G684" s="67"/>
      <c r="H684" s="67"/>
    </row>
    <row r="685" spans="1:8" ht="13.2">
      <c r="A685" s="65" t="str">
        <f>HYPERLINK("https://www.spoj.com/problems/ZOO/","APIO 07-Zoo")</f>
        <v>APIO 07-Zoo</v>
      </c>
      <c r="B685" s="20" t="s">
        <v>6957</v>
      </c>
      <c r="C685" s="17">
        <v>6.3</v>
      </c>
      <c r="D685" s="65" t="str">
        <f>HYPERLINK("https://github.com/mostafa-saad/MyCompetitiveProgramming/blob/master/Olympiad/APIO/APIO-07-Zoo.txt","Sol")</f>
        <v>Sol</v>
      </c>
      <c r="E685" s="31" t="s">
        <v>1819</v>
      </c>
      <c r="F685" s="37" t="s">
        <v>196</v>
      </c>
      <c r="G685" s="67"/>
      <c r="H685" s="67"/>
    </row>
    <row r="686" spans="1:8" ht="13.2">
      <c r="A686" s="65" t="str">
        <f>HYPERLINK("https://szkopul.edu.pl/problemset/problem/Hj7Ko64-xPs_FrzJ4WucMde9/site/", "POI 15-Gluttons")</f>
        <v>POI 15-Gluttons</v>
      </c>
      <c r="B686" s="37" t="s">
        <v>6958</v>
      </c>
      <c r="C686" s="24">
        <v>6.1</v>
      </c>
      <c r="D686" s="65" t="str">
        <f>HYPERLINK("https://github.com/mostafa-saad/MyCompetitiveProgramming/blob/master/Olympiad/POI/POI-15-Gluttons.txt","Sol")</f>
        <v>Sol</v>
      </c>
      <c r="E686" s="31" t="s">
        <v>1819</v>
      </c>
      <c r="F686" s="37"/>
      <c r="G686" s="67"/>
      <c r="H686" s="67"/>
    </row>
    <row r="687" spans="1:8" ht="13.2">
      <c r="A687" s="65" t="str">
        <f>HYPERLINK("https://oj.uz/problem/view/COCI16_vjestica","COCI 16-vjestica")</f>
        <v>COCI 16-vjestica</v>
      </c>
      <c r="B687" s="20" t="s">
        <v>6959</v>
      </c>
      <c r="C687" s="24">
        <v>6</v>
      </c>
      <c r="D687" s="65" t="str">
        <f>HYPERLINK("https://github.com/mostafa-saad/MyCompetitiveProgramming/blob/master/Olympiad/COCI/COCI-16-vjestica.txt","Sol")</f>
        <v>Sol</v>
      </c>
      <c r="E687" s="31" t="s">
        <v>1819</v>
      </c>
      <c r="F687" s="37" t="s">
        <v>154</v>
      </c>
      <c r="G687" s="67"/>
      <c r="H687" s="67"/>
    </row>
    <row r="688" spans="1:8" ht="13.2">
      <c r="A688" s="65" t="str">
        <f>HYPERLINK("http://usaco.org/index.php?page=viewproblem2&amp;cpid=92", "USACO 11nov-bsudoku-gold")</f>
        <v>USACO 11nov-bsudoku-gold</v>
      </c>
      <c r="B688" s="20" t="s">
        <v>1818</v>
      </c>
      <c r="C688" s="21">
        <v>6</v>
      </c>
      <c r="D688" s="69"/>
      <c r="E688" s="31" t="s">
        <v>1819</v>
      </c>
      <c r="F688" s="37" t="s">
        <v>201</v>
      </c>
      <c r="G688" s="67"/>
      <c r="H688" s="67"/>
    </row>
    <row r="689" spans="1:8" ht="13.2">
      <c r="A689" s="65" t="str">
        <f>HYPERLINK("https://oj.uz/problem/view/IZhO14_bank","IZhO 14-bank")</f>
        <v>IZhO 14-bank</v>
      </c>
      <c r="B689" s="20" t="s">
        <v>6960</v>
      </c>
      <c r="C689" s="24">
        <v>6</v>
      </c>
      <c r="D689" s="69"/>
      <c r="E689" s="31" t="s">
        <v>1819</v>
      </c>
      <c r="F689" s="37"/>
      <c r="G689" s="67"/>
      <c r="H689" s="67"/>
    </row>
    <row r="690" spans="1:8" ht="13.2">
      <c r="A690" s="65" t="str">
        <f>HYPERLINK("https://szkopul.edu.pl/problemset/problem/uE3dNVOWuXj4SSOrCrNoFSgF/site/", "POI 04-Passage")</f>
        <v>POI 04-Passage</v>
      </c>
      <c r="B690" s="70" t="s">
        <v>6961</v>
      </c>
      <c r="C690" s="66">
        <v>6</v>
      </c>
      <c r="D690" s="65" t="str">
        <f>HYPERLINK("https://github.com/mostafa-saad/MyCompetitiveProgramming/blob/master/Olympiad/POI/POI-04-Passage.txt","Sol")</f>
        <v>Sol</v>
      </c>
      <c r="E690" s="31" t="s">
        <v>1819</v>
      </c>
      <c r="F690" s="37"/>
      <c r="G690" s="67"/>
      <c r="H690" s="67"/>
    </row>
    <row r="691" spans="1:8" ht="13.2">
      <c r="A691" s="65" t="str">
        <f>HYPERLINK("https://csacademy.com/contest/archive/task/circuits/","CSA circuits")</f>
        <v>CSA circuits</v>
      </c>
      <c r="B691" s="37" t="s">
        <v>1902</v>
      </c>
      <c r="C691" s="24">
        <v>5.5</v>
      </c>
      <c r="D691" s="65" t="str">
        <f>HYPERLINK("https://gist.github.com/luciocf/a551e013ef15b77288ff4786276d2dee","Sol")</f>
        <v>Sol</v>
      </c>
      <c r="E691" s="31" t="s">
        <v>1819</v>
      </c>
      <c r="F691" s="37" t="s">
        <v>139</v>
      </c>
      <c r="G691" s="67"/>
      <c r="H691" s="67"/>
    </row>
    <row r="692" spans="1:8" ht="13.2">
      <c r="A692" s="65" t="str">
        <f>HYPERLINK("https://dmoj.ca/problem/coci08c5p4","COCI 08-Lubenica")</f>
        <v>COCI 08-Lubenica</v>
      </c>
      <c r="B692" s="15" t="s">
        <v>1818</v>
      </c>
      <c r="C692" s="24">
        <v>5.5</v>
      </c>
      <c r="D692" s="65" t="str">
        <f>HYPERLINK("https://github.com/mostafa-saad/MyCompetitiveProgramming/blob/master/Olympiad/COCI/COCI-08-Lubenica.txt","Sol")</f>
        <v>Sol</v>
      </c>
      <c r="E692" s="31" t="s">
        <v>1819</v>
      </c>
      <c r="F692" s="37"/>
      <c r="G692" s="67"/>
      <c r="H692" s="67"/>
    </row>
    <row r="693" spans="1:8" ht="13.2">
      <c r="A693" s="65" t="str">
        <f>HYPERLINK("https://oj.uz/problem/view/IZhO12_beauty","IZhO 12-beauty")</f>
        <v>IZhO 12-beauty</v>
      </c>
      <c r="B693" s="20" t="s">
        <v>1818</v>
      </c>
      <c r="C693" s="24">
        <v>5</v>
      </c>
      <c r="D693" s="65" t="str">
        <f>HYPERLINK("https://github.com/ShabdanBatyrkulov/codee/blob/master/IZhO%2012-beauty.cpp", "Sol")</f>
        <v>Sol</v>
      </c>
      <c r="E693" s="31" t="s">
        <v>1819</v>
      </c>
      <c r="F693" s="37" t="s">
        <v>139</v>
      </c>
      <c r="G693" s="67"/>
      <c r="H693" s="67"/>
    </row>
    <row r="694" spans="1:8" ht="13.2">
      <c r="A694" s="65" t="str">
        <f>HYPERLINK("https://dmoj.ca/problem/coci06c1p5","COCI 06-Bond")</f>
        <v>COCI 06-Bond</v>
      </c>
      <c r="B694" s="15" t="s">
        <v>6962</v>
      </c>
      <c r="C694" s="24">
        <v>4.5</v>
      </c>
      <c r="D694" s="65" t="str">
        <f>HYPERLINK("https://github.com/mostafa-saad/MyCompetitiveProgramming/tree/master/Olympiad/COCI/official/2007/contest1_solutions","Editorial")</f>
        <v>Editorial</v>
      </c>
      <c r="E694" s="31" t="s">
        <v>1819</v>
      </c>
      <c r="F694" s="37" t="s">
        <v>139</v>
      </c>
      <c r="G694" s="67"/>
      <c r="H694" s="67"/>
    </row>
    <row r="695" spans="1:8" ht="13.2">
      <c r="A695" s="65" t="str">
        <f>HYPERLINK("https://oj.uz/problem/view/COCI16_kronican","COCI 16-kronican")</f>
        <v>COCI 16-kronican</v>
      </c>
      <c r="B695" s="20" t="s">
        <v>1818</v>
      </c>
      <c r="C695" s="24">
        <v>4</v>
      </c>
      <c r="D695" s="65" t="str">
        <f>HYPERLINK("https://github.com/mostafa-saad/MyCompetitiveProgramming/blob/master/Olympiad/COCI/official/2017/contest3_solutions","Editorial")</f>
        <v>Editorial</v>
      </c>
      <c r="E695" s="31" t="s">
        <v>1819</v>
      </c>
      <c r="F695" s="37"/>
      <c r="G695" s="67"/>
      <c r="H695" s="67"/>
    </row>
    <row r="696" spans="1:8" ht="13.2">
      <c r="A696" s="65" t="str">
        <f>HYPERLINK("https://csacademy.com/contest/junior-challenge-2017-day-2/task/combinatorix","ROJS 17-combinatorix")</f>
        <v>ROJS 17-combinatorix</v>
      </c>
      <c r="B696" s="37" t="s">
        <v>6963</v>
      </c>
      <c r="C696" s="24">
        <v>8</v>
      </c>
      <c r="D696" s="69"/>
      <c r="E696" s="31" t="s">
        <v>1909</v>
      </c>
      <c r="F696" s="37"/>
      <c r="G696" s="67"/>
      <c r="H696" s="67"/>
    </row>
    <row r="697" spans="1:8" ht="13.2">
      <c r="A697" s="65" t="str">
        <f>HYPERLINK("http://www.usaco.org/index.php?page=viewproblem2&amp;cpid=974","USACO 19dec-plat-treedepth")</f>
        <v>USACO 19dec-plat-treedepth</v>
      </c>
      <c r="B697" s="20" t="s">
        <v>6964</v>
      </c>
      <c r="C697" s="17">
        <v>7.5</v>
      </c>
      <c r="D697" s="69"/>
      <c r="E697" s="31" t="s">
        <v>1909</v>
      </c>
      <c r="F697" s="37" t="s">
        <v>139</v>
      </c>
      <c r="G697" s="67"/>
      <c r="H697" s="67"/>
    </row>
    <row r="698" spans="1:8" ht="13.2">
      <c r="A698" s="65" t="str">
        <f>HYPERLINK("https://szkopul.edu.pl/problemset/problem/X6IwPa2H9FSd3Ly6bYp5t8Vu/site/", "POI 16-Nim")</f>
        <v>POI 16-Nim</v>
      </c>
      <c r="B698" s="37" t="s">
        <v>6965</v>
      </c>
      <c r="C698" s="24">
        <v>6.8</v>
      </c>
      <c r="D698" s="65" t="str">
        <f>HYPERLINK("https://github.com/mostafa-saad/MyCompetitiveProgramming/blob/master/Olympiad/POI/POI-16-Nim.txt","Sol")</f>
        <v>Sol</v>
      </c>
      <c r="E698" s="31" t="s">
        <v>1909</v>
      </c>
      <c r="F698" s="37" t="s">
        <v>139</v>
      </c>
      <c r="G698" s="67"/>
      <c r="H698" s="67"/>
    </row>
    <row r="699" spans="1:8" ht="13.2">
      <c r="A699" s="65" t="str">
        <f>HYPERLINK("https://dmoj.ca/problem/coci08c4p6","COCI 08-Periodni")</f>
        <v>COCI 08-Periodni</v>
      </c>
      <c r="B699" s="15" t="s">
        <v>6966</v>
      </c>
      <c r="C699" s="24">
        <v>6.75</v>
      </c>
      <c r="D699" s="65" t="str">
        <f>HYPERLINK("https://github.com/mostafa-saad/MyCompetitiveProgramming/blob/master/Olympiad/COCI/COCI-08-Periodni.txt","Sol")</f>
        <v>Sol</v>
      </c>
      <c r="E699" s="31" t="s">
        <v>1909</v>
      </c>
      <c r="F699" s="37" t="s">
        <v>154</v>
      </c>
      <c r="G699" s="67"/>
      <c r="H699" s="67"/>
    </row>
    <row r="700" spans="1:8" ht="13.2">
      <c r="A700" s="65" t="str">
        <f>HYPERLINK("https://oj.uz/problems/source/245", "CEOI 15-teams")</f>
        <v>CEOI 15-teams</v>
      </c>
      <c r="B700" s="20" t="s">
        <v>6967</v>
      </c>
      <c r="C700" s="24">
        <v>6.5</v>
      </c>
      <c r="D700" s="65" t="str">
        <f>HYPERLINK("https://github.com/mostafa-saad/MyCompetitiveProgramming/blob/master/Olympiad/CEOI/CEOI-15-teams.txt","Sol")</f>
        <v>Sol</v>
      </c>
      <c r="E700" s="31" t="s">
        <v>1909</v>
      </c>
      <c r="F700" s="37" t="s">
        <v>613</v>
      </c>
      <c r="G700" s="67"/>
      <c r="H700" s="67"/>
    </row>
    <row r="701" spans="1:8" ht="13.2">
      <c r="A701" s="65" t="str">
        <f>HYPERLINK("https://oj.uz/problem/view/JOI19_ho_t3","JOI 19-GrowingVegetable")</f>
        <v>JOI 19-GrowingVegetable</v>
      </c>
      <c r="B701" s="37" t="s">
        <v>6968</v>
      </c>
      <c r="C701" s="24">
        <v>6.4</v>
      </c>
      <c r="D701" s="65" t="str">
        <f>HYPERLINK("https://github.com/mostafa-saad/MyCompetitiveProgramming/blob/master/Olympiad/JOI/JOI-19-GrowingVegetable.txt","Sol")</f>
        <v>Sol</v>
      </c>
      <c r="E701" s="31" t="s">
        <v>1909</v>
      </c>
      <c r="F701" s="37" t="s">
        <v>139</v>
      </c>
      <c r="G701" s="67"/>
      <c r="H701" s="67"/>
    </row>
    <row r="702" spans="1:8" ht="13.2">
      <c r="A702" s="65" t="str">
        <f>HYPERLINK("https://oj.uz/problems/source/59", "CEOI 13-treasure2")</f>
        <v>CEOI 13-treasure2</v>
      </c>
      <c r="B702" s="20" t="s">
        <v>6969</v>
      </c>
      <c r="C702" s="17">
        <v>6.25</v>
      </c>
      <c r="D702" s="65" t="str">
        <f>HYPERLINK("https://github.com/mostafa-saad/MyCompetitiveProgramming/blob/master/Olympiad/CEOI/CEOI-13-treasure2.txt","Sol")</f>
        <v>Sol</v>
      </c>
      <c r="E702" s="31" t="s">
        <v>1909</v>
      </c>
      <c r="F702" s="37" t="s">
        <v>1053</v>
      </c>
      <c r="G702" s="67"/>
      <c r="H702" s="67"/>
    </row>
    <row r="703" spans="1:8" ht="13.2">
      <c r="A703" s="65" t="str">
        <f>HYPERLINK("https://dunjudge.me/analysis/problems/542/","APIO 08-DNA")</f>
        <v>APIO 08-DNA</v>
      </c>
      <c r="B703" s="20" t="s">
        <v>6970</v>
      </c>
      <c r="C703" s="17">
        <v>6</v>
      </c>
      <c r="D703" s="65" t="str">
        <f>HYPERLINK("https://github.com/mostafa-saad/MyCompetitiveProgramming/blob/master/Olympiad/APIO/APIO-08-DNA.txt","Sol")</f>
        <v>Sol</v>
      </c>
      <c r="E703" s="31" t="s">
        <v>1909</v>
      </c>
      <c r="F703" s="37" t="s">
        <v>201</v>
      </c>
      <c r="G703" s="67"/>
      <c r="H703" s="67"/>
    </row>
    <row r="704" spans="1:8" ht="13.2">
      <c r="A704" s="65" t="str">
        <f>HYPERLINK("https://codeforces.com/group/swEqtABRxe/contest/227530/problem/B", "IOIQ 18-r2-B")</f>
        <v>IOIQ 18-r2-B</v>
      </c>
      <c r="B704" s="20" t="s">
        <v>6971</v>
      </c>
      <c r="C704" s="21">
        <v>5.75</v>
      </c>
      <c r="D704" s="65" t="str">
        <f>HYPERLINK("https://github.com/ahmedibrahim404/CompetitiveProgramming/blob/master/EOI/IOI_Quals'18/18-R2-B/src/main.cpp","Sol")</f>
        <v>Sol</v>
      </c>
      <c r="E704" s="31" t="s">
        <v>1909</v>
      </c>
      <c r="F704" s="37"/>
      <c r="G704" s="67"/>
      <c r="H704" s="67"/>
    </row>
    <row r="705" spans="1:8" ht="13.2">
      <c r="A705" s="65" t="str">
        <f>HYPERLINK("https://dmoj.ca/problem/coci06c6p5","COCI 06-V")</f>
        <v>COCI 06-V</v>
      </c>
      <c r="B705" s="15" t="s">
        <v>1913</v>
      </c>
      <c r="C705" s="24">
        <v>5.5</v>
      </c>
      <c r="D705" s="65" t="str">
        <f>HYPERLINK("https://github.com/mostafa-saad/MyCompetitiveProgramming/tree/master/Olympiad/COCI/official/2007/contest6_solutions","Editorial")</f>
        <v>Editorial</v>
      </c>
      <c r="E705" s="31" t="s">
        <v>1909</v>
      </c>
      <c r="F705" s="37"/>
      <c r="G705" s="67"/>
      <c r="H705" s="67"/>
    </row>
    <row r="706" spans="1:8" ht="13.2">
      <c r="A706" s="65" t="str">
        <f>HYPERLINK("https://oj.uz/problem/view/COCI18_maja","COCI 19-maja")</f>
        <v>COCI 19-maja</v>
      </c>
      <c r="B706" s="20" t="s">
        <v>1913</v>
      </c>
      <c r="C706" s="17">
        <v>5</v>
      </c>
      <c r="D706" s="65" t="str">
        <f>HYPERLINK("https://github.com/sofhiasouza/CompetitiveProgramming/blob/master/COCI/2018-2019/Contest%20%232/maja.cpp","Sol")</f>
        <v>Sol</v>
      </c>
      <c r="E706" s="31" t="s">
        <v>1909</v>
      </c>
      <c r="F706" s="37" t="s">
        <v>139</v>
      </c>
      <c r="G706" s="67"/>
      <c r="H706" s="67"/>
    </row>
    <row r="707" spans="1:8" ht="13.2">
      <c r="A707" s="65" t="str">
        <f>HYPERLINK("https://szkopul.edu.pl/problemset/problem/XZhW8DteK37aYwrB_JoHxd2E/site/","CEOI 11-Similarity")</f>
        <v>CEOI 11-Similarity</v>
      </c>
      <c r="B707" s="20" t="s">
        <v>6972</v>
      </c>
      <c r="C707" s="24">
        <v>5</v>
      </c>
      <c r="D707" s="65" t="str">
        <f>HYPERLINK("https://github.com/mostafa-saad/MyCompetitiveProgramming/blob/master/Olympiad/CEOI/CEOI-11-Similarity.txt","Sol")</f>
        <v>Sol</v>
      </c>
      <c r="E707" s="31" t="s">
        <v>1909</v>
      </c>
      <c r="F707" s="37" t="s">
        <v>139</v>
      </c>
      <c r="G707" s="67"/>
      <c r="H707" s="67"/>
    </row>
    <row r="708" spans="1:8" ht="13.2">
      <c r="A708" s="65" t="str">
        <f>HYPERLINK("https://cses.fi/113/list/","Baltic 08-Game")</f>
        <v>Baltic 08-Game</v>
      </c>
      <c r="B708" s="37" t="s">
        <v>6973</v>
      </c>
      <c r="C708" s="24">
        <v>6.5</v>
      </c>
      <c r="D708" s="65" t="str">
        <f>HYPERLINK("https://github.com/mostafa-saad/MyCompetitiveProgramming/blob/master/Olympiad/Baltic/Baltic-08-Game.txt","Sol")</f>
        <v>Sol</v>
      </c>
      <c r="E708" s="31" t="s">
        <v>1989</v>
      </c>
      <c r="F708" s="37" t="s">
        <v>139</v>
      </c>
      <c r="G708" s="67"/>
      <c r="H708" s="67"/>
    </row>
    <row r="709" spans="1:8" ht="13.2">
      <c r="A709" s="65" t="str">
        <f>HYPERLINK("https://infoarena.ro/problema/sms","infoarena sms")</f>
        <v>infoarena sms</v>
      </c>
      <c r="B709" s="37" t="s">
        <v>2076</v>
      </c>
      <c r="C709" s="24">
        <v>7</v>
      </c>
      <c r="D709" s="65" t="str">
        <f>HYPERLINK("https://github.com/stefdasca/CompetitiveProgramming/blob/master/Infoarena/sms.cpp","Sol")</f>
        <v>Sol</v>
      </c>
      <c r="E709" s="31" t="s">
        <v>2074</v>
      </c>
      <c r="F709" s="37" t="s">
        <v>139</v>
      </c>
      <c r="G709" s="67"/>
      <c r="H709" s="67"/>
    </row>
    <row r="710" spans="1:8" ht="13.2">
      <c r="A710" s="65" t="str">
        <f>HYPERLINK("https://oj.uz/problems/source/197", "CEOI 16-match")</f>
        <v>CEOI 16-match</v>
      </c>
      <c r="B710" s="20" t="s">
        <v>6974</v>
      </c>
      <c r="C710" s="24">
        <v>7.75</v>
      </c>
      <c r="D710" s="65" t="str">
        <f>HYPERLINK("https://github.com/mostafa-saad/MyCompetitiveProgramming/blob/master/Olympiad/CEOI/CEOI-16-match.txt", "Sol")</f>
        <v>Sol</v>
      </c>
      <c r="E710" s="31" t="s">
        <v>2113</v>
      </c>
      <c r="F710" s="37" t="s">
        <v>173</v>
      </c>
      <c r="G710" s="67"/>
      <c r="H710" s="67"/>
    </row>
    <row r="711" spans="1:8" ht="13.2">
      <c r="A711" s="65" t="str">
        <f>HYPERLINK("https://dunjudge.me/analysis/problems/1362/","COCI 12-mars")</f>
        <v>COCI 12-mars</v>
      </c>
      <c r="B711" s="20" t="s">
        <v>6975</v>
      </c>
      <c r="C711" s="24">
        <v>7</v>
      </c>
      <c r="D711" s="65" t="str">
        <f>HYPERLINK("https://github.com/mostafa-saad/MyCompetitiveProgramming/blob/master/Olympiad/COCI/COCI-12-mars.txt","Find O(N^2logN). Editorial")</f>
        <v>Find O(N^2logN). Editorial</v>
      </c>
      <c r="E711" s="31" t="s">
        <v>2113</v>
      </c>
      <c r="F711" s="37" t="s">
        <v>154</v>
      </c>
      <c r="G711" s="67"/>
      <c r="H711" s="67"/>
    </row>
    <row r="712" spans="1:8" ht="13.2">
      <c r="A712" s="65" t="str">
        <f>HYPERLINK("https://oj.uz/problem/view/CEOI12_race","CEOI 12-race")</f>
        <v>CEOI 12-race</v>
      </c>
      <c r="B712" s="20" t="s">
        <v>6976</v>
      </c>
      <c r="C712" s="24">
        <v>6.75</v>
      </c>
      <c r="D712" s="65" t="str">
        <f>HYPERLINK("https://github.com/mostafa-saad/MyCompetitiveProgramming/blob/master/Olympiad/CEOI/CEOI-12-race.txt","Sol")</f>
        <v>Sol</v>
      </c>
      <c r="E712" s="31" t="s">
        <v>2113</v>
      </c>
      <c r="F712" s="37" t="s">
        <v>139</v>
      </c>
      <c r="G712" s="67"/>
      <c r="H712" s="67"/>
    </row>
    <row r="713" spans="1:8" ht="13.2">
      <c r="A713" s="65" t="str">
        <f>HYPERLINK("http://www.usaco.org/index.php?page=viewproblem2&amp;cpid=972","USACO 19dec-plat-pieaters")</f>
        <v>USACO 19dec-plat-pieaters</v>
      </c>
      <c r="B713" s="20" t="s">
        <v>2112</v>
      </c>
      <c r="C713" s="17">
        <v>6.5</v>
      </c>
      <c r="D713" s="65" t="str">
        <f>HYPERLINK("https://github.com/thecodingwizard/competitive-programming/blob/master/USACO/2019dec/pieaters.cpp","Sol")</f>
        <v>Sol</v>
      </c>
      <c r="E713" s="31" t="s">
        <v>2113</v>
      </c>
      <c r="F713" s="37" t="s">
        <v>436</v>
      </c>
      <c r="G713" s="67"/>
      <c r="H713" s="67"/>
    </row>
    <row r="714" spans="1:8" ht="13.2">
      <c r="A714" s="65" t="str">
        <f>HYPERLINK("https://github.com/mostafa-saad/MyCompetitiveProgramming/blob/master/Olympiad/Baltic/Baltic-09-Beetles.txt","Baltic 09-Beetles")</f>
        <v>Baltic 09-Beetles</v>
      </c>
      <c r="B714" s="20" t="s">
        <v>6977</v>
      </c>
      <c r="C714" s="17">
        <v>6</v>
      </c>
      <c r="D714" s="65" t="str">
        <f>HYPERLINK("https://github.com/mostafa-saad/MyCompetitiveProgramming/blob/master/Olympiad/Baltic/Baltic-09-Beetles.txt","Sol")</f>
        <v>Sol</v>
      </c>
      <c r="E714" s="31" t="s">
        <v>2113</v>
      </c>
      <c r="F714" s="37" t="s">
        <v>196</v>
      </c>
      <c r="G714" s="67"/>
      <c r="H714" s="67"/>
    </row>
    <row r="715" spans="1:8" ht="13.2">
      <c r="A715" s="65" t="str">
        <f>HYPERLINK("https://oj.uz/problem/view/IOI17_mountains","IOI 17-mountains")</f>
        <v>IOI 17-mountains</v>
      </c>
      <c r="B715" s="20" t="s">
        <v>6978</v>
      </c>
      <c r="C715" s="24">
        <v>6</v>
      </c>
      <c r="D715" s="65" t="str">
        <f>HYPERLINK("https://github.com/ZeyadKhattab/Competitive-Programming/blob/master/Problems/IOI%2017-mountains.cpp","Sol")</f>
        <v>Sol</v>
      </c>
      <c r="E715" s="31" t="s">
        <v>2113</v>
      </c>
      <c r="F715" s="37" t="s">
        <v>139</v>
      </c>
      <c r="G715" s="67"/>
      <c r="H715" s="67"/>
    </row>
    <row r="716" spans="1:8" ht="13.2">
      <c r="A716" s="65" t="str">
        <f>HYPERLINK("https://wcipeg.com/problem/coci095p4","COCI 09-Zuma")</f>
        <v>COCI 09-Zuma</v>
      </c>
      <c r="B716" s="15" t="s">
        <v>2112</v>
      </c>
      <c r="C716" s="24">
        <v>5.75</v>
      </c>
      <c r="D716" s="65" t="str">
        <f>HYPERLINK("https://github.com/mostafa-saad/MyCompetitiveProgramming/blob/master/Olympiad/COCI/COCI-09-Zuma.txt","Sol")</f>
        <v>Sol</v>
      </c>
      <c r="E716" s="31" t="s">
        <v>2113</v>
      </c>
      <c r="F716" s="37" t="s">
        <v>154</v>
      </c>
      <c r="G716" s="67"/>
      <c r="H716" s="67"/>
    </row>
    <row r="717" spans="1:8" ht="13.2">
      <c r="A717" s="65" t="str">
        <f>HYPERLINK("https://oj.uz/problem/view/COCI18_cover","COCI 18-cover")</f>
        <v>COCI 18-cover</v>
      </c>
      <c r="B717" s="20" t="s">
        <v>2112</v>
      </c>
      <c r="C717" s="24">
        <v>5</v>
      </c>
      <c r="D717" s="65" t="str">
        <f>HYPERLINK("https://github.com/luciocf/OI-Problems/blob/master/COCI/COCI%202017-2018/cover.cpp","Sol")</f>
        <v>Sol</v>
      </c>
      <c r="E717" s="31" t="s">
        <v>2113</v>
      </c>
      <c r="F717" s="37" t="s">
        <v>139</v>
      </c>
      <c r="G717" s="67"/>
      <c r="H717" s="67"/>
    </row>
    <row r="718" spans="1:8" ht="13.2">
      <c r="A718" s="65" t="str">
        <f>HYPERLINK("http://poj.org/problem?id=1160","IOI 00-Post")</f>
        <v>IOI 00-Post</v>
      </c>
      <c r="B718" s="20" t="s">
        <v>2112</v>
      </c>
      <c r="C718" s="24">
        <v>5</v>
      </c>
      <c r="D718" s="65" t="str">
        <f>HYPERLINK("https://github.com/mostafa-saad/MyCompetitiveProgramming/blob/master/Olympiad/IOI/official/2000","Editorial. Google POJ 1160 for codes")</f>
        <v>Editorial. Google POJ 1160 for codes</v>
      </c>
      <c r="E718" s="31" t="s">
        <v>2113</v>
      </c>
      <c r="F718" s="37" t="s">
        <v>201</v>
      </c>
      <c r="G718" s="67"/>
      <c r="H718" s="67"/>
    </row>
    <row r="719" spans="1:8" ht="13.2">
      <c r="A719" s="65" t="str">
        <f>HYPERLINK("https://oj.uz/problem/view/NOI18_safety","NOI 18-safety")</f>
        <v>NOI 18-safety</v>
      </c>
      <c r="B719" s="37" t="s">
        <v>6979</v>
      </c>
      <c r="C719" s="24">
        <v>7.25</v>
      </c>
      <c r="D719" s="65" t="str">
        <f>HYPERLINK("https://github.com/mostafa-saad/MyCompetitiveProgramming/blob/master/Olympiad/NOI/official","Editorial")</f>
        <v>Editorial</v>
      </c>
      <c r="E719" s="31" t="s">
        <v>2153</v>
      </c>
      <c r="F719" s="37" t="s">
        <v>139</v>
      </c>
      <c r="G719" s="67"/>
      <c r="H719" s="67"/>
    </row>
    <row r="720" spans="1:8" ht="13.2">
      <c r="A720" s="65" t="str">
        <f>HYPERLINK("http://www.spoj.com/problems/BACKUP/", "APIO 07-Backup")</f>
        <v>APIO 07-Backup</v>
      </c>
      <c r="B720" s="18" t="s">
        <v>6980</v>
      </c>
      <c r="C720" s="17">
        <v>7.1</v>
      </c>
      <c r="D720" s="65" t="str">
        <f>HYPERLINK("https://github.com/mostafa-saad/MyCompetitiveProgramming/blob/master/Olympiad/APIO/APIO-07-Backup.txt","Sol")</f>
        <v>Sol</v>
      </c>
      <c r="E720" s="31" t="s">
        <v>2153</v>
      </c>
      <c r="F720" s="37" t="s">
        <v>154</v>
      </c>
      <c r="G720" s="67"/>
      <c r="H720" s="67"/>
    </row>
    <row r="721" spans="1:8" ht="13.2">
      <c r="A721" s="65" t="str">
        <f>HYPERLINK("https://cses.fi/107/list/","Baltic 09-Candy")</f>
        <v>Baltic 09-Candy</v>
      </c>
      <c r="B721" s="20" t="s">
        <v>6981</v>
      </c>
      <c r="C721" s="17">
        <v>7.1</v>
      </c>
      <c r="D721" s="65" t="str">
        <f>HYPERLINK("https://github.com/Szawinis/CompetitiveProgramming/blob/master/Olympiad/Baltic/Baltic09-candy.cpp","Sol")</f>
        <v>Sol</v>
      </c>
      <c r="E721" s="31" t="s">
        <v>2153</v>
      </c>
      <c r="F721" s="37" t="s">
        <v>154</v>
      </c>
      <c r="G721" s="67"/>
      <c r="H721" s="67"/>
    </row>
    <row r="722" spans="1:8" ht="13.2">
      <c r="A722" s="65" t="str">
        <f>HYPERLINK("https://oj.uz/problem/view/IOI19_job","IOIPractice 19-Job")</f>
        <v>IOIPractice 19-Job</v>
      </c>
      <c r="B722" s="20" t="s">
        <v>6982</v>
      </c>
      <c r="C722" s="17">
        <v>7.1</v>
      </c>
      <c r="D722" s="65" t="str">
        <f>HYPERLINK("https://github.com/mostafa-saad/MyCompetitiveProgramming/blob/master/Olympiad/IOI/IOIPractice-19-Job.txt","Sol")</f>
        <v>Sol</v>
      </c>
      <c r="E722" s="31" t="s">
        <v>2153</v>
      </c>
      <c r="F722" s="37" t="s">
        <v>139</v>
      </c>
      <c r="G722" s="67"/>
      <c r="H722" s="67"/>
    </row>
    <row r="723" spans="1:8" ht="13.2">
      <c r="A723" s="65" t="str">
        <f>HYPERLINK("https://szkopul.edu.pl/problemset/problem/ghEjb6qGVGsGk_KgYqdXZNna/site/", "POI 14-Around")</f>
        <v>POI 14-Around</v>
      </c>
      <c r="B723" s="20" t="s">
        <v>2163</v>
      </c>
      <c r="C723" s="24">
        <v>7.1</v>
      </c>
      <c r="D723" s="69"/>
      <c r="E723" s="31" t="s">
        <v>2153</v>
      </c>
      <c r="F723" s="37"/>
      <c r="G723" s="67"/>
      <c r="H723" s="67"/>
    </row>
    <row r="724" spans="1:8" ht="13.2">
      <c r="A724" s="65" t="str">
        <f>HYPERLINK("https://www.infoarena.ro/problema/anagrame","infoarena anagrame")</f>
        <v>infoarena anagrame</v>
      </c>
      <c r="B724" s="20" t="s">
        <v>6983</v>
      </c>
      <c r="C724" s="17">
        <v>7</v>
      </c>
      <c r="D724" s="65" t="str">
        <f>HYPERLINK("https://github.com/stefdasca/CompetitiveProgramming/blob/master/Infoarena/anagrame.cpp","Sol")</f>
        <v>Sol</v>
      </c>
      <c r="E724" s="31" t="s">
        <v>2153</v>
      </c>
      <c r="F724" s="37"/>
      <c r="G724" s="67"/>
      <c r="H724" s="67"/>
    </row>
    <row r="725" spans="1:8" ht="13.2">
      <c r="A725" s="65" t="str">
        <f>HYPERLINK("https://oj.uz/problem/view/COCI16_kralj","COCI 16-kralj")</f>
        <v>COCI 16-kralj</v>
      </c>
      <c r="B725" s="20" t="s">
        <v>6984</v>
      </c>
      <c r="C725" s="24">
        <v>6.8</v>
      </c>
      <c r="D725" s="65" t="str">
        <f>HYPERLINK("https://github.com/mostafa-saad/MyCompetitiveProgramming/blob/master/Olympiad/COCI/COCI-16-kralj.txt","Sol")</f>
        <v>Sol</v>
      </c>
      <c r="E725" s="31" t="s">
        <v>2153</v>
      </c>
      <c r="F725" s="37" t="s">
        <v>173</v>
      </c>
      <c r="G725" s="67"/>
      <c r="H725" s="67"/>
    </row>
    <row r="726" spans="1:8" ht="13.2">
      <c r="A726" s="65" t="str">
        <f>HYPERLINK("https://szkopul.edu.pl/problemset/problem/6YiP6JA5U15hY94pLwuHoYPg/site/", "POI 06-Ploughing")</f>
        <v>POI 06-Ploughing</v>
      </c>
      <c r="B726" s="37" t="s">
        <v>6985</v>
      </c>
      <c r="C726" s="24">
        <v>6.75</v>
      </c>
      <c r="D726" s="65" t="str">
        <f>HYPERLINK("https://github.com/mostafa-saad/MyCompetitiveProgramming/blob/master/Olympiad/POI/POI-06-Ploughing.txt","Sol")</f>
        <v>Sol</v>
      </c>
      <c r="E726" s="31" t="s">
        <v>2153</v>
      </c>
      <c r="F726" s="37" t="s">
        <v>154</v>
      </c>
      <c r="G726" s="67"/>
      <c r="H726" s="67"/>
    </row>
    <row r="727" spans="1:8" ht="13.2">
      <c r="A727" s="65" t="str">
        <f>HYPERLINK("https://csacademy.com/contest/romanian-ioi-2017-selection-1/task/rooms/","ROUSelection 17-1-rooms")</f>
        <v>ROUSelection 17-1-rooms</v>
      </c>
      <c r="B727" s="37" t="s">
        <v>6986</v>
      </c>
      <c r="C727" s="24">
        <v>6.75</v>
      </c>
      <c r="D727" s="65" t="str">
        <f>HYPERLINK("https://github.com/dolphingarlic/CompetitiveProgramming/blob/master/infoarena/ROUSelection%2017-rooms.cpp", "Sol")</f>
        <v>Sol</v>
      </c>
      <c r="E727" s="31" t="s">
        <v>2153</v>
      </c>
      <c r="F727" s="37" t="s">
        <v>154</v>
      </c>
      <c r="G727" s="67"/>
      <c r="H727" s="67"/>
    </row>
    <row r="728" spans="1:8" ht="13.2">
      <c r="A728" s="65" t="str">
        <f>HYPERLINK("https://oj.uz/problem/view/BOI18_popa","Balkan 18-popa")</f>
        <v>Balkan 18-popa</v>
      </c>
      <c r="B728" s="20" t="s">
        <v>6987</v>
      </c>
      <c r="C728" s="17">
        <v>6.75</v>
      </c>
      <c r="D728" s="65" t="str">
        <f>HYPERLINK("https://github.com/mostafa-saad/MyCompetitiveProgramming/blob/master/Olympiad/Balkan/Balkan-18-popa.txt","Sol")</f>
        <v>Sol</v>
      </c>
      <c r="E728" s="31" t="s">
        <v>2153</v>
      </c>
      <c r="F728" s="37" t="s">
        <v>139</v>
      </c>
      <c r="G728" s="67"/>
      <c r="H728" s="67"/>
    </row>
    <row r="729" spans="1:8" ht="13.2">
      <c r="A729" s="65" t="str">
        <f>HYPERLINK("https://oj.uz/problem/view/CEOI12_highway","CEOI 12-highway")</f>
        <v>CEOI 12-highway</v>
      </c>
      <c r="B729" s="23" t="s">
        <v>6988</v>
      </c>
      <c r="C729" s="24">
        <v>6.75</v>
      </c>
      <c r="D729" s="65" t="str">
        <f>HYPERLINK("https://github.com/tmwilliamlin168/CompetitiveProgramming/blob/master/CEOI/12-Highway.cpp", "Sol")</f>
        <v>Sol</v>
      </c>
      <c r="E729" s="31" t="s">
        <v>2153</v>
      </c>
      <c r="F729" s="37"/>
      <c r="G729" s="67"/>
      <c r="H729" s="67"/>
    </row>
    <row r="730" spans="1:8" ht="13.2">
      <c r="A730" s="65" t="str">
        <f>HYPERLINK("https://cses.fi/109/list/","Baltic 06-Bitwise")</f>
        <v>Baltic 06-Bitwise</v>
      </c>
      <c r="B730" s="37" t="s">
        <v>6989</v>
      </c>
      <c r="C730" s="24">
        <v>6.7</v>
      </c>
      <c r="D730" s="65" t="str">
        <f>HYPERLINK("https://github.com/mostafa-saad/MyCompetitiveProgramming/blob/master/Olympiad/Baltic/Baltic-06-Bitwise.txt","Sol")</f>
        <v>Sol</v>
      </c>
      <c r="E730" s="31" t="s">
        <v>2153</v>
      </c>
      <c r="F730" s="37" t="s">
        <v>139</v>
      </c>
      <c r="G730" s="67"/>
      <c r="H730" s="67"/>
    </row>
    <row r="731" spans="1:8" ht="13.2">
      <c r="A731" s="65" t="str">
        <f>HYPERLINK("https://szkopul.edu.pl/problemset/problem/L_1w_HVIsvm4fBksvCo7fYJT/site/", "POI 04-Gates")</f>
        <v>POI 04-Gates</v>
      </c>
      <c r="B731" s="37" t="s">
        <v>6990</v>
      </c>
      <c r="C731" s="24">
        <v>6.6</v>
      </c>
      <c r="D731" s="65" t="str">
        <f>HYPERLINK("https://github.com/mostafa-saad/MyCompetitiveProgramming/blob/master/Olympiad/POI/POI-04-Gates.txt","Sol")</f>
        <v>Sol</v>
      </c>
      <c r="E731" s="31" t="s">
        <v>2153</v>
      </c>
      <c r="F731" s="37" t="s">
        <v>154</v>
      </c>
      <c r="G731" s="67"/>
      <c r="H731" s="67"/>
    </row>
    <row r="732" spans="1:8" ht="13.2">
      <c r="A732" s="65" t="str">
        <f>HYPERLINK("https://szkopul.edu.pl/problemset/problem/98e_K-Vvcg5TnMG4-hXTNsFG/site/", "POI 05-Fibonacci")</f>
        <v>POI 05-Fibonacci</v>
      </c>
      <c r="B732" s="37" t="s">
        <v>6991</v>
      </c>
      <c r="C732" s="24">
        <v>6.6</v>
      </c>
      <c r="D732" s="65" t="str">
        <f>HYPERLINK("https://github.com/mostafa-saad/MyCompetitiveProgramming/blob/master/Olympiad/POI/POI-05-Fibonacci.txt","Sol")</f>
        <v>Sol</v>
      </c>
      <c r="E732" s="31" t="s">
        <v>2153</v>
      </c>
      <c r="F732" s="37" t="s">
        <v>1164</v>
      </c>
      <c r="G732" s="67"/>
      <c r="H732" s="67"/>
    </row>
    <row r="733" spans="1:8" ht="13.2">
      <c r="A733" s="65" t="str">
        <f>HYPERLINK("https://csacademy.com/contest/ioi-2016-training-round-5/task/balanced-string/","IOIPractice 16-balanced-string")</f>
        <v>IOIPractice 16-balanced-string</v>
      </c>
      <c r="B733" s="37" t="s">
        <v>6992</v>
      </c>
      <c r="C733" s="24">
        <v>6.5</v>
      </c>
      <c r="D733" s="65" t="str">
        <f>HYPERLINK("https://github.com/arvindr9/CompetitiveProgramming/blob/master/CSAcademy/IOI%20Training%20Rounds/IOIPractice%2016-balanced-string.cpp","Sol")</f>
        <v>Sol</v>
      </c>
      <c r="E733" s="31" t="s">
        <v>2153</v>
      </c>
      <c r="F733" s="37" t="s">
        <v>139</v>
      </c>
      <c r="G733" s="67"/>
      <c r="H733" s="67"/>
    </row>
    <row r="734" spans="1:8" ht="13.2">
      <c r="A734" s="65" t="str">
        <f>HYPERLINK("https://dmoj.ca/problem/coci15c4p6","COCI 15-Endor")</f>
        <v>COCI 15-Endor</v>
      </c>
      <c r="B734" s="37" t="s">
        <v>2232</v>
      </c>
      <c r="C734" s="24">
        <v>6.5</v>
      </c>
      <c r="D734" s="65" t="str">
        <f>HYPERLINK("https://github.com/mostafa-saad/MyCompetitiveProgramming/blob/master/Olympiad/COCI/COCI-15-Endor.txt","Sol")</f>
        <v>Sol</v>
      </c>
      <c r="E734" s="31" t="s">
        <v>2153</v>
      </c>
      <c r="F734" s="37" t="s">
        <v>139</v>
      </c>
      <c r="G734" s="67"/>
      <c r="H734" s="67"/>
    </row>
    <row r="735" spans="1:8" ht="13.2">
      <c r="A735" s="65" t="str">
        <f>HYPERLINK("https://oj.uz/problem/view/JOI19_ho_t4", "JOI 19-Coin")</f>
        <v>JOI 19-Coin</v>
      </c>
      <c r="B735" s="37" t="s">
        <v>6993</v>
      </c>
      <c r="C735" s="24">
        <v>6.5</v>
      </c>
      <c r="D735" s="65" t="str">
        <f>HYPERLINK("https://github.com/mostafa-saad/MyCompetitiveProgramming/blob/master/Olympiad/JOI/JOI-19-Coin.txt","Sol")</f>
        <v>Sol</v>
      </c>
      <c r="E735" s="31" t="s">
        <v>2153</v>
      </c>
      <c r="F735" s="37" t="s">
        <v>201</v>
      </c>
      <c r="G735" s="67"/>
      <c r="H735" s="67"/>
    </row>
    <row r="736" spans="1:8" ht="13.2">
      <c r="A736" s="65" t="str">
        <f>HYPERLINK("https://oj.uz/problem/view/APIO15_sculpture","APIO 15-sculpture")</f>
        <v>APIO 15-sculpture</v>
      </c>
      <c r="B736" s="18" t="s">
        <v>6994</v>
      </c>
      <c r="C736" s="17">
        <v>6.5</v>
      </c>
      <c r="D736" s="65" t="str">
        <f>HYPERLINK("https://github.com/mostafa-saad/MyCompetitiveProgramming/blob/master/Olympiad/APIO/APIO-15-sculpture.txt", "Sol")</f>
        <v>Sol</v>
      </c>
      <c r="E736" s="31" t="s">
        <v>2153</v>
      </c>
      <c r="F736" s="37"/>
      <c r="G736" s="67"/>
      <c r="H736" s="67"/>
    </row>
    <row r="737" spans="1:8" ht="13.2">
      <c r="A737" s="65" t="str">
        <f>HYPERLINK("https://oj.uz/problems/source/60", "CEOI 13-board")</f>
        <v>CEOI 13-board</v>
      </c>
      <c r="B737" s="20" t="s">
        <v>6995</v>
      </c>
      <c r="C737" s="17">
        <v>6.5</v>
      </c>
      <c r="D737" s="65" t="str">
        <f>HYPERLINK("https://github.com/mostafa-saad/MyCompetitiveProgramming/blob/master/Olympiad/CEOI/CEOI-13-board.txt", "Sol")</f>
        <v>Sol</v>
      </c>
      <c r="E737" s="31" t="s">
        <v>2153</v>
      </c>
      <c r="F737" s="37"/>
      <c r="G737" s="67"/>
      <c r="H737" s="67"/>
    </row>
    <row r="738" spans="1:8" ht="13.2">
      <c r="A738" s="65" t="str">
        <f>HYPERLINK("https://oj.uz/problem/view/IOI08_teleporters","IOI 08-teleporters")</f>
        <v>IOI 08-teleporters</v>
      </c>
      <c r="B738" s="20" t="s">
        <v>6996</v>
      </c>
      <c r="C738" s="24">
        <v>6.5</v>
      </c>
      <c r="D738" s="65" t="str">
        <f>HYPERLINK("https://github.com/mostafa-saad/MyCompetitiveProgramming/blob/master/Olympiad/IOI/official/2008","Editorial")</f>
        <v>Editorial</v>
      </c>
      <c r="E738" s="31" t="s">
        <v>2153</v>
      </c>
      <c r="F738" s="37"/>
      <c r="G738" s="67"/>
      <c r="H738" s="67"/>
    </row>
    <row r="739" spans="1:8" ht="13.2">
      <c r="A739" s="65" t="str">
        <f>HYPERLINK("https://szkopul.edu.pl/problemset/problem/z8Vva6nazo2Cy3CF67kT6IWe/site/", "POI 16-Necklace")</f>
        <v>POI 16-Necklace</v>
      </c>
      <c r="B739" s="37" t="s">
        <v>6997</v>
      </c>
      <c r="C739" s="24">
        <v>6.5</v>
      </c>
      <c r="D739" s="65" t="str">
        <f>HYPERLINK("https://github.com/mostafa-saad/MyCompetitiveProgramming/blob/master/Olympiad/POI/POI-16-Necklace.txt","Sol")</f>
        <v>Sol</v>
      </c>
      <c r="E739" s="31" t="s">
        <v>2153</v>
      </c>
      <c r="F739" s="37"/>
      <c r="G739" s="67"/>
      <c r="H739" s="67"/>
    </row>
    <row r="740" spans="1:8" ht="13.2">
      <c r="A740" s="65" t="str">
        <f>HYPERLINK("https://csacademy.com/contest/junior-challenge-2017-day-1/task/palindromic-tree/","ROJS 17-palindromic_tree")</f>
        <v>ROJS 17-palindromic_tree</v>
      </c>
      <c r="B740" s="37" t="s">
        <v>6998</v>
      </c>
      <c r="C740" s="24">
        <v>6.5</v>
      </c>
      <c r="D740" s="69"/>
      <c r="E740" s="31" t="s">
        <v>2153</v>
      </c>
      <c r="F740" s="37"/>
      <c r="G740" s="67"/>
      <c r="H740" s="67"/>
    </row>
    <row r="741" spans="1:8" ht="13.2">
      <c r="A741" s="65" t="str">
        <f>HYPERLINK("https://cses.fi/107/list/","Baltic 09-Subway")</f>
        <v>Baltic 09-Subway</v>
      </c>
      <c r="B741" s="20" t="s">
        <v>6999</v>
      </c>
      <c r="C741" s="17">
        <v>6.4</v>
      </c>
      <c r="D741" s="65" t="str">
        <f>HYPERLINK("https://github.com/mostafa-saad/MyCompetitiveProgramming/blob/master/Olympiad/Baltic/Baltic-09-Subway.txt","Sol")</f>
        <v>Sol</v>
      </c>
      <c r="E741" s="31" t="s">
        <v>2153</v>
      </c>
      <c r="F741" s="37" t="s">
        <v>196</v>
      </c>
      <c r="G741" s="67"/>
      <c r="H741" s="67"/>
    </row>
    <row r="742" spans="1:8" ht="13.2">
      <c r="A742" s="65" t="str">
        <f>HYPERLINK("https://oj.uz/problem/view/JOI19_naan", "JOISC 19-Naan")</f>
        <v>JOISC 19-Naan</v>
      </c>
      <c r="B742" s="20" t="s">
        <v>2200</v>
      </c>
      <c r="C742" s="21">
        <v>6.4</v>
      </c>
      <c r="D742" s="65" t="str">
        <f>HYPERLINK("https://github.com/mostafa-saad/MyCompetitiveProgramming/blob/master/Olympiad/JOI/JOISC-19-Naan.txt","Sol")</f>
        <v>Sol</v>
      </c>
      <c r="E742" s="31" t="s">
        <v>2153</v>
      </c>
      <c r="F742" s="37" t="s">
        <v>196</v>
      </c>
      <c r="G742" s="67"/>
      <c r="H742" s="67"/>
    </row>
    <row r="743" spans="1:8" ht="13.2">
      <c r="A743" s="65" t="str">
        <f>HYPERLINK("https://szkopul.edu.pl/problemset/problem/YPme8cPuC1zbS3oA0euLxywx/site/", "POI 11-Lollipop")</f>
        <v>POI 11-Lollipop</v>
      </c>
      <c r="B743" s="25" t="s">
        <v>7000</v>
      </c>
      <c r="C743" s="24">
        <v>6.3</v>
      </c>
      <c r="D743" s="65" t="str">
        <f>HYPERLINK("https://github.com/dolphingarlic/CompetitiveProgramming/blob/master/POI/POI-11-Lollipop.txt","Sol")</f>
        <v>Sol</v>
      </c>
      <c r="E743" s="31" t="s">
        <v>2153</v>
      </c>
      <c r="F743" s="37" t="s">
        <v>154</v>
      </c>
      <c r="G743" s="67"/>
      <c r="H743" s="67"/>
    </row>
    <row r="744" spans="1:8" ht="13.2">
      <c r="A744" s="65" t="str">
        <f>HYPERLINK("https://szkopul.edu.pl/problemset/problem/lo_jOsVfQ4ajCSHxFGZS27W-/site/?key=statement","POI 12-Squarks")</f>
        <v>POI 12-Squarks</v>
      </c>
      <c r="B744" s="20" t="s">
        <v>7001</v>
      </c>
      <c r="C744" s="21">
        <v>6.3</v>
      </c>
      <c r="D744" s="65" t="str">
        <f>HYPERLINK("https://github.com/mostafa-saad/MyCompetitiveProgramming/blob/master/Olympiad/POI/POI-12-Squarks.txt","Sol")</f>
        <v>Sol</v>
      </c>
      <c r="E744" s="31" t="s">
        <v>2153</v>
      </c>
      <c r="F744" s="37" t="s">
        <v>139</v>
      </c>
      <c r="G744" s="67"/>
      <c r="H744" s="67"/>
    </row>
    <row r="745" spans="1:8" ht="13.2">
      <c r="A745" s="65" t="str">
        <f>HYPERLINK("https://szkopul.edu.pl/problemset/problem/xfpVU8vFP2RzZ0hrqWq9kTZM/site/", "POI 14-Little_Bird")</f>
        <v>POI 14-Little_Bird</v>
      </c>
      <c r="B745" s="37" t="s">
        <v>7002</v>
      </c>
      <c r="C745" s="17">
        <v>6.3</v>
      </c>
      <c r="D745" s="65" t="str">
        <f>HYPERLINK("https://github.com/mostafa-saad/MyCompetitiveProgramming/blob/master/Olympiad/POI/POI-14-Little_Bird.txt","Sol")</f>
        <v>Sol</v>
      </c>
      <c r="E745" s="31" t="s">
        <v>2153</v>
      </c>
      <c r="F745" s="37" t="s">
        <v>139</v>
      </c>
      <c r="G745" s="67"/>
      <c r="H745" s="67"/>
    </row>
    <row r="746" spans="1:8" ht="13.2">
      <c r="A746" s="65" t="str">
        <f>HYPERLINK("https://cses.fi/192/list/","CEOI 05-Ticket")</f>
        <v>CEOI 05-Ticket</v>
      </c>
      <c r="B746" s="37" t="s">
        <v>7003</v>
      </c>
      <c r="C746" s="24">
        <v>6.25</v>
      </c>
      <c r="D746" s="65" t="str">
        <f>HYPERLINK("https://github.com/mostafa-saad/MyCompetitiveProgramming/blob/master/Olympiad/CEOI/CEOI-05-Ticket.txt","Sol")</f>
        <v>Sol</v>
      </c>
      <c r="E746" s="31" t="s">
        <v>2153</v>
      </c>
      <c r="F746" s="37" t="s">
        <v>139</v>
      </c>
      <c r="G746" s="67"/>
      <c r="H746" s="67"/>
    </row>
    <row r="747" spans="1:8" ht="13.2">
      <c r="A747" s="65" t="str">
        <f>HYPERLINK("https://contest.yandex.ru/ioi/contest/568/enter/","IOI 09-hiring")</f>
        <v>IOI 09-hiring</v>
      </c>
      <c r="B747" s="15" t="s">
        <v>2163</v>
      </c>
      <c r="C747" s="24">
        <v>6.25</v>
      </c>
      <c r="D747" s="65" t="str">
        <f>HYPERLINK("https://github.com/mostafa-saad/MyCompetitiveProgramming/blob/master/Olympiad/IOI/official/2009","Editorial")</f>
        <v>Editorial</v>
      </c>
      <c r="E747" s="31" t="s">
        <v>2153</v>
      </c>
      <c r="F747" s="37" t="s">
        <v>201</v>
      </c>
      <c r="G747" s="67"/>
      <c r="H747" s="67"/>
    </row>
    <row r="748" spans="1:8" ht="13.2">
      <c r="A748" s="65" t="str">
        <f>HYPERLINK("https://oj.uz/problem/view/JOI17_long_mansion","JOISC 17-long_mansion")</f>
        <v>JOISC 17-long_mansion</v>
      </c>
      <c r="B748" s="20" t="s">
        <v>7004</v>
      </c>
      <c r="C748" s="24">
        <v>6.25</v>
      </c>
      <c r="D748" s="65" t="str">
        <f>HYPERLINK("https://github.com/nikolapesic2802/Programming-Practice/blob/master/Long%20Mansion/main.cpp","Sol")</f>
        <v>Sol</v>
      </c>
      <c r="E748" s="31" t="s">
        <v>2153</v>
      </c>
      <c r="F748" s="37"/>
      <c r="G748" s="67"/>
      <c r="H748" s="67"/>
    </row>
    <row r="749" spans="1:8" ht="13.2">
      <c r="A749" s="65" t="str">
        <f>HYPERLINK("https://wcipeg.com/problem/coci092p6","COCI 09-Pasijans")</f>
        <v>COCI 09-Pasijans</v>
      </c>
      <c r="B749" s="15" t="s">
        <v>7005</v>
      </c>
      <c r="C749" s="24">
        <v>6.25</v>
      </c>
      <c r="D749" s="65" t="str">
        <f>HYPERLINK("https://github.com/mostafa-saad/MyCompetitiveProgramming/blob/master/Olympiad/COCI/official/2010/contest2_solutions","Editorial")</f>
        <v>Editorial</v>
      </c>
      <c r="E749" s="31" t="s">
        <v>2153</v>
      </c>
      <c r="F749" s="37"/>
      <c r="G749" s="67"/>
      <c r="H749" s="67"/>
    </row>
    <row r="750" spans="1:8" ht="13.2">
      <c r="A750" s="65" t="str">
        <f>HYPERLINK("https://oj.uz/problem/view/IZhO13_school","IZhO 13-school")</f>
        <v>IZhO 13-school</v>
      </c>
      <c r="B750" s="23" t="s">
        <v>7006</v>
      </c>
      <c r="C750" s="24">
        <v>6.1</v>
      </c>
      <c r="D750" s="65" t="str">
        <f>HYPERLINK("https://github.com/mostafa-saad/MyCompetitiveProgramming/blob/master/Olympiad/IZhO/IZhO-13-school.txt","Sol")</f>
        <v>Sol</v>
      </c>
      <c r="E750" s="31" t="s">
        <v>2153</v>
      </c>
      <c r="F750" s="37" t="s">
        <v>154</v>
      </c>
      <c r="G750" s="67"/>
      <c r="H750" s="67"/>
    </row>
    <row r="751" spans="1:8" ht="13.2">
      <c r="A751" s="65" t="str">
        <f>HYPERLINK("http://usaco.org/index.php?page=viewproblem2&amp;cpid=697", "USACO 17jan-tallbarn-plat")</f>
        <v>USACO 17jan-tallbarn-plat</v>
      </c>
      <c r="B751" s="20" t="s">
        <v>7007</v>
      </c>
      <c r="C751" s="21">
        <v>6</v>
      </c>
      <c r="D751" s="65" t="str">
        <f>HYPERLINK("https://github.com/zoooma13/Competitive-Programming/blob/master/tallbarn.cpp","Sol")</f>
        <v>Sol</v>
      </c>
      <c r="E751" s="31" t="s">
        <v>2153</v>
      </c>
      <c r="F751" s="37" t="s">
        <v>154</v>
      </c>
      <c r="G751" s="67"/>
      <c r="H751" s="67"/>
    </row>
    <row r="752" spans="1:8" ht="13.2">
      <c r="A752" s="65" t="str">
        <f>HYPERLINK("https://szkopul.edu.pl/problemset/problem/zWn2E-v-nn-bozeXQrykmCgD/site/", "POI 07-Pipelines")</f>
        <v>POI 07-Pipelines</v>
      </c>
      <c r="B752" s="37" t="s">
        <v>7008</v>
      </c>
      <c r="C752" s="24">
        <v>6</v>
      </c>
      <c r="D752" s="65" t="str">
        <f>HYPERLINK("https://github.com/mostafa-saad/MyCompetitiveProgramming/blob/master/Olympiad/POI/POI-07-Pipelines.txt","Sol")</f>
        <v>Sol</v>
      </c>
      <c r="E752" s="31" t="s">
        <v>2153</v>
      </c>
      <c r="F752" s="37" t="s">
        <v>196</v>
      </c>
      <c r="G752" s="67"/>
      <c r="H752" s="67"/>
    </row>
    <row r="753" spans="1:8" ht="13.2">
      <c r="A753" s="65" t="str">
        <f>HYPERLINK("https://szkopul.edu.pl/problemset/problem/U6ajLqOdhbPOfK02zqN8MmZf/site/", "POI 07-Tetris")</f>
        <v>POI 07-Tetris</v>
      </c>
      <c r="B753" s="37" t="s">
        <v>2323</v>
      </c>
      <c r="C753" s="24">
        <v>6</v>
      </c>
      <c r="D753" s="65" t="str">
        <f>HYPERLINK("https://github.com/mostafa-saad/MyCompetitiveProgramming/blob/master/Olympiad/POI/POI-07-Tetris.txt","Sol")</f>
        <v>Sol</v>
      </c>
      <c r="E753" s="31" t="s">
        <v>2153</v>
      </c>
      <c r="F753" s="37" t="s">
        <v>196</v>
      </c>
      <c r="G753" s="67"/>
      <c r="H753" s="67"/>
    </row>
    <row r="754" spans="1:8" ht="13.2">
      <c r="A754" s="65" t="str">
        <f>HYPERLINK("https://wcipeg.com/problem/coci094p4","COCI 09-Ograda")</f>
        <v>COCI 09-Ograda</v>
      </c>
      <c r="B754" s="15" t="s">
        <v>7009</v>
      </c>
      <c r="C754" s="24">
        <v>6</v>
      </c>
      <c r="D754" s="65" t="str">
        <f>HYPERLINK("https://github.com/mostafa-saad/MyCompetitiveProgramming/blob/master/Olympiad/COCI/COCI-09-Ograda.txt","Sol")</f>
        <v>Sol</v>
      </c>
      <c r="E754" s="31" t="s">
        <v>2153</v>
      </c>
      <c r="F754" s="37" t="s">
        <v>139</v>
      </c>
      <c r="G754" s="67"/>
      <c r="H754" s="67"/>
    </row>
    <row r="755" spans="1:8" ht="13.2">
      <c r="A755" s="65" t="str">
        <f>HYPERLINK("https://infoarena.ro/problema/kdtree","infoarena kdtree")</f>
        <v>infoarena kdtree</v>
      </c>
      <c r="B755" s="20" t="s">
        <v>7010</v>
      </c>
      <c r="C755" s="17">
        <v>6</v>
      </c>
      <c r="D755" s="65" t="str">
        <f>HYPERLINK("https://github.com/stefdasca/CompetitiveProgramming/blob/master/Infoarena/kdtree.cpp","Sol")</f>
        <v>Sol</v>
      </c>
      <c r="E755" s="31" t="s">
        <v>2153</v>
      </c>
      <c r="F755" s="37" t="s">
        <v>139</v>
      </c>
      <c r="G755" s="67"/>
      <c r="H755" s="67"/>
    </row>
    <row r="756" spans="1:8" ht="13.2">
      <c r="A756" s="65" t="str">
        <f>HYPERLINK("https://dunjudge.me/analysis/problems/1229/","NOI 17-rmq")</f>
        <v>NOI 17-rmq</v>
      </c>
      <c r="B756" s="37" t="s">
        <v>2355</v>
      </c>
      <c r="C756" s="24">
        <v>6</v>
      </c>
      <c r="D756" s="65" t="str">
        <f>HYPERLINK("https://github.com/mostafa-saad/MyCompetitiveProgramming/blob/master/Olympiad/NOI/NOI-17-rmq.txt","Sol")</f>
        <v>Sol</v>
      </c>
      <c r="E756" s="31" t="s">
        <v>2153</v>
      </c>
      <c r="F756" s="37" t="s">
        <v>613</v>
      </c>
      <c r="G756" s="67"/>
      <c r="H756" s="67"/>
    </row>
    <row r="757" spans="1:8" ht="13.2">
      <c r="A757" s="65" t="str">
        <f>HYPERLINK("https://oj.uz/problem/view/BOI12_mobile","Baltic 12-mobile")</f>
        <v>Baltic 12-mobile</v>
      </c>
      <c r="B757" s="20" t="s">
        <v>7011</v>
      </c>
      <c r="C757" s="24">
        <v>6</v>
      </c>
      <c r="D757" s="65" t="str">
        <f>HYPERLINK("https://github.com/mostafa-saad/MyCompetitiveProgramming/blob/master/Olympiad/Baltic/Baltic-12-mobile.txt","Sol")</f>
        <v>Sol</v>
      </c>
      <c r="E757" s="31" t="s">
        <v>2153</v>
      </c>
      <c r="F757" s="37" t="s">
        <v>201</v>
      </c>
      <c r="G757" s="67"/>
      <c r="H757" s="67"/>
    </row>
    <row r="758" spans="1:8" ht="13.2">
      <c r="A758" s="65" t="str">
        <f>HYPERLINK("https://szkopul.edu.pl/problemset/problem/VutzcR1iPvGuYRGZgvNksmV1/site/", "POI 07-Flood")</f>
        <v>POI 07-Flood</v>
      </c>
      <c r="B758" s="37" t="s">
        <v>2181</v>
      </c>
      <c r="C758" s="24">
        <v>6</v>
      </c>
      <c r="D758" s="65" t="str">
        <f>HYPERLINK("https://github.com/mostafa-saad/MyCompetitiveProgramming/blob/master/Olympiad/POI/POI-07-Flood.txt","Sol")</f>
        <v>Sol</v>
      </c>
      <c r="E758" s="31" t="s">
        <v>2153</v>
      </c>
      <c r="F758" s="37" t="s">
        <v>201</v>
      </c>
      <c r="G758" s="67"/>
      <c r="H758" s="67"/>
    </row>
    <row r="759" spans="1:8" ht="13.2">
      <c r="A759" s="65" t="str">
        <f>HYPERLINK("https://oj.uz/problem/view/IOI19_packing","IOIPractice 19-packing")</f>
        <v>IOIPractice 19-packing</v>
      </c>
      <c r="B759" s="20" t="s">
        <v>7012</v>
      </c>
      <c r="C759" s="17">
        <v>6</v>
      </c>
      <c r="D759" s="65" t="str">
        <f>HYPERLINK("https://github.com/tmwilliamlin168/CompetitiveProgramming/blob/master/IOI/19P-Packing.cpp","Sol")</f>
        <v>Sol</v>
      </c>
      <c r="E759" s="31" t="s">
        <v>2153</v>
      </c>
      <c r="F759" s="37" t="s">
        <v>201</v>
      </c>
      <c r="G759" s="67"/>
      <c r="H759" s="67"/>
    </row>
    <row r="760" spans="1:8" ht="13.2">
      <c r="A760" s="65" t="str">
        <f>HYPERLINK("https://szkopul.edu.pl/problemset/problem/Fej8rGpqWzXEi_qjK2Cmfe4Y/site/", "POI 08-BBB")</f>
        <v>POI 08-BBB</v>
      </c>
      <c r="B760" s="37" t="s">
        <v>7013</v>
      </c>
      <c r="C760" s="24">
        <v>5.75</v>
      </c>
      <c r="D760" s="65" t="str">
        <f>HYPERLINK("https://github.com/mostafa-saad/MyCompetitiveProgramming/blob/master/Olympiad/POI/POI-08-BBB.txt","Sol")</f>
        <v>Sol</v>
      </c>
      <c r="E760" s="31" t="s">
        <v>2153</v>
      </c>
      <c r="F760" s="37" t="s">
        <v>154</v>
      </c>
      <c r="G760" s="67"/>
      <c r="H760" s="67"/>
    </row>
    <row r="761" spans="1:8" ht="13.2">
      <c r="A761" s="65" t="str">
        <f>HYPERLINK("https://oj.uz/problem/view/BOI18_zalmoxis","Balkan 18-zalmoxis")</f>
        <v>Balkan 18-zalmoxis</v>
      </c>
      <c r="B761" s="20" t="s">
        <v>7014</v>
      </c>
      <c r="C761" s="24">
        <v>5.75</v>
      </c>
      <c r="D761" s="65" t="str">
        <f>HYPERLINK("https://github.com/mostafa-saad/MyCompetitiveProgramming/blob/master/Olympiad/Balkan/Balkan-18-zalmoxis.txt","Sol")</f>
        <v>Sol</v>
      </c>
      <c r="E761" s="31" t="s">
        <v>2153</v>
      </c>
      <c r="F761" s="37" t="s">
        <v>196</v>
      </c>
      <c r="G761" s="67"/>
      <c r="H761" s="67"/>
    </row>
    <row r="762" spans="1:8" ht="13.2">
      <c r="A762" s="65" t="str">
        <f>HYPERLINK("https://oj.uz/problem/view/IOI19_shoes","IOI 19-shoes")</f>
        <v>IOI 19-shoes</v>
      </c>
      <c r="B762" s="37" t="s">
        <v>7015</v>
      </c>
      <c r="C762" s="24">
        <v>5.75</v>
      </c>
      <c r="D762" s="65" t="str">
        <f>HYPERLINK("https://github.com/mostafa-saad/MyCompetitiveProgramming/tree/master/Olympiad/IOI/official/2019","Official sols")</f>
        <v>Official sols</v>
      </c>
      <c r="E762" s="31" t="s">
        <v>2153</v>
      </c>
      <c r="F762" s="37" t="s">
        <v>139</v>
      </c>
      <c r="G762" s="67"/>
      <c r="H762" s="67"/>
    </row>
    <row r="763" spans="1:8" ht="13.2">
      <c r="A763" s="65" t="str">
        <f>HYPERLINK("https://szkopul.edu.pl/problemset/problem/dIejmvqlAbsoU1hkjNbd4KtF/site/?key=statement","POI 96-wie")</f>
        <v>POI 96-wie</v>
      </c>
      <c r="B763" s="20" t="s">
        <v>2248</v>
      </c>
      <c r="C763" s="17">
        <v>5.5</v>
      </c>
      <c r="D763" s="65" t="str">
        <f>HYPERLINK("https://github.com/mostafa-saad/MyCompetitiveProgramming/blob/master/Olympiad/POI/POI-96-wie.txt","Sol")</f>
        <v>Sol</v>
      </c>
      <c r="E763" s="31" t="s">
        <v>2153</v>
      </c>
      <c r="F763" s="37" t="s">
        <v>139</v>
      </c>
      <c r="G763" s="67"/>
      <c r="H763" s="67"/>
    </row>
    <row r="764" spans="1:8" ht="13.2">
      <c r="A764" s="65" t="str">
        <f>HYPERLINK("https://oj.uz/problems/source/113","Balkan 11-Medians")</f>
        <v>Balkan 11-Medians</v>
      </c>
      <c r="B764" s="23" t="s">
        <v>7016</v>
      </c>
      <c r="C764" s="17">
        <v>5.5</v>
      </c>
      <c r="D764" s="65" t="str">
        <f>HYPERLINK("https://github.com/mostafa-saad/MyCompetitiveProgramming/blob/master/Olympiad/Balkan/Balkan-11-Medians.txt","Sol")</f>
        <v>Sol</v>
      </c>
      <c r="E764" s="31" t="s">
        <v>2153</v>
      </c>
      <c r="F764" s="37" t="s">
        <v>139</v>
      </c>
      <c r="G764" s="67"/>
      <c r="H764" s="67"/>
    </row>
    <row r="765" spans="1:8" ht="13.2">
      <c r="A765" s="65" t="str">
        <f>HYPERLINK("https://szkopul.edu.pl/problemset/problem/a9Oxizbg6JUS3CkEZr9BOd_H/site/?key=statement","CEOI 11-Hotel")</f>
        <v>CEOI 11-Hotel</v>
      </c>
      <c r="B765" s="18" t="s">
        <v>2163</v>
      </c>
      <c r="C765" s="17">
        <v>5.5</v>
      </c>
      <c r="D765" s="65" t="str">
        <f>HYPERLINK("https://github.com/mostafa-saad/MyCompetitiveProgramming/blob/master/Olympiad/CEOI/CEOI-11-Hotel.txt","Sol")</f>
        <v>Sol</v>
      </c>
      <c r="E765" s="31" t="s">
        <v>2153</v>
      </c>
      <c r="F765" s="37" t="s">
        <v>139</v>
      </c>
      <c r="G765" s="67"/>
      <c r="H765" s="67"/>
    </row>
    <row r="766" spans="1:8" ht="13.2">
      <c r="A766" s="65" t="str">
        <f>HYPERLINK("https://oj.uz/problem/view/COI18_paprike","COI 18-paprike")</f>
        <v>COI 18-paprike</v>
      </c>
      <c r="B766" s="20" t="s">
        <v>2181</v>
      </c>
      <c r="C766" s="24">
        <v>5.5</v>
      </c>
      <c r="D766" s="69"/>
      <c r="E766" s="31" t="s">
        <v>2153</v>
      </c>
      <c r="F766" s="37" t="s">
        <v>201</v>
      </c>
      <c r="G766" s="67"/>
      <c r="H766" s="67"/>
    </row>
    <row r="767" spans="1:8" ht="13.2">
      <c r="A767" s="65" t="str">
        <f>HYPERLINK("https://contest.yandex.ru/ioi/contest/560/enter/","IOI 04-farmer")</f>
        <v>IOI 04-farmer</v>
      </c>
      <c r="B767" s="15" t="s">
        <v>2232</v>
      </c>
      <c r="C767" s="24">
        <v>5.5</v>
      </c>
      <c r="D767" s="65" t="str">
        <f>HYPERLINK("https://github.com/mostafa-saad/MyCompetitiveProgramming/blob/master/Olympiad/IOI/IOI-04-farmer.txt","Sol")</f>
        <v>Sol</v>
      </c>
      <c r="E767" s="31" t="s">
        <v>2153</v>
      </c>
      <c r="F767" s="37" t="s">
        <v>201</v>
      </c>
      <c r="G767" s="67"/>
      <c r="H767" s="67"/>
    </row>
    <row r="768" spans="1:8" ht="13.2">
      <c r="A768" s="65" t="str">
        <f>HYPERLINK("https://szkopul.edu.pl/problemset/problem/bNkLWTHzQeDyEuAUiKCwuxnG/site/","CEOI 04-Trips")</f>
        <v>CEOI 04-Trips</v>
      </c>
      <c r="B768" s="37" t="s">
        <v>7017</v>
      </c>
      <c r="C768" s="24">
        <v>5.5</v>
      </c>
      <c r="D768" s="65" t="str">
        <f>HYPERLINK("https://github.com/mostafa-saad/MyCompetitiveProgramming/blob/master/Olympiad/CEOI/CEOI-04-Trips.txt","Sol")</f>
        <v>Sol</v>
      </c>
      <c r="E768" s="31" t="s">
        <v>2153</v>
      </c>
      <c r="F768" s="37" t="s">
        <v>201</v>
      </c>
      <c r="G768" s="67"/>
      <c r="H768" s="67"/>
    </row>
    <row r="769" spans="1:8" ht="13.2">
      <c r="A769" s="65" t="str">
        <f>HYPERLINK("https://oj.uz/problem/view/POI13_usu","POI 13-Takeout")</f>
        <v>POI 13-Takeout</v>
      </c>
      <c r="B769" s="37" t="s">
        <v>7018</v>
      </c>
      <c r="C769" s="24">
        <v>5.5</v>
      </c>
      <c r="D769" s="65" t="str">
        <f>HYPERLINK("https://github.com/mostafa-saad/MyCompetitiveProgramming/blob/master/Olympiad/POI/POI-13-Takeout.txt","Sol")</f>
        <v>Sol</v>
      </c>
      <c r="E769" s="31" t="s">
        <v>2153</v>
      </c>
      <c r="F769" s="37" t="s">
        <v>201</v>
      </c>
      <c r="G769" s="67"/>
      <c r="H769" s="67"/>
    </row>
    <row r="770" spans="1:8" ht="13.2">
      <c r="A770" s="65" t="str">
        <f>HYPERLINK("http://usaco.org/index.php?page=viewproblem2&amp;cpid=577", "USACO 15dec-cardgame-plat")</f>
        <v>USACO 15dec-cardgame-plat</v>
      </c>
      <c r="B770" s="20" t="s">
        <v>7019</v>
      </c>
      <c r="C770" s="21">
        <v>5.5</v>
      </c>
      <c r="D770" s="69"/>
      <c r="E770" s="31" t="s">
        <v>2153</v>
      </c>
      <c r="F770" s="37" t="s">
        <v>201</v>
      </c>
      <c r="G770" s="67"/>
      <c r="H770" s="67"/>
    </row>
    <row r="771" spans="1:8" ht="13.2">
      <c r="A771" s="65" t="str">
        <f>HYPERLINK("https://www.infoarena.ro/problema/aranjare","Infoarena aranjare")</f>
        <v>Infoarena aranjare</v>
      </c>
      <c r="B771" s="20" t="s">
        <v>7020</v>
      </c>
      <c r="C771" s="21">
        <v>5.5</v>
      </c>
      <c r="D771" s="65" t="str">
        <f>HYPERLINK("https://github.com/stefdasca/CompetitiveProgramming/blob/master/Infoarena/aranjare.cpp","Sol")</f>
        <v>Sol</v>
      </c>
      <c r="E771" s="31" t="s">
        <v>2153</v>
      </c>
      <c r="F771" s="37" t="s">
        <v>201</v>
      </c>
      <c r="G771" s="67"/>
      <c r="H771" s="67"/>
    </row>
    <row r="772" spans="1:8" ht="13.2">
      <c r="A772" s="65" t="str">
        <f>HYPERLINK("https://oj.uz/problem/view/POI11_pat","POI 11-Sticks")</f>
        <v>POI 11-Sticks</v>
      </c>
      <c r="B772" s="25" t="s">
        <v>7021</v>
      </c>
      <c r="C772" s="24">
        <v>5.5</v>
      </c>
      <c r="D772" s="65" t="str">
        <f>HYPERLINK("https://github.com/mostafa-saad/MyCompetitiveProgramming/blob/master/Olympiad/POI/POI-11-Sticks.txt","Sol")</f>
        <v>Sol</v>
      </c>
      <c r="E772" s="31" t="s">
        <v>2153</v>
      </c>
      <c r="F772" s="37" t="s">
        <v>201</v>
      </c>
      <c r="G772" s="67"/>
      <c r="H772" s="67"/>
    </row>
    <row r="773" spans="1:8" ht="13.2">
      <c r="A773" s="65" t="str">
        <f>HYPERLINK("https://oj.uz/problem/view/JOI17_sparklers","JOISC 17-sparklers")</f>
        <v>JOISC 17-sparklers</v>
      </c>
      <c r="B773" s="20" t="s">
        <v>7022</v>
      </c>
      <c r="C773" s="24">
        <v>5.5</v>
      </c>
      <c r="D773" s="65" t="str">
        <f>HYPERLINK("https://github.com/nikolapesic2802/Programming-Practice/blob/master/Sparklersd/main.cpp","Sol")</f>
        <v>Sol</v>
      </c>
      <c r="E773" s="31" t="s">
        <v>2153</v>
      </c>
      <c r="F773" s="37" t="s">
        <v>201</v>
      </c>
      <c r="G773" s="67"/>
      <c r="H773" s="67"/>
    </row>
    <row r="774" spans="1:8" ht="13.2">
      <c r="A774" s="65" t="str">
        <f>HYPERLINK("https://dmoj.ca/problem/cco15p1","CCO 15-Hungry_Fox")</f>
        <v>CCO 15-Hungry_Fox</v>
      </c>
      <c r="B774" s="37" t="s">
        <v>2163</v>
      </c>
      <c r="C774" s="24">
        <v>5.5</v>
      </c>
      <c r="D774" s="69"/>
      <c r="E774" s="31" t="s">
        <v>2153</v>
      </c>
      <c r="F774" s="37" t="s">
        <v>201</v>
      </c>
      <c r="G774" s="67"/>
      <c r="H774" s="67"/>
    </row>
    <row r="775" spans="1:8" ht="13.2">
      <c r="A775" s="65" t="str">
        <f>HYPERLINK("https://oj.uz/problem/view/IZhO17_money","IZhO 17-money")</f>
        <v>IZhO 17-money</v>
      </c>
      <c r="B775" s="23" t="s">
        <v>2163</v>
      </c>
      <c r="C775" s="24">
        <v>5.5</v>
      </c>
      <c r="D775" s="65" t="str">
        <f>HYPERLINK("https://github.com/stefdasca/CompetitiveProgramming/blob/master/IZhO/IZhO%2017-money.cpp","Sol")</f>
        <v>Sol</v>
      </c>
      <c r="E775" s="31" t="s">
        <v>2153</v>
      </c>
      <c r="F775" s="37"/>
      <c r="G775" s="67"/>
      <c r="H775" s="67"/>
    </row>
    <row r="776" spans="1:8" ht="13.2">
      <c r="A776" s="65" t="str">
        <f>HYPERLINK("http://www.spoj.com/problems/MCAMP/","APIOPractice 14-mcamp")</f>
        <v>APIOPractice 14-mcamp</v>
      </c>
      <c r="B776" s="20" t="s">
        <v>7023</v>
      </c>
      <c r="C776" s="17">
        <v>5.5</v>
      </c>
      <c r="D776" s="65" t="str">
        <f>HYPERLINK("https://github.com/mostafa-saad/MyCompetitiveProgramming/blob/master/Olympiad/APIO/APIOPractice-14-mcamp.txt","Sol")</f>
        <v>Sol</v>
      </c>
      <c r="E776" s="31" t="s">
        <v>2153</v>
      </c>
      <c r="F776" s="37"/>
      <c r="G776" s="67"/>
      <c r="H776" s="67"/>
    </row>
    <row r="777" spans="1:8" ht="13.2">
      <c r="A777" s="65" t="str">
        <f>HYPERLINK("https://github.com/mostafa-saad/MyCompetitiveProgramming/blob/master/Olympiad/POI/POI-15-Seals-desc.txt","POI 15-Seals")</f>
        <v>POI 15-Seals</v>
      </c>
      <c r="B777" s="37" t="s">
        <v>2225</v>
      </c>
      <c r="C777" s="24">
        <v>5.5</v>
      </c>
      <c r="D777" s="65" t="str">
        <f>HYPERLINK("https://github.com/mostafa-saad/MyCompetitiveProgramming/blob/master/Olympiad/POI/POI-15-Seals.txt","Sol")</f>
        <v>Sol</v>
      </c>
      <c r="E777" s="31" t="s">
        <v>2153</v>
      </c>
      <c r="F777" s="37"/>
      <c r="G777" s="67"/>
      <c r="H777" s="67"/>
    </row>
    <row r="778" spans="1:8" ht="13.2">
      <c r="A778" s="65" t="str">
        <f>HYPERLINK("https://training.ia-toki.org/problemsets/87/problems/447/","TOKIOpen 17-Magic")</f>
        <v>TOKIOpen 17-Magic</v>
      </c>
      <c r="B778" s="37" t="s">
        <v>7024</v>
      </c>
      <c r="C778" s="24">
        <v>5.5</v>
      </c>
      <c r="D778" s="65" t="str">
        <f>HYPERLINK("https://github.com/win11905/submission/tree/master/TOKI/17/magic","Sol")</f>
        <v>Sol</v>
      </c>
      <c r="E778" s="31" t="s">
        <v>2153</v>
      </c>
      <c r="F778" s="37"/>
      <c r="G778" s="67"/>
      <c r="H778" s="67"/>
    </row>
    <row r="779" spans="1:8" ht="13.2">
      <c r="A779" s="65" t="str">
        <f>HYPERLINK("https://oj.uz/problem/view/COCI16_kvalitetni","COCI 16-kvalitetni")</f>
        <v>COCI 16-kvalitetni</v>
      </c>
      <c r="B779" s="15" t="s">
        <v>7025</v>
      </c>
      <c r="C779" s="24">
        <v>5.5</v>
      </c>
      <c r="D779" s="65" t="str">
        <f>HYPERLINK("https://github.com/mostafa-saad/MyCompetitiveProgramming/blob/master/Olympiad/COCI/official/2017/contest3_solutions","Editorial")</f>
        <v>Editorial</v>
      </c>
      <c r="E779" s="31" t="s">
        <v>2153</v>
      </c>
      <c r="F779" s="37"/>
      <c r="G779" s="67"/>
      <c r="H779" s="67"/>
    </row>
    <row r="780" spans="1:8" ht="13.2">
      <c r="A780" s="65" t="str">
        <f>HYPERLINK("https://oj.uz/problem/view/BOI15_net","Baltic 15-net")</f>
        <v>Baltic 15-net</v>
      </c>
      <c r="B780" s="23" t="s">
        <v>7026</v>
      </c>
      <c r="C780" s="24">
        <v>5</v>
      </c>
      <c r="D780" s="65" t="str">
        <f>HYPERLINK("https://github.com/mostafa-saad/MyCompetitiveProgramming/blob/master/Olympiad/Baltic/Baltic-15-net.txt","Sol")</f>
        <v>Sol</v>
      </c>
      <c r="E780" s="31" t="s">
        <v>2153</v>
      </c>
      <c r="F780" s="37" t="s">
        <v>196</v>
      </c>
      <c r="G780" s="67"/>
      <c r="H780" s="67"/>
    </row>
    <row r="781" spans="1:8" ht="13.2">
      <c r="A781" s="65" t="str">
        <f>HYPERLINK("https://szkopul.edu.pl/problemset/problem/70gcrAV-ccXlJa6gMBpOqV1u/site/", "POI 12-Warehouse")</f>
        <v>POI 12-Warehouse</v>
      </c>
      <c r="B781" s="20" t="s">
        <v>7027</v>
      </c>
      <c r="C781" s="21">
        <v>5</v>
      </c>
      <c r="D781" s="65" t="str">
        <f>HYPERLINK("https://github.com/mostafa-saad/MyCompetitiveProgramming/blob/master/Olympiad/POI/POI-12-WarehouseStore.txt","Sol")</f>
        <v>Sol</v>
      </c>
      <c r="E781" s="31" t="s">
        <v>2153</v>
      </c>
      <c r="F781" s="37" t="s">
        <v>1112</v>
      </c>
      <c r="G781" s="67"/>
      <c r="H781" s="67"/>
    </row>
    <row r="782" spans="1:8" ht="13.2">
      <c r="A782" s="65" t="str">
        <f>HYPERLINK("https://tioj.ck.tp.edu.tw/problems/1740","APIO 08-Roads")</f>
        <v>APIO 08-Roads</v>
      </c>
      <c r="B782" s="20" t="s">
        <v>7028</v>
      </c>
      <c r="C782" s="17">
        <v>5</v>
      </c>
      <c r="D782" s="65" t="str">
        <f>HYPERLINK("https://github.com/mostafa-saad/MyCompetitiveProgramming/blob/master/Olympiad/APIO/APIO-08-Roads.txt","Sol")</f>
        <v>Sol</v>
      </c>
      <c r="E782" s="31" t="s">
        <v>2153</v>
      </c>
      <c r="F782" s="37" t="s">
        <v>139</v>
      </c>
      <c r="G782" s="67"/>
      <c r="H782" s="67"/>
    </row>
    <row r="783" spans="1:8" ht="13.2">
      <c r="A783" s="65" t="str">
        <f>HYPERLINK("https://www.infoarena.ro/problema/borcane","infoarena borcane")</f>
        <v>infoarena borcane</v>
      </c>
      <c r="B783" s="20" t="s">
        <v>7029</v>
      </c>
      <c r="C783" s="21">
        <v>5</v>
      </c>
      <c r="D783" s="65" t="str">
        <f>HYPERLINK("https://github.com/stefdasca/CompetitiveProgramming/blob/master/Infoarena/borcane.cpp","Sol")</f>
        <v>Sol</v>
      </c>
      <c r="E783" s="31" t="s">
        <v>2153</v>
      </c>
      <c r="F783" s="37" t="s">
        <v>139</v>
      </c>
      <c r="G783" s="67"/>
      <c r="H783" s="67"/>
    </row>
    <row r="784" spans="1:8" ht="13.2">
      <c r="A784" s="65" t="str">
        <f>HYPERLINK("https://dmoj.ca/problem/coci07c5p4","COCI 07-Avogadro")</f>
        <v>COCI 07-Avogadro</v>
      </c>
      <c r="B784" s="15" t="s">
        <v>2163</v>
      </c>
      <c r="C784" s="24">
        <v>5</v>
      </c>
      <c r="D784" s="65" t="str">
        <f>HYPERLINK("https://github.com/mostafa-saad/MyCompetitiveProgramming/tree/master/Olympiad/COCI/official/2008/contest5_solutions","Editorial")</f>
        <v>Editorial</v>
      </c>
      <c r="E784" s="31" t="s">
        <v>2153</v>
      </c>
      <c r="F784" s="37" t="s">
        <v>139</v>
      </c>
      <c r="G784" s="67"/>
      <c r="H784" s="67"/>
    </row>
    <row r="785" spans="1:8" ht="13.2">
      <c r="A785" s="65" t="str">
        <f>HYPERLINK("https://infoarena.ro/problema/metrouri","infoarena metrouri")</f>
        <v>infoarena metrouri</v>
      </c>
      <c r="B785" s="20" t="s">
        <v>7030</v>
      </c>
      <c r="C785" s="17">
        <v>5</v>
      </c>
      <c r="D785" s="65" t="str">
        <f>HYPERLINK("https://github.com/stefdasca/CompetitiveProgramming/blob/master/Infoarena/metrouri.cpp","Sol")</f>
        <v>Sol</v>
      </c>
      <c r="E785" s="31" t="s">
        <v>2153</v>
      </c>
      <c r="F785" s="37" t="s">
        <v>139</v>
      </c>
      <c r="G785" s="67"/>
      <c r="H785" s="67"/>
    </row>
    <row r="786" spans="1:8" ht="13.2">
      <c r="A786" s="65" t="str">
        <f>HYPERLINK("http://usaco.org/index.php?page=viewproblem2&amp;cpid=496","USACO 14dec-cowjog")</f>
        <v>USACO 14dec-cowjog</v>
      </c>
      <c r="B786" s="20" t="s">
        <v>2163</v>
      </c>
      <c r="C786" s="21">
        <v>5</v>
      </c>
      <c r="D786" s="69"/>
      <c r="E786" s="31" t="s">
        <v>2153</v>
      </c>
      <c r="F786" s="37" t="s">
        <v>201</v>
      </c>
      <c r="G786" s="67"/>
      <c r="H786" s="67"/>
    </row>
    <row r="787" spans="1:8" ht="13.2">
      <c r="A787" s="65" t="str">
        <f>HYPERLINK("https://www.infoarena.ro/problema/cuplaje","infoarena cuplaje")</f>
        <v>infoarena cuplaje</v>
      </c>
      <c r="B787" s="20" t="s">
        <v>2248</v>
      </c>
      <c r="C787" s="21">
        <v>5</v>
      </c>
      <c r="D787" s="69"/>
      <c r="E787" s="31" t="s">
        <v>2153</v>
      </c>
      <c r="F787" s="37" t="s">
        <v>201</v>
      </c>
      <c r="G787" s="67"/>
      <c r="H787" s="67"/>
    </row>
    <row r="788" spans="1:8" ht="13.2">
      <c r="A788" s="65" t="str">
        <f>HYPERLINK("https://csacademy.com/contest/ceoi-2017-day-2/","CEOI 17-Palindromic")</f>
        <v>CEOI 17-Palindromic</v>
      </c>
      <c r="B788" s="18" t="s">
        <v>7031</v>
      </c>
      <c r="C788" s="17">
        <v>5</v>
      </c>
      <c r="D788" s="69"/>
      <c r="E788" s="31" t="s">
        <v>2153</v>
      </c>
      <c r="F788" s="37"/>
      <c r="G788" s="67"/>
      <c r="H788" s="67"/>
    </row>
    <row r="789" spans="1:8" ht="13.2">
      <c r="A789" s="65" t="str">
        <f>HYPERLINK("https://csacademy.com/contest/ceoi-2017-day-1/tasks/","CEOI 17-sure")</f>
        <v>CEOI 17-sure</v>
      </c>
      <c r="B789" s="18" t="s">
        <v>7032</v>
      </c>
      <c r="C789" s="24">
        <v>5</v>
      </c>
      <c r="D789" s="65" t="str">
        <f>HYPERLINK("https://github.com/tmwilliamlin168/CompetitiveProgramming/blob/master/CEOI/17-Sure.cpp", "Sol")</f>
        <v>Sol</v>
      </c>
      <c r="E789" s="31" t="s">
        <v>2153</v>
      </c>
      <c r="F789" s="37"/>
      <c r="G789" s="67"/>
      <c r="H789" s="67"/>
    </row>
    <row r="790" spans="1:8" ht="13.2">
      <c r="A790" s="65" t="str">
        <f>HYPERLINK("http://www.spoj.com/problems/MOBILE2/","APIO 07-MOBILE2")</f>
        <v>APIO 07-MOBILE2</v>
      </c>
      <c r="B790" s="25" t="s">
        <v>7033</v>
      </c>
      <c r="C790" s="24">
        <v>5</v>
      </c>
      <c r="D790" s="65" t="str">
        <f>HYPERLINK("https://github.com/cacophonix/SPOJ/blob/master/MOBILE2.cpp","Sol")</f>
        <v>Sol</v>
      </c>
      <c r="E790" s="31" t="s">
        <v>2153</v>
      </c>
      <c r="F790" s="37"/>
      <c r="G790" s="67"/>
      <c r="H790" s="67"/>
    </row>
    <row r="791" spans="1:8" ht="13.2">
      <c r="A791" s="65" t="str">
        <f>HYPERLINK("https://www.infoarena.ro/problema/asmin","infoarena danger")</f>
        <v>infoarena danger</v>
      </c>
      <c r="B791" s="20" t="s">
        <v>7034</v>
      </c>
      <c r="C791" s="21">
        <v>5</v>
      </c>
      <c r="D791" s="65" t="str">
        <f>HYPERLINK("https://github.com/stefdasca/CompetitiveProgramming/blob/master/Infoarena/danger.cpp","Sol")</f>
        <v>Sol</v>
      </c>
      <c r="E791" s="31" t="s">
        <v>2153</v>
      </c>
      <c r="F791" s="37"/>
      <c r="G791" s="67"/>
      <c r="H791" s="67"/>
    </row>
    <row r="792" spans="1:8" ht="13.2">
      <c r="A792" s="65" t="str">
        <f>HYPERLINK("https://cses.fi/112/list/","Baltic 07-Sequence")</f>
        <v>Baltic 07-Sequence</v>
      </c>
      <c r="B792" s="37" t="s">
        <v>2163</v>
      </c>
      <c r="C792" s="24">
        <v>5</v>
      </c>
      <c r="D792" s="65" t="str">
        <f>HYPERLINK("https://github.com/mostafa-saad/MyCompetitiveProgramming/blob/master/Olympiad/Baltic/Baltic-07-Sequence.txt","Sol")</f>
        <v>Sol</v>
      </c>
      <c r="E792" s="31" t="s">
        <v>2153</v>
      </c>
      <c r="F792" s="37"/>
      <c r="G792" s="67"/>
      <c r="H792" s="67"/>
    </row>
    <row r="793" spans="1:8" ht="13.2">
      <c r="A793" s="65" t="str">
        <f>HYPERLINK("https://oj.uz/problem/view/COCI17_hokej","COCI 17-hokej")</f>
        <v>COCI 17-hokej</v>
      </c>
      <c r="B793" s="15" t="s">
        <v>7035</v>
      </c>
      <c r="C793" s="24">
        <v>5</v>
      </c>
      <c r="D793" s="65" t="str">
        <f>HYPERLINK("https://github.com/mostafa-saad/MyCompetitiveProgramming/blob/master/Olympiad/COCI/official/2018/contest1_solutions","Editorial")</f>
        <v>Editorial</v>
      </c>
      <c r="E793" s="31" t="s">
        <v>2153</v>
      </c>
      <c r="F793" s="37"/>
      <c r="G793" s="67"/>
      <c r="H793" s="67"/>
    </row>
    <row r="794" spans="1:8" ht="13.2">
      <c r="A794" s="65" t="str">
        <f>HYPERLINK("https://cses.fi/115/list/","Baltic 05-Magic")</f>
        <v>Baltic 05-Magic</v>
      </c>
      <c r="B794" s="37" t="s">
        <v>7036</v>
      </c>
      <c r="C794" s="24">
        <v>5</v>
      </c>
      <c r="D794" s="65" t="str">
        <f>HYPERLINK("https://github.com/mostafa-saad/MyCompetitiveProgramming/blob/master/Olympiad/JOI/Baltic/Baltic-05-Magic.txt","Sol")</f>
        <v>Sol</v>
      </c>
      <c r="E794" s="31" t="s">
        <v>2153</v>
      </c>
      <c r="F794" s="37"/>
      <c r="G794" s="67"/>
      <c r="H794" s="67"/>
    </row>
    <row r="795" spans="1:8" ht="13.2">
      <c r="A795" s="65" t="str">
        <f>HYPERLINK("https://szkopul.edu.pl/problemset/problem/TPo3Eb_q2NKymvHo6kNvd5yx/site/", "POI 05-ToyCars")</f>
        <v>POI 05-ToyCars</v>
      </c>
      <c r="B795" s="37" t="s">
        <v>7037</v>
      </c>
      <c r="C795" s="24">
        <v>5</v>
      </c>
      <c r="D795" s="65" t="str">
        <f>HYPERLINK("https://github.com/mostafa-saad/MyCompetitiveProgramming/blob/master/Olympiad/POI/official/find_editorial_sols_guidelines.txt","Editorial")</f>
        <v>Editorial</v>
      </c>
      <c r="E795" s="31" t="s">
        <v>2153</v>
      </c>
      <c r="F795" s="37"/>
      <c r="G795" s="67"/>
      <c r="H795" s="67"/>
    </row>
    <row r="796" spans="1:8" ht="13.2">
      <c r="A796" s="65" t="str">
        <f>HYPERLINK("https://szkopul.edu.pl/problemset/problem/hepq5oWcHLsMo3oOy-dp3OZC/site/", "POI 14-Bricks")</f>
        <v>POI 14-Bricks</v>
      </c>
      <c r="B796" s="37" t="s">
        <v>2248</v>
      </c>
      <c r="C796" s="24">
        <v>5</v>
      </c>
      <c r="D796" s="65" t="str">
        <f>HYPERLINK("https://github.com/peon-pasado/CompetitiveProgramming/blob/master/szkoput/POI-14-Bricks.cpp","Sl")</f>
        <v>Sl</v>
      </c>
      <c r="E796" s="31" t="s">
        <v>2153</v>
      </c>
      <c r="F796" s="37"/>
      <c r="G796" s="67"/>
      <c r="H796" s="67"/>
    </row>
    <row r="797" spans="1:8" ht="13.2">
      <c r="A797" s="65" t="str">
        <f>HYPERLINK("https://csacademy.com/contest/round-80/task/shampoo-exchange/","ROUSelection 18-shampoo_exchange")</f>
        <v>ROUSelection 18-shampoo_exchange</v>
      </c>
      <c r="B797" s="37" t="s">
        <v>2163</v>
      </c>
      <c r="C797" s="24">
        <v>5</v>
      </c>
      <c r="D797" s="69"/>
      <c r="E797" s="31" t="s">
        <v>2153</v>
      </c>
      <c r="F797" s="37"/>
      <c r="G797" s="67"/>
      <c r="H797" s="67"/>
    </row>
    <row r="798" spans="1:8" ht="13.2">
      <c r="A798" s="65" t="str">
        <f>HYPERLINK("https://csacademy.com/contest/junior-challenge-2017-day-2/task/set-subtraction","ROJS 17-set_subtraction")</f>
        <v>ROJS 17-set_subtraction</v>
      </c>
      <c r="B798" s="37" t="s">
        <v>2163</v>
      </c>
      <c r="C798" s="24">
        <v>4.5</v>
      </c>
      <c r="D798" s="69"/>
      <c r="E798" s="31" t="s">
        <v>2153</v>
      </c>
      <c r="F798" s="37" t="s">
        <v>201</v>
      </c>
      <c r="G798" s="67"/>
      <c r="H798" s="67"/>
    </row>
    <row r="799" spans="1:8" ht="13.2">
      <c r="A799" s="65" t="str">
        <f>HYPERLINK("https://codeforces.com/group/swEqtABRxe/contest/243429/problem/B", "EOI 18-d1-B")</f>
        <v>EOI 18-d1-B</v>
      </c>
      <c r="B799" s="20" t="s">
        <v>7038</v>
      </c>
      <c r="C799" s="17">
        <v>4.5</v>
      </c>
      <c r="D799" s="69"/>
      <c r="E799" s="31" t="s">
        <v>2153</v>
      </c>
      <c r="F799" s="37"/>
      <c r="G799" s="67"/>
      <c r="H799" s="67"/>
    </row>
    <row r="800" spans="1:8" ht="13.2">
      <c r="A800" s="65" t="str">
        <f>HYPERLINK("https://www.infoarena.ro/problema/copii2","infoarena copii2")</f>
        <v>infoarena copii2</v>
      </c>
      <c r="B800" s="75" t="s">
        <v>7039</v>
      </c>
      <c r="C800" s="17">
        <v>4.5</v>
      </c>
      <c r="D800" s="65" t="str">
        <f>HYPERLINK("https://github.com/stefdasca/CompetitiveProgramming/blob/master/Infoarena/copii2.cpp","Sol")</f>
        <v>Sol</v>
      </c>
      <c r="E800" s="31" t="s">
        <v>2153</v>
      </c>
      <c r="F800" s="37"/>
      <c r="G800" s="67"/>
      <c r="H800" s="67"/>
    </row>
    <row r="801" spans="1:8" ht="13.2">
      <c r="A801" s="65" t="str">
        <f>HYPERLINK("https://www.infoarena.ro/problema/sir42","Infoarena sir42")</f>
        <v>Infoarena sir42</v>
      </c>
      <c r="B801" s="20" t="s">
        <v>7040</v>
      </c>
      <c r="C801" s="21">
        <v>4.5</v>
      </c>
      <c r="D801" s="65" t="str">
        <f>HYPERLINK("https://github.com/stefdasca/CompetitiveProgramming/blob/master/Infoarena/sir42.cpp","Sol")</f>
        <v>Sol</v>
      </c>
      <c r="E801" s="31" t="s">
        <v>2153</v>
      </c>
      <c r="F801" s="37"/>
      <c r="G801" s="67"/>
      <c r="H801" s="67"/>
    </row>
    <row r="802" spans="1:8" ht="13.2">
      <c r="A802" s="65" t="str">
        <f>HYPERLINK("https://oj.uz/problem/view/COCI18_karte","COCI 18-karte")</f>
        <v>COCI 18-karte</v>
      </c>
      <c r="B802" s="20" t="s">
        <v>7041</v>
      </c>
      <c r="C802" s="24">
        <v>4</v>
      </c>
      <c r="D802" s="65" t="str">
        <f>HYPERLINK("https://github.com/mostafa-saad/MyCompetitiveProgramming/blob/master/Olympiad/COCI/COCI-18-karte.txt","Sol")</f>
        <v>Sol</v>
      </c>
      <c r="E802" s="31" t="s">
        <v>2153</v>
      </c>
      <c r="F802" s="37" t="s">
        <v>1112</v>
      </c>
      <c r="G802" s="67"/>
      <c r="H802" s="67"/>
    </row>
    <row r="803" spans="1:8" ht="13.2">
      <c r="A803" s="65" t="str">
        <f>HYPERLINK("https://oj.uz/problem/view/CEOI12_jobs","CEOI 12-Jobs")</f>
        <v>CEOI 12-Jobs</v>
      </c>
      <c r="B803" s="18" t="s">
        <v>2256</v>
      </c>
      <c r="C803" s="17">
        <v>4</v>
      </c>
      <c r="D803" s="65" t="str">
        <f>HYPERLINK("https://github.com/SpeedOfMagic/CompetitiveProgramming/blob/master/CEOI/CEOI%2012-Jobs.cpp","Sol")</f>
        <v>Sol</v>
      </c>
      <c r="E803" s="31" t="s">
        <v>2153</v>
      </c>
      <c r="F803" s="37" t="s">
        <v>201</v>
      </c>
      <c r="G803" s="67"/>
      <c r="H803" s="67"/>
    </row>
    <row r="804" spans="1:8" ht="13.2">
      <c r="A804" s="65" t="str">
        <f>HYPERLINK("https://oj.uz/problem/view/COCI17_lozinke","COCI 17-lozinke")</f>
        <v>COCI 17-lozinke</v>
      </c>
      <c r="B804" s="20" t="s">
        <v>2169</v>
      </c>
      <c r="C804" s="24">
        <v>4</v>
      </c>
      <c r="D804" s="65" t="str">
        <f>HYPERLINK("https://oj.uz/submission/85415","Sol")</f>
        <v>Sol</v>
      </c>
      <c r="E804" s="31" t="s">
        <v>2153</v>
      </c>
      <c r="F804" s="37" t="s">
        <v>201</v>
      </c>
      <c r="G804" s="67"/>
      <c r="H804" s="67"/>
    </row>
    <row r="805" spans="1:8" ht="13.2">
      <c r="A805" s="65" t="str">
        <f>HYPERLINK("https://www.infoarena.ro/problema/jsched","infoarena jsched")</f>
        <v>infoarena jsched</v>
      </c>
      <c r="B805" s="20" t="s">
        <v>7042</v>
      </c>
      <c r="C805" s="17">
        <v>4</v>
      </c>
      <c r="D805" s="65" t="str">
        <f>HYPERLINK("https://github.com/stefdasca/CompetitiveProgramming/blob/master/Infoarena/jsched.cpp","Sol")</f>
        <v>Sol</v>
      </c>
      <c r="E805" s="31" t="s">
        <v>2153</v>
      </c>
      <c r="F805" s="37"/>
      <c r="G805" s="67"/>
      <c r="H805" s="67"/>
    </row>
    <row r="806" spans="1:8" ht="13.2">
      <c r="A806" s="65" t="str">
        <f>HYPERLINK("https://www.infoarena.ro/problema/kcover","infoarena kcover")</f>
        <v>infoarena kcover</v>
      </c>
      <c r="B806" s="20" t="s">
        <v>7043</v>
      </c>
      <c r="C806" s="17">
        <v>4</v>
      </c>
      <c r="D806" s="65" t="str">
        <f>HYPERLINK("https://github.com/stefdasca/CompetitiveProgramming/blob/master/Infoarena/kcover.cpp","Sol")</f>
        <v>Sol</v>
      </c>
      <c r="E806" s="31" t="s">
        <v>2153</v>
      </c>
      <c r="F806" s="37"/>
      <c r="G806" s="67"/>
      <c r="H806" s="67"/>
    </row>
    <row r="807" spans="1:8" ht="13.2">
      <c r="A807" s="65" t="str">
        <f>HYPERLINK("https://dmoj.ca/problem/coci13c1p4","COCI 13-Lopov")</f>
        <v>COCI 13-Lopov</v>
      </c>
      <c r="B807" s="20" t="s">
        <v>7044</v>
      </c>
      <c r="C807" s="24">
        <v>4</v>
      </c>
      <c r="D807" s="65" t="str">
        <f>HYPERLINK("https://github.com/mostafa-saad/MyCompetitiveProgramming/blob/master/Olympiad/COCI/official/2014/contest1_solutions","Editorial")</f>
        <v>Editorial</v>
      </c>
      <c r="E807" s="31" t="s">
        <v>2153</v>
      </c>
      <c r="F807" s="37"/>
      <c r="G807" s="67"/>
      <c r="H807" s="67"/>
    </row>
    <row r="808" spans="1:8" ht="13.2">
      <c r="A808" s="65" t="str">
        <f>HYPERLINK("https://szkopul.edu.pl/problemset/problem/r6tMTfvQFPAEfQioYMCQndQe/site/", "POI 04-Spies")</f>
        <v>POI 04-Spies</v>
      </c>
      <c r="B808" s="37" t="s">
        <v>2181</v>
      </c>
      <c r="C808" s="24">
        <v>4</v>
      </c>
      <c r="D808" s="65" t="str">
        <f>HYPERLINK("https://github.com/mostafa-saad/MyCompetitiveProgramming/blob/master/Olympiad/POI/official/find_editorial_sols_guidelines.txt","Editorial")</f>
        <v>Editorial</v>
      </c>
      <c r="E808" s="31" t="s">
        <v>2153</v>
      </c>
      <c r="F808" s="37"/>
      <c r="G808" s="67"/>
      <c r="H808" s="67"/>
    </row>
    <row r="809" spans="1:8" ht="13.2">
      <c r="A809" s="65" t="str">
        <f>HYPERLINK("https://dunjudge.me/analysis/problems/693/","NOIMOCK 15-marbles")</f>
        <v>NOIMOCK 15-marbles</v>
      </c>
      <c r="B809" s="37" t="s">
        <v>2163</v>
      </c>
      <c r="C809" s="24">
        <v>4</v>
      </c>
      <c r="D809" s="69"/>
      <c r="E809" s="31" t="s">
        <v>2153</v>
      </c>
      <c r="F809" s="37"/>
      <c r="G809" s="67"/>
      <c r="H809" s="67"/>
    </row>
    <row r="810" spans="1:8" ht="13.2">
      <c r="A810" s="65" t="str">
        <f>HYPERLINK("https://oj.uz/problem/view/NOI18_lightningrod","NOI 18-lightningrod")</f>
        <v>NOI 18-lightningrod</v>
      </c>
      <c r="B810" s="23" t="s">
        <v>2323</v>
      </c>
      <c r="C810" s="24">
        <v>3.5</v>
      </c>
      <c r="D810" s="65" t="str">
        <f>HYPERLINK("https://github.com/mostafa-saad/MyCompetitiveProgramming/blob/master/Olympiad/NOI/official","Editorial")</f>
        <v>Editorial</v>
      </c>
      <c r="E810" s="31" t="s">
        <v>2153</v>
      </c>
      <c r="F810" s="37" t="s">
        <v>201</v>
      </c>
      <c r="G810" s="67"/>
      <c r="H810" s="67"/>
    </row>
    <row r="811" spans="1:8" ht="13.2">
      <c r="A811" s="65" t="str">
        <f>HYPERLINK("https://oj.uz/problem/view/COCI15_baloni","COCI 15-baloni")</f>
        <v>COCI 15-baloni</v>
      </c>
      <c r="B811" s="23" t="s">
        <v>7045</v>
      </c>
      <c r="C811" s="24">
        <v>3.5</v>
      </c>
      <c r="D811" s="65" t="str">
        <f>HYPERLINK("https://github.com/zoooma13/Competitive-Programming/blob/master/baloni2.cpp","Sol")</f>
        <v>Sol</v>
      </c>
      <c r="E811" s="31" t="s">
        <v>2153</v>
      </c>
      <c r="F811" s="37" t="s">
        <v>201</v>
      </c>
      <c r="G811" s="67"/>
      <c r="H811" s="67"/>
    </row>
    <row r="812" spans="1:8" ht="13.2">
      <c r="A812" s="65" t="str">
        <f>HYPERLINK("https://codeforces.com/group/swEqtABRxe/contest/227524/problem/B", "EOIQ 18-r1-B")</f>
        <v>EOIQ 18-r1-B</v>
      </c>
      <c r="B812" s="20" t="s">
        <v>2163</v>
      </c>
      <c r="C812" s="17">
        <v>3.5</v>
      </c>
      <c r="D812" s="69"/>
      <c r="E812" s="31" t="s">
        <v>2153</v>
      </c>
      <c r="F812" s="37"/>
      <c r="G812" s="67"/>
      <c r="H812" s="67"/>
    </row>
    <row r="813" spans="1:8" ht="13.2">
      <c r="A813" s="65" t="str">
        <f>HYPERLINK("https://oj.uz/problems/source/307","JOI 18-stove")</f>
        <v>JOI 18-stove</v>
      </c>
      <c r="B813" s="15" t="s">
        <v>2163</v>
      </c>
      <c r="C813" s="17">
        <v>3</v>
      </c>
      <c r="D813" s="65" t="str">
        <f>HYPERLINK("https://github.com/tmwilliamlin168/CompetitiveProgramming/tree/master/JOI", "Sol")</f>
        <v>Sol</v>
      </c>
      <c r="E813" s="31" t="s">
        <v>2153</v>
      </c>
      <c r="F813" s="37"/>
      <c r="G813" s="67"/>
      <c r="H813" s="67"/>
    </row>
    <row r="814" spans="1:8" ht="13.2">
      <c r="A814" s="65" t="str">
        <f>HYPERLINK("https://www.infoarena.ro/problema/calorifer","Infoarena calorifer")</f>
        <v>Infoarena calorifer</v>
      </c>
      <c r="B814" s="20" t="s">
        <v>7046</v>
      </c>
      <c r="C814" s="21">
        <v>3</v>
      </c>
      <c r="D814" s="65" t="str">
        <f>HYPERLINK("https://github.com/stefdasca/CompetitiveProgramming/blob/master/Infoarena/calorifer.cpp","Sol")</f>
        <v>Sol</v>
      </c>
      <c r="E814" s="31" t="s">
        <v>2153</v>
      </c>
      <c r="F814" s="37"/>
      <c r="G814" s="67"/>
      <c r="H814" s="67"/>
    </row>
    <row r="815" spans="1:8" ht="13.2">
      <c r="A815" s="65" t="str">
        <f>HYPERLINK("https://dunjudge.me/analysis/problems/18/","NOI 11-change")</f>
        <v>NOI 11-change</v>
      </c>
      <c r="B815" s="37" t="s">
        <v>7047</v>
      </c>
      <c r="C815" s="24">
        <v>3</v>
      </c>
      <c r="D815" s="65" t="str">
        <f>HYPERLINK("https://github.com/mostafa-saad/MyCompetitiveProgramming/blob/master/Olympiad/NOI/official/2011.pptx","Editorial")</f>
        <v>Editorial</v>
      </c>
      <c r="E815" s="31" t="s">
        <v>2153</v>
      </c>
      <c r="F815" s="37"/>
      <c r="G815" s="67"/>
      <c r="H815" s="67"/>
    </row>
    <row r="816" spans="1:8" ht="13.2">
      <c r="A816" s="65" t="str">
        <f>HYPERLINK("https://boi18-practice-open.kattis.com/problems","BalticPractice 18-NinetyNinePractice")</f>
        <v>BalticPractice 18-NinetyNinePractice</v>
      </c>
      <c r="B816" s="18" t="s">
        <v>7048</v>
      </c>
      <c r="C816" s="17">
        <v>3</v>
      </c>
      <c r="D816" s="69"/>
      <c r="E816" s="31" t="s">
        <v>2153</v>
      </c>
      <c r="F816" s="37"/>
      <c r="G816" s="67"/>
      <c r="H816" s="67"/>
    </row>
    <row r="817" spans="1:8" ht="13.2">
      <c r="A817" s="69" t="s">
        <v>7049</v>
      </c>
      <c r="B817" s="20" t="s">
        <v>7050</v>
      </c>
      <c r="C817" s="17">
        <v>2</v>
      </c>
      <c r="D817" s="69"/>
      <c r="E817" s="31" t="s">
        <v>2153</v>
      </c>
      <c r="F817" s="37"/>
      <c r="G817" s="67"/>
      <c r="H817" s="67"/>
    </row>
    <row r="818" spans="1:8" ht="13.2">
      <c r="A818" s="65" t="str">
        <f>HYPERLINK("https://dunjudge.me/analysis/problems/1365/","COCI 12-lanci")</f>
        <v>COCI 12-lanci</v>
      </c>
      <c r="B818" s="20" t="s">
        <v>2163</v>
      </c>
      <c r="C818" s="24">
        <v>2</v>
      </c>
      <c r="D818" s="65" t="str">
        <f>HYPERLINK("https://github.com/mostafa-saad/MyCompetitiveProgramming/blob/master/Olympiad/COCI/official/2013/contest2_solutions","Editorial")</f>
        <v>Editorial</v>
      </c>
      <c r="E818" s="31" t="s">
        <v>2153</v>
      </c>
      <c r="F818" s="37"/>
      <c r="G818" s="67"/>
      <c r="H818" s="67"/>
    </row>
    <row r="819" spans="1:8" ht="13.2">
      <c r="A819" s="65" t="str">
        <f>HYPERLINK("https://dunjudge.me/analysis/problems/954/","NOI 16-lunchbox")</f>
        <v>NOI 16-lunchbox</v>
      </c>
      <c r="B819" s="37" t="s">
        <v>2248</v>
      </c>
      <c r="C819" s="24">
        <v>1</v>
      </c>
      <c r="D819" s="65" t="str">
        <f>HYPERLINK("https://github.com/mostafa-saad/MyCompetitiveProgramming/blob/master/Olympiad/NOI/official","Editorial")</f>
        <v>Editorial</v>
      </c>
      <c r="E819" s="31" t="s">
        <v>2153</v>
      </c>
      <c r="F819" s="37"/>
      <c r="G819" s="67"/>
      <c r="H819" s="67"/>
    </row>
    <row r="820" spans="1:8" ht="13.2">
      <c r="A820" s="65" t="str">
        <f>HYPERLINK("https://oj.uz/problem/view/COCI18_prosjek","COCI 18-prosjek")</f>
        <v>COCI 18-prosjek</v>
      </c>
      <c r="B820" s="20" t="s">
        <v>2163</v>
      </c>
      <c r="C820" s="24">
        <v>1</v>
      </c>
      <c r="D820" s="69"/>
      <c r="E820" s="31" t="s">
        <v>2153</v>
      </c>
      <c r="F820" s="37"/>
      <c r="G820" s="67"/>
      <c r="H820" s="67"/>
    </row>
    <row r="821" spans="1:8" ht="13.2">
      <c r="A821" s="65" t="str">
        <f>HYPERLINK("https://dunjudge.me/analysis/problems/214/","NOISelection 10-crunchy")</f>
        <v>NOISelection 10-crunchy</v>
      </c>
      <c r="B821" s="37" t="s">
        <v>2248</v>
      </c>
      <c r="C821" s="72">
        <v>1</v>
      </c>
      <c r="D821" s="69"/>
      <c r="E821" s="31" t="s">
        <v>2153</v>
      </c>
      <c r="F821" s="37"/>
      <c r="G821" s="67"/>
      <c r="H821" s="67"/>
    </row>
    <row r="822" spans="1:8" ht="13.2">
      <c r="A822" s="65" t="str">
        <f>HYPERLINK("https://oj.uz/problem/view/POI11_imp","POI 11-imp")</f>
        <v>POI 11-imp</v>
      </c>
      <c r="B822" s="20" t="s">
        <v>7051</v>
      </c>
      <c r="C822" s="17"/>
      <c r="D822" s="65" t="str">
        <f>HYPERLINK("https://github.com/mostafa-saad/MyCompetitiveProgramming/blob/master/Olympiad/POI/official/find_editorial_sols_guidelines.txt","Editorial")</f>
        <v>Editorial</v>
      </c>
      <c r="E822" s="31" t="s">
        <v>2153</v>
      </c>
      <c r="F822" s="37"/>
      <c r="G822" s="67"/>
      <c r="H822" s="67"/>
    </row>
    <row r="823" spans="1:8" ht="13.2">
      <c r="A823" s="65" t="str">
        <f>HYPERLINK("https://cses.fi/205/list/","Baltic 18-Alternating")</f>
        <v>Baltic 18-Alternating</v>
      </c>
      <c r="B823" s="37" t="s">
        <v>7052</v>
      </c>
      <c r="C823" s="24"/>
      <c r="D823" s="65" t="str">
        <f>HYPERLINK("https://github.com/mostafa-saad/MyCompetitiveProgramming/tree/master/Olympiad/Baltic/official/boi2018_solutions","Editorial")</f>
        <v>Editorial</v>
      </c>
      <c r="E823" s="31" t="s">
        <v>2153</v>
      </c>
      <c r="F823" s="37"/>
      <c r="G823" s="67"/>
      <c r="H823" s="67"/>
    </row>
    <row r="824" spans="1:8" ht="13.2">
      <c r="A824" s="65" t="str">
        <f>HYPERLINK("https://dunjudge.me/analysis/problems/932/","NOISelection 16-catlunch")</f>
        <v>NOISelection 16-catlunch</v>
      </c>
      <c r="B824" s="37" t="s">
        <v>2169</v>
      </c>
      <c r="C824" s="24"/>
      <c r="D824" s="69"/>
      <c r="E824" s="31" t="s">
        <v>2153</v>
      </c>
      <c r="F824" s="37"/>
      <c r="G824" s="67"/>
      <c r="H824" s="67"/>
    </row>
    <row r="825" spans="1:8" ht="13.2">
      <c r="A825" s="65" t="str">
        <f>HYPERLINK("https://oj.uz/problem/view/IOI17_train","IOI 17-train")</f>
        <v>IOI 17-train</v>
      </c>
      <c r="B825" s="15" t="s">
        <v>7053</v>
      </c>
      <c r="C825" s="17">
        <v>7.25</v>
      </c>
      <c r="D825" s="65" t="str">
        <f>HYPERLINK("https://github.com/mostafa-saad/MyCompetitiveProgramming/blob/master/Olympiad/IOI/IOI-17-toytrain.txt","Sol")</f>
        <v>Sol</v>
      </c>
      <c r="E825" s="31" t="s">
        <v>2394</v>
      </c>
      <c r="F825" s="37" t="s">
        <v>154</v>
      </c>
      <c r="G825" s="67"/>
      <c r="H825" s="67"/>
    </row>
    <row r="826" spans="1:8" ht="13.2">
      <c r="A826" s="65" t="str">
        <f>HYPERLINK("https://szkopul.edu.pl/problemset/problem/M5CruI5eCu8elnNFHuiXBrvV/site/", "POI 16-Not_Nim")</f>
        <v>POI 16-Not_Nim</v>
      </c>
      <c r="B826" s="37" t="s">
        <v>7054</v>
      </c>
      <c r="C826" s="24">
        <v>6.8</v>
      </c>
      <c r="D826" s="65" t="str">
        <f>HYPERLINK("https://github.com/mostafa-saad/MyCompetitiveProgramming/blob/master/Olympiad/POI/POI-16-Not_Nim.txt","Sol")</f>
        <v>Sol</v>
      </c>
      <c r="E826" s="31" t="s">
        <v>2394</v>
      </c>
      <c r="F826" s="37" t="s">
        <v>154</v>
      </c>
      <c r="G826" s="67"/>
      <c r="H826" s="67"/>
    </row>
    <row r="827" spans="1:8" ht="13.2">
      <c r="A827" s="65" t="str">
        <f>HYPERLINK("https://oj.uz/problems/source/121", "CEOI 14-007")</f>
        <v>CEOI 14-007</v>
      </c>
      <c r="B827" s="20" t="s">
        <v>7055</v>
      </c>
      <c r="C827" s="24">
        <v>6.5</v>
      </c>
      <c r="D827" s="65" t="str">
        <f>HYPERLINK("https://github.com/tmwilliamlin168/CompetitiveProgramming/blob/master/CEOI/14-007.cpp", "Sol")</f>
        <v>Sol</v>
      </c>
      <c r="E827" s="31" t="s">
        <v>2394</v>
      </c>
      <c r="F827" s="37"/>
      <c r="G827" s="67"/>
      <c r="H827" s="67"/>
    </row>
    <row r="828" spans="1:8" ht="13.2">
      <c r="A828" s="65" t="str">
        <f>HYPERLINK("https://oj.uz/problem/view/BOI15_hac","Baltic 15-hac")</f>
        <v>Baltic 15-hac</v>
      </c>
      <c r="B828" s="20" t="s">
        <v>7056</v>
      </c>
      <c r="C828" s="53">
        <v>6.3</v>
      </c>
      <c r="D828" s="65" t="str">
        <f>HYPERLINK("https://github.com/mostafa-saad/MyCompetitiveProgramming/blob/master/Olympiad/Baltic/Baltic-15-hac.txt","Sol")</f>
        <v>Sol</v>
      </c>
      <c r="E828" s="31" t="s">
        <v>2394</v>
      </c>
      <c r="F828" s="37" t="s">
        <v>139</v>
      </c>
      <c r="G828" s="67"/>
      <c r="H828" s="67"/>
    </row>
    <row r="829" spans="1:8" ht="13.2">
      <c r="A829" s="65" t="str">
        <f>HYPERLINK("https://cses.fi/189/list/","CEOI 08-Knights")</f>
        <v>CEOI 08-Knights</v>
      </c>
      <c r="B829" s="20" t="s">
        <v>2419</v>
      </c>
      <c r="C829" s="24">
        <v>6</v>
      </c>
      <c r="D829" s="65" t="str">
        <f>HYPERLINK("https://github.com/mostafa-saad/MyCompetitiveProgramming/blob/master/Olympiad/CEOI/CEOI-08-Knights.txt","Sol")</f>
        <v>Sol</v>
      </c>
      <c r="E829" s="31" t="s">
        <v>2394</v>
      </c>
      <c r="F829" s="37" t="s">
        <v>154</v>
      </c>
      <c r="G829" s="67"/>
      <c r="H829" s="67"/>
    </row>
    <row r="830" spans="1:8" ht="13.2">
      <c r="A830" s="65" t="str">
        <f>HYPERLINK("https://contest.yandex.ru/ioi/contest/566/enter/","IOI 05-game")</f>
        <v>IOI 05-game</v>
      </c>
      <c r="B830" s="15" t="s">
        <v>7057</v>
      </c>
      <c r="C830" s="24">
        <v>5.5</v>
      </c>
      <c r="D830" s="65" t="str">
        <f>HYPERLINK("https://github.com/mostafa-saad/MyCompetitiveProgramming/blob/master/Olympiad/IOI/IOI-05-game.txt","Sol")</f>
        <v>Sol</v>
      </c>
      <c r="E830" s="31" t="s">
        <v>2394</v>
      </c>
      <c r="F830" s="37"/>
      <c r="G830" s="67"/>
      <c r="H830" s="67"/>
    </row>
    <row r="831" spans="1:8" ht="13.2">
      <c r="A831" s="65" t="str">
        <f>HYPERLINK("https://szkopul.edu.pl/problemset/problem/JIRgi7mvHIkqfldzgqILaMqr/site/", "POI 04-Game")</f>
        <v>POI 04-Game</v>
      </c>
      <c r="B831" s="28" t="s">
        <v>2452</v>
      </c>
      <c r="C831" s="24">
        <v>6.5</v>
      </c>
      <c r="D831" s="65" t="str">
        <f>HYPERLINK("https://github.com/mostafa-saad/MyCompetitiveProgramming/blob/master/Olympiad/POI/POI-04-Game.txt","Sol")</f>
        <v>Sol</v>
      </c>
      <c r="E831" s="31" t="s">
        <v>2442</v>
      </c>
      <c r="F831" s="37" t="s">
        <v>139</v>
      </c>
      <c r="G831" s="67"/>
      <c r="H831" s="67"/>
    </row>
    <row r="832" spans="1:8" ht="13.2">
      <c r="A832" s="65" t="str">
        <f>HYPERLINK("https://csacademy.com/contest/balkan-oi-2017-day-1/","Balkan 17-tale")</f>
        <v>Balkan 17-tale</v>
      </c>
      <c r="B832" s="18" t="s">
        <v>2763</v>
      </c>
      <c r="C832" s="17">
        <v>9</v>
      </c>
      <c r="D832" s="69"/>
      <c r="E832" s="31" t="s">
        <v>2510</v>
      </c>
      <c r="F832" s="37"/>
      <c r="G832" s="67"/>
      <c r="H832" s="67"/>
    </row>
    <row r="833" spans="1:8" ht="13.2">
      <c r="A833" s="65" t="str">
        <f>HYPERLINK("https://oj.uz/problem/view/BOI16_spiral","Baltic 16-spiral")</f>
        <v>Baltic 16-spiral</v>
      </c>
      <c r="B833" s="20" t="s">
        <v>2763</v>
      </c>
      <c r="C833" s="24">
        <v>7.5</v>
      </c>
      <c r="D833" s="65" t="str">
        <f>HYPERLINK("https://github.com/mostafa-saad/MyCompetitiveProgramming/blob/master/Olympiad/Baltic/official/boi2016_solutions","Sol(Editorial)")</f>
        <v>Sol(Editorial)</v>
      </c>
      <c r="E833" s="31" t="s">
        <v>2510</v>
      </c>
      <c r="F833" s="37"/>
      <c r="G833" s="67"/>
      <c r="H833" s="67"/>
    </row>
    <row r="834" spans="1:8" ht="13.2">
      <c r="A834" s="65" t="str">
        <f>HYPERLINK("https://www.hackerrank.com/contests/ioi-2014-practice-contest-1/challenges","IOIPractice 14-david-copperfailed-ioi14")</f>
        <v>IOIPractice 14-david-copperfailed-ioi14</v>
      </c>
      <c r="B834" s="15" t="s">
        <v>7058</v>
      </c>
      <c r="C834" s="17">
        <v>7.5</v>
      </c>
      <c r="D834" s="69"/>
      <c r="E834" s="31" t="s">
        <v>2510</v>
      </c>
      <c r="F834" s="37"/>
      <c r="G834" s="67"/>
      <c r="H834" s="67"/>
    </row>
    <row r="835" spans="1:8" ht="13.2">
      <c r="A835" s="65" t="str">
        <f>HYPERLINK("https://cses.fi/105/list/","Baltic 10-Bears")</f>
        <v>Baltic 10-Bears</v>
      </c>
      <c r="B835" s="37" t="s">
        <v>7059</v>
      </c>
      <c r="C835" s="24">
        <v>7.3</v>
      </c>
      <c r="D835" s="65" t="str">
        <f>HYPERLINK("https://github.com/mostafa-saad/MyCompetitiveProgramming/blob/master/Olympiad/Baltic/Baltic-10-Bears.txt","Sol")</f>
        <v>Sol</v>
      </c>
      <c r="E835" s="31" t="s">
        <v>2510</v>
      </c>
      <c r="F835" s="37" t="s">
        <v>154</v>
      </c>
      <c r="G835" s="67"/>
      <c r="H835" s="67"/>
    </row>
    <row r="836" spans="1:8" ht="13.2">
      <c r="A836" s="65" t="str">
        <f>HYPERLINK("https://contest.yandex.ru/ioi/contest/562/problems/E/","IOI 06-points")</f>
        <v>IOI 06-points</v>
      </c>
      <c r="B836" s="15" t="s">
        <v>7060</v>
      </c>
      <c r="C836" s="24">
        <v>7.25</v>
      </c>
      <c r="D836" s="65" t="str">
        <f>HYPERLINK("https://github.com/mostafa-saad/MyCompetitiveProgramming/blob/master/Olympiad/IOI/IOI-06-points.txt","Sol")</f>
        <v>Sol</v>
      </c>
      <c r="E836" s="31" t="s">
        <v>2510</v>
      </c>
      <c r="F836" s="37" t="s">
        <v>154</v>
      </c>
      <c r="G836" s="67"/>
      <c r="H836" s="67"/>
    </row>
    <row r="837" spans="1:8" ht="13.2">
      <c r="A837" s="65" t="str">
        <f>HYPERLINK("https://oj.uz/problem/view/COCI15_drzava","COCI 15-drzava")</f>
        <v>COCI 15-drzava</v>
      </c>
      <c r="B837" s="15" t="s">
        <v>7061</v>
      </c>
      <c r="C837" s="24">
        <v>7.25</v>
      </c>
      <c r="D837" s="65" t="str">
        <f>HYPERLINK("https://github.com/mostafa-saad/MyCompetitiveProgramming/blob/master/Olympiad/COCI/official/2016/contest2_solutions","Editorial")</f>
        <v>Editorial</v>
      </c>
      <c r="E837" s="31" t="s">
        <v>2510</v>
      </c>
      <c r="F837" s="37"/>
      <c r="G837" s="67"/>
      <c r="H837" s="67"/>
    </row>
    <row r="838" spans="1:8" ht="13.2">
      <c r="A838" s="65" t="str">
        <f>HYPERLINK("https://oj.uz/problems/source/270","JOIOC 17-bulldozer")</f>
        <v>JOIOC 17-bulldozer</v>
      </c>
      <c r="B838" s="23" t="s">
        <v>7062</v>
      </c>
      <c r="C838" s="24">
        <v>7</v>
      </c>
      <c r="D838" s="65" t="str">
        <f>HYPERLINK("https://github.com/mostafa-saad/MyCompetitiveProgramming/blob/master/Olympiad/JOI/JOIOC-17-bulldozer.txt","Sol")</f>
        <v>Sol</v>
      </c>
      <c r="E838" s="31" t="s">
        <v>2510</v>
      </c>
      <c r="F838" s="37" t="s">
        <v>154</v>
      </c>
      <c r="G838" s="67"/>
      <c r="H838" s="67"/>
    </row>
    <row r="839" spans="1:8" ht="13.2">
      <c r="A839" s="65" t="str">
        <f>HYPERLINK("https://oj.uz/problem/view/balkan11_2circles","Balkan 11-2circles")</f>
        <v>Balkan 11-2circles</v>
      </c>
      <c r="B839" s="20" t="s">
        <v>7063</v>
      </c>
      <c r="C839" s="24">
        <v>7</v>
      </c>
      <c r="D839" s="65" t="str">
        <f>HYPERLINK("https://github.com/mostafa-saad/MyCompetitiveProgramming/blob/master/Olympiad/Balkan/Balkan-11-2circles.txt","Sol")</f>
        <v>Sol</v>
      </c>
      <c r="E839" s="31" t="s">
        <v>2510</v>
      </c>
      <c r="F839" s="37" t="s">
        <v>201</v>
      </c>
      <c r="G839" s="67"/>
      <c r="H839" s="67"/>
    </row>
    <row r="840" spans="1:8" ht="13.2">
      <c r="A840" s="65" t="str">
        <f>HYPERLINK("https://szkopul.edu.pl/problemset/problem/qYS15kJB5WGKbGxqJCIEVM1I/site/","CEOI 04-Clouds")</f>
        <v>CEOI 04-Clouds</v>
      </c>
      <c r="B840" s="37" t="s">
        <v>7064</v>
      </c>
      <c r="C840" s="24">
        <v>7</v>
      </c>
      <c r="D840" s="65" t="str">
        <f>HYPERLINK("https://github.com/mostafa-saad/MyCompetitiveProgramming/blob/master/Olympiad/CEOI/CEOI-04-Clouds.txt","Sol")</f>
        <v>Sol</v>
      </c>
      <c r="E840" s="31" t="s">
        <v>2510</v>
      </c>
      <c r="F840" s="37"/>
      <c r="G840" s="67"/>
      <c r="H840" s="67"/>
    </row>
    <row r="841" spans="1:8" ht="13.2">
      <c r="A841" s="65" t="str">
        <f>HYPERLINK("https://oj.uz/problem/view/COCI17_paralelogrami","COCI 17-paralelogrami")</f>
        <v>COCI 17-paralelogrami</v>
      </c>
      <c r="B841" s="15" t="s">
        <v>7065</v>
      </c>
      <c r="C841" s="24">
        <v>7</v>
      </c>
      <c r="D841" s="65" t="str">
        <f>HYPERLINK("https://github.com/mostafa-saad/MyCompetitiveProgramming/blob/master/Olympiad/COCI/official/2017/contest7_solutions","Editorial")</f>
        <v>Editorial</v>
      </c>
      <c r="E841" s="31" t="s">
        <v>2510</v>
      </c>
      <c r="F841" s="37"/>
      <c r="G841" s="67"/>
      <c r="H841" s="67"/>
    </row>
    <row r="842" spans="1:8" ht="13.2">
      <c r="A842" s="65" t="str">
        <f>HYPERLINK("https://oj.uz/problem/view/POI11_wyk","POI 11-wyk")</f>
        <v>POI 11-wyk</v>
      </c>
      <c r="B842" s="25" t="s">
        <v>7066</v>
      </c>
      <c r="C842" s="24">
        <v>7</v>
      </c>
      <c r="D842" s="65" t="str">
        <f>HYPERLINK("https://github.com/mostafa-saad/MyCompetitiveProgramming/blob/master/Olympiad/POI/official/find_editorial_sols_guidelines.txt","Editorial")</f>
        <v>Editorial</v>
      </c>
      <c r="E842" s="31" t="s">
        <v>2510</v>
      </c>
      <c r="F842" s="37"/>
      <c r="G842" s="67"/>
      <c r="H842" s="67"/>
    </row>
    <row r="843" spans="1:8" ht="13.2">
      <c r="A843" s="65" t="str">
        <f>HYPERLINK("https://cses.fi/180/list/","CEOI 09-Tri")</f>
        <v>CEOI 09-Tri</v>
      </c>
      <c r="B843" s="20" t="s">
        <v>2509</v>
      </c>
      <c r="C843" s="24">
        <v>7</v>
      </c>
      <c r="D843" s="65" t="str">
        <f>HYPERLINK("https://github.com/mostafa-saad/MyCompetitiveProgramming/tree/master/Olympiad/CEOI/official/2009","Editorial")</f>
        <v>Editorial</v>
      </c>
      <c r="E843" s="31" t="s">
        <v>2510</v>
      </c>
      <c r="F843" s="37"/>
      <c r="G843" s="67"/>
      <c r="H843" s="67"/>
    </row>
    <row r="844" spans="1:8" ht="13.2">
      <c r="A844" s="65" t="str">
        <f>HYPERLINK("https://szkopul.edu.pl/problemset/problem/ci05UTAWBFeYYWnidnK1zzQl/site/", "POI 08-Triangles")</f>
        <v>POI 08-Triangles</v>
      </c>
      <c r="B844" s="37" t="s">
        <v>2533</v>
      </c>
      <c r="C844" s="24">
        <v>6.8</v>
      </c>
      <c r="D844" s="65" t="str">
        <f>HYPERLINK("https://github.com/mostafa-saad/MyCompetitiveProgramming/blob/master/Olympiad/POI/POI-08-Triangles.txt","Sol")</f>
        <v>Sol</v>
      </c>
      <c r="E844" s="31" t="s">
        <v>2510</v>
      </c>
      <c r="F844" s="37" t="s">
        <v>201</v>
      </c>
      <c r="G844" s="67"/>
      <c r="H844" s="67"/>
    </row>
    <row r="845" spans="1:8" ht="13.2">
      <c r="A845" s="65" t="str">
        <f>HYPERLINK("https://szkopul.edu.pl/problemset/problem/kxK8IowlpnNmHqkDDoK-hIeZ/site/", "POI 05-Camel")</f>
        <v>POI 05-Camel</v>
      </c>
      <c r="B845" s="37" t="s">
        <v>2763</v>
      </c>
      <c r="C845" s="24">
        <v>6.75</v>
      </c>
      <c r="D845" s="65" t="str">
        <f t="shared" ref="D845:D847" si="14">HYPERLINK("https://github.com/mostafa-saad/MyCompetitiveProgramming/blob/master/Olympiad/POI/official/find_editorial_sols_guidelines.txt","Editorial")</f>
        <v>Editorial</v>
      </c>
      <c r="E845" s="31" t="s">
        <v>2510</v>
      </c>
      <c r="F845" s="37"/>
      <c r="G845" s="67"/>
      <c r="H845" s="67"/>
    </row>
    <row r="846" spans="1:8" ht="13.2">
      <c r="A846" s="65" t="str">
        <f>HYPERLINK("https://szkopul.edu.pl/problemset/problem/hwbyoUkNFPXQLOPcw3x5huTR/site/", "POI 08-Plot")</f>
        <v>POI 08-Plot</v>
      </c>
      <c r="B846" s="37" t="s">
        <v>2509</v>
      </c>
      <c r="C846" s="24">
        <v>6.75</v>
      </c>
      <c r="D846" s="65" t="str">
        <f t="shared" si="14"/>
        <v>Editorial</v>
      </c>
      <c r="E846" s="31" t="s">
        <v>2510</v>
      </c>
      <c r="F846" s="37"/>
      <c r="G846" s="67"/>
      <c r="H846" s="67"/>
    </row>
    <row r="847" spans="1:8" ht="13.2">
      <c r="A847" s="65" t="str">
        <f>HYPERLINK("https://szkopul.edu.pl/problemset/problem/WXVRycanis3d1h5p63YZqYKs/site/", "POI 10-Lamp")</f>
        <v>POI 10-Lamp</v>
      </c>
      <c r="B847" s="37" t="s">
        <v>7067</v>
      </c>
      <c r="C847" s="24">
        <v>6.75</v>
      </c>
      <c r="D847" s="65" t="str">
        <f t="shared" si="14"/>
        <v>Editorial</v>
      </c>
      <c r="E847" s="31" t="s">
        <v>2510</v>
      </c>
      <c r="F847" s="37"/>
      <c r="G847" s="67"/>
      <c r="H847" s="67"/>
    </row>
    <row r="848" spans="1:8" ht="13.2">
      <c r="A848" s="65" t="str">
        <f>HYPERLINK("https://cses.fi/192/list/","CEOI 05-Fence")</f>
        <v>CEOI 05-Fence</v>
      </c>
      <c r="B848" s="37" t="s">
        <v>7068</v>
      </c>
      <c r="C848" s="24">
        <v>6.5</v>
      </c>
      <c r="D848" s="65" t="str">
        <f>HYPERLINK("https://github.com/mostafa-saad/MyCompetitiveProgramming/blob/master/Olympiad/CEOI/CEOI-05-Fence.txt","Sol")</f>
        <v>Sol</v>
      </c>
      <c r="E848" s="31" t="s">
        <v>2510</v>
      </c>
      <c r="F848" s="37" t="s">
        <v>139</v>
      </c>
      <c r="G848" s="67"/>
      <c r="H848" s="67"/>
    </row>
    <row r="849" spans="1:8" ht="13.2">
      <c r="A849" s="65" t="str">
        <f>HYPERLINK("https://dunjudge.me/analysis/problems/752/","COCI 11-traka")</f>
        <v>COCI 11-traka</v>
      </c>
      <c r="B849" s="20" t="s">
        <v>7069</v>
      </c>
      <c r="C849" s="24">
        <v>6.5</v>
      </c>
      <c r="D849" s="65" t="str">
        <f>HYPERLINK("https://github.com/mostafa-saad/MyCompetitiveProgramming/blob/master/Olympiad/COCI/official/2012/contest3_solutions","Editorial")</f>
        <v>Editorial</v>
      </c>
      <c r="E849" s="31" t="s">
        <v>2510</v>
      </c>
      <c r="F849" s="37" t="s">
        <v>139</v>
      </c>
      <c r="G849" s="67"/>
      <c r="H849" s="67"/>
    </row>
    <row r="850" spans="1:8" ht="13.2">
      <c r="A850" s="65" t="str">
        <f>HYPERLINK("http://usaco.org/index.php?page=viewproblem2&amp;cpid=672", "USACO 16dec-triangles-plat")</f>
        <v>USACO 16dec-triangles-plat</v>
      </c>
      <c r="B850" s="20" t="s">
        <v>2509</v>
      </c>
      <c r="C850" s="21">
        <v>6.5</v>
      </c>
      <c r="D850" s="69"/>
      <c r="E850" s="31" t="s">
        <v>2510</v>
      </c>
      <c r="F850" s="37" t="s">
        <v>139</v>
      </c>
      <c r="G850" s="67"/>
      <c r="H850" s="67"/>
    </row>
    <row r="851" spans="1:8" ht="13.2">
      <c r="A851" s="65" t="str">
        <f>HYPERLINK("http://usaco.org/index.php?page=viewproblem2&amp;cpid=514","USACO 15jan-gold_cowrect")</f>
        <v>USACO 15jan-gold_cowrect</v>
      </c>
      <c r="B851" s="37" t="s">
        <v>7070</v>
      </c>
      <c r="C851" s="24">
        <v>6.5</v>
      </c>
      <c r="D851" s="69"/>
      <c r="E851" s="31" t="s">
        <v>2510</v>
      </c>
      <c r="F851" s="37"/>
      <c r="G851" s="67"/>
      <c r="H851" s="67"/>
    </row>
    <row r="852" spans="1:8" ht="13.2">
      <c r="A852" s="65" t="str">
        <f>HYPERLINK("https://szkopul.edu.pl/problemset/problem/mjJWZowf-KgF_KX1Hi0bUDZN/site/", "POI 05-Manoeuvres")</f>
        <v>POI 05-Manoeuvres</v>
      </c>
      <c r="B852" s="37" t="s">
        <v>2509</v>
      </c>
      <c r="C852" s="24">
        <v>6.5</v>
      </c>
      <c r="D852" s="65" t="str">
        <f>HYPERLINK("https://github.com/mostafa-saad/MyCompetitiveProgramming/blob/master/Olympiad/POI/official/find_editorial_sols_guidelines.txt","Editorial")</f>
        <v>Editorial</v>
      </c>
      <c r="E852" s="31" t="s">
        <v>2510</v>
      </c>
      <c r="F852" s="37"/>
      <c r="G852" s="67"/>
      <c r="H852" s="67"/>
    </row>
    <row r="853" spans="1:8" ht="13.2">
      <c r="A853" s="65" t="str">
        <f>HYPERLINK("https://po.kattis.com/problems/kattis/no","PO Kattis")</f>
        <v>PO Kattis</v>
      </c>
      <c r="B853" s="20" t="s">
        <v>7071</v>
      </c>
      <c r="C853" s="24">
        <v>6.4</v>
      </c>
      <c r="D853" s="65" t="str">
        <f>HYPERLINK("https://github.com/guskal01/CompetitiveProgramming/blob/master/Kattis/PO-Kattis.cpp","Sol")</f>
        <v>Sol</v>
      </c>
      <c r="E853" s="31" t="s">
        <v>2510</v>
      </c>
      <c r="F853" s="37" t="s">
        <v>139</v>
      </c>
      <c r="G853" s="67"/>
      <c r="H853" s="67"/>
    </row>
    <row r="854" spans="1:8" ht="13.2">
      <c r="A854" s="65" t="str">
        <f>HYPERLINK("http://poj.org/problem?id=1912","CEOI 02-Dwarfs")</f>
        <v>CEOI 02-Dwarfs</v>
      </c>
      <c r="B854" s="37" t="s">
        <v>7072</v>
      </c>
      <c r="C854" s="24">
        <v>6.3</v>
      </c>
      <c r="D854" s="65" t="str">
        <f>HYPERLINK("https://github.com/mostafa-saad/MyCompetitiveProgramming/tree/master/Olympiad/CEOI/official/2002","Editorial")</f>
        <v>Editorial</v>
      </c>
      <c r="E854" s="31" t="s">
        <v>2510</v>
      </c>
      <c r="F854" s="37"/>
      <c r="G854" s="67"/>
      <c r="H854" s="67"/>
    </row>
    <row r="855" spans="1:8" ht="13.2">
      <c r="A855" s="65" t="str">
        <f>HYPERLINK("https://cses.fi/114/list/","Baltic 08-Gloves")</f>
        <v>Baltic 08-Gloves</v>
      </c>
      <c r="B855" s="37" t="s">
        <v>7073</v>
      </c>
      <c r="C855" s="24">
        <v>6.25</v>
      </c>
      <c r="D855" s="65" t="str">
        <f>HYPERLINK("https://github.com/mostafa-saad/MyCompetitiveProgramming/blob/master/Olympiad/Baltic/Baltic-08-Gloves.txt","Sol")</f>
        <v>Sol</v>
      </c>
      <c r="E855" s="31" t="s">
        <v>2510</v>
      </c>
      <c r="F855" s="37" t="s">
        <v>139</v>
      </c>
      <c r="G855" s="67"/>
      <c r="H855" s="67"/>
    </row>
    <row r="856" spans="1:8" ht="13.2">
      <c r="A856" s="65" t="str">
        <f>HYPERLINK("https://dmoj.ca/problem/coci07c2p6","COCI 07-Pravokutni")</f>
        <v>COCI 07-Pravokutni</v>
      </c>
      <c r="B856" s="15" t="s">
        <v>7074</v>
      </c>
      <c r="C856" s="24">
        <v>6.25</v>
      </c>
      <c r="D856" s="65" t="str">
        <f>HYPERLINK("https://github.com/mostafa-saad/MyCompetitiveProgramming/blob/master/Olympiad/COCI/COCI-07-Pravokutni.txt","Sol")</f>
        <v>Sol</v>
      </c>
      <c r="E856" s="31" t="s">
        <v>2510</v>
      </c>
      <c r="F856" s="37" t="s">
        <v>201</v>
      </c>
      <c r="G856" s="67"/>
      <c r="H856" s="67"/>
    </row>
    <row r="857" spans="1:8" ht="13.2">
      <c r="A857" s="65" t="str">
        <f>HYPERLINK("https://wcipeg.com/problem/coci096p4","COCI 09-Xor")</f>
        <v>COCI 09-Xor</v>
      </c>
      <c r="B857" s="15" t="s">
        <v>7075</v>
      </c>
      <c r="C857" s="24">
        <v>6.1</v>
      </c>
      <c r="D857" s="65" t="str">
        <f>HYPERLINK("https://github.com/mostafa-saad/MyCompetitiveProgramming/blob/master/Olympiad/COCI/COCI-09-Xor.txt","Sol")</f>
        <v>Sol</v>
      </c>
      <c r="E857" s="31" t="s">
        <v>2510</v>
      </c>
      <c r="F857" s="37" t="s">
        <v>139</v>
      </c>
      <c r="G857" s="67"/>
      <c r="H857" s="67"/>
    </row>
    <row r="858" spans="1:8" ht="13.2">
      <c r="A858" s="65" t="str">
        <f>HYPERLINK("https://contest.yandex.ru/ioi/contest/560/enter/","IOI 04-artemis")</f>
        <v>IOI 04-artemis</v>
      </c>
      <c r="B858" s="15" t="s">
        <v>7076</v>
      </c>
      <c r="C858" s="24">
        <v>6</v>
      </c>
      <c r="D858" s="65" t="str">
        <f>HYPERLINK("https://github.com/mostafa-saad/MyCompetitiveProgramming/blob/master/Olympiad/IOI/IOI-04-artemis.txt","Sol")</f>
        <v>Sol</v>
      </c>
      <c r="E858" s="31" t="s">
        <v>2510</v>
      </c>
      <c r="F858" s="37"/>
      <c r="G858" s="67"/>
      <c r="H858" s="67"/>
    </row>
    <row r="859" spans="1:8" ht="13.2">
      <c r="A859" s="65" t="str">
        <f>HYPERLINK("https://oj.uz/problems/source/120", "CEOI 14-fangorn")</f>
        <v>CEOI 14-fangorn</v>
      </c>
      <c r="B859" s="20" t="s">
        <v>7077</v>
      </c>
      <c r="C859" s="24">
        <v>6</v>
      </c>
      <c r="D859" s="65" t="str">
        <f>HYPERLINK("https://github.com/tmwilliamlin168/CompetitiveProgramming/blob/master/CEOI/14-Fangorn.cpp", "Sol")</f>
        <v>Sol</v>
      </c>
      <c r="E859" s="31" t="s">
        <v>2510</v>
      </c>
      <c r="F859" s="37"/>
      <c r="G859" s="67"/>
      <c r="H859" s="67"/>
    </row>
    <row r="860" spans="1:8" ht="13.2">
      <c r="A860" s="65" t="str">
        <f>HYPERLINK("https://www.infoarena.ro/problema/euclid1","infoarena cuiburi")</f>
        <v>infoarena cuiburi</v>
      </c>
      <c r="B860" s="20" t="s">
        <v>7078</v>
      </c>
      <c r="C860" s="17">
        <v>5.5</v>
      </c>
      <c r="D860" s="65" t="str">
        <f>HYPERLINK("https://github.com/stefdasca/CompetitiveProgramming/blob/master/Infoarena/cuiburi.cpp","Sol")</f>
        <v>Sol</v>
      </c>
      <c r="E860" s="31" t="s">
        <v>2510</v>
      </c>
      <c r="F860" s="37"/>
      <c r="G860" s="67"/>
      <c r="H860" s="67"/>
    </row>
    <row r="861" spans="1:8" ht="13.2">
      <c r="A861" s="65" t="str">
        <f>HYPERLINK("https://dmoj.ca/problem/coci07c6p5","COCI 07-Princeza")</f>
        <v>COCI 07-Princeza</v>
      </c>
      <c r="B861" s="15" t="s">
        <v>2514</v>
      </c>
      <c r="C861" s="24">
        <v>5.25</v>
      </c>
      <c r="D861" s="65" t="str">
        <f>HYPERLINK("https://github.com/mostafa-saad/MyCompetitiveProgramming/tree/master/Olympiad/COCI/official/2008/contest6_solutions","Editorial")</f>
        <v>Editorial</v>
      </c>
      <c r="E861" s="31" t="s">
        <v>2510</v>
      </c>
      <c r="F861" s="37" t="s">
        <v>139</v>
      </c>
      <c r="G861" s="67"/>
      <c r="H861" s="67"/>
    </row>
    <row r="862" spans="1:8" ht="13.2">
      <c r="A862" s="65" t="str">
        <f>HYPERLINK("https://cses.fi/108/list/","Baltic 09-Rectangle")</f>
        <v>Baltic 09-Rectangle</v>
      </c>
      <c r="B862" s="37" t="s">
        <v>2543</v>
      </c>
      <c r="C862" s="24">
        <v>5</v>
      </c>
      <c r="D862" s="65" t="str">
        <f>HYPERLINK("https://github.com/mostafa-saad/MyCompetitiveProgramming/blob/master/Olympiad/Baltic/Baltic-09-Rectangle.txt","Sol")</f>
        <v>Sol</v>
      </c>
      <c r="E862" s="31" t="s">
        <v>2510</v>
      </c>
      <c r="F862" s="37"/>
      <c r="G862" s="67"/>
      <c r="H862" s="67"/>
    </row>
    <row r="863" spans="1:8" ht="13.2">
      <c r="A863" s="65" t="str">
        <f>HYPERLINK("https://szkopul.edu.pl/problemset/problem/XcJ1RDGPzzspbYBm4xHCVpWM/site/", "POI 08-Mirror")</f>
        <v>POI 08-Mirror</v>
      </c>
      <c r="B863" s="37" t="s">
        <v>2509</v>
      </c>
      <c r="C863" s="24">
        <v>5</v>
      </c>
      <c r="D863" s="65" t="str">
        <f>HYPERLINK("https://github.com/mostafa-saad/MyCompetitiveProgramming/blob/master/Olympiad/POI/official/find_editorial_sols_guidelines.txt","Editorial")</f>
        <v>Editorial</v>
      </c>
      <c r="E863" s="31" t="s">
        <v>2510</v>
      </c>
      <c r="F863" s="37"/>
      <c r="G863" s="67"/>
      <c r="H863" s="67"/>
    </row>
    <row r="864" spans="1:8" ht="13.2">
      <c r="A864" s="65" t="str">
        <f>HYPERLINK("https://contest.yandex.ru/ioi/contest/558/enter/","IOI 03-boundary")</f>
        <v>IOI 03-boundary</v>
      </c>
      <c r="B864" s="15" t="s">
        <v>7079</v>
      </c>
      <c r="C864" s="24">
        <v>5</v>
      </c>
      <c r="D864" s="65" t="str">
        <f>HYPERLINK("https://github.com/mostafa-saad/MyCompetitiveProgramming/blob/master/Olympiad/IOI/official/2003","Editorial")</f>
        <v>Editorial</v>
      </c>
      <c r="E864" s="31" t="s">
        <v>2510</v>
      </c>
      <c r="F864" s="37"/>
      <c r="G864" s="67"/>
      <c r="H864" s="67"/>
    </row>
    <row r="865" spans="1:8" ht="13.2">
      <c r="A865" s="65" t="str">
        <f>HYPERLINK("https://dmoj.ca/problem/coci07c3p4","COCI 07-Dejavu")</f>
        <v>COCI 07-Dejavu</v>
      </c>
      <c r="B865" s="15" t="s">
        <v>2509</v>
      </c>
      <c r="C865" s="24">
        <v>4</v>
      </c>
      <c r="D865" s="65" t="str">
        <f>HYPERLINK("https://github.com/mostafa-saad/MyCompetitiveProgramming/tree/master/Olympiad/COCI/official/2008/contest3_solutions","Editorial")</f>
        <v>Editorial</v>
      </c>
      <c r="E865" s="31" t="s">
        <v>2510</v>
      </c>
      <c r="F865" s="37" t="s">
        <v>201</v>
      </c>
      <c r="G865" s="67"/>
      <c r="H865" s="67"/>
    </row>
    <row r="866" spans="1:8" ht="13.2">
      <c r="A866" s="65" t="str">
        <f>HYPERLINK("https://oj.uz/problem/view/COCI17_unija","COCI 17-unija")</f>
        <v>COCI 17-unija</v>
      </c>
      <c r="B866" s="20" t="s">
        <v>7080</v>
      </c>
      <c r="C866" s="24">
        <v>3.5</v>
      </c>
      <c r="D866" s="65" t="str">
        <f>HYPERLINK("https://github.com/mostafa-saad/MyCompetitiveProgramming/blob/master/Olympiad/COCI/official/2017/contest5_solutions","Editorial")</f>
        <v>Editorial</v>
      </c>
      <c r="E866" s="31" t="s">
        <v>2510</v>
      </c>
      <c r="F866" s="37"/>
      <c r="G866" s="67"/>
      <c r="H866" s="67"/>
    </row>
    <row r="867" spans="1:8" ht="13.2">
      <c r="A867" s="65" t="str">
        <f>HYPERLINK("https://www.hackerrank.com/contests/ioi-2014-practice-contest-2/challenges","IOIPractice 14-family-ioi14")</f>
        <v>IOIPractice 14-family-ioi14</v>
      </c>
      <c r="B867" s="20" t="s">
        <v>2509</v>
      </c>
      <c r="C867" s="24">
        <v>2</v>
      </c>
      <c r="D867" s="65" t="str">
        <f>HYPERLINK("https://github.com/tmwilliamlin168/CompetitiveProgramming/blob/master/HackerRank/family-ioi14.cpp", "Sol")</f>
        <v>Sol</v>
      </c>
      <c r="E867" s="31" t="s">
        <v>2510</v>
      </c>
      <c r="F867" s="37"/>
      <c r="G867" s="67"/>
      <c r="H867" s="67"/>
    </row>
    <row r="868" spans="1:8" ht="13.2">
      <c r="A868" s="65" t="str">
        <f>HYPERLINK("https://szkopul.edu.pl/problemset/problem/TE77UNYEUxsFcrRxYRPc99na/site/", "POI 13-Maze")</f>
        <v>POI 13-Maze</v>
      </c>
      <c r="B868" s="37" t="s">
        <v>7081</v>
      </c>
      <c r="C868" s="24"/>
      <c r="D868" s="65" t="str">
        <f>HYPERLINK("https://github.com/mostafa-saad/MyCompetitiveProgramming/blob/master/Olympiad/POI/official/find_editorial_sols_guidelines.txt","Editorial")</f>
        <v>Editorial</v>
      </c>
      <c r="E868" s="31" t="s">
        <v>2510</v>
      </c>
      <c r="F868" s="37"/>
      <c r="G868" s="67"/>
      <c r="H868" s="67"/>
    </row>
    <row r="869" spans="1:8" ht="13.2">
      <c r="A869" s="65" t="str">
        <f>HYPERLINK("https://infoarena.ro/problema/nuke","infoarena nuke")</f>
        <v>infoarena nuke</v>
      </c>
      <c r="B869" s="37" t="s">
        <v>7082</v>
      </c>
      <c r="C869" s="24">
        <v>7.25</v>
      </c>
      <c r="D869" s="65" t="str">
        <f>HYPERLINK("https://github.com/stefdasca/CompetitiveProgramming/blob/master/Infoarena/nuke.cpp","Sol")</f>
        <v>Sol</v>
      </c>
      <c r="E869" s="31" t="s">
        <v>2798</v>
      </c>
      <c r="F869" s="37" t="s">
        <v>154</v>
      </c>
      <c r="G869" s="67"/>
      <c r="H869" s="67"/>
    </row>
    <row r="870" spans="1:8" ht="13.2">
      <c r="A870" s="65" t="str">
        <f>HYPERLINK("https://szkopul.edu.pl/problemset/problem/XcxwG3EBHwd-6_fIF1NG3Wfg/site/?key=statement","CEOI 11-Balloons")</f>
        <v>CEOI 11-Balloons</v>
      </c>
      <c r="B870" s="15" t="s">
        <v>7083</v>
      </c>
      <c r="C870" s="17">
        <v>6</v>
      </c>
      <c r="D870" s="69" t="s">
        <v>7810</v>
      </c>
      <c r="E870" s="31" t="s">
        <v>2798</v>
      </c>
      <c r="F870" s="37" t="s">
        <v>201</v>
      </c>
      <c r="G870" s="67"/>
      <c r="H870" s="67"/>
    </row>
    <row r="871" spans="1:8" ht="13.2">
      <c r="A871" s="65" t="str">
        <f>HYPERLINK("https://oj.uz/problem/view/COCI17_doktor","COCI 17-doktor")</f>
        <v>COCI 17-doktor</v>
      </c>
      <c r="B871" s="20" t="s">
        <v>7084</v>
      </c>
      <c r="C871" s="24">
        <v>5</v>
      </c>
      <c r="D871" s="65" t="str">
        <f>HYPERLINK("https://github.com/mostafa-saad/MyCompetitiveProgramming/blob/master/Olympiad/COCI/official/2018/contest2_solutions","Editorial")</f>
        <v>Editorial</v>
      </c>
      <c r="E871" s="31" t="s">
        <v>2798</v>
      </c>
      <c r="F871" s="37" t="s">
        <v>139</v>
      </c>
      <c r="G871" s="67"/>
      <c r="H871" s="67"/>
    </row>
    <row r="872" spans="1:8" ht="13.2">
      <c r="A872" s="65" t="str">
        <f>HYPERLINK("https://www.hackerrank.com/contests/ioi-2014-practice-contest-1/challenges","IOIPractice 14-bounce-bounce-bounce-ioi14")</f>
        <v>IOIPractice 14-bounce-bounce-bounce-ioi14</v>
      </c>
      <c r="B872" s="15" t="s">
        <v>7085</v>
      </c>
      <c r="C872" s="17">
        <v>5</v>
      </c>
      <c r="D872" s="65" t="str">
        <f>HYPERLINK("https://github.com/tmwilliamlin168/CompetitiveProgramming/blob/master/HackerRank/bounce-bounce-bounce-ioi14.cpp", "Sol")</f>
        <v>Sol</v>
      </c>
      <c r="E872" s="31" t="s">
        <v>2798</v>
      </c>
      <c r="F872" s="37" t="s">
        <v>201</v>
      </c>
      <c r="G872" s="67"/>
      <c r="H872" s="67"/>
    </row>
    <row r="873" spans="1:8" ht="13.2">
      <c r="A873" s="65" t="str">
        <f>HYPERLINK("https://wcipeg.com/problem/coci067p4","COCI 06-Circle")</f>
        <v>COCI 06-Circle</v>
      </c>
      <c r="B873" s="15" t="s">
        <v>7086</v>
      </c>
      <c r="C873" s="24">
        <v>5</v>
      </c>
      <c r="D873" s="65" t="str">
        <f>HYPERLINK("https://github.com/mostafa-saad/MyCompetitiveProgramming/blob/master/Olympiad/COCI/COCI-06-Circle.txt","Sol")</f>
        <v>Sol</v>
      </c>
      <c r="E873" s="31" t="s">
        <v>2798</v>
      </c>
      <c r="F873" s="37" t="s">
        <v>201</v>
      </c>
      <c r="G873" s="67"/>
      <c r="H873" s="67"/>
    </row>
    <row r="874" spans="1:8" ht="13.2">
      <c r="A874" s="65" t="str">
        <f>HYPERLINK("https://open.kattis.com/problem-sources/Baltic%20Olympiad%20in%20Informatics%202017%2C%20Warmup","BalticWarmup 17-Toast")</f>
        <v>BalticWarmup 17-Toast</v>
      </c>
      <c r="B874" s="15" t="s">
        <v>7087</v>
      </c>
      <c r="C874" s="17">
        <v>5</v>
      </c>
      <c r="D874" s="65" t="str">
        <f>HYPERLINK("https://github.com/mostafa-saad/MyCompetitiveProgramming/blob/master/Olympiad/Baltic/BalticWarmup-17-Toast.txt", "Sol")</f>
        <v>Sol</v>
      </c>
      <c r="E874" s="31" t="s">
        <v>2798</v>
      </c>
      <c r="F874" s="37"/>
      <c r="G874" s="67"/>
      <c r="H874" s="67"/>
    </row>
    <row r="875" spans="1:8" ht="13.2">
      <c r="A875" s="65" t="str">
        <f>HYPERLINK("https://dmoj.ca/problem/coci06c2p6","COCI 06-Straza")</f>
        <v>COCI 06-Straza</v>
      </c>
      <c r="B875" s="15" t="s">
        <v>2891</v>
      </c>
      <c r="C875" s="24">
        <v>6.5</v>
      </c>
      <c r="D875" s="65" t="str">
        <f>HYPERLINK("https://github.com/mostafa-saad/MyCompetitiveProgramming/blob/master/Olympiad/COCI/COCI-06-Straza.txt","Sol")</f>
        <v>Sol</v>
      </c>
      <c r="E875" s="31" t="s">
        <v>2865</v>
      </c>
      <c r="F875" s="37" t="s">
        <v>139</v>
      </c>
      <c r="G875" s="67"/>
      <c r="H875" s="67"/>
    </row>
    <row r="876" spans="1:8" ht="13.2">
      <c r="A876" s="65" t="str">
        <f>HYPERLINK("https://oj.uz/problem/view/CEOI12_circuit","CEOI 12-circuit")</f>
        <v>CEOI 12-circuit</v>
      </c>
      <c r="B876" s="37" t="s">
        <v>7088</v>
      </c>
      <c r="C876" s="24">
        <v>7.75</v>
      </c>
      <c r="D876" s="65" t="str">
        <f>HYPERLINK("https://github.com/mostafa-saad/MyCompetitiveProgramming/blob/master/Olympiad/CEOI/CEOI-12-circuit.txt","Sol")</f>
        <v>Sol</v>
      </c>
      <c r="E876" s="31" t="s">
        <v>2948</v>
      </c>
      <c r="F876" s="37" t="s">
        <v>154</v>
      </c>
      <c r="G876" s="67"/>
      <c r="H876" s="67"/>
    </row>
    <row r="877" spans="1:8" ht="13.2">
      <c r="A877" s="65" t="str">
        <f>HYPERLINK("https://oj.uz/problem/view/BOI14_demarcation","Baltic 14-demarcation")</f>
        <v>Baltic 14-demarcation</v>
      </c>
      <c r="B877" s="20" t="s">
        <v>7089</v>
      </c>
      <c r="C877" s="24">
        <v>7.5</v>
      </c>
      <c r="D877" s="65" t="str">
        <f>HYPERLINK("https://github.com/mostafa-saad/MyCompetitiveProgramming/blob/master/Olympiad/Baltic/official/boi2014_solutions","Editorial")</f>
        <v>Editorial</v>
      </c>
      <c r="E877" s="31" t="s">
        <v>2948</v>
      </c>
      <c r="F877" s="37"/>
      <c r="G877" s="67"/>
      <c r="H877" s="67"/>
    </row>
    <row r="878" spans="1:8" ht="13.2">
      <c r="A878" s="65" t="str">
        <f>HYPERLINK("https://cses.fi/101/list/","Baltic 11-Polygon")</f>
        <v>Baltic 11-Polygon</v>
      </c>
      <c r="B878" s="37" t="s">
        <v>2947</v>
      </c>
      <c r="C878" s="24">
        <v>7.25</v>
      </c>
      <c r="D878" s="65" t="str">
        <f>HYPERLINK("https://github.com/mostafa-saad/MyCompetitiveProgramming/blob/master/Olympiad/Baltic/official/boi2011_solutions","Editorial")</f>
        <v>Editorial</v>
      </c>
      <c r="E878" s="31" t="s">
        <v>2948</v>
      </c>
      <c r="F878" s="37"/>
      <c r="G878" s="67"/>
      <c r="H878" s="67"/>
    </row>
    <row r="879" spans="1:8" ht="13.2">
      <c r="A879" s="65" t="str">
        <f>HYPERLINK("https://oj.uz/problem/view/JOI18_fences","JOISC 18-fences")</f>
        <v>JOISC 18-fences</v>
      </c>
      <c r="B879" s="15" t="s">
        <v>7090</v>
      </c>
      <c r="C879" s="24">
        <v>7</v>
      </c>
      <c r="D879" s="65" t="str">
        <f>HYPERLINK("https://github.com/tmwilliamlin168/CompetitiveProgramming/blob/master/JOI/18SC-Fences.cpp", "Sol")</f>
        <v>Sol</v>
      </c>
      <c r="E879" s="31" t="s">
        <v>2948</v>
      </c>
      <c r="F879" s="37" t="s">
        <v>201</v>
      </c>
      <c r="G879" s="67"/>
      <c r="H879" s="67"/>
    </row>
    <row r="880" spans="1:8" ht="13.2">
      <c r="A880" s="65" t="str">
        <f>HYPERLINK("https://cses.fi/116/list/","Baltic 05-Polygon")</f>
        <v>Baltic 05-Polygon</v>
      </c>
      <c r="B880" s="37" t="s">
        <v>7091</v>
      </c>
      <c r="C880" s="24">
        <v>6.5</v>
      </c>
      <c r="D880" s="65" t="str">
        <f>HYPERLINK("https://github.com/mostafa-saad/MyCompetitiveProgramming/blob/master/Olympiad/Baltic/Baltic-05-Polygon.txt","Sol")</f>
        <v>Sol</v>
      </c>
      <c r="E880" s="31" t="s">
        <v>2948</v>
      </c>
      <c r="F880" s="37" t="s">
        <v>201</v>
      </c>
      <c r="G880" s="67"/>
      <c r="H880" s="67"/>
    </row>
    <row r="881" spans="1:8" ht="13.2">
      <c r="A881" s="65" t="str">
        <f>HYPERLINK("https://oj.uz/problem/view/COCI16_meksikanac","COCI 16-meksikanac")</f>
        <v>COCI 16-meksikanac</v>
      </c>
      <c r="B881" s="15" t="s">
        <v>7092</v>
      </c>
      <c r="C881" s="24">
        <v>6.5</v>
      </c>
      <c r="D881" s="65" t="str">
        <f>HYPERLINK("https://github.com/mostafa-saad/MyCompetitiveProgramming/blob/master/Olympiad/COCI/official/2017/contest3_solutions","Editorial")</f>
        <v>Editorial</v>
      </c>
      <c r="E881" s="31" t="s">
        <v>2948</v>
      </c>
      <c r="F881" s="37"/>
      <c r="G881" s="67"/>
      <c r="H881" s="67"/>
    </row>
    <row r="882" spans="1:8" ht="13.2">
      <c r="A882" s="65" t="str">
        <f>HYPERLINK("https://oj.uz/problem/view/COI16_relay","COI 16-relay")</f>
        <v>COI 16-relay</v>
      </c>
      <c r="B882" s="20" t="s">
        <v>7093</v>
      </c>
      <c r="C882" s="24">
        <v>6.5</v>
      </c>
      <c r="D882" s="65" t="str">
        <f>HYPERLINK("https://github.com/mostafa-saad/MyCompetitiveProgramming/blob/master/Olympiad/COI/COI-16-relay.txt","Sol")</f>
        <v>Sol</v>
      </c>
      <c r="E882" s="31" t="s">
        <v>2948</v>
      </c>
      <c r="F882" s="37"/>
      <c r="G882" s="67"/>
      <c r="H882" s="67"/>
    </row>
    <row r="883" spans="1:8" ht="13.2">
      <c r="A883" s="65" t="str">
        <f>HYPERLINK("https://contest.yandex.ru/ioi/contest/560/enter/","IOI 04-polygon")</f>
        <v>IOI 04-polygon</v>
      </c>
      <c r="B883" s="15" t="s">
        <v>7094</v>
      </c>
      <c r="C883" s="24">
        <v>6.25</v>
      </c>
      <c r="D883" s="65" t="str">
        <f>HYPERLINK("https://github.com/mostafa-saad/MyCompetitiveProgramming/blob/master/Olympiad/IOI/IOI-04-polygon.txt","Sol")</f>
        <v>Sol</v>
      </c>
      <c r="E883" s="31" t="s">
        <v>2948</v>
      </c>
      <c r="F883" s="37" t="s">
        <v>154</v>
      </c>
      <c r="G883" s="67"/>
      <c r="H883" s="67"/>
    </row>
    <row r="884" spans="1:8" ht="13.2">
      <c r="A884" s="65" t="str">
        <f>HYPERLINK("https://szkopul.edu.pl/problemset/problem/ETArorvqQVqRUJRa4kx02f8D/site/", "POI 07-Symmetry")</f>
        <v>POI 07-Symmetry</v>
      </c>
      <c r="B884" s="37" t="s">
        <v>7095</v>
      </c>
      <c r="C884" s="24">
        <v>3</v>
      </c>
      <c r="D884" s="65" t="str">
        <f>HYPERLINK("https://github.com/mostafa-saad/MyCompetitiveProgramming/blob/master/Olympiad/POI/official/find_editorial_sols_guidelines.txt","Editorial")</f>
        <v>Editorial</v>
      </c>
      <c r="E884" s="31" t="s">
        <v>2948</v>
      </c>
      <c r="F884" s="37"/>
      <c r="G884" s="67"/>
      <c r="H884" s="67"/>
    </row>
    <row r="885" spans="1:8" ht="13.2">
      <c r="A885" s="65" t="str">
        <f>HYPERLINK("https://csacademy.com/contest/ioi-2016-training-round-5/task/empty-triangles/","IOIPractice 16-empty-triangles")</f>
        <v>IOIPractice 16-empty-triangles</v>
      </c>
      <c r="B885" s="37" t="s">
        <v>7096</v>
      </c>
      <c r="C885" s="24">
        <v>7.25</v>
      </c>
      <c r="D885" s="69"/>
      <c r="E885" s="31" t="s">
        <v>3065</v>
      </c>
      <c r="F885" s="37"/>
      <c r="G885" s="67"/>
      <c r="H885" s="67"/>
    </row>
    <row r="886" spans="1:8" ht="13.2">
      <c r="A886" s="65" t="str">
        <f>HYPERLINK("https://cses.fi/190/list/","CEOI 08-Fence")</f>
        <v>CEOI 08-Fence</v>
      </c>
      <c r="B886" s="20" t="s">
        <v>7097</v>
      </c>
      <c r="C886" s="24">
        <v>6.75</v>
      </c>
      <c r="D886" s="65" t="str">
        <f>HYPERLINK("https://github.com/mostafa-saad/MyCompetitiveProgramming/blob/master/Olympiad/CEOI/CEOI-08-Fence.txt","Sol")</f>
        <v>Sol</v>
      </c>
      <c r="E886" s="31" t="s">
        <v>3065</v>
      </c>
      <c r="F886" s="37" t="s">
        <v>139</v>
      </c>
      <c r="G886" s="67"/>
      <c r="H886" s="67"/>
    </row>
    <row r="887" spans="1:8" ht="13.2">
      <c r="A887" s="65" t="str">
        <f>HYPERLINK("https://oj.uz/problem/view/CEOI18_tri","CEOI 18-Tri")</f>
        <v>CEOI 18-Tri</v>
      </c>
      <c r="B887" s="15" t="s">
        <v>7098</v>
      </c>
      <c r="C887" s="21">
        <v>6.75</v>
      </c>
      <c r="D887" s="69"/>
      <c r="E887" s="31" t="s">
        <v>3065</v>
      </c>
      <c r="F887" s="37"/>
      <c r="G887" s="67"/>
      <c r="H887" s="67"/>
    </row>
    <row r="888" spans="1:8" ht="13.2">
      <c r="A888" s="65" t="str">
        <f>HYPERLINK("http://usaco.org/index.php?page=viewproblem2&amp;cpid=864", "USACO 18dec-balanceplat")</f>
        <v>USACO 18dec-balanceplat</v>
      </c>
      <c r="B888" s="20" t="s">
        <v>7099</v>
      </c>
      <c r="C888" s="21">
        <v>6.5</v>
      </c>
      <c r="D888" s="65" t="str">
        <f>HYPERLINK("https://github.com/updown2/OI-Practice/blob/master/USACO/2018-2019/1.%20December%20%5BDONE%5D/Balance%20Beam.cpp","Sol")</f>
        <v>Sol</v>
      </c>
      <c r="E888" s="31" t="s">
        <v>3065</v>
      </c>
      <c r="F888" s="37" t="s">
        <v>139</v>
      </c>
      <c r="G888" s="67"/>
      <c r="H888" s="67"/>
    </row>
    <row r="889" spans="1:8" ht="13.2">
      <c r="A889" s="65" t="str">
        <f>HYPERLINK("https://www.hackerrank.com/contests/boi-2016/challenges","Balkan 16-Cruise")</f>
        <v>Balkan 16-Cruise</v>
      </c>
      <c r="B889" s="37" t="s">
        <v>7100</v>
      </c>
      <c r="C889" s="24">
        <v>6.5</v>
      </c>
      <c r="D889" s="65" t="str">
        <f>HYPERLINK("https://github.com/mostafa-saad/MyCompetitiveProgramming/tree/master/Olympiad/Balkan/official/2016","Sol (no editorial)")</f>
        <v>Sol (no editorial)</v>
      </c>
      <c r="E889" s="31" t="s">
        <v>3065</v>
      </c>
      <c r="F889" s="37"/>
      <c r="G889" s="67"/>
      <c r="H889" s="67"/>
    </row>
    <row r="890" spans="1:8" ht="13.2">
      <c r="A890" s="65" t="str">
        <f>HYPERLINK("https://oj.uz/problem/view/COI15_sir","COI 15-sir")</f>
        <v>COI 15-sir</v>
      </c>
      <c r="B890" s="20" t="s">
        <v>3073</v>
      </c>
      <c r="C890" s="24">
        <v>6.5</v>
      </c>
      <c r="D890" s="65" t="str">
        <f>HYPERLINK("https://github.com/mostafa-saad/MyCompetitiveProgramming/tree/master/Olympiad/COI/official/2015","Editorial")</f>
        <v>Editorial</v>
      </c>
      <c r="E890" s="31" t="s">
        <v>3065</v>
      </c>
      <c r="F890" s="37"/>
      <c r="G890" s="67"/>
      <c r="H890" s="67"/>
    </row>
    <row r="891" spans="1:8" ht="13.2">
      <c r="A891" s="65" t="str">
        <f>HYPERLINK("https://csacademy.com/contest/ejoi-2017-day-1/task/particles/","EJOI 17-particles")</f>
        <v>EJOI 17-particles</v>
      </c>
      <c r="B891" s="20" t="s">
        <v>3073</v>
      </c>
      <c r="C891" s="24">
        <v>6.5</v>
      </c>
      <c r="D891" s="69"/>
      <c r="E891" s="31" t="s">
        <v>3065</v>
      </c>
      <c r="F891" s="37"/>
      <c r="G891" s="67"/>
      <c r="H891" s="67"/>
    </row>
    <row r="892" spans="1:8" ht="13.2">
      <c r="A892" s="65" t="str">
        <f>HYPERLINK("http://www.infoarena.ro/problema/copaci","infoarena copaci")</f>
        <v>infoarena copaci</v>
      </c>
      <c r="B892" s="28" t="s">
        <v>3129</v>
      </c>
      <c r="C892" s="24">
        <v>6</v>
      </c>
      <c r="D892" s="65" t="str">
        <f>HYPERLINK("https://ideone.com/iT1ggW","Sol")</f>
        <v>Sol</v>
      </c>
      <c r="E892" s="31" t="s">
        <v>3130</v>
      </c>
      <c r="F892" s="37"/>
      <c r="G892" s="67"/>
      <c r="H892" s="67"/>
    </row>
    <row r="893" spans="1:8" ht="13.2">
      <c r="A893" s="65" t="str">
        <f>HYPERLINK("https://oj.uz/problems/source/326", "APIO 18-circleselection")</f>
        <v>APIO 18-circleselection</v>
      </c>
      <c r="B893" s="15" t="s">
        <v>7101</v>
      </c>
      <c r="C893" s="17">
        <v>7.75</v>
      </c>
      <c r="D893" s="65" t="str">
        <f>HYPERLINK("https://github.com/timpostuvan/CompetitiveProgramming/blob/master/Olympiad/APIO/CircleSelection2018.cpp","Sol")</f>
        <v>Sol</v>
      </c>
      <c r="E893" s="31" t="s">
        <v>3140</v>
      </c>
      <c r="F893" s="37" t="s">
        <v>173</v>
      </c>
      <c r="G893" s="67"/>
      <c r="H893" s="67"/>
    </row>
    <row r="894" spans="1:8" ht="13.2">
      <c r="A894" s="65" t="str">
        <f>HYPERLINK("https://oj.uz/problem/view/JOI17_dragon2","JOISC 17-dragon2")</f>
        <v>JOISC 17-dragon2</v>
      </c>
      <c r="B894" s="20" t="s">
        <v>7102</v>
      </c>
      <c r="C894" s="24">
        <v>7.1</v>
      </c>
      <c r="D894" s="65" t="str">
        <f>HYPERLINK("https://github.com/mostafa-saad/MyCompetitiveProgramming/blob/master/Olympiad/POI/JOI/JOISC-17-dragon2.txt","Sol")</f>
        <v>Sol</v>
      </c>
      <c r="E894" s="31" t="s">
        <v>3140</v>
      </c>
      <c r="F894" s="37" t="s">
        <v>139</v>
      </c>
      <c r="G894" s="67"/>
      <c r="H894" s="67"/>
    </row>
    <row r="895" spans="1:8" ht="13.2">
      <c r="A895" s="65" t="str">
        <f>HYPERLINK("https://dmoj.ca/problem/apio10p3", "APIO 10-Signaling")</f>
        <v>APIO 10-Signaling</v>
      </c>
      <c r="B895" s="20" t="s">
        <v>7103</v>
      </c>
      <c r="C895" s="17">
        <v>7</v>
      </c>
      <c r="D895" s="65" t="str">
        <f>HYPERLINK("https://github.com/shanto86/Training/blob/master/Dmoj/APIO%2010-Signaling.cpp","Sol")</f>
        <v>Sol</v>
      </c>
      <c r="E895" s="31" t="s">
        <v>3140</v>
      </c>
      <c r="F895" s="37"/>
      <c r="G895" s="67"/>
      <c r="H895" s="67"/>
    </row>
    <row r="896" spans="1:8" ht="13.2">
      <c r="A896" s="65" t="str">
        <f>HYPERLINK("https://oj.uz/problem/view/JOI17_cultivation","JOISC 17-cultivation")</f>
        <v>JOISC 17-cultivation</v>
      </c>
      <c r="B896" s="20" t="s">
        <v>7104</v>
      </c>
      <c r="C896" s="24">
        <v>7</v>
      </c>
      <c r="D896" s="65" t="str">
        <f>HYPERLINK("https://github.com/mostafa-saad/MyCompetitiveProgramming/blob/master/Olympiad/JOI/official/JOISC/2017/2017.txt","Sol")</f>
        <v>Sol</v>
      </c>
      <c r="E896" s="31" t="s">
        <v>3140</v>
      </c>
      <c r="F896" s="37"/>
      <c r="G896" s="67"/>
      <c r="H896" s="67"/>
    </row>
    <row r="897" spans="1:8" ht="13.2">
      <c r="A897" s="65" t="str">
        <f>HYPERLINK("https://szkopul.edu.pl/problemset/problem/vX48bEW0i5IRszoCOP_f78Dc/site/", "POI 15-Speed")</f>
        <v>POI 15-Speed</v>
      </c>
      <c r="B897" s="37" t="s">
        <v>3139</v>
      </c>
      <c r="C897" s="24">
        <v>7</v>
      </c>
      <c r="D897" s="65" t="str">
        <f>HYPERLINK("https://github.com/mostafa-saad/MyCompetitiveProgramming/blob/master/Olympiad/POI/official/find_editorial_sols_guidelines.txt","Editorial")</f>
        <v>Editorial</v>
      </c>
      <c r="E897" s="31" t="s">
        <v>3140</v>
      </c>
      <c r="F897" s="37"/>
      <c r="G897" s="67"/>
      <c r="H897" s="67"/>
    </row>
    <row r="898" spans="1:8" ht="13.2">
      <c r="A898" s="65" t="str">
        <f>HYPERLINK("https://csacademy.com/contest/ioi-2016-training-round-3/task/network-rumour/","IOIPractice 16-network-rumour")</f>
        <v>IOIPractice 16-network-rumour</v>
      </c>
      <c r="B898" s="37" t="s">
        <v>7105</v>
      </c>
      <c r="C898" s="24">
        <v>7</v>
      </c>
      <c r="D898" s="69"/>
      <c r="E898" s="31" t="s">
        <v>3140</v>
      </c>
      <c r="F898" s="37"/>
      <c r="G898" s="67"/>
      <c r="H898" s="67"/>
    </row>
    <row r="899" spans="1:8" ht="13.2">
      <c r="A899" s="65" t="str">
        <f>HYPERLINK("https://dmoj.ca/problem/coci06c6p6","COCI 06-Prostor")</f>
        <v>COCI 06-Prostor</v>
      </c>
      <c r="B899" s="15" t="s">
        <v>7106</v>
      </c>
      <c r="C899" s="24">
        <v>6.75</v>
      </c>
      <c r="D899" s="65" t="str">
        <f>HYPERLINK("https://github.com/mostafa-saad/MyCompetitiveProgramming/blob/master/Olympiad/COCI/COCI-06-Prostor.txt","Sol")</f>
        <v>Sol</v>
      </c>
      <c r="E899" s="31" t="s">
        <v>3140</v>
      </c>
      <c r="F899" s="37" t="s">
        <v>154</v>
      </c>
      <c r="G899" s="67"/>
      <c r="H899" s="67"/>
    </row>
    <row r="900" spans="1:8" ht="13.2">
      <c r="A900" s="65" t="str">
        <f>HYPERLINK("https://dmoj.ca/problem/coci14c3p6","COCI 14-Kamioni")</f>
        <v>COCI 14-Kamioni</v>
      </c>
      <c r="B900" s="37" t="s">
        <v>7107</v>
      </c>
      <c r="C900" s="24">
        <v>6.75</v>
      </c>
      <c r="D900" s="65" t="str">
        <f>HYPERLINK("https://github.com/mostafa-saad/MyCompetitiveProgramming/blob/master/Olympiad/COCI/COCI-14-Kamioni.txt","Sol")</f>
        <v>Sol</v>
      </c>
      <c r="E900" s="31" t="s">
        <v>3140</v>
      </c>
      <c r="F900" s="37" t="s">
        <v>201</v>
      </c>
      <c r="G900" s="67"/>
      <c r="H900" s="67"/>
    </row>
    <row r="901" spans="1:8" ht="13.2">
      <c r="A901" s="65" t="str">
        <f>HYPERLINK("https://szkopul.edu.pl/problemset/problem/o09s2TblWuB1BP9isQT7VIkG/site/", "POI 04-Islands")</f>
        <v>POI 04-Islands</v>
      </c>
      <c r="B901" s="37" t="s">
        <v>7108</v>
      </c>
      <c r="C901" s="24">
        <v>6.5</v>
      </c>
      <c r="D901" s="65" t="str">
        <f>HYPERLINK("https://github.com/mostafa-saad/MyCompetitiveProgramming/blob/master/Olympiad/POI/POI-04-Islands.txt","Sol")</f>
        <v>Sol</v>
      </c>
      <c r="E901" s="31" t="s">
        <v>3140</v>
      </c>
      <c r="F901" s="37" t="s">
        <v>139</v>
      </c>
      <c r="G901" s="67"/>
      <c r="H901" s="67"/>
    </row>
    <row r="902" spans="1:8" ht="13.2">
      <c r="A902" s="65" t="str">
        <f>HYPERLINK("https://cses.fi/99/list/","Baltic 12-Fire")</f>
        <v>Baltic 12-Fire</v>
      </c>
      <c r="B902" s="23" t="s">
        <v>7109</v>
      </c>
      <c r="C902" s="24">
        <v>6.5</v>
      </c>
      <c r="D902" s="65" t="str">
        <f>HYPERLINK("https://github.com/mostafa-saad/MyCompetitiveProgramming/blob/master/Olympiad/Baltic/Baltic-12-Fire.txt","Sol")</f>
        <v>Sol</v>
      </c>
      <c r="E902" s="31" t="s">
        <v>3140</v>
      </c>
      <c r="F902" s="37" t="s">
        <v>139</v>
      </c>
      <c r="G902" s="67"/>
      <c r="H902" s="67"/>
    </row>
    <row r="903" spans="1:8" ht="13.2">
      <c r="A903" s="65" t="str">
        <f>HYPERLINK("https://szkopul.edu.pl/problemset/problem/APWi6y6XTt5ujve8ynI_FNJ1/site/", "POI 14-Criminals")</f>
        <v>POI 14-Criminals</v>
      </c>
      <c r="B903" s="37" t="s">
        <v>3139</v>
      </c>
      <c r="C903" s="17">
        <v>6.1</v>
      </c>
      <c r="D903" s="65" t="str">
        <f>HYPERLINK("https://github.com/mostafa-saad/MyCompetitiveProgramming/blob/master/Olympiad/POI/POI-14-Criminals.txt","Sol")</f>
        <v>Sol</v>
      </c>
      <c r="E903" s="31" t="s">
        <v>3140</v>
      </c>
      <c r="F903" s="37" t="s">
        <v>242</v>
      </c>
      <c r="G903" s="67"/>
      <c r="H903" s="67"/>
    </row>
    <row r="904" spans="1:8" ht="13.2">
      <c r="A904" s="65" t="str">
        <f>HYPERLINK("http://usaco.org/index.php?page=viewproblem2&amp;cpid=816","USACO 18feb-slingshot-plat")</f>
        <v>USACO 18feb-slingshot-plat</v>
      </c>
      <c r="B904" s="20" t="s">
        <v>3153</v>
      </c>
      <c r="C904" s="21">
        <v>6</v>
      </c>
      <c r="D904" s="69"/>
      <c r="E904" s="31" t="s">
        <v>3140</v>
      </c>
      <c r="F904" s="37" t="s">
        <v>201</v>
      </c>
      <c r="G904" s="67"/>
      <c r="H904" s="67"/>
    </row>
    <row r="905" spans="1:8" ht="13.2">
      <c r="A905" s="65" t="str">
        <f>HYPERLINK("https://cses.fi/185/list/","CEOI 06-Antenna")</f>
        <v>CEOI 06-Antenna</v>
      </c>
      <c r="B905" s="20" t="s">
        <v>7110</v>
      </c>
      <c r="C905" s="24">
        <v>5.5</v>
      </c>
      <c r="D905" s="65" t="str">
        <f>HYPERLINK("https://github.com/mostafa-saad/MyCompetitiveProgramming/blob/master/Olympiad/CEOI/CEOI-06-Antenna.txt","Sol")</f>
        <v>Sol</v>
      </c>
      <c r="E905" s="31" t="s">
        <v>3140</v>
      </c>
      <c r="F905" s="37" t="s">
        <v>139</v>
      </c>
      <c r="G905" s="67"/>
      <c r="H905" s="67"/>
    </row>
    <row r="906" spans="1:8" ht="13.2">
      <c r="A906" s="65" t="str">
        <f>HYPERLINK("http://www.usaco.org/index.php?page=viewproblem2&amp;cpid=645","USACO 16-usopen-split-gold")</f>
        <v>USACO 16-usopen-split-gold</v>
      </c>
      <c r="B906" s="20" t="s">
        <v>3139</v>
      </c>
      <c r="C906" s="17">
        <v>5.5</v>
      </c>
      <c r="D906" s="69"/>
      <c r="E906" s="31" t="s">
        <v>3140</v>
      </c>
      <c r="F906" s="37" t="s">
        <v>201</v>
      </c>
      <c r="G906" s="67"/>
      <c r="H906" s="67"/>
    </row>
    <row r="907" spans="1:8" ht="13.2">
      <c r="A907" s="65" t="str">
        <f>HYPERLINK("https://dunjudge.me/analysis/problems/1356/","COCI 12-malcolm")</f>
        <v>COCI 12-malcolm</v>
      </c>
      <c r="B907" s="20" t="s">
        <v>3139</v>
      </c>
      <c r="C907" s="24">
        <v>2</v>
      </c>
      <c r="D907" s="65" t="str">
        <f>HYPERLINK("https://github.com/mostafa-saad/MyCompetitiveProgramming/blob/master/Olympiad/COCI/official/2013/contest3_solutions","Editorial")</f>
        <v>Editorial</v>
      </c>
      <c r="E907" s="31" t="s">
        <v>3140</v>
      </c>
      <c r="F907" s="37"/>
      <c r="G907" s="67"/>
      <c r="H907" s="67"/>
    </row>
    <row r="908" spans="1:8" ht="13.2">
      <c r="A908" s="65" t="str">
        <f>HYPERLINK("https://csacademy.com/contest/ioi-2016-training-round-5/task/tree-square/","IOIPractice 16-tree-square")</f>
        <v>IOIPractice 16-tree-square</v>
      </c>
      <c r="B908" s="37" t="s">
        <v>3256</v>
      </c>
      <c r="C908" s="24">
        <v>9</v>
      </c>
      <c r="D908" s="69"/>
      <c r="E908" s="31" t="s">
        <v>3257</v>
      </c>
      <c r="F908" s="37"/>
      <c r="G908" s="67"/>
      <c r="H908" s="67"/>
    </row>
    <row r="909" spans="1:8" ht="13.2">
      <c r="A909" s="65" t="str">
        <f>HYPERLINK("https://dunjudge.me/analysis/problems/697/","NOIMOCK 15-travel")</f>
        <v>NOIMOCK 15-travel</v>
      </c>
      <c r="B909" s="37" t="s">
        <v>3256</v>
      </c>
      <c r="C909" s="24">
        <v>8</v>
      </c>
      <c r="D909" s="69"/>
      <c r="E909" s="31" t="s">
        <v>3257</v>
      </c>
      <c r="F909" s="37"/>
      <c r="G909" s="67"/>
      <c r="H909" s="67"/>
    </row>
    <row r="910" spans="1:8" ht="13.2">
      <c r="A910" s="65" t="str">
        <f>HYPERLINK("https://csacademy.com/contest/ioi-2016-training-round-2/task/cograph_clique/","IOIPractice 16-cograph_clique")</f>
        <v>IOIPractice 16-cograph_clique</v>
      </c>
      <c r="B910" s="37" t="s">
        <v>7111</v>
      </c>
      <c r="C910" s="24">
        <v>8</v>
      </c>
      <c r="D910" s="69"/>
      <c r="E910" s="31" t="s">
        <v>3257</v>
      </c>
      <c r="F910" s="37"/>
      <c r="G910" s="67"/>
      <c r="H910" s="67"/>
    </row>
    <row r="911" spans="1:8" ht="13.2">
      <c r="A911" s="65" t="str">
        <f>HYPERLINK("https://oj.uz/problem/view/JOI19_ho_t5","JOI 19-UniqueCities")</f>
        <v>JOI 19-UniqueCities</v>
      </c>
      <c r="B911" s="37" t="s">
        <v>7112</v>
      </c>
      <c r="C911" s="24">
        <v>8</v>
      </c>
      <c r="D911" s="69"/>
      <c r="E911" s="31" t="s">
        <v>3257</v>
      </c>
      <c r="F911" s="37"/>
      <c r="G911" s="67"/>
      <c r="H911" s="67"/>
    </row>
    <row r="912" spans="1:8" ht="13.2">
      <c r="A912" s="65" t="str">
        <f>HYPERLINK("https://oj.uz/problem/view/JOI17_city","JOISC 17-city")</f>
        <v>JOISC 17-city</v>
      </c>
      <c r="B912" s="20" t="s">
        <v>7113</v>
      </c>
      <c r="C912" s="24">
        <v>7.5</v>
      </c>
      <c r="D912" s="65" t="str">
        <f>HYPERLINK("https://github.com/mostafa-saad/MyCompetitiveProgramming/blob/master/Olympiad/JOI/JOISC-17-city.txt","Sol")</f>
        <v>Sol</v>
      </c>
      <c r="E912" s="31" t="s">
        <v>3257</v>
      </c>
      <c r="F912" s="37" t="s">
        <v>154</v>
      </c>
      <c r="G912" s="67"/>
      <c r="H912" s="67"/>
    </row>
    <row r="913" spans="1:8" ht="13.2">
      <c r="A913" s="65" t="str">
        <f>HYPERLINK("https://oj.uz/problem/view/JOI19_meetings", "JOISC 19-Meetings")</f>
        <v>JOISC 19-Meetings</v>
      </c>
      <c r="B913" s="37" t="s">
        <v>7114</v>
      </c>
      <c r="C913" s="21">
        <v>7.5</v>
      </c>
      <c r="D913" s="69"/>
      <c r="E913" s="31" t="s">
        <v>3257</v>
      </c>
      <c r="F913" s="37" t="s">
        <v>139</v>
      </c>
      <c r="G913" s="67"/>
      <c r="H913" s="67"/>
    </row>
    <row r="914" spans="1:8" ht="13.2">
      <c r="A914" s="65" t="str">
        <f>HYPERLINK("https://oj.uz/problem/view/IOI16_shortcut","IOI 16-shortcut")</f>
        <v>IOI 16-shortcut</v>
      </c>
      <c r="B914" s="15" t="s">
        <v>7115</v>
      </c>
      <c r="C914" s="24">
        <v>7.5</v>
      </c>
      <c r="D914" s="65" t="str">
        <f>HYPERLINK("https://github.com/mostafa-saad/MyCompetitiveProgramming/blob/master/Olympiad/IOI/official/2016","Editorial")</f>
        <v>Editorial</v>
      </c>
      <c r="E914" s="31" t="s">
        <v>3257</v>
      </c>
      <c r="F914" s="37"/>
      <c r="G914" s="67"/>
      <c r="H914" s="67"/>
    </row>
    <row r="915" spans="1:8" ht="13.2">
      <c r="A915" s="65" t="str">
        <f>HYPERLINK("https://www.acmicpc.net/problem/12017","Balkan 15-Circus")</f>
        <v>Balkan 15-Circus</v>
      </c>
      <c r="B915" s="18" t="s">
        <v>7116</v>
      </c>
      <c r="C915" s="17">
        <v>7.5</v>
      </c>
      <c r="D915" s="65" t="str">
        <f>HYPERLINK("https://github.com/mostafa-saad/MyCompetitiveProgramming/tree/master/Olympiad/Balkan/official/2015","Sol (no editorial)")</f>
        <v>Sol (no editorial)</v>
      </c>
      <c r="E915" s="31" t="s">
        <v>3257</v>
      </c>
      <c r="F915" s="37"/>
      <c r="G915" s="67"/>
      <c r="H915" s="67"/>
    </row>
    <row r="916" spans="1:8" ht="13.2">
      <c r="A916" s="65" t="str">
        <f>HYPERLINK("https://contest.yandex.ru/ioi/contest/562/problems/C/","IOI 06-forbidden")</f>
        <v>IOI 06-forbidden</v>
      </c>
      <c r="B916" s="15" t="s">
        <v>7117</v>
      </c>
      <c r="C916" s="24">
        <v>7.5</v>
      </c>
      <c r="D916" s="65" t="str">
        <f>HYPERLINK("https://github.com/mostafa-saad/MyCompetitiveProgramming/blob/master/Olympiad/IOI/official/2006/ioi06_forbidden_sol.pdf","Editorial")</f>
        <v>Editorial</v>
      </c>
      <c r="E916" s="31" t="s">
        <v>3257</v>
      </c>
      <c r="F916" s="37"/>
      <c r="G916" s="67"/>
      <c r="H916" s="67"/>
    </row>
    <row r="917" spans="1:8" ht="13.2">
      <c r="A917" s="65" t="str">
        <f>HYPERLINK("https://oj.uz/problem/view/IOI17_books","IOI 17-books")</f>
        <v>IOI 17-books</v>
      </c>
      <c r="B917" s="15" t="s">
        <v>7118</v>
      </c>
      <c r="C917" s="24">
        <v>7.25</v>
      </c>
      <c r="D917" s="65" t="str">
        <f>HYPERLINK("https://github.com/mostafa-saad/MyCompetitiveProgramming/blob/master/Olympiad/IOI/official/2017","Editorial")</f>
        <v>Editorial</v>
      </c>
      <c r="E917" s="31" t="s">
        <v>3257</v>
      </c>
      <c r="F917" s="37" t="s">
        <v>154</v>
      </c>
      <c r="G917" s="67"/>
      <c r="H917" s="67"/>
    </row>
    <row r="918" spans="1:8" ht="13.2">
      <c r="A918" s="65" t="str">
        <f>HYPERLINK("https://oj.uz/problem/view/COI18_zagonetka","COI 18-zagonetka")</f>
        <v>COI 18-zagonetka</v>
      </c>
      <c r="B918" s="20" t="s">
        <v>3340</v>
      </c>
      <c r="C918" s="24">
        <v>7.25</v>
      </c>
      <c r="D918" s="69"/>
      <c r="E918" s="31" t="s">
        <v>3257</v>
      </c>
      <c r="F918" s="37"/>
      <c r="G918" s="67"/>
      <c r="H918" s="67"/>
    </row>
    <row r="919" spans="1:8" ht="13.2">
      <c r="A919" s="65" t="str">
        <f>HYPERLINK("https://dmoj.ca/problem/coci15c3p6","COCI 15-Domino")</f>
        <v>COCI 15-Domino</v>
      </c>
      <c r="B919" s="37" t="s">
        <v>7119</v>
      </c>
      <c r="C919" s="24">
        <v>7.1</v>
      </c>
      <c r="D919" s="65" t="str">
        <f>HYPERLINK("https://github.com/mostafa-saad/MyCompetitiveProgramming/blob/master/Olympiad/COCI/COCI-15-Domino.txt","Sol")</f>
        <v>Sol</v>
      </c>
      <c r="E919" s="31" t="s">
        <v>3257</v>
      </c>
      <c r="F919" s="37" t="s">
        <v>154</v>
      </c>
      <c r="G919" s="67"/>
      <c r="H919" s="67"/>
    </row>
    <row r="920" spans="1:8" ht="13.2">
      <c r="A920" s="65" t="str">
        <f>HYPERLINK("http://usaco.org/index.php?page=viewproblem2&amp;cpid=901", "USACO 19jan-exercise")</f>
        <v>USACO 19jan-exercise</v>
      </c>
      <c r="B920" s="20" t="s">
        <v>7120</v>
      </c>
      <c r="C920" s="21">
        <v>7.1</v>
      </c>
      <c r="D920" s="69"/>
      <c r="E920" s="31" t="s">
        <v>3257</v>
      </c>
      <c r="F920" s="37" t="s">
        <v>139</v>
      </c>
      <c r="G920" s="67"/>
      <c r="H920" s="67"/>
    </row>
    <row r="921" spans="1:8" ht="13.2">
      <c r="A921" s="65" t="str">
        <f>HYPERLINK("https://szkopul.edu.pl/problemset/problem/e9ycK_efBDBt4aPs-QeqYpwR/site/", "POI 14-Supercomputer")</f>
        <v>POI 14-Supercomputer</v>
      </c>
      <c r="B921" s="37" t="s">
        <v>7121</v>
      </c>
      <c r="C921" s="24">
        <v>7.1</v>
      </c>
      <c r="D921" s="65" t="str">
        <f>HYPERLINK("https://github.com/mostafa-saad/MyCompetitiveProgramming/blob/master/Olympiad/POI/POI-14-Supercomputer.txt","Sol")</f>
        <v>Sol</v>
      </c>
      <c r="E921" s="31" t="s">
        <v>3257</v>
      </c>
      <c r="F921" s="37" t="s">
        <v>139</v>
      </c>
      <c r="G921" s="67"/>
      <c r="H921" s="67"/>
    </row>
    <row r="922" spans="1:8" ht="13.2">
      <c r="A922" s="65" t="str">
        <f>HYPERLINK("https://oj.uz/problem/view/COI15_cvenk","COI 15-cvenk")</f>
        <v>COI 15-cvenk</v>
      </c>
      <c r="B922" s="20" t="s">
        <v>7122</v>
      </c>
      <c r="C922" s="24">
        <v>7</v>
      </c>
      <c r="D922" s="65" t="str">
        <f>HYPERLINK("https://github.com/mostafa-saad/MyCompetitiveProgramming/blob/master/Olympiad/COI/COI-15-cvenk.txt","Sol")</f>
        <v>Sol</v>
      </c>
      <c r="E922" s="31" t="s">
        <v>3257</v>
      </c>
      <c r="F922" s="37" t="s">
        <v>154</v>
      </c>
      <c r="G922" s="67"/>
      <c r="H922" s="67"/>
    </row>
    <row r="923" spans="1:8" ht="13.2">
      <c r="A923" s="65" t="str">
        <f>HYPERLINK("https://szkopul.edu.pl/problemset/problem/eC-cABL-jWd4JdZDmfWufeeQ/site/", "POI 05-Parties")</f>
        <v>POI 05-Parties</v>
      </c>
      <c r="B923" s="37" t="s">
        <v>7123</v>
      </c>
      <c r="C923" s="24">
        <v>7</v>
      </c>
      <c r="D923" s="65" t="str">
        <f>HYPERLINK("https://github.com/mostafa-saad/MyCompetitiveProgramming/blob/master/Olympiad/POI/POI-05-Parties.txt","Sol")</f>
        <v>Sol</v>
      </c>
      <c r="E923" s="31" t="s">
        <v>3257</v>
      </c>
      <c r="F923" s="37" t="s">
        <v>154</v>
      </c>
      <c r="G923" s="67"/>
      <c r="H923" s="67"/>
    </row>
    <row r="924" spans="1:8" ht="13.2">
      <c r="A924" s="65" t="str">
        <f>HYPERLINK("https://dunjudge.me/analysis/problems/1232/","APIO 11-Path")</f>
        <v>APIO 11-Path</v>
      </c>
      <c r="B924" s="20" t="s">
        <v>7124</v>
      </c>
      <c r="C924" s="17">
        <v>7</v>
      </c>
      <c r="D924" s="65" t="str">
        <f>HYPERLINK("https://github.com/mostafa-saad/MyCompetitiveProgramming/blob/master/Olympiad/APIO/APIO-11-Path.txt","Sol")</f>
        <v>Sol</v>
      </c>
      <c r="E924" s="31" t="s">
        <v>3257</v>
      </c>
      <c r="F924" s="37" t="s">
        <v>139</v>
      </c>
      <c r="G924" s="67"/>
      <c r="H924" s="67"/>
    </row>
    <row r="925" spans="1:8" ht="13.2">
      <c r="A925" s="65" t="str">
        <f>HYPERLINK("https://cses.fi/101/list/","Baltic 11-Mirroring")</f>
        <v>Baltic 11-Mirroring</v>
      </c>
      <c r="B925" s="37" t="s">
        <v>7125</v>
      </c>
      <c r="C925" s="24">
        <v>7</v>
      </c>
      <c r="D925" s="65" t="str">
        <f>HYPERLINK("https://github.com/mostafa-saad/MyCompetitiveProgramming/blob/master/Olympiad/Baltic/Baltic-11-Mirroring.txt","Sol")</f>
        <v>Sol</v>
      </c>
      <c r="E925" s="31" t="s">
        <v>3257</v>
      </c>
      <c r="F925" s="37" t="s">
        <v>201</v>
      </c>
      <c r="G925" s="67"/>
      <c r="H925" s="67"/>
    </row>
    <row r="926" spans="1:8" ht="13.2">
      <c r="A926" s="65" t="str">
        <f>HYPERLINK("https://szkopul.edu.pl/problemset/problem/cKsx92et8fGp6MOzI2HTNmQY/site/", "POI 04-Calgae")</f>
        <v>POI 04-Calgae</v>
      </c>
      <c r="B926" s="37" t="s">
        <v>7126</v>
      </c>
      <c r="C926" s="21">
        <v>7</v>
      </c>
      <c r="D926" s="65" t="str">
        <f>HYPERLINK("https://github.com/mostafa-saad/MyCompetitiveProgramming/blob/master/Olympiad/POI/official/find_editorial_sols_guidelines.txt","Editorial")</f>
        <v>Editorial</v>
      </c>
      <c r="E926" s="31" t="s">
        <v>3257</v>
      </c>
      <c r="F926" s="37"/>
      <c r="G926" s="67"/>
      <c r="H926" s="67"/>
    </row>
    <row r="927" spans="1:8" ht="13.2">
      <c r="A927" s="65" t="str">
        <f>HYPERLINK("https://www.hackerrank.com/contests/boi-2016/challenges","Balkan 16-Acrobat")</f>
        <v>Balkan 16-Acrobat</v>
      </c>
      <c r="B927" s="37" t="s">
        <v>7127</v>
      </c>
      <c r="C927" s="24">
        <v>7</v>
      </c>
      <c r="D927" s="65" t="str">
        <f>HYPERLINK("https://github.com/mostafa-saad/MyCompetitiveProgramming/tree/master/Olympiad/Balkan/official/2016","Sol (no editorial)")</f>
        <v>Sol (no editorial)</v>
      </c>
      <c r="E927" s="31" t="s">
        <v>3257</v>
      </c>
      <c r="F927" s="37"/>
      <c r="G927" s="67"/>
      <c r="H927" s="67"/>
    </row>
    <row r="928" spans="1:8" ht="13.2">
      <c r="A928" s="65" t="str">
        <f>HYPERLINK("https://wcipeg.com/problem/coci096p5","COCI 09-Holmes")</f>
        <v>COCI 09-Holmes</v>
      </c>
      <c r="B928" s="73" t="s">
        <v>7128</v>
      </c>
      <c r="C928" s="66">
        <v>7</v>
      </c>
      <c r="D928" s="65" t="str">
        <f>HYPERLINK("https://github.com/mostafa-saad/MyCompetitiveProgramming/blob/master/Olympiad/COCI/official/2010/contest6_solutions","Editorial")</f>
        <v>Editorial</v>
      </c>
      <c r="E928" s="31" t="s">
        <v>3257</v>
      </c>
      <c r="F928" s="37"/>
      <c r="G928" s="67"/>
      <c r="H928" s="67"/>
    </row>
    <row r="929" spans="1:8" ht="13.2">
      <c r="A929" s="65" t="str">
        <f>HYPERLINK("https://oj.uz/problem/view/COI19_izlet","COI 19-izlet")</f>
        <v>COI 19-izlet</v>
      </c>
      <c r="B929" s="37" t="s">
        <v>7129</v>
      </c>
      <c r="C929" s="24">
        <v>6.8</v>
      </c>
      <c r="D929" s="65" t="str">
        <f>HYPERLINK("https://codeforces.com/blog/entry/66506","Editorial")</f>
        <v>Editorial</v>
      </c>
      <c r="E929" s="31" t="s">
        <v>3257</v>
      </c>
      <c r="F929" s="37" t="s">
        <v>139</v>
      </c>
      <c r="G929" s="67"/>
      <c r="H929" s="67"/>
    </row>
    <row r="930" spans="1:8" ht="13.2">
      <c r="A930" s="65" t="str">
        <f>HYPERLINK("https://szkopul.edu.pl/problemset/problem/_qn633f6DVAHRkv0OX3LQaph/site/", "POI 12-Salaries")</f>
        <v>POI 12-Salaries</v>
      </c>
      <c r="B930" s="37" t="s">
        <v>3284</v>
      </c>
      <c r="C930" s="24">
        <v>6.75</v>
      </c>
      <c r="D930" s="65" t="str">
        <f>HYPERLINK("https://github.com/mostafa-saad/MyCompetitiveProgramming/blob/master/Olympiad/POI/POI-12-Salaries.txt","Sol")</f>
        <v>Sol</v>
      </c>
      <c r="E930" s="31" t="s">
        <v>3257</v>
      </c>
      <c r="F930" s="37" t="s">
        <v>154</v>
      </c>
      <c r="G930" s="67"/>
      <c r="H930" s="67"/>
    </row>
    <row r="931" spans="1:8" ht="13.2">
      <c r="A931" s="65" t="str">
        <f>HYPERLINK("https://www.infoarena.ro/problema/shgraf","infoarena shgraf")</f>
        <v>infoarena shgraf</v>
      </c>
      <c r="B931" s="37" t="s">
        <v>7130</v>
      </c>
      <c r="C931" s="24">
        <v>6.75</v>
      </c>
      <c r="D931" s="65" t="str">
        <f>HYPERLINK("https://github.com/mostafa-saad/MyCompetitiveProgramming/blob/master/Olympiad/infoarena/infoarena_shgraf.txt","Sol")</f>
        <v>Sol</v>
      </c>
      <c r="E931" s="31" t="s">
        <v>3257</v>
      </c>
      <c r="F931" s="37" t="s">
        <v>139</v>
      </c>
      <c r="G931" s="67"/>
      <c r="H931" s="67"/>
    </row>
    <row r="932" spans="1:8" ht="13.2">
      <c r="A932" s="65" t="str">
        <f>HYPERLINK("https://szkopul.edu.pl/problemset/problem/7Tut6VBMo0evZZ34EhdNuuOm/site/", "POI 06-Sophie")</f>
        <v>POI 06-Sophie</v>
      </c>
      <c r="B932" s="37" t="s">
        <v>7131</v>
      </c>
      <c r="C932" s="24">
        <v>6.75</v>
      </c>
      <c r="D932" s="65" t="str">
        <f>HYPERLINK("https://github.com/mostafa-saad/MyCompetitiveProgramming/blob/master/Olympiad/POI/POI-06-Sophie.txt","Sol")</f>
        <v>Sol</v>
      </c>
      <c r="E932" s="31" t="s">
        <v>3257</v>
      </c>
      <c r="F932" s="37" t="s">
        <v>201</v>
      </c>
      <c r="G932" s="67"/>
      <c r="H932" s="67"/>
    </row>
    <row r="933" spans="1:8" ht="13.2">
      <c r="A933" s="65" t="str">
        <f>HYPERLINK("https://szkopul.edu.pl/problemset/problem/J5f8YHtUsaMdtOdfx0QoHKe0/site/?key=statement","POI 14-AntColony_Mro")</f>
        <v>POI 14-AntColony_Mro</v>
      </c>
      <c r="B933" s="76" t="s">
        <v>7132</v>
      </c>
      <c r="C933" s="77">
        <v>6.75</v>
      </c>
      <c r="D933" s="69"/>
      <c r="E933" s="31" t="s">
        <v>3257</v>
      </c>
      <c r="F933" s="37"/>
      <c r="G933" s="67"/>
      <c r="H933" s="67"/>
    </row>
    <row r="934" spans="1:8" ht="13.2">
      <c r="A934" s="65" t="str">
        <f>HYPERLINK("https://open.kattis.com/problem-sources/Baltic%20Olympiad%20in%20Informatics%202017%2C%20Day%201","Baltic 17-PoliticalDevelopment")</f>
        <v>Baltic 17-PoliticalDevelopment</v>
      </c>
      <c r="B934" s="18" t="s">
        <v>7133</v>
      </c>
      <c r="C934" s="17">
        <v>6.6</v>
      </c>
      <c r="D934" s="65" t="str">
        <f>HYPERLINK("https://github.com/mostafa-saad/MyCompetitiveProgramming/blob/master/Olympiad/Baltic/Baltic-17-PoliticalDevelopment.txt","Sol")</f>
        <v>Sol</v>
      </c>
      <c r="E934" s="31" t="s">
        <v>3257</v>
      </c>
      <c r="F934" s="37" t="s">
        <v>139</v>
      </c>
      <c r="G934" s="67"/>
      <c r="H934" s="67"/>
    </row>
    <row r="935" spans="1:8" ht="13.2">
      <c r="A935" s="65" t="str">
        <f>HYPERLINK("https://oj.uz/problem/view/BOI16_park","Baltic 16-park")</f>
        <v>Baltic 16-park</v>
      </c>
      <c r="B935" s="23" t="s">
        <v>7134</v>
      </c>
      <c r="C935" s="24">
        <v>6.5</v>
      </c>
      <c r="D935" s="65" t="str">
        <f>HYPERLINK("https://github.com/mostafa-saad/MyCompetitiveProgramming/blob/master/Olympiad/Baltic/Baltic-16-park.txt","Sol")</f>
        <v>Sol</v>
      </c>
      <c r="E935" s="31" t="s">
        <v>3257</v>
      </c>
      <c r="F935" s="37" t="s">
        <v>139</v>
      </c>
      <c r="G935" s="67"/>
      <c r="H935" s="67"/>
    </row>
    <row r="936" spans="1:8" ht="13.2">
      <c r="A936" s="65" t="str">
        <f>HYPERLINK("https://infoarena.ro/problema/maxdist","infoarena maxdist")</f>
        <v>infoarena maxdist</v>
      </c>
      <c r="B936" s="37" t="s">
        <v>7135</v>
      </c>
      <c r="C936" s="24">
        <v>6.5</v>
      </c>
      <c r="D936" s="65" t="str">
        <f>HYPERLINK("https://github.com/mostafa-saad/MyCompetitiveProgramming/blob/master/Olympiad/infoarena/infoarena_maxdist.txt","Sol")</f>
        <v>Sol</v>
      </c>
      <c r="E936" s="31" t="s">
        <v>3257</v>
      </c>
      <c r="F936" s="37" t="s">
        <v>139</v>
      </c>
      <c r="G936" s="67"/>
      <c r="H936" s="67"/>
    </row>
    <row r="937" spans="1:8" ht="13.2">
      <c r="A937" s="65" t="str">
        <f>HYPERLINK("https://www.acmicpc.net/problem/2209","IOI 02-Bus")</f>
        <v>IOI 02-Bus</v>
      </c>
      <c r="B937" s="20" t="s">
        <v>7136</v>
      </c>
      <c r="C937" s="24">
        <v>6.5</v>
      </c>
      <c r="D937" s="65" t="str">
        <f>HYPERLINK("https://github.com/mostafa-saad/MyCompetitiveProgramming/blob/master/Olympiad/IOI/IOI-02-Bus.txt","Sol")</f>
        <v>Sol</v>
      </c>
      <c r="E937" s="31" t="s">
        <v>3257</v>
      </c>
      <c r="F937" s="37" t="s">
        <v>139</v>
      </c>
      <c r="G937" s="67"/>
      <c r="H937" s="67"/>
    </row>
    <row r="938" spans="1:8" ht="13.2">
      <c r="A938" s="65" t="str">
        <f>HYPERLINK("https://dmoj.ca/problem/mcco17p3","CCO 17-Connection")</f>
        <v>CCO 17-Connection</v>
      </c>
      <c r="B938" s="37" t="s">
        <v>7137</v>
      </c>
      <c r="C938" s="24">
        <v>6.5</v>
      </c>
      <c r="D938" s="65" t="str">
        <f>HYPERLINK("https://github.com/thecodingwizard/competitive-programming/blob/master/DMOJ/CCO%2017-Connection.cpp","Sol")</f>
        <v>Sol</v>
      </c>
      <c r="E938" s="31" t="s">
        <v>3257</v>
      </c>
      <c r="F938" s="37" t="s">
        <v>139</v>
      </c>
      <c r="G938" s="67"/>
      <c r="H938" s="67"/>
    </row>
    <row r="939" spans="1:8" ht="13.2">
      <c r="A939" s="65" t="str">
        <f>HYPERLINK("https://oj.uz/problem/view/JOI17_amusement_park","JOIOC 17-amusementPark")</f>
        <v>JOIOC 17-amusementPark</v>
      </c>
      <c r="B939" s="37" t="s">
        <v>7138</v>
      </c>
      <c r="C939" s="24">
        <v>6.5</v>
      </c>
      <c r="D939" s="65" t="str">
        <f>HYPERLINK("https://github.com/mostafa-saad/MyCompetitiveProgramming/blob/master/Olympiad/JOI/JOIOC-17-amusementPark.txt","Sol")</f>
        <v>Sol</v>
      </c>
      <c r="E939" s="31" t="s">
        <v>3257</v>
      </c>
      <c r="F939" s="37"/>
      <c r="G939" s="67"/>
      <c r="H939" s="67"/>
    </row>
    <row r="940" spans="1:8" ht="13.2">
      <c r="A940" s="65" t="str">
        <f>HYPERLINK("https://szkopul.edu.pl/problemset/problem/YXgT8J1eHCc3h8z5RW69thmy/site/?key=statement","POI 13-Tower_Defense_Game")</f>
        <v>POI 13-Tower_Defense_Game</v>
      </c>
      <c r="B940" s="20" t="s">
        <v>3256</v>
      </c>
      <c r="C940" s="17">
        <v>6.5</v>
      </c>
      <c r="D940" s="65" t="str">
        <f>HYPERLINK("https://github.com/mostafa-saad/MyCompetitiveProgramming/blob/master/Olympiad/POI/official/find_editorial_sols_guidelines.txt","Editorial")</f>
        <v>Editorial</v>
      </c>
      <c r="E940" s="31" t="s">
        <v>3257</v>
      </c>
      <c r="F940" s="37"/>
      <c r="G940" s="67"/>
      <c r="H940" s="67"/>
    </row>
    <row r="941" spans="1:8" ht="13.2">
      <c r="A941" s="65" t="str">
        <f>HYPERLINK("https://szkopul.edu.pl/problemset/problem/vvd6w7n7EXFVEg3nkqGxEirV/site/?key=statement","POI 18-Plan_Metra")</f>
        <v>POI 18-Plan_Metra</v>
      </c>
      <c r="B941" s="20" t="s">
        <v>3282</v>
      </c>
      <c r="C941" s="17">
        <v>6.4</v>
      </c>
      <c r="D941" s="65" t="str">
        <f>HYPERLINK("https://github.com/mostafa-saad/MyCompetitiveProgramming/blob/master/Olympiad/POI/POI-18-Plan_Metra.txt","Sol")</f>
        <v>Sol</v>
      </c>
      <c r="E941" s="31" t="s">
        <v>3257</v>
      </c>
      <c r="F941" s="37" t="s">
        <v>139</v>
      </c>
      <c r="G941" s="67"/>
      <c r="H941" s="67"/>
    </row>
    <row r="942" spans="1:8" ht="13.2">
      <c r="A942" s="65" t="str">
        <f>HYPERLINK("https://oj.uz/problem/view/COCI16_mag","COCI 16-mag")</f>
        <v>COCI 16-mag</v>
      </c>
      <c r="B942" s="20" t="s">
        <v>7139</v>
      </c>
      <c r="C942" s="24">
        <v>6.3</v>
      </c>
      <c r="D942" s="65" t="str">
        <f>HYPERLINK("https://github.com/mostafa-saad/MyCompetitiveProgramming/blob/master/Olympiad/COCI/COCI-16-mag.txt","Sol")</f>
        <v>Sol</v>
      </c>
      <c r="E942" s="31" t="s">
        <v>3257</v>
      </c>
      <c r="F942" s="37" t="s">
        <v>139</v>
      </c>
      <c r="G942" s="67"/>
      <c r="H942" s="67"/>
    </row>
    <row r="943" spans="1:8" ht="13.2">
      <c r="A943" s="65" t="str">
        <f>HYPERLINK("https://szkopul.edu.pl/problemset/problem/KiL8P3oSgImWGI5GT4QMCQpO/site/", "POI 04-East_West")</f>
        <v>POI 04-East_West</v>
      </c>
      <c r="B943" s="37" t="s">
        <v>7140</v>
      </c>
      <c r="C943" s="24">
        <v>6.3</v>
      </c>
      <c r="D943" s="65" t="str">
        <f>HYPERLINK("https://github.com/mostafa-saad/MyCompetitiveProgramming/blob/master/Olympiad/POI/POI-04-East_West.txt","Sol")</f>
        <v>Sol</v>
      </c>
      <c r="E943" s="31" t="s">
        <v>3257</v>
      </c>
      <c r="F943" s="37" t="s">
        <v>139</v>
      </c>
      <c r="G943" s="67"/>
      <c r="H943" s="67"/>
    </row>
    <row r="944" spans="1:8" ht="13.2">
      <c r="A944" s="65" t="str">
        <f>HYPERLINK("https://oj.uz/problem/view/COI14_mostovi","COI 14-mostovi")</f>
        <v>COI 14-mostovi</v>
      </c>
      <c r="B944" s="20" t="s">
        <v>7141</v>
      </c>
      <c r="C944" s="24">
        <v>6.3</v>
      </c>
      <c r="D944" s="65" t="str">
        <f>HYPERLINK("https://github.com/mostafa-saad/MyCompetitiveProgramming/tree/master/Olympiad/COI/official/2014","Editorial")</f>
        <v>Editorial</v>
      </c>
      <c r="E944" s="31" t="s">
        <v>3257</v>
      </c>
      <c r="F944" s="37" t="s">
        <v>201</v>
      </c>
      <c r="G944" s="67"/>
      <c r="H944" s="67"/>
    </row>
    <row r="945" spans="1:8" ht="13.2">
      <c r="A945" s="65" t="str">
        <f>HYPERLINK("https://www.infoarena.ro/problema/curent","infoarena curent")</f>
        <v>infoarena curent</v>
      </c>
      <c r="B945" s="20" t="s">
        <v>7142</v>
      </c>
      <c r="C945" s="17">
        <v>6.3</v>
      </c>
      <c r="D945" s="65" t="str">
        <f>HYPERLINK("https://github.com/stefdasca/CompetitiveProgramming/blob/master/Infoarena/curent.cpp","Sol")</f>
        <v>Sol</v>
      </c>
      <c r="E945" s="31" t="s">
        <v>3257</v>
      </c>
      <c r="F945" s="37"/>
      <c r="G945" s="67"/>
      <c r="H945" s="67"/>
    </row>
    <row r="946" spans="1:8" ht="13.2">
      <c r="A946" s="65" t="str">
        <f>HYPERLINK("https://oj.uz/problem/view/IOI14_friend","IOI 14-friend")</f>
        <v>IOI 14-friend</v>
      </c>
      <c r="B946" s="15" t="s">
        <v>7143</v>
      </c>
      <c r="C946" s="17">
        <v>6.25</v>
      </c>
      <c r="D946" s="65" t="str">
        <f>HYPERLINK("https://github.com/mostafa-saad/MyCompetitiveProgramming/blob/master/Olympiad/IOI/IOI-14-friend.txt","Sol")</f>
        <v>Sol</v>
      </c>
      <c r="E946" s="31" t="s">
        <v>3257</v>
      </c>
      <c r="F946" s="37" t="s">
        <v>1053</v>
      </c>
      <c r="G946" s="67"/>
      <c r="H946" s="67"/>
    </row>
    <row r="947" spans="1:8" ht="13.2">
      <c r="A947" s="65" t="str">
        <f>HYPERLINK("https://oj.uz/problem/view/JOI19_mergers", "JOISC 19-Mergers")</f>
        <v>JOISC 19-Mergers</v>
      </c>
      <c r="B947" s="20" t="s">
        <v>7144</v>
      </c>
      <c r="C947" s="21">
        <v>6.25</v>
      </c>
      <c r="D947" s="65" t="str">
        <f>HYPERLINK("https://github.com/mostafa-saad/MyCompetitiveProgramming/blob/master/Olympiad/JOI/JOISC-19-Mergers.txt","Sol")</f>
        <v>Sol</v>
      </c>
      <c r="E947" s="31" t="s">
        <v>3257</v>
      </c>
      <c r="F947" s="37" t="s">
        <v>139</v>
      </c>
      <c r="G947" s="67"/>
      <c r="H947" s="67"/>
    </row>
    <row r="948" spans="1:8" ht="13.2">
      <c r="A948" s="65" t="str">
        <f>HYPERLINK("https://cses.fi/194/list/","CEOI 16-router")</f>
        <v>CEOI 16-router</v>
      </c>
      <c r="B948" s="37" t="s">
        <v>7145</v>
      </c>
      <c r="C948" s="17">
        <v>6.25</v>
      </c>
      <c r="D948" s="65" t="str">
        <f>HYPERLINK("https://github.com/SpeedOfMagic/CompetitiveProgramming/blob/master/CEOI/16-router.txt","Sol")</f>
        <v>Sol</v>
      </c>
      <c r="E948" s="31" t="s">
        <v>3257</v>
      </c>
      <c r="F948" s="37" t="s">
        <v>139</v>
      </c>
      <c r="G948" s="67"/>
      <c r="H948" s="67"/>
    </row>
    <row r="949" spans="1:8" ht="13.2">
      <c r="A949" s="65" t="str">
        <f>HYPERLINK("https://oj.uz/problem/view/COI17_ili","COI 17-ili")</f>
        <v>COI 17-ili</v>
      </c>
      <c r="B949" s="20" t="s">
        <v>7146</v>
      </c>
      <c r="C949" s="24">
        <v>6.25</v>
      </c>
      <c r="D949" s="65" t="str">
        <f>HYPERLINK("https://github.com/mostafa-saad/MyCompetitiveProgramming/blob/master/Olympiad/COI/COI 17-ili.txt","Sol")</f>
        <v>Sol</v>
      </c>
      <c r="E949" s="31" t="s">
        <v>3257</v>
      </c>
      <c r="F949" s="37" t="s">
        <v>139</v>
      </c>
      <c r="G949" s="67"/>
      <c r="H949" s="67"/>
    </row>
    <row r="950" spans="1:8" ht="13.2">
      <c r="A950" s="65" t="str">
        <f>HYPERLINK("https://dmoj.ca/problem/coci14c1p6","COCI 14-Kamp")</f>
        <v>COCI 14-Kamp</v>
      </c>
      <c r="B950" s="37" t="s">
        <v>7147</v>
      </c>
      <c r="C950" s="24">
        <v>6.25</v>
      </c>
      <c r="D950" s="65" t="str">
        <f>HYPERLINK("https://github.com/mostafa-saad/MyCompetitiveProgramming/blob/master/Olympiad/COCI/COCI-14-Kamp.txt","Sol")</f>
        <v>Sol</v>
      </c>
      <c r="E950" s="31" t="s">
        <v>3257</v>
      </c>
      <c r="F950" s="37" t="s">
        <v>201</v>
      </c>
      <c r="G950" s="67"/>
      <c r="H950" s="67"/>
    </row>
    <row r="951" spans="1:8" ht="13.2">
      <c r="A951" s="65" t="str">
        <f>HYPERLINK("https://oj.uz/problem/view/IZhO14_shymbulak","IZhO 14-shymbulak")</f>
        <v>IZhO 14-shymbulak</v>
      </c>
      <c r="B951" s="20" t="s">
        <v>7148</v>
      </c>
      <c r="C951" s="24">
        <v>6.1</v>
      </c>
      <c r="D951" s="65" t="str">
        <f>HYPERLINK("https://github.com/tmwilliamlin168/CompetitiveProgramming/blob/master/IZhO/14-Shymbulak.cpp", "Sol")</f>
        <v>Sol</v>
      </c>
      <c r="E951" s="31" t="s">
        <v>3257</v>
      </c>
      <c r="F951" s="37"/>
      <c r="G951" s="67"/>
      <c r="H951" s="67"/>
    </row>
    <row r="952" spans="1:8" ht="13.2">
      <c r="A952" s="65" t="str">
        <f>HYPERLINK("https://open.kattis.com/problem-sources/Baltic%20Olympiad%20in%20Informatics%202017%2C%20Day%201","Baltic 17-Railway")</f>
        <v>Baltic 17-Railway</v>
      </c>
      <c r="B952" s="18" t="s">
        <v>7149</v>
      </c>
      <c r="C952" s="24">
        <v>6</v>
      </c>
      <c r="D952" s="65" t="str">
        <f>HYPERLINK("https://github.com/mostafa-saad/MyCompetitiveProgramming/blob/master/Olympiad/Baltic/Baltic-17-Railway.txt","Sol")</f>
        <v>Sol</v>
      </c>
      <c r="E952" s="31" t="s">
        <v>3257</v>
      </c>
      <c r="F952" s="37" t="s">
        <v>196</v>
      </c>
      <c r="G952" s="67"/>
      <c r="H952" s="67"/>
    </row>
    <row r="953" spans="1:8" ht="13.2">
      <c r="A953" s="65" t="str">
        <f>HYPERLINK("https://dmoj.ca/problem/apio12p1", "APIO 12-Dispatching")</f>
        <v>APIO 12-Dispatching</v>
      </c>
      <c r="B953" s="20" t="s">
        <v>7150</v>
      </c>
      <c r="C953" s="17">
        <v>6</v>
      </c>
      <c r="D953" s="65" t="str">
        <f>HYPERLINK("https://github.com/mostafa-saad/MyCompetitiveProgramming/blob/master/Olympiad/APIO/APIO-12-Dispatching.txt","Sol")</f>
        <v>Sol</v>
      </c>
      <c r="E953" s="31" t="s">
        <v>3257</v>
      </c>
      <c r="F953" s="37" t="s">
        <v>139</v>
      </c>
      <c r="G953" s="67"/>
      <c r="H953" s="67"/>
    </row>
    <row r="954" spans="1:8" ht="13.2">
      <c r="A954" s="65" t="str">
        <f>HYPERLINK("https://szkopul.edu.pl/portal/problemset_eng/oi/21","POI 14-FarmCraft")</f>
        <v>POI 14-FarmCraft</v>
      </c>
      <c r="B954" s="20" t="s">
        <v>7151</v>
      </c>
      <c r="C954" s="17">
        <v>6</v>
      </c>
      <c r="D954" s="65" t="str">
        <f>HYPERLINK("https://github.com/mostafa-saad/MyCompetitiveProgramming/blob/master/Olympiad/POI/POI-14-FarmCraft.txt","Sol")</f>
        <v>Sol</v>
      </c>
      <c r="E954" s="31" t="s">
        <v>3257</v>
      </c>
      <c r="F954" s="37" t="s">
        <v>613</v>
      </c>
      <c r="G954" s="67"/>
      <c r="H954" s="67"/>
    </row>
    <row r="955" spans="1:8" ht="13.2">
      <c r="A955" s="65" t="str">
        <f>HYPERLINK("https://www.hackerrank.com/contests/boi-2016/challenges","Balkan 16-Conference")</f>
        <v>Balkan 16-Conference</v>
      </c>
      <c r="B955" s="18" t="s">
        <v>7152</v>
      </c>
      <c r="C955" s="17">
        <v>6</v>
      </c>
      <c r="D955" s="65" t="str">
        <f>HYPERLINK("https://github.com/mostafa-saad/MyCompetitiveProgramming/blob/master/Olympiad/Balkan/Balkan-16-Conference.txt","Sol")</f>
        <v>Sol</v>
      </c>
      <c r="E955" s="31" t="s">
        <v>3257</v>
      </c>
      <c r="F955" s="37" t="s">
        <v>201</v>
      </c>
      <c r="G955" s="67"/>
      <c r="H955" s="67"/>
    </row>
    <row r="956" spans="1:8" ht="13.2">
      <c r="A956" s="65" t="str">
        <f>HYPERLINK("https://szkopul.edu.pl/problemset/problem/kqBM3UKWL-qlFiXIOxPXL35m/site/","POI 17-Sports")</f>
        <v>POI 17-Sports</v>
      </c>
      <c r="B956" s="37" t="s">
        <v>7153</v>
      </c>
      <c r="C956" s="24">
        <v>6</v>
      </c>
      <c r="D956" s="65" t="str">
        <f>HYPERLINK("https://github.com/Shash-Wat/competitive-programming/blob/master/POI/poi_sport.cpp","Sol (no editorial)")</f>
        <v>Sol (no editorial)</v>
      </c>
      <c r="E956" s="31" t="s">
        <v>3257</v>
      </c>
      <c r="F956" s="37" t="s">
        <v>201</v>
      </c>
      <c r="G956" s="67"/>
      <c r="H956" s="67"/>
    </row>
    <row r="957" spans="1:8" ht="13.2">
      <c r="A957" s="65" t="str">
        <f>HYPERLINK("https://dmoj.ca/problem/coci14c1p4","COCI 14-Mafija")</f>
        <v>COCI 14-Mafija</v>
      </c>
      <c r="B957" s="37" t="s">
        <v>7154</v>
      </c>
      <c r="C957" s="24">
        <v>6</v>
      </c>
      <c r="D957" s="65" t="str">
        <f>HYPERLINK("https://github.com/mostafa-saad/MyCompetitiveProgramming/blob/master/Olympiad/COCI/COCI-14-Mafija.txt","Sol")</f>
        <v>Sol</v>
      </c>
      <c r="E957" s="31" t="s">
        <v>3257</v>
      </c>
      <c r="F957" s="37"/>
      <c r="G957" s="67"/>
      <c r="H957" s="67"/>
    </row>
    <row r="958" spans="1:8" ht="13.2">
      <c r="A958" s="65" t="str">
        <f>HYPERLINK("https://joisc2013-day4.contest.atcoder.jp/tasks/joisc2013_presents","JOISC 13-Presents")</f>
        <v>JOISC 13-Presents</v>
      </c>
      <c r="B958" s="20" t="s">
        <v>7155</v>
      </c>
      <c r="C958" s="24">
        <v>6</v>
      </c>
      <c r="D958" s="69"/>
      <c r="E958" s="31" t="s">
        <v>3257</v>
      </c>
      <c r="F958" s="37"/>
      <c r="G958" s="67"/>
      <c r="H958" s="67"/>
    </row>
    <row r="959" spans="1:8" ht="13.2">
      <c r="A959" s="65" t="str">
        <f>HYPERLINK("https://szkopul.edu.pl/problemset/problem/JyanwtKuk_ER10eZ7Yv0q72d/site/", "POI 04-Strings")</f>
        <v>POI 04-Strings</v>
      </c>
      <c r="B959" s="37" t="s">
        <v>3340</v>
      </c>
      <c r="C959" s="24">
        <v>5.75</v>
      </c>
      <c r="D959" s="65" t="str">
        <f>HYPERLINK("https://github.com/mostafa-saad/MyCompetitiveProgramming/blob/master/Olympiad/POI/official/find_editorial_sols_guidelines.txt","Editorial")</f>
        <v>Editorial</v>
      </c>
      <c r="E959" s="31" t="s">
        <v>3257</v>
      </c>
      <c r="F959" s="37"/>
      <c r="G959" s="67"/>
      <c r="H959" s="67"/>
    </row>
    <row r="960" spans="1:8" ht="13.2">
      <c r="A960" s="65" t="str">
        <f>HYPERLINK("https://szkopul.edu.pl/problemset/problem/cB5m-M5ddsFOWLds2CwcYKge/site/", "POI 05-Double_Row")</f>
        <v>POI 05-Double_Row</v>
      </c>
      <c r="B960" s="23" t="s">
        <v>7156</v>
      </c>
      <c r="C960" s="24">
        <v>5.5</v>
      </c>
      <c r="D960" s="65" t="str">
        <f>HYPERLINK("https://github.com/mostafa-saad/MyCompetitiveProgramming/blob/master/Olympiad/POI/POI-05-Double_Row.txt","Sol")</f>
        <v>Sol</v>
      </c>
      <c r="E960" s="31" t="s">
        <v>3257</v>
      </c>
      <c r="F960" s="37" t="s">
        <v>139</v>
      </c>
      <c r="G960" s="67"/>
      <c r="H960" s="67"/>
    </row>
    <row r="961" spans="1:8" ht="13.2">
      <c r="A961" s="65" t="str">
        <f>HYPERLINK("https://www.infoarena.ro/problema/color5","infoarena color5")</f>
        <v>infoarena color5</v>
      </c>
      <c r="B961" s="20" t="s">
        <v>3398</v>
      </c>
      <c r="C961" s="21">
        <v>5.5</v>
      </c>
      <c r="D961" s="69"/>
      <c r="E961" s="31" t="s">
        <v>3257</v>
      </c>
      <c r="F961" s="37" t="s">
        <v>201</v>
      </c>
      <c r="G961" s="67"/>
      <c r="H961" s="67"/>
    </row>
    <row r="962" spans="1:8" ht="13.2">
      <c r="A962" s="65" t="str">
        <f>HYPERLINK("https://dunjudge.me/analysis/problems/727/","IOI 00-car")</f>
        <v>IOI 00-car</v>
      </c>
      <c r="B962" s="20" t="s">
        <v>7157</v>
      </c>
      <c r="C962" s="24">
        <v>5.5</v>
      </c>
      <c r="D962" s="65" t="str">
        <f>HYPERLINK("https://github.com/mostafa-saad/MyCompetitiveProgramming/blob/master/Olympiad/IOI/official/2000","Editorial")</f>
        <v>Editorial</v>
      </c>
      <c r="E962" s="31" t="s">
        <v>3257</v>
      </c>
      <c r="F962" s="37"/>
      <c r="G962" s="67"/>
      <c r="H962" s="67"/>
    </row>
    <row r="963" spans="1:8" ht="13.2">
      <c r="A963" s="65" t="str">
        <f>HYPERLINK("https://dmoj.ca/problem/coci06c4p5","COCI 06-Jogurt")</f>
        <v>COCI 06-Jogurt</v>
      </c>
      <c r="B963" s="15" t="s">
        <v>3264</v>
      </c>
      <c r="C963" s="24">
        <v>5.25</v>
      </c>
      <c r="D963" s="65" t="str">
        <f>HYPERLINK("https://github.com/mostafa-saad/MyCompetitiveProgramming/blob/master/Olympiad/COCI/COCI-06-Jogurt.txt","Sol")</f>
        <v>Sol</v>
      </c>
      <c r="E963" s="31" t="s">
        <v>3257</v>
      </c>
      <c r="F963" s="37" t="s">
        <v>139</v>
      </c>
      <c r="G963" s="67"/>
      <c r="H963" s="67"/>
    </row>
    <row r="964" spans="1:8" ht="13.2">
      <c r="A964" s="65" t="str">
        <f>HYPERLINK("https://dmoj.ca/problem/coci08c3p5","COCI 08-BST")</f>
        <v>COCI 08-BST</v>
      </c>
      <c r="B964" s="15" t="s">
        <v>7158</v>
      </c>
      <c r="C964" s="24">
        <v>5.0999999999999996</v>
      </c>
      <c r="D964" s="65" t="str">
        <f>HYPERLINK("https://github.com/mostafa-saad/MyCompetitiveProgramming/blob/master/Olympiad/COCI/COCI-08-BST.txt","Sol")</f>
        <v>Sol</v>
      </c>
      <c r="E964" s="31" t="s">
        <v>3257</v>
      </c>
      <c r="F964" s="37" t="s">
        <v>139</v>
      </c>
      <c r="G964" s="67"/>
      <c r="H964" s="67"/>
    </row>
    <row r="965" spans="1:8" ht="13.2">
      <c r="A965" s="65" t="str">
        <f>HYPERLINK("https://szkopul.edu.pl/problemset/problem/TJVrS_hRC8W5Q6ZBW6mETAIm/site/", "POI 10-Railway")</f>
        <v>POI 10-Railway</v>
      </c>
      <c r="B965" s="37" t="s">
        <v>3340</v>
      </c>
      <c r="C965" s="24">
        <v>5</v>
      </c>
      <c r="D965" s="65" t="str">
        <f>HYPERLINK("https://github.com/mostafa-saad/MyCompetitiveProgramming/blob/master/Olympiad/POI/official/find_editorial_sols_guidelines.txt","Editorial")</f>
        <v>Editorial</v>
      </c>
      <c r="E965" s="31" t="s">
        <v>3257</v>
      </c>
      <c r="F965" s="37" t="s">
        <v>154</v>
      </c>
      <c r="G965" s="67"/>
      <c r="H965" s="67"/>
    </row>
    <row r="966" spans="1:8" ht="13.2">
      <c r="A966" s="65" t="str">
        <f>HYPERLINK("https://szkopul.edu.pl/problemset/problem/big2NUEzhdCqgGj0wGBjbw14/site/", "POI 07-Megalopolis")</f>
        <v>POI 07-Megalopolis</v>
      </c>
      <c r="B966" s="37" t="s">
        <v>7159</v>
      </c>
      <c r="C966" s="24">
        <v>5</v>
      </c>
      <c r="D966" s="65" t="str">
        <f>HYPERLINK("https://github.com/mostafa-saad/MyCompetitiveProgramming/blob/master/Olympiad/POI/POI-07-Megalopolis.txt","Sol")</f>
        <v>Sol</v>
      </c>
      <c r="E966" s="31" t="s">
        <v>3257</v>
      </c>
      <c r="F966" s="37" t="s">
        <v>139</v>
      </c>
      <c r="G966" s="67"/>
      <c r="H966" s="67"/>
    </row>
    <row r="967" spans="1:8" ht="13.2">
      <c r="A967" s="65" t="str">
        <f>HYPERLINK("https://dunjudge.me/analysis/problems/1227/","NOI 17-roadside_adverts")</f>
        <v>NOI 17-roadside_adverts</v>
      </c>
      <c r="B967" s="37" t="s">
        <v>7160</v>
      </c>
      <c r="C967" s="24">
        <v>5</v>
      </c>
      <c r="D967" s="65" t="str">
        <f>HYPERLINK("https://github.com/mostafa-saad/MyCompetitiveProgramming/blob/master/Olympiad/NOI/official","Editorial")</f>
        <v>Editorial</v>
      </c>
      <c r="E967" s="31" t="s">
        <v>3257</v>
      </c>
      <c r="F967" s="37" t="s">
        <v>201</v>
      </c>
      <c r="G967" s="67"/>
      <c r="H967" s="67"/>
    </row>
    <row r="968" spans="1:8" ht="13.2">
      <c r="A968" s="65" t="str">
        <f>HYPERLINK("https://oj.uz/problem/view/COI16_dijament","COI 16-dijament")</f>
        <v>COI 16-dijament</v>
      </c>
      <c r="B968" s="20" t="s">
        <v>7161</v>
      </c>
      <c r="C968" s="24">
        <v>5</v>
      </c>
      <c r="D968" s="65" t="str">
        <f>HYPERLINK("https://github.com/mostafa-saad/MyCompetitiveProgramming/tree/master/Olympiad/COI/official/2016","Editorial")</f>
        <v>Editorial</v>
      </c>
      <c r="E968" s="31" t="s">
        <v>3257</v>
      </c>
      <c r="F968" s="37" t="s">
        <v>201</v>
      </c>
      <c r="G968" s="67"/>
      <c r="H968" s="67"/>
    </row>
    <row r="969" spans="1:8" ht="13.2">
      <c r="A969" s="65" t="str">
        <f>HYPERLINK("https://dmoj.ca/problem/ccc15s4","CCC 15-Convex_Hull")</f>
        <v>CCC 15-Convex_Hull</v>
      </c>
      <c r="B969" s="37" t="s">
        <v>3256</v>
      </c>
      <c r="C969" s="24">
        <v>5</v>
      </c>
      <c r="D969" s="69"/>
      <c r="E969" s="31" t="s">
        <v>3257</v>
      </c>
      <c r="F969" s="37"/>
      <c r="G969" s="67"/>
      <c r="H969" s="67"/>
    </row>
    <row r="970" spans="1:8" ht="13.2">
      <c r="A970" s="65" t="str">
        <f>HYPERLINK("https://dmoj.ca/problem/dmopc14ce1p4","DMOPC 14-ExamDelay")</f>
        <v>DMOPC 14-ExamDelay</v>
      </c>
      <c r="B970" s="37" t="s">
        <v>3256</v>
      </c>
      <c r="C970" s="24">
        <v>5</v>
      </c>
      <c r="D970" s="69"/>
      <c r="E970" s="31" t="s">
        <v>3257</v>
      </c>
      <c r="F970" s="37"/>
      <c r="G970" s="67"/>
      <c r="H970" s="67"/>
    </row>
    <row r="971" spans="1:8" ht="13.2">
      <c r="A971" s="65" t="str">
        <f>HYPERLINK("https://dmoj.ca/problem/dmpg15s6","DMPG 15-ApplesOranges")</f>
        <v>DMPG 15-ApplesOranges</v>
      </c>
      <c r="B971" s="37" t="s">
        <v>3256</v>
      </c>
      <c r="C971" s="24">
        <v>5</v>
      </c>
      <c r="D971" s="69"/>
      <c r="E971" s="31" t="s">
        <v>3257</v>
      </c>
      <c r="F971" s="37"/>
      <c r="G971" s="67"/>
      <c r="H971" s="67"/>
    </row>
    <row r="972" spans="1:8" ht="13.2">
      <c r="A972" s="65" t="str">
        <f>HYPERLINK("https://dmoj.ca/problem/ioi97p1","IOI 97-Mars")</f>
        <v>IOI 97-Mars</v>
      </c>
      <c r="B972" s="20" t="s">
        <v>7162</v>
      </c>
      <c r="C972" s="24">
        <v>5</v>
      </c>
      <c r="D972" s="65" t="str">
        <f>HYPERLINK("http://olympiads.win.tue.nl/ioi/ioi97/contest/index.html","Editorial")</f>
        <v>Editorial</v>
      </c>
      <c r="E972" s="31" t="s">
        <v>3257</v>
      </c>
      <c r="F972" s="37"/>
      <c r="G972" s="67"/>
      <c r="H972" s="67"/>
    </row>
    <row r="973" spans="1:8" ht="13.2">
      <c r="A973" s="65" t="str">
        <f>HYPERLINK("https://szkopul.edu.pl/problemset/problem/Phel_x2Ny30OUh7z1RhCtzEG/site/", "POI 12-Distance")</f>
        <v>POI 12-Distance</v>
      </c>
      <c r="B973" s="37" t="s">
        <v>3256</v>
      </c>
      <c r="C973" s="24">
        <v>5</v>
      </c>
      <c r="D973" s="65" t="str">
        <f>HYPERLINK("https://github.com/mostafa-saad/MyCompetitiveProgramming/blob/master/Olympiad/POI/official/find_editorial_sols_guidelines.txt","Editorial")</f>
        <v>Editorial</v>
      </c>
      <c r="E973" s="31" t="s">
        <v>3257</v>
      </c>
      <c r="F973" s="37"/>
      <c r="G973" s="67"/>
      <c r="H973" s="67"/>
    </row>
    <row r="974" spans="1:8" ht="13.2">
      <c r="A974" s="65" t="str">
        <f>HYPERLINK("https://oj.uz/problem/view/BOI16_bosses","Baltic 16-bosses")</f>
        <v>Baltic 16-bosses</v>
      </c>
      <c r="B974" s="18" t="s">
        <v>7163</v>
      </c>
      <c r="C974" s="17">
        <v>4.5</v>
      </c>
      <c r="D974" s="65" t="str">
        <f>HYPERLINK("https://github.com/mostafa-saad/MyCompetitiveProgramming/blob/master/Olympiad/Baltic/Baltic-16-bosses.txt","Sol")</f>
        <v>Sol</v>
      </c>
      <c r="E974" s="31" t="s">
        <v>3257</v>
      </c>
      <c r="F974" s="37" t="s">
        <v>139</v>
      </c>
      <c r="G974" s="67"/>
      <c r="H974" s="67"/>
    </row>
    <row r="975" spans="1:8" ht="13.2">
      <c r="A975" s="65" t="str">
        <f>HYPERLINK("https://dunjudge.me/analysis/problems/281/","NOI 13-diesel")</f>
        <v>NOI 13-diesel</v>
      </c>
      <c r="B975" s="37" t="s">
        <v>7164</v>
      </c>
      <c r="C975" s="24">
        <v>4.5</v>
      </c>
      <c r="D975" s="65" t="str">
        <f>HYPERLINK("https://github.com/mostafa-saad/MyCompetitiveProgramming/blob/master/Olympiad/NOI/official","Sol")</f>
        <v>Sol</v>
      </c>
      <c r="E975" s="31" t="s">
        <v>3257</v>
      </c>
      <c r="F975" s="37" t="s">
        <v>201</v>
      </c>
      <c r="G975" s="67"/>
      <c r="H975" s="67"/>
    </row>
    <row r="976" spans="1:8" ht="13.2">
      <c r="A976" s="65" t="str">
        <f>HYPERLINK("https://www.infoarena.ro/problema/incurcatura","infoarena incurcatura")</f>
        <v>infoarena incurcatura</v>
      </c>
      <c r="B976" s="20" t="s">
        <v>7165</v>
      </c>
      <c r="C976" s="17">
        <v>4.5</v>
      </c>
      <c r="D976" s="65" t="str">
        <f>HYPERLINK("https://github.com/stefdasca/CompetitiveProgramming/blob/master/Infoarena/incurcatura.cpp","Sol")</f>
        <v>Sol</v>
      </c>
      <c r="E976" s="31" t="s">
        <v>3257</v>
      </c>
      <c r="F976" s="37"/>
      <c r="G976" s="67"/>
      <c r="H976" s="67"/>
    </row>
    <row r="977" spans="1:8" ht="13.2">
      <c r="A977" s="65" t="str">
        <f>HYPERLINK("https://dmoj.ca/problem/dwite11c5p5","DWITE 11-CubeWorld")</f>
        <v>DWITE 11-CubeWorld</v>
      </c>
      <c r="B977" s="37" t="s">
        <v>3256</v>
      </c>
      <c r="C977" s="24">
        <v>4</v>
      </c>
      <c r="D977" s="69"/>
      <c r="E977" s="31" t="s">
        <v>3257</v>
      </c>
      <c r="F977" s="37" t="s">
        <v>201</v>
      </c>
      <c r="G977" s="67"/>
      <c r="H977" s="67"/>
    </row>
    <row r="978" spans="1:8" ht="13.2">
      <c r="A978" s="65" t="str">
        <f>HYPERLINK("https://github.com/stefdasca/CompetitiveProgramming/blob/master/Info1Cup/National%20Round/Subway%20(Ro).pdf","Info1Cup 19-Subway")</f>
        <v>Info1Cup 19-Subway</v>
      </c>
      <c r="B978" s="20" t="s">
        <v>7166</v>
      </c>
      <c r="C978" s="21">
        <v>4</v>
      </c>
      <c r="D978" s="65" t="str">
        <f>HYPERLINK("https://github.com/stefdasca/CompetitiveProgramming/blob/master/Info1Cup/National%20Round/subway.cpp","Sol")</f>
        <v>Sol</v>
      </c>
      <c r="E978" s="31" t="s">
        <v>3257</v>
      </c>
      <c r="F978" s="37"/>
      <c r="G978" s="67"/>
      <c r="H978" s="67"/>
    </row>
    <row r="979" spans="1:8" ht="13.2">
      <c r="A979" s="65" t="str">
        <f>HYPERLINK("https://joi2015ho.contest.atcoder.jp/tasks/joi2015ho_a","JOI 15-RailroadTrip")</f>
        <v>JOI 15-RailroadTrip</v>
      </c>
      <c r="B979" s="20" t="s">
        <v>7167</v>
      </c>
      <c r="C979" s="17">
        <v>4</v>
      </c>
      <c r="D979" s="65" t="str">
        <f>HYPERLINK("https://github.com/nikolapesic2802/Programming-Practice/blob/master/Railroad%20Trip/main.cpp","Sol")</f>
        <v>Sol</v>
      </c>
      <c r="E979" s="31" t="s">
        <v>3257</v>
      </c>
      <c r="F979" s="37"/>
      <c r="G979" s="67"/>
      <c r="H979" s="67"/>
    </row>
    <row r="980" spans="1:8" ht="13.2">
      <c r="A980" s="65" t="str">
        <f>HYPERLINK("https://szkopul.edu.pl/problemset/problem/KC7c6nYfAXCbCGszqhIeOGxP/site/", "POI 08-Blocks")</f>
        <v>POI 08-Blocks</v>
      </c>
      <c r="B980" s="37" t="s">
        <v>7168</v>
      </c>
      <c r="C980" s="24">
        <v>4</v>
      </c>
      <c r="D980" s="65" t="str">
        <f>HYPERLINK("https://github.com/mostafa-saad/MyCompetitiveProgramming/blob/master/Olympiad/POI/official/find_editorial_sols_guidelines.txt","Editorial")</f>
        <v>Editorial</v>
      </c>
      <c r="E980" s="31" t="s">
        <v>3257</v>
      </c>
      <c r="F980" s="37"/>
      <c r="G980" s="67"/>
      <c r="H980" s="67"/>
    </row>
    <row r="981" spans="1:8" ht="13.2">
      <c r="A981" s="65" t="str">
        <f>HYPERLINK("https://www.infoarena.ro/problema/rfinv","infoarena rfinv")</f>
        <v>infoarena rfinv</v>
      </c>
      <c r="B981" s="20" t="s">
        <v>7169</v>
      </c>
      <c r="C981" s="17">
        <v>3.5</v>
      </c>
      <c r="D981" s="65" t="str">
        <f>HYPERLINK("https://github.com/stefdasca/CompetitiveProgramming/blob/master/Infoarena/rfinv.cpp","Sol")</f>
        <v>Sol</v>
      </c>
      <c r="E981" s="31" t="s">
        <v>3257</v>
      </c>
      <c r="F981" s="37"/>
      <c r="G981" s="67"/>
      <c r="H981" s="67"/>
    </row>
    <row r="982" spans="1:8" ht="13.2">
      <c r="A982" s="65" t="str">
        <f>HYPERLINK("https://dunjudge.me/analysis/problems/266/","NOI 10-weather")</f>
        <v>NOI 10-weather</v>
      </c>
      <c r="B982" s="37" t="s">
        <v>3256</v>
      </c>
      <c r="C982" s="24">
        <v>2</v>
      </c>
      <c r="D982" s="65" t="str">
        <f>HYPERLINK("https://github.com/mostafa-saad/MyCompetitiveProgramming/blob/master/Olympiad/NOI/official","Editorial")</f>
        <v>Editorial</v>
      </c>
      <c r="E982" s="31" t="s">
        <v>3257</v>
      </c>
      <c r="F982" s="37"/>
      <c r="G982" s="67"/>
      <c r="H982" s="67"/>
    </row>
    <row r="983" spans="1:8" ht="13.2">
      <c r="A983" s="65" t="str">
        <f>HYPERLINK("https://oj.uz/problems/source/314","JOISC 18-roadservice")</f>
        <v>JOISC 18-roadservice</v>
      </c>
      <c r="B983" s="47" t="s">
        <v>7170</v>
      </c>
      <c r="C983" s="66"/>
      <c r="D983" s="65" t="str">
        <f>HYPERLINK("https://codeforces.com/blog/entry/58433","sol (See reply from gamegame for 89 points!)")</f>
        <v>sol (See reply from gamegame for 89 points!)</v>
      </c>
      <c r="E983" s="31" t="s">
        <v>3257</v>
      </c>
      <c r="F983" s="37"/>
      <c r="G983" s="67"/>
      <c r="H983" s="67"/>
    </row>
    <row r="984" spans="1:8" ht="13.2">
      <c r="A984" s="65" t="str">
        <f>HYPERLINK("https://oj.uz/problem/view/POI13_spa","POI 13-spa")</f>
        <v>POI 13-spa</v>
      </c>
      <c r="B984" s="20" t="s">
        <v>3391</v>
      </c>
      <c r="C984" s="17"/>
      <c r="D984" s="65" t="str">
        <f>HYPERLINK("https://github.com/mostafa-saad/MyCompetitiveProgramming/blob/master/Olympiad/POI/official/find_editorial_sols_guidelines.txt","Editorial")</f>
        <v>Editorial</v>
      </c>
      <c r="E984" s="31" t="s">
        <v>3257</v>
      </c>
      <c r="F984" s="37"/>
      <c r="G984" s="67"/>
      <c r="H984" s="67"/>
    </row>
    <row r="985" spans="1:8" ht="13.2">
      <c r="A985" s="65" t="str">
        <f>HYPERLINK("https://dunjudge.me/analysis/problems/1479/","NOIPrelim 18-island")</f>
        <v>NOIPrelim 18-island</v>
      </c>
      <c r="B985" s="37" t="s">
        <v>3277</v>
      </c>
      <c r="C985" s="24"/>
      <c r="D985" s="69"/>
      <c r="E985" s="31" t="s">
        <v>3257</v>
      </c>
      <c r="F985" s="37"/>
      <c r="G985" s="67"/>
      <c r="H985" s="67"/>
    </row>
    <row r="986" spans="1:8" ht="13.2">
      <c r="A986" s="65" t="str">
        <f>HYPERLINK("https://dunjudge.me/analysis/problems/16/","NOISelection 10-chessislands")</f>
        <v>NOISelection 10-chessislands</v>
      </c>
      <c r="B986" s="37" t="s">
        <v>3256</v>
      </c>
      <c r="C986" s="24"/>
      <c r="D986" s="69"/>
      <c r="E986" s="31" t="s">
        <v>3257</v>
      </c>
      <c r="F986" s="37"/>
      <c r="G986" s="67"/>
      <c r="H986" s="67"/>
    </row>
    <row r="987" spans="1:8" ht="13.2">
      <c r="A987" s="65" t="str">
        <f>HYPERLINK("https://dunjudge.me/analysis/problems/45/","NOISelection 11-journey")</f>
        <v>NOISelection 11-journey</v>
      </c>
      <c r="B987" s="37" t="s">
        <v>3256</v>
      </c>
      <c r="C987" s="24"/>
      <c r="D987" s="69"/>
      <c r="E987" s="31" t="s">
        <v>3257</v>
      </c>
      <c r="F987" s="37"/>
      <c r="G987" s="67"/>
      <c r="H987" s="67"/>
    </row>
    <row r="988" spans="1:8" ht="13.2">
      <c r="A988" s="65" t="str">
        <f>HYPERLINK("https://dunjudge.me/analysis/problems/423/","NOISelection 14-ship")</f>
        <v>NOISelection 14-ship</v>
      </c>
      <c r="B988" s="37" t="s">
        <v>3256</v>
      </c>
      <c r="C988" s="24"/>
      <c r="D988" s="69"/>
      <c r="E988" s="31" t="s">
        <v>3257</v>
      </c>
      <c r="F988" s="37"/>
      <c r="G988" s="67"/>
      <c r="H988" s="67"/>
    </row>
    <row r="989" spans="1:8" ht="13.2">
      <c r="A989" s="65" t="str">
        <f>HYPERLINK("https://dunjudge.me/analysis/problems/935/","NOISelection 16-cattown")</f>
        <v>NOISelection 16-cattown</v>
      </c>
      <c r="B989" s="37" t="s">
        <v>3256</v>
      </c>
      <c r="C989" s="24"/>
      <c r="D989" s="69"/>
      <c r="E989" s="31" t="s">
        <v>3257</v>
      </c>
      <c r="F989" s="37"/>
      <c r="G989" s="67"/>
      <c r="H989" s="67"/>
    </row>
    <row r="990" spans="1:8" ht="13.2">
      <c r="A990" s="65" t="str">
        <f>HYPERLINK("https://dunjudge.me/analysis/problems/952/","NOISelection 16-teleporters")</f>
        <v>NOISelection 16-teleporters</v>
      </c>
      <c r="B990" s="37" t="s">
        <v>3256</v>
      </c>
      <c r="C990" s="24"/>
      <c r="D990" s="69"/>
      <c r="E990" s="31" t="s">
        <v>3257</v>
      </c>
      <c r="F990" s="37"/>
      <c r="G990" s="67"/>
      <c r="H990" s="67"/>
    </row>
    <row r="991" spans="1:8" ht="13.2">
      <c r="A991" s="65" t="str">
        <f>HYPERLINK("https://dunjudge.me/analysis/problems/1462/","NOISelection 18-rookable")</f>
        <v>NOISelection 18-rookable</v>
      </c>
      <c r="B991" s="37" t="s">
        <v>3256</v>
      </c>
      <c r="C991" s="24"/>
      <c r="D991" s="69"/>
      <c r="E991" s="31" t="s">
        <v>3257</v>
      </c>
      <c r="F991" s="37"/>
      <c r="G991" s="67"/>
      <c r="H991" s="67"/>
    </row>
    <row r="992" spans="1:8" ht="13.2">
      <c r="A992" s="65" t="str">
        <f>HYPERLINK("https://dunjudge.me/analysis/problems/1476/","NOISelection 18-superfanclub")</f>
        <v>NOISelection 18-superfanclub</v>
      </c>
      <c r="B992" s="37" t="s">
        <v>3256</v>
      </c>
      <c r="C992" s="24"/>
      <c r="D992" s="69"/>
      <c r="E992" s="31" t="s">
        <v>3257</v>
      </c>
      <c r="F992" s="37"/>
      <c r="G992" s="67"/>
      <c r="H992" s="67"/>
    </row>
    <row r="993" spans="1:8" ht="13.2">
      <c r="A993" s="65" t="str">
        <f>HYPERLINK("https://wcipeg.com/problem/coci092p5","COCI 09-Poslozi")</f>
        <v>COCI 09-Poslozi</v>
      </c>
      <c r="B993" s="15" t="s">
        <v>7171</v>
      </c>
      <c r="C993" s="24">
        <v>7.25</v>
      </c>
      <c r="D993" s="65" t="str">
        <f>HYPERLINK("https://github.com/mostafa-saad/MyCompetitiveProgramming/blob/master/Olympiad/COCI/official/2010/contest2_solutions","Editorial")</f>
        <v>Editorial</v>
      </c>
      <c r="E993" s="31" t="s">
        <v>3467</v>
      </c>
      <c r="F993" s="37"/>
      <c r="G993" s="67"/>
      <c r="H993" s="67"/>
    </row>
    <row r="994" spans="1:8" ht="13.2">
      <c r="A994" s="65" t="str">
        <f>HYPERLINK("https://szkopul.edu.pl/problemset/problem/F_PC7j8VzjiPwlNqg9Jr_tFg/site/", "POI 09-Walk")</f>
        <v>POI 09-Walk</v>
      </c>
      <c r="B994" s="37" t="s">
        <v>7172</v>
      </c>
      <c r="C994" s="24">
        <v>6.8</v>
      </c>
      <c r="D994" s="65" t="str">
        <f>HYPERLINK("https://github.com/mostafa-saad/MyCompetitiveProgramming/blob/master/Olympiad/POI/POI-09-Walk.txt","Sol")</f>
        <v>Sol</v>
      </c>
      <c r="E994" s="31" t="s">
        <v>3467</v>
      </c>
      <c r="F994" s="37" t="s">
        <v>154</v>
      </c>
      <c r="G994" s="67"/>
      <c r="H994" s="67"/>
    </row>
    <row r="995" spans="1:8" ht="13.2">
      <c r="A995" s="65" t="str">
        <f>HYPERLINK("https://oj.uz/problem/view/IOI07_flood","IOI 07-flood")</f>
        <v>IOI 07-flood</v>
      </c>
      <c r="B995" s="20" t="s">
        <v>7173</v>
      </c>
      <c r="C995" s="24">
        <v>6.5</v>
      </c>
      <c r="D995" s="65" t="str">
        <f>HYPERLINK("https://github.com/mostafa-saad/MyCompetitiveProgramming/blob/master/Olympiad/IOI/IOI-07-flood.txt","Sol")</f>
        <v>Sol</v>
      </c>
      <c r="E995" s="31" t="s">
        <v>3467</v>
      </c>
      <c r="F995" s="37" t="s">
        <v>196</v>
      </c>
      <c r="G995" s="67"/>
      <c r="H995" s="67"/>
    </row>
    <row r="996" spans="1:8" ht="13.2">
      <c r="A996" s="65" t="str">
        <f>HYPERLINK("https://github.com/mostafa-saad/MyCompetitiveProgramming/blob/master/Olympiad/infoarena/amici2-statement.txt","infoarena amici2")</f>
        <v>infoarena amici2</v>
      </c>
      <c r="B996" s="20" t="s">
        <v>7174</v>
      </c>
      <c r="C996" s="17">
        <v>6.5</v>
      </c>
      <c r="D996" s="65" t="str">
        <f>HYPERLINK("https://github.com/mostafa-saad/MyCompetitiveProgramming/blob/master/Olympiad/infoarena/infoarena_amici2.txt","Sol")</f>
        <v>Sol</v>
      </c>
      <c r="E996" s="31" t="s">
        <v>3467</v>
      </c>
      <c r="F996" s="37" t="s">
        <v>139</v>
      </c>
      <c r="G996" s="67"/>
      <c r="H996" s="67"/>
    </row>
    <row r="997" spans="1:8" ht="13.2">
      <c r="A997" s="65" t="str">
        <f>HYPERLINK("https://cses.fi/100/list/","Baltic 11-Vikings")</f>
        <v>Baltic 11-Vikings</v>
      </c>
      <c r="B997" s="20" t="s">
        <v>7175</v>
      </c>
      <c r="C997" s="24">
        <v>6</v>
      </c>
      <c r="D997" s="65" t="str">
        <f>HYPERLINK("https://github.com/mostafa-saad/MyCompetitiveProgramming/blob/master/Olympiad/Baltic/Baltic-11-Vikings.txt","Sol")</f>
        <v>Sol</v>
      </c>
      <c r="E997" s="31" t="s">
        <v>3467</v>
      </c>
      <c r="F997" s="37" t="s">
        <v>139</v>
      </c>
      <c r="G997" s="67"/>
      <c r="H997" s="67"/>
    </row>
    <row r="998" spans="1:8" ht="13.2">
      <c r="A998" s="65" t="str">
        <f>HYPERLINK("https://cses.fi/115/list/","Baltic 05-Maze")</f>
        <v>Baltic 05-Maze</v>
      </c>
      <c r="B998" s="37" t="s">
        <v>7176</v>
      </c>
      <c r="C998" s="24">
        <v>6</v>
      </c>
      <c r="D998" s="65" t="str">
        <f>HYPERLINK("https://github.com/mostafa-saad/MyCompetitiveProgramming/blob/master/Olympiad/Baltic/official/boi2005_solutions","Editorial")</f>
        <v>Editorial</v>
      </c>
      <c r="E998" s="31" t="s">
        <v>3467</v>
      </c>
      <c r="F998" s="37"/>
      <c r="G998" s="67"/>
      <c r="H998" s="67"/>
    </row>
    <row r="999" spans="1:8" ht="13.2">
      <c r="A999" s="65" t="str">
        <f>HYPERLINK("https://szkopul.edu.pl/problemset/problem/fKO3YZL0f_UM1nHQNDvw7mku/site/", "POI 10-Teleport")</f>
        <v>POI 10-Teleport</v>
      </c>
      <c r="B999" s="37" t="s">
        <v>3466</v>
      </c>
      <c r="C999" s="24">
        <v>5.75</v>
      </c>
      <c r="D999" s="65" t="str">
        <f>HYPERLINK("https://github.com/mostafa-saad/MyCompetitiveProgramming/blob/master/Olympiad/POI/official/find_editorial_sols_guidelines.txt","Editorial")</f>
        <v>Editorial</v>
      </c>
      <c r="E999" s="31" t="s">
        <v>3467</v>
      </c>
      <c r="F999" s="37" t="s">
        <v>154</v>
      </c>
      <c r="G999" s="67"/>
      <c r="H999" s="67"/>
    </row>
    <row r="1000" spans="1:8" ht="13.2">
      <c r="A1000" s="65" t="str">
        <f>HYPERLINK("https://www.infoarena.ro/problema/grea","Infoarena grea")</f>
        <v>Infoarena grea</v>
      </c>
      <c r="B1000" s="20" t="s">
        <v>7177</v>
      </c>
      <c r="C1000" s="21">
        <v>5.5</v>
      </c>
      <c r="D1000" s="65" t="str">
        <f>HYPERLINK("https://github.com/stefdasca/CompetitiveProgramming/blob/master/Infoarena/grea.cpp","Sol")</f>
        <v>Sol</v>
      </c>
      <c r="E1000" s="31" t="s">
        <v>3467</v>
      </c>
      <c r="F1000" s="37"/>
      <c r="G1000" s="67"/>
      <c r="H1000" s="67"/>
    </row>
    <row r="1001" spans="1:8" ht="13.2">
      <c r="A1001" s="65" t="str">
        <f>HYPERLINK("https://szkopul.edu.pl/problemset/problem/EijIYL4qkxxGJGHaVVnvdmgY/site/", "POI 06-Professor")</f>
        <v>POI 06-Professor</v>
      </c>
      <c r="B1001" s="37" t="s">
        <v>3488</v>
      </c>
      <c r="C1001" s="24">
        <v>5.5</v>
      </c>
      <c r="D1001" s="65" t="str">
        <f t="shared" ref="D1001:D1002" si="15">HYPERLINK("https://github.com/mostafa-saad/MyCompetitiveProgramming/blob/master/Olympiad/POI/official/find_editorial_sols_guidelines.txt","Editorial")</f>
        <v>Editorial</v>
      </c>
      <c r="E1001" s="31" t="s">
        <v>3467</v>
      </c>
      <c r="F1001" s="37"/>
      <c r="G1001" s="67"/>
      <c r="H1001" s="67"/>
    </row>
    <row r="1002" spans="1:8" ht="13.2">
      <c r="A1002" s="65" t="str">
        <f>HYPERLINK("https://szkopul.edu.pl/problemset/problem/gDw3iFkeVm7ZA3j_16-XR7jI/site/", "POI 14-Hotels")</f>
        <v>POI 14-Hotels</v>
      </c>
      <c r="B1002" s="37" t="s">
        <v>3466</v>
      </c>
      <c r="C1002" s="24">
        <v>5.5</v>
      </c>
      <c r="D1002" s="65" t="str">
        <f t="shared" si="15"/>
        <v>Editorial</v>
      </c>
      <c r="E1002" s="31" t="s">
        <v>3467</v>
      </c>
      <c r="F1002" s="37"/>
      <c r="G1002" s="67"/>
      <c r="H1002" s="67"/>
    </row>
    <row r="1003" spans="1:8" ht="13.2">
      <c r="A1003" s="65" t="str">
        <f>HYPERLINK("https://cses.fi/100/list/","Baltic 11-Lamp")</f>
        <v>Baltic 11-Lamp</v>
      </c>
      <c r="B1003" s="20" t="s">
        <v>7178</v>
      </c>
      <c r="C1003" s="24">
        <v>5.25</v>
      </c>
      <c r="D1003" s="65" t="str">
        <f>HYPERLINK("https://github.com/mostafa-saad/MyCompetitiveProgramming/blob/master/Olympiad/Baltic/Baltic-11-Lamp.txt","Sol")</f>
        <v>Sol</v>
      </c>
      <c r="E1003" s="31" t="s">
        <v>3467</v>
      </c>
      <c r="F1003" s="37" t="s">
        <v>139</v>
      </c>
      <c r="G1003" s="67"/>
      <c r="H1003" s="67"/>
    </row>
    <row r="1004" spans="1:8" ht="13.2">
      <c r="A1004" s="65" t="str">
        <f>HYPERLINK("https://dunjudge.me/analysis/problems/150/","NOI 09-lazycat")</f>
        <v>NOI 09-lazycat</v>
      </c>
      <c r="B1004" s="37" t="s">
        <v>7179</v>
      </c>
      <c r="C1004" s="24">
        <v>5</v>
      </c>
      <c r="D1004" s="65" t="str">
        <f>HYPERLINK("https://github.com/mostafa-saad/MyCompetitiveProgramming/blob/master/Olympiad/NOI/official","Editorial")</f>
        <v>Editorial</v>
      </c>
      <c r="E1004" s="31" t="s">
        <v>3467</v>
      </c>
      <c r="F1004" s="37"/>
      <c r="G1004" s="67"/>
      <c r="H1004" s="67"/>
    </row>
    <row r="1005" spans="1:8" ht="13.2">
      <c r="A1005" s="65" t="str">
        <f>HYPERLINK("https://oj.uz/problem/view/NOI12_pancake","NOI 12-pancake")</f>
        <v>NOI 12-pancake</v>
      </c>
      <c r="B1005" s="70" t="s">
        <v>7180</v>
      </c>
      <c r="C1005" s="66">
        <v>5</v>
      </c>
      <c r="D1005" s="65" t="str">
        <f>HYPERLINK("https://www.comp.nus.edu.sg/~noi/2012/2012_soln.pdf","Editorial")</f>
        <v>Editorial</v>
      </c>
      <c r="E1005" s="31" t="s">
        <v>3467</v>
      </c>
      <c r="F1005" s="37"/>
      <c r="G1005" s="67"/>
      <c r="H1005" s="67"/>
    </row>
    <row r="1006" spans="1:8" ht="13.2">
      <c r="A1006" s="65" t="str">
        <f>HYPERLINK("https://codeforces.com/group/swEqtABRxe/contest/243430/problem/B", "EOI 19-d2-B")</f>
        <v>EOI 19-d2-B</v>
      </c>
      <c r="B1006" s="20" t="s">
        <v>7181</v>
      </c>
      <c r="C1006" s="17">
        <v>5</v>
      </c>
      <c r="D1006" s="69"/>
      <c r="E1006" s="31" t="s">
        <v>3467</v>
      </c>
      <c r="F1006" s="37"/>
      <c r="G1006" s="67"/>
      <c r="H1006" s="67"/>
    </row>
    <row r="1007" spans="1:8" ht="13.2">
      <c r="A1007" s="65" t="str">
        <f>HYPERLINK("https://dmoj.ca/problem/coci06c1p4","COCI 06-Slikar")</f>
        <v>COCI 06-Slikar</v>
      </c>
      <c r="B1007" s="15" t="s">
        <v>3466</v>
      </c>
      <c r="C1007" s="24">
        <v>4</v>
      </c>
      <c r="D1007" s="65" t="str">
        <f>HYPERLINK("https://github.com/mostafa-saad/MyCompetitiveProgramming/tree/master/Olympiad/COCI/official/2007/contest1_solutions","Editorial")</f>
        <v>Editorial</v>
      </c>
      <c r="E1007" s="31" t="s">
        <v>3467</v>
      </c>
      <c r="F1007" s="37" t="s">
        <v>201</v>
      </c>
      <c r="G1007" s="67"/>
      <c r="H1007" s="67"/>
    </row>
    <row r="1008" spans="1:8" ht="13.2">
      <c r="A1008" s="65" t="str">
        <f>HYPERLINK("https://szkopul.edu.pl/problemset/problem/xDISetKx9cPPrOT_t2ZqgEyr/site/", "POI 08-Toll")</f>
        <v>POI 08-Toll</v>
      </c>
      <c r="B1008" s="37" t="s">
        <v>3466</v>
      </c>
      <c r="C1008" s="24">
        <v>4</v>
      </c>
      <c r="D1008" s="65" t="str">
        <f>HYPERLINK("https://github.com/mostafa-saad/MyCompetitiveProgramming/blob/master/Olympiad/POI/official/find_editorial_sols_guidelines.txt","Editorial")</f>
        <v>Editorial</v>
      </c>
      <c r="E1008" s="31" t="s">
        <v>3467</v>
      </c>
      <c r="F1008" s="37"/>
      <c r="G1008" s="67"/>
      <c r="H1008" s="67"/>
    </row>
    <row r="1009" spans="1:8" ht="13.2">
      <c r="A1009" s="65" t="str">
        <f>HYPERLINK("https://dunjudge.me/analysis/problems/1380/","COCI 12-hipercijevi")</f>
        <v>COCI 12-hipercijevi</v>
      </c>
      <c r="B1009" s="20" t="s">
        <v>3466</v>
      </c>
      <c r="C1009" s="24">
        <v>3</v>
      </c>
      <c r="D1009" s="65" t="str">
        <f>HYPERLINK("https://github.com/mostafa-saad/MyCompetitiveProgramming/blob/master/Olympiad/COCI/official/2013/contest5_solutions","Editorial")</f>
        <v>Editorial</v>
      </c>
      <c r="E1009" s="31" t="s">
        <v>3467</v>
      </c>
      <c r="F1009" s="37"/>
      <c r="G1009" s="67"/>
      <c r="H1009" s="67"/>
    </row>
    <row r="1010" spans="1:8" ht="13.2">
      <c r="A1010" s="65" t="str">
        <f>HYPERLINK("https://dunjudge.me/analysis/problems/592/","IOIPractice 14-totem")</f>
        <v>IOIPractice 14-totem</v>
      </c>
      <c r="B1010" s="20" t="s">
        <v>3466</v>
      </c>
      <c r="C1010" s="24"/>
      <c r="D1010" s="69"/>
      <c r="E1010" s="31" t="s">
        <v>3467</v>
      </c>
      <c r="F1010" s="37"/>
      <c r="G1010" s="67"/>
      <c r="H1010" s="67"/>
    </row>
    <row r="1011" spans="1:8" ht="13.2">
      <c r="A1011" s="65" t="str">
        <f>HYPERLINK("https://dunjudge.me/analysis/problems/679/","NOISelection 15-portal_st2015")</f>
        <v>NOISelection 15-portal_st2015</v>
      </c>
      <c r="B1011" s="37" t="s">
        <v>3466</v>
      </c>
      <c r="C1011" s="24"/>
      <c r="D1011" s="69"/>
      <c r="E1011" s="31" t="s">
        <v>3467</v>
      </c>
      <c r="F1011" s="37"/>
      <c r="G1011" s="67"/>
      <c r="H1011" s="67"/>
    </row>
    <row r="1012" spans="1:8" ht="13.2">
      <c r="A1012" s="65" t="str">
        <f>HYPERLINK("https://oj.uz/problem/view/NOI18_citymapping","NOI 18-citymapping")</f>
        <v>NOI 18-citymapping</v>
      </c>
      <c r="B1012" s="37" t="s">
        <v>7182</v>
      </c>
      <c r="C1012" s="24">
        <v>7</v>
      </c>
      <c r="D1012" s="65" t="str">
        <f>HYPERLINK("https://github.com/mostafa-saad/MyCompetitiveProgramming/blob/master/Olympiad/NOI/NOI-18-citymapping.txt","Sol")</f>
        <v>Sol</v>
      </c>
      <c r="E1012" s="31" t="s">
        <v>3633</v>
      </c>
      <c r="F1012" s="37" t="s">
        <v>139</v>
      </c>
      <c r="G1012" s="67"/>
      <c r="H1012" s="67"/>
    </row>
    <row r="1013" spans="1:8" ht="13.2">
      <c r="A1013" s="65" t="str">
        <f>HYPERLINK("https://oj.uz/problem/view/IOI13_dreaming","IOI 13-dreaming")</f>
        <v>IOI 13-dreaming</v>
      </c>
      <c r="B1013" s="18" t="s">
        <v>7183</v>
      </c>
      <c r="C1013" s="17">
        <v>5.75</v>
      </c>
      <c r="D1013" s="65" t="str">
        <f>HYPERLINK("https://github.com/MohamedAhmed04/Competitive-programming/blob/master/IOI/IOI%202013-Dreaming.cpp","Sol")</f>
        <v>Sol</v>
      </c>
      <c r="E1013" s="31" t="s">
        <v>3633</v>
      </c>
      <c r="F1013" s="37" t="s">
        <v>139</v>
      </c>
      <c r="G1013" s="67"/>
      <c r="H1013" s="67"/>
    </row>
    <row r="1014" spans="1:8" ht="13.2">
      <c r="A1014" s="65" t="str">
        <f>HYPERLINK("https://oj.uz/problem/view/JOI14_space_pirate","JOIOC 14-space_pirate")</f>
        <v>JOIOC 14-space_pirate</v>
      </c>
      <c r="B1014" s="15" t="s">
        <v>7184</v>
      </c>
      <c r="C1014" s="17">
        <v>9</v>
      </c>
      <c r="D1014" s="69"/>
      <c r="E1014" s="31" t="s">
        <v>3650</v>
      </c>
      <c r="F1014" s="37"/>
      <c r="G1014" s="67"/>
      <c r="H1014" s="67"/>
    </row>
    <row r="1015" spans="1:8" ht="13.2">
      <c r="A1015" s="65" t="str">
        <f>HYPERLINK("https://csacademy.com/contest/ejoi-2017-day-2/task/experience/","EJOI 17-experience")</f>
        <v>EJOI 17-experience</v>
      </c>
      <c r="B1015" s="20" t="s">
        <v>3649</v>
      </c>
      <c r="C1015" s="24">
        <v>8</v>
      </c>
      <c r="D1015" s="69"/>
      <c r="E1015" s="31" t="s">
        <v>3650</v>
      </c>
      <c r="F1015" s="37"/>
      <c r="G1015" s="67"/>
      <c r="H1015" s="67"/>
    </row>
    <row r="1016" spans="1:8" ht="13.2">
      <c r="A1016" s="65" t="str">
        <f>HYPERLINK("https://tioj.ck.tp.edu.tw/problems/1748","APIO 11-Color")</f>
        <v>APIO 11-Color</v>
      </c>
      <c r="B1016" s="20" t="s">
        <v>7185</v>
      </c>
      <c r="C1016" s="17">
        <v>7</v>
      </c>
      <c r="D1016" s="65" t="str">
        <f>HYPERLINK("https://github.com/mostafa-saad/MyCompetitiveProgramming/blob/master/Olympiad/APIO/APIO-11-Color.txt","Sol")</f>
        <v>Sol</v>
      </c>
      <c r="E1016" s="31" t="s">
        <v>3650</v>
      </c>
      <c r="F1016" s="37" t="s">
        <v>173</v>
      </c>
      <c r="G1016" s="67"/>
      <c r="H1016" s="67"/>
    </row>
    <row r="1017" spans="1:8" ht="13.2">
      <c r="A1017" s="65" t="str">
        <f>HYPERLINK("https://szkopul.edu.pl/problemset/problem/z0rincXf7fi157ycO_Sl0bCb/site/", "POI 15-Highway")</f>
        <v>POI 15-Highway</v>
      </c>
      <c r="B1017" s="37" t="s">
        <v>3682</v>
      </c>
      <c r="C1017" s="24">
        <v>7</v>
      </c>
      <c r="D1017" s="65" t="str">
        <f>HYPERLINK("https://github.com/mostafa-saad/MyCompetitiveProgramming/blob/master/Olympiad/POI/official/find_editorial_sols_guidelines.txt","Editorial")</f>
        <v>Editorial</v>
      </c>
      <c r="E1017" s="31" t="s">
        <v>3650</v>
      </c>
      <c r="F1017" s="37"/>
      <c r="G1017" s="67"/>
      <c r="H1017" s="67"/>
    </row>
    <row r="1018" spans="1:8" ht="13.2">
      <c r="A1018" s="65" t="str">
        <f>HYPERLINK("https://dunjudge.me/analysis/problems/762/","JOISC 15-navigation")</f>
        <v>JOISC 15-navigation</v>
      </c>
      <c r="B1018" s="37" t="s">
        <v>7186</v>
      </c>
      <c r="C1018" s="24">
        <v>6.8</v>
      </c>
      <c r="D1018" s="65" t="str">
        <f>HYPERLINK("https://ivaniscoding.wordpress.com/2018/08/25/communication-2-navigation/","Sol")</f>
        <v>Sol</v>
      </c>
      <c r="E1018" s="31" t="s">
        <v>3650</v>
      </c>
      <c r="F1018" s="37" t="s">
        <v>154</v>
      </c>
      <c r="G1018" s="67"/>
      <c r="H1018" s="67"/>
    </row>
    <row r="1019" spans="1:8" ht="13.2">
      <c r="A1019" s="65" t="str">
        <f>HYPERLINK("https://szkopul.edu.pl/problemset/problem/pBkLSmvYN2S1-4G9s8UqOB7s/site/", "POI 09-Code")</f>
        <v>POI 09-Code</v>
      </c>
      <c r="B1019" s="37" t="s">
        <v>3725</v>
      </c>
      <c r="C1019" s="24">
        <v>6.8</v>
      </c>
      <c r="D1019" s="65" t="str">
        <f>HYPERLINK("https://github.com/mostafa-saad/MyCompetitiveProgramming/blob/master/Olympiad/POI/POI-09-Code.txt","Sol")</f>
        <v>Sol</v>
      </c>
      <c r="E1019" s="31" t="s">
        <v>3650</v>
      </c>
      <c r="F1019" s="37" t="s">
        <v>139</v>
      </c>
      <c r="G1019" s="67"/>
      <c r="H1019" s="67"/>
    </row>
    <row r="1020" spans="1:8" ht="13.2">
      <c r="A1020" s="65" t="str">
        <f>HYPERLINK("https://oj.uz/problem/view/BOI15_fil","Baltic 15-fil")</f>
        <v>Baltic 15-fil</v>
      </c>
      <c r="B1020" s="20" t="s">
        <v>3660</v>
      </c>
      <c r="C1020" s="24">
        <v>6.75</v>
      </c>
      <c r="D1020" s="65" t="str">
        <f>HYPERLINK("https://github.com/mostafa-saad/MyCompetitiveProgramming/blob/master/Olympiad/Baltic/Baltic-15-fil.txt","Sol")</f>
        <v>Sol</v>
      </c>
      <c r="E1020" s="31" t="s">
        <v>3650</v>
      </c>
      <c r="F1020" s="37"/>
      <c r="G1020" s="67"/>
      <c r="H1020" s="67"/>
    </row>
    <row r="1021" spans="1:8" ht="13.2">
      <c r="A1021" s="65" t="str">
        <f>HYPERLINK("https://dmoj.ca/problem/coi06p3", "COI 06-Sabor")</f>
        <v>COI 06-Sabor</v>
      </c>
      <c r="B1021" s="20" t="s">
        <v>3675</v>
      </c>
      <c r="C1021" s="21">
        <v>6.75</v>
      </c>
      <c r="D1021" s="65" t="str">
        <f>HYPERLINK("https://github.com/mostafa-saad/MyCompetitiveProgramming/tree/master/Olympiad/COCI/official/2007/olympiad_solutions","Editorial")</f>
        <v>Editorial</v>
      </c>
      <c r="E1021" s="31" t="s">
        <v>3650</v>
      </c>
      <c r="F1021" s="37"/>
      <c r="G1021" s="67"/>
      <c r="H1021" s="67"/>
    </row>
    <row r="1022" spans="1:8" ht="13.2">
      <c r="A1022" s="65" t="str">
        <f>HYPERLINK("https://dmoj.ca/problem/coci14c7p6","COCI 14-Police")</f>
        <v>COCI 14-Police</v>
      </c>
      <c r="B1022" s="20" t="s">
        <v>7187</v>
      </c>
      <c r="C1022" s="24">
        <v>6.6</v>
      </c>
      <c r="D1022" s="65" t="str">
        <f>HYPERLINK("https://github.com/mostafa-saad/MyCompetitiveProgramming/blob/master/Olympiad/COCI/COCI-14-Police.txt","Sol")</f>
        <v>Sol</v>
      </c>
      <c r="E1022" s="31" t="s">
        <v>3650</v>
      </c>
      <c r="F1022" s="37" t="s">
        <v>139</v>
      </c>
      <c r="G1022" s="67"/>
      <c r="H1022" s="67"/>
    </row>
    <row r="1023" spans="1:8" ht="13.2">
      <c r="A1023" s="65" t="str">
        <f>HYPERLINK("https://oj.uz/problems/source/245", "CEOI 15-indcyc")</f>
        <v>CEOI 15-indcyc</v>
      </c>
      <c r="B1023" s="20" t="s">
        <v>3731</v>
      </c>
      <c r="C1023" s="24">
        <v>6.5</v>
      </c>
      <c r="D1023" s="65" t="str">
        <f>HYPERLINK("https://github.com/luciocf/OI-Problems/blob/master/CEOI/CEOI%202015/potemkin.cpp","Sol")</f>
        <v>Sol</v>
      </c>
      <c r="E1023" s="31" t="s">
        <v>3650</v>
      </c>
      <c r="F1023" s="37" t="s">
        <v>139</v>
      </c>
      <c r="G1023" s="67"/>
      <c r="H1023" s="67"/>
    </row>
    <row r="1024" spans="1:8" ht="13.2">
      <c r="A1024" s="65" t="str">
        <f>HYPERLINK("https://infoarena.ro/problema/paintball","infoarena paintball")</f>
        <v>infoarena paintball</v>
      </c>
      <c r="B1024" s="20" t="s">
        <v>7188</v>
      </c>
      <c r="C1024" s="24">
        <v>6.5</v>
      </c>
      <c r="D1024" s="65" t="str">
        <f>HYPERLINK("https://github.com/mostafa-saad/MyCompetitiveProgramming/blob/master/Olympiad/infoarena/infoarena-paintball.txt","Sol")</f>
        <v>Sol</v>
      </c>
      <c r="E1024" s="31" t="s">
        <v>3650</v>
      </c>
      <c r="F1024" s="37" t="s">
        <v>613</v>
      </c>
      <c r="G1024" s="67"/>
      <c r="H1024" s="67"/>
    </row>
    <row r="1025" spans="1:8" ht="13.2">
      <c r="A1025" s="65" t="str">
        <f>HYPERLINK("http://usaco.org/index.php?page=viewproblem2&amp;cpid=842", "USACO 18mar-disrupt-plat")</f>
        <v>USACO 18mar-disrupt-plat</v>
      </c>
      <c r="B1025" s="20" t="s">
        <v>7189</v>
      </c>
      <c r="C1025" s="21">
        <v>6.4</v>
      </c>
      <c r="D1025" s="65" t="str">
        <f>HYPERLINK("https://github.com/luciocf/OI-Problems/blob/master/USACO/USACO%202017-2018/Plat/US%20Open/disrupt.cpp","Sol")</f>
        <v>Sol</v>
      </c>
      <c r="E1025" s="31" t="s">
        <v>3650</v>
      </c>
      <c r="F1025" s="37" t="s">
        <v>139</v>
      </c>
      <c r="G1025" s="67"/>
      <c r="H1025" s="67"/>
    </row>
    <row r="1026" spans="1:8" ht="13.2">
      <c r="A1026" s="65" t="str">
        <f>HYPERLINK("https://oj.uz/problem/view/IOI11_garden","IOI 11-garden")</f>
        <v>IOI 11-garden</v>
      </c>
      <c r="B1026" s="20" t="s">
        <v>7190</v>
      </c>
      <c r="C1026" s="24">
        <v>6.3</v>
      </c>
      <c r="D1026" s="65" t="str">
        <f>HYPERLINK("https://github.com/mostafa-saad/MyCompetitiveProgramming/blob/master/Olympiad/IOI/IOI-11-garden.txt","Sol")</f>
        <v>Sol</v>
      </c>
      <c r="E1026" s="31" t="s">
        <v>3650</v>
      </c>
      <c r="F1026" s="37" t="s">
        <v>139</v>
      </c>
      <c r="G1026" s="67"/>
      <c r="H1026" s="67"/>
    </row>
    <row r="1027" spans="1:8" ht="13.2">
      <c r="A1027" s="65" t="str">
        <f>HYPERLINK("https://oj.uz/problem/view/IOI08_islands","IOI 08-islands")</f>
        <v>IOI 08-islands</v>
      </c>
      <c r="B1027" s="20" t="s">
        <v>7191</v>
      </c>
      <c r="C1027" s="24">
        <v>6.25</v>
      </c>
      <c r="D1027" s="65" t="str">
        <f>HYPERLINK("https://github.com/mostafa-saad/MyCompetitiveProgramming/blob/master/Olympiad/IOI/official/2008","Editorial")</f>
        <v>Editorial</v>
      </c>
      <c r="E1027" s="31" t="s">
        <v>3650</v>
      </c>
      <c r="F1027" s="37" t="s">
        <v>201</v>
      </c>
      <c r="G1027" s="67"/>
      <c r="H1027" s="67"/>
    </row>
    <row r="1028" spans="1:8" ht="13.2">
      <c r="A1028" s="65" t="str">
        <f>HYPERLINK("https://oj.uz/problem/view/CEOI18_toy","CEOI 18-Toy")</f>
        <v>CEOI 18-Toy</v>
      </c>
      <c r="B1028" s="15" t="s">
        <v>7192</v>
      </c>
      <c r="C1028" s="24">
        <v>6</v>
      </c>
      <c r="D1028" s="65" t="str">
        <f>HYPERLINK("https://github.com/tmwilliamlin168/CompetitiveProgramming/blob/master/CEOI/18-Toy.cpp", "Sol")</f>
        <v>Sol</v>
      </c>
      <c r="E1028" s="31" t="s">
        <v>3650</v>
      </c>
      <c r="F1028" s="37"/>
      <c r="G1028" s="67"/>
      <c r="H1028" s="67"/>
    </row>
    <row r="1029" spans="1:8" ht="13.2">
      <c r="A1029" s="65" t="str">
        <f>HYPERLINK("https://oj.uz/problem/view/COCI17_usmjeri","COCI 17-usmjeri")</f>
        <v>COCI 17-usmjeri</v>
      </c>
      <c r="B1029" s="20" t="s">
        <v>7193</v>
      </c>
      <c r="C1029" s="24">
        <v>6</v>
      </c>
      <c r="D1029" s="65" t="str">
        <f>HYPERLINK("https://github.com/mostafa-saad/MyCompetitiveProgramming/blob/master/Olympiad/COCI/official/2018/contest2_solutions","Editorial")</f>
        <v>Editorial</v>
      </c>
      <c r="E1029" s="31" t="s">
        <v>3650</v>
      </c>
      <c r="F1029" s="37"/>
      <c r="G1029" s="67"/>
      <c r="H1029" s="67"/>
    </row>
    <row r="1030" spans="1:8" ht="13.2">
      <c r="A1030" s="65" t="str">
        <f>HYPERLINK("https://boi18-day1-open.kattis.com/problems","Baltic 18-LovePolygon")</f>
        <v>Baltic 18-LovePolygon</v>
      </c>
      <c r="B1030" s="18" t="s">
        <v>7194</v>
      </c>
      <c r="C1030" s="17">
        <v>6</v>
      </c>
      <c r="D1030" s="65" t="str">
        <f>HYPERLINK("https://github.com/updown2/OI-Practice/blob/master/BOI/2018/Love%20Polygon.txt","Sol")</f>
        <v>Sol</v>
      </c>
      <c r="E1030" s="31" t="s">
        <v>3650</v>
      </c>
      <c r="F1030" s="37"/>
      <c r="G1030" s="67"/>
      <c r="H1030" s="67"/>
    </row>
    <row r="1031" spans="1:8" ht="13.2">
      <c r="A1031" s="65" t="str">
        <f>HYPERLINK("https://www.infoarena.ro/problema/treesearch", "Infoarena Treesearch")</f>
        <v>Infoarena Treesearch</v>
      </c>
      <c r="B1031" s="20" t="s">
        <v>7195</v>
      </c>
      <c r="C1031" s="17">
        <v>6</v>
      </c>
      <c r="D1031" s="65" t="str">
        <f>HYPERLINK("https://github.com/stefdasca/CompetitiveProgramming/blob/master/Infoarena/treesearch.cpp","Sol")</f>
        <v>Sol</v>
      </c>
      <c r="E1031" s="31" t="s">
        <v>3650</v>
      </c>
      <c r="F1031" s="37"/>
      <c r="G1031" s="67"/>
      <c r="H1031" s="67"/>
    </row>
    <row r="1032" spans="1:8" ht="13.2">
      <c r="A1032" s="65" t="str">
        <f>HYPERLINK("https://szkopul.edu.pl/problemset/problem/kZ-a2gIkpjJEOzq6pJ5jUW7f/site/", "POI 09-Fire")</f>
        <v>POI 09-Fire</v>
      </c>
      <c r="B1032" s="37" t="s">
        <v>3726</v>
      </c>
      <c r="C1032" s="21">
        <v>5.5</v>
      </c>
      <c r="D1032" s="65" t="str">
        <f>HYPERLINK("https://github.com/mostafa-saad/MyCompetitiveProgramming/blob/master/Olympiad/POI/POI-09-Fire.txt","Sol")</f>
        <v>Sol</v>
      </c>
      <c r="E1032" s="31" t="s">
        <v>3650</v>
      </c>
      <c r="F1032" s="37" t="s">
        <v>154</v>
      </c>
      <c r="G1032" s="67"/>
      <c r="H1032" s="67"/>
    </row>
    <row r="1033" spans="1:8" ht="13.2">
      <c r="A1033" s="65" t="str">
        <f>HYPERLINK("https://joi2016ho.contest.atcoder.jp/tasks/joi2016ho_c","JOI 16-TrainFare")</f>
        <v>JOI 16-TrainFare</v>
      </c>
      <c r="B1033" s="20" t="s">
        <v>7196</v>
      </c>
      <c r="C1033" s="17">
        <v>5.5</v>
      </c>
      <c r="D1033" s="69"/>
      <c r="E1033" s="31" t="s">
        <v>3650</v>
      </c>
      <c r="F1033" s="37"/>
      <c r="G1033" s="67"/>
      <c r="H1033" s="67"/>
    </row>
    <row r="1034" spans="1:8" ht="13.2">
      <c r="A1034" s="65" t="str">
        <f>HYPERLINK("https://joisc2013-day2.contest.atcoder.jp/tasks/joisc2013_spy","JOISC 13-Spy")</f>
        <v>JOISC 13-Spy</v>
      </c>
      <c r="B1034" s="20" t="s">
        <v>7197</v>
      </c>
      <c r="C1034" s="24">
        <v>5.5</v>
      </c>
      <c r="D1034" s="69"/>
      <c r="E1034" s="31" t="s">
        <v>3650</v>
      </c>
      <c r="F1034" s="37"/>
      <c r="G1034" s="67"/>
      <c r="H1034" s="67"/>
    </row>
    <row r="1035" spans="1:8" ht="13.2">
      <c r="A1035" s="65" t="str">
        <f>HYPERLINK("https://dmoj.ca/problem/coci06c6p4","COCI 06-Kamen")</f>
        <v>COCI 06-Kamen</v>
      </c>
      <c r="B1035" s="15" t="s">
        <v>3649</v>
      </c>
      <c r="C1035" s="24">
        <v>5.25</v>
      </c>
      <c r="D1035" s="65" t="str">
        <f>HYPERLINK("https://github.com/mostafa-saad/MyCompetitiveProgramming/blob/master/Olympiad/CEOI/COCI-06-Kamen.txt","Sol")</f>
        <v>Sol</v>
      </c>
      <c r="E1035" s="31" t="s">
        <v>3650</v>
      </c>
      <c r="F1035" s="37" t="s">
        <v>139</v>
      </c>
      <c r="G1035" s="67"/>
      <c r="H1035" s="67"/>
    </row>
    <row r="1036" spans="1:8" ht="13.2">
      <c r="A1036" s="65" t="str">
        <f>HYPERLINK("https://szkopul.edu.pl/problemset/problem/w3YAoAT3ej27YeiaNWjK57_G/site/", "POI 08-Mafia")</f>
        <v>POI 08-Mafia</v>
      </c>
      <c r="B1036" s="37" t="s">
        <v>3660</v>
      </c>
      <c r="C1036" s="24">
        <v>5.25</v>
      </c>
      <c r="D1036" s="65" t="str">
        <f>HYPERLINK("https://github.com/mostafa-saad/MyCompetitiveProgramming/blob/master/Olympiad/POI/POI-08-Mafia.txt","Sol")</f>
        <v>Sol</v>
      </c>
      <c r="E1036" s="31" t="s">
        <v>3650</v>
      </c>
      <c r="F1036" s="37" t="s">
        <v>139</v>
      </c>
      <c r="G1036" s="67"/>
      <c r="H1036" s="67"/>
    </row>
    <row r="1037" spans="1:8" ht="13.2">
      <c r="A1037" s="65" t="str">
        <f>HYPERLINK("https://oj.uz/problem/view/COCI17_poklon7","COCI 17-poklon7-r7")</f>
        <v>COCI 17-poklon7-r7</v>
      </c>
      <c r="B1037" s="20" t="s">
        <v>3675</v>
      </c>
      <c r="C1037" s="24">
        <v>5</v>
      </c>
      <c r="D1037" s="65" t="str">
        <f>HYPERLINK("https://github.com/mostafa-saad/MyCompetitiveProgramming/blob/master/Olympiad/COCI/official/2017/contest7_solutions","Editorial")</f>
        <v>Editorial</v>
      </c>
      <c r="E1037" s="31" t="s">
        <v>3650</v>
      </c>
      <c r="F1037" s="37" t="s">
        <v>154</v>
      </c>
      <c r="G1037" s="67"/>
      <c r="H1037" s="67"/>
    </row>
    <row r="1038" spans="1:8" ht="13.2">
      <c r="A1038" s="65" t="str">
        <f>HYPERLINK("https://oj.uz/problem/view/COCI17_ronald","COCI 17-ronald")</f>
        <v>COCI 17-ronald</v>
      </c>
      <c r="B1038" s="15" t="s">
        <v>3748</v>
      </c>
      <c r="C1038" s="24">
        <v>5</v>
      </c>
      <c r="D1038" s="65" t="str">
        <f>HYPERLINK("https://github.com/mostafa-saad/MyCompetitiveProgramming/blob/master/Olympiad/COCI/official/2017/contest5_solutions","Editorial")</f>
        <v>Editorial</v>
      </c>
      <c r="E1038" s="31" t="s">
        <v>3650</v>
      </c>
      <c r="F1038" s="37" t="s">
        <v>139</v>
      </c>
      <c r="G1038" s="67"/>
      <c r="H1038" s="67"/>
    </row>
    <row r="1039" spans="1:8" ht="13.2">
      <c r="A1039" s="65" t="str">
        <f>HYPERLINK("https://oj.uz/problem/view/BOI13_tracks","Baltic 13-tracks")</f>
        <v>Baltic 13-tracks</v>
      </c>
      <c r="B1039" s="20" t="s">
        <v>7198</v>
      </c>
      <c r="C1039" s="24">
        <v>5</v>
      </c>
      <c r="D1039" s="65" t="str">
        <f>HYPERLINK("https://github.com/mostafa-saad/MyCompetitiveProgramming/blob/master/Olympiad/Baltic/Baltic-13-tracks.txt","Sol")</f>
        <v>Sol</v>
      </c>
      <c r="E1039" s="31" t="s">
        <v>3650</v>
      </c>
      <c r="F1039" s="37"/>
      <c r="G1039" s="67"/>
      <c r="H1039" s="67"/>
    </row>
    <row r="1040" spans="1:8" ht="13.2">
      <c r="A1040" s="65" t="str">
        <f>HYPERLINK("https://oj.uz/problem/view/POI11_ins","POI 11-ins")</f>
        <v>POI 11-ins</v>
      </c>
      <c r="B1040" s="20" t="s">
        <v>7199</v>
      </c>
      <c r="C1040" s="17">
        <v>5</v>
      </c>
      <c r="D1040" s="65" t="str">
        <f>HYPERLINK("https://github.com/mostafa-saad/MyCompetitiveProgramming/blob/master/Olympiad/POI/POI-11-ins.txt","Sol")</f>
        <v>Sol</v>
      </c>
      <c r="E1040" s="31" t="s">
        <v>3650</v>
      </c>
      <c r="F1040" s="37"/>
      <c r="G1040" s="67"/>
      <c r="H1040" s="67"/>
    </row>
    <row r="1041" spans="1:8" ht="13.2">
      <c r="A1041" s="65" t="str">
        <f>HYPERLINK("https://dunjudge.me/analysis/problems/960/","MCO 16-penghulu")</f>
        <v>MCO 16-penghulu</v>
      </c>
      <c r="B1041" s="37" t="s">
        <v>7200</v>
      </c>
      <c r="C1041" s="24">
        <v>5</v>
      </c>
      <c r="D1041" s="65" t="str">
        <f>HYPERLINK("https://github.com/mostafa-saad/MyCompetitiveProgramming/tree/master/Olympiad/MCO/official","Editorial")</f>
        <v>Editorial</v>
      </c>
      <c r="E1041" s="31" t="s">
        <v>3650</v>
      </c>
      <c r="F1041" s="37"/>
      <c r="G1041" s="67"/>
      <c r="H1041" s="67"/>
    </row>
    <row r="1042" spans="1:8" ht="13.2">
      <c r="A1042" s="65" t="str">
        <f>HYPERLINK("https://oj.uz/problem/view/NOI12_forensic","NOI 12-forensic")</f>
        <v>NOI 12-forensic</v>
      </c>
      <c r="B1042" s="37" t="s">
        <v>7201</v>
      </c>
      <c r="C1042" s="24">
        <v>5</v>
      </c>
      <c r="D1042" s="65" t="str">
        <f>HYPERLINK("https://github.com/mostafa-saad/MyCompetitiveProgramming/blob/master/Olympiad/NOI/official/2011.pptx","Editorial")</f>
        <v>Editorial</v>
      </c>
      <c r="E1042" s="31" t="s">
        <v>3650</v>
      </c>
      <c r="F1042" s="37"/>
      <c r="G1042" s="67"/>
      <c r="H1042" s="67"/>
    </row>
    <row r="1043" spans="1:8" ht="13.2">
      <c r="A1043" s="65" t="str">
        <f>HYPERLINK("https://szkopul.edu.pl/problemset/problem/sKmyIHBMNi9EV3WO6GQ4xoFt/site/", "POI 16-Transmit")</f>
        <v>POI 16-Transmit</v>
      </c>
      <c r="B1043" s="37" t="s">
        <v>3682</v>
      </c>
      <c r="C1043" s="24">
        <v>5</v>
      </c>
      <c r="D1043" s="65" t="str">
        <f>HYPERLINK("https://github.com/mostafa-saad/MyCompetitiveProgramming/blob/master/Olympiad/POI/official/find_editorial_sols_guidelines.txt","Editorial")</f>
        <v>Editorial</v>
      </c>
      <c r="E1043" s="31" t="s">
        <v>3650</v>
      </c>
      <c r="F1043" s="37"/>
      <c r="G1043" s="67"/>
      <c r="H1043" s="67"/>
    </row>
    <row r="1044" spans="1:8" ht="13.2">
      <c r="A1044" s="65" t="str">
        <f>HYPERLINK("https://wcipeg.com/problem/coci087p5","COI 08-Reljef")</f>
        <v>COI 08-Reljef</v>
      </c>
      <c r="B1044" s="15" t="s">
        <v>3649</v>
      </c>
      <c r="C1044" s="24">
        <v>4.5</v>
      </c>
      <c r="D1044" s="65" t="str">
        <f>HYPERLINK("https://github.com/mostafa-saad/MyCompetitiveProgramming/blob/master/Olympiad/COCI/official/2009/regional_solutions","Editorial")</f>
        <v>Editorial</v>
      </c>
      <c r="E1044" s="31" t="s">
        <v>3650</v>
      </c>
      <c r="F1044" s="37" t="s">
        <v>201</v>
      </c>
      <c r="G1044" s="67"/>
      <c r="H1044" s="67"/>
    </row>
    <row r="1045" spans="1:8" ht="13.2">
      <c r="A1045" s="69" t="s">
        <v>7202</v>
      </c>
      <c r="B1045" s="20" t="s">
        <v>7203</v>
      </c>
      <c r="C1045" s="21">
        <v>4</v>
      </c>
      <c r="D1045" s="65" t="str">
        <f>HYPERLINK("https://github.com/dolphingarlic/CompetitiveProgramming/blob/master/COI/COCI%2020-politicari.cpp", "Sol")</f>
        <v>Sol</v>
      </c>
      <c r="E1045" s="31" t="s">
        <v>3650</v>
      </c>
      <c r="F1045" s="37"/>
      <c r="G1045" s="67"/>
      <c r="H1045" s="67"/>
    </row>
    <row r="1046" spans="1:8" ht="13.2">
      <c r="A1046" s="65" t="str">
        <f>HYPERLINK("https://oj.uz/problem/view/COCI18_alkemija","COCI 18-alkemija")</f>
        <v>COCI 18-alkemija</v>
      </c>
      <c r="B1046" s="20" t="s">
        <v>3649</v>
      </c>
      <c r="C1046" s="24">
        <v>4</v>
      </c>
      <c r="D1046" s="69"/>
      <c r="E1046" s="31" t="s">
        <v>3650</v>
      </c>
      <c r="F1046" s="37"/>
      <c r="G1046" s="67"/>
      <c r="H1046" s="67"/>
    </row>
    <row r="1047" spans="1:8" ht="13.2">
      <c r="A1047" s="65" t="str">
        <f>HYPERLINK("https://oj.uz/problem/view/COCI16_jetpack","COCI 16-jetpack")</f>
        <v>COCI 16-jetpack</v>
      </c>
      <c r="B1047" s="20" t="s">
        <v>3649</v>
      </c>
      <c r="C1047" s="24">
        <v>3</v>
      </c>
      <c r="D1047" s="65" t="str">
        <f>HYPERLINK("https://github.com/mostafa-saad/MyCompetitiveProgramming/blob/master/Olympiad/COCI/official/2017/contest1_solutions","Editorial")</f>
        <v>Editorial</v>
      </c>
      <c r="E1047" s="31" t="s">
        <v>3650</v>
      </c>
      <c r="F1047" s="37"/>
      <c r="G1047" s="67"/>
      <c r="H1047" s="67"/>
    </row>
    <row r="1048" spans="1:8" ht="13.2">
      <c r="A1048" s="65" t="str">
        <f>HYPERLINK("https://oj.uz/problem/view/COCI18_birokracija","COCI 18-birokracija")</f>
        <v>COCI 18-birokracija</v>
      </c>
      <c r="B1048" s="20" t="s">
        <v>3649</v>
      </c>
      <c r="C1048" s="24">
        <v>2</v>
      </c>
      <c r="D1048" s="69"/>
      <c r="E1048" s="31" t="s">
        <v>3650</v>
      </c>
      <c r="F1048" s="37"/>
      <c r="G1048" s="67"/>
      <c r="H1048" s="67"/>
    </row>
    <row r="1049" spans="1:8" ht="13.2">
      <c r="A1049" s="65" t="str">
        <f>HYPERLINK("https://dunjudge.me/analysis/problems/188/","NOISelection 12-stones")</f>
        <v>NOISelection 12-stones</v>
      </c>
      <c r="B1049" s="37" t="s">
        <v>3649</v>
      </c>
      <c r="C1049" s="24"/>
      <c r="D1049" s="69"/>
      <c r="E1049" s="31" t="s">
        <v>3650</v>
      </c>
      <c r="F1049" s="37"/>
      <c r="G1049" s="67"/>
      <c r="H1049" s="67"/>
    </row>
    <row r="1050" spans="1:8" ht="13.2">
      <c r="A1050" s="65" t="str">
        <f>HYPERLINK("https://oj.uz/problems/source/121", "CEOI 14-wall")</f>
        <v>CEOI 14-wall</v>
      </c>
      <c r="B1050" s="20" t="s">
        <v>7204</v>
      </c>
      <c r="C1050" s="21">
        <v>7.75</v>
      </c>
      <c r="D1050" s="65" t="str">
        <f>HYPERLINK("https://github.com/tmwilliamlin168/CompetitiveProgramming/blob/master/CEOI/14-Wall.cpp", "Sol")</f>
        <v>Sol</v>
      </c>
      <c r="E1050" s="31" t="s">
        <v>3784</v>
      </c>
      <c r="F1050" s="37" t="s">
        <v>173</v>
      </c>
      <c r="G1050" s="67"/>
      <c r="H1050" s="67"/>
    </row>
    <row r="1051" spans="1:8" ht="13.2">
      <c r="A1051" s="65" t="str">
        <f>HYPERLINK("https://oj.uz/problem/view/JOI19_transportations", "JOISC 19-Transportations")</f>
        <v>JOISC 19-Transportations</v>
      </c>
      <c r="B1051" s="20" t="s">
        <v>7205</v>
      </c>
      <c r="C1051" s="21">
        <v>7.5</v>
      </c>
      <c r="D1051" s="69"/>
      <c r="E1051" s="31" t="s">
        <v>3784</v>
      </c>
      <c r="F1051" s="37" t="s">
        <v>139</v>
      </c>
      <c r="G1051" s="67"/>
      <c r="H1051" s="67"/>
    </row>
    <row r="1052" spans="1:8" ht="13.2">
      <c r="A1052" s="65" t="str">
        <f>HYPERLINK("https://oj.uz/problem/view/IOI18_highway","IOI 18-highway")</f>
        <v>IOI 18-highway</v>
      </c>
      <c r="B1052" s="20" t="s">
        <v>7206</v>
      </c>
      <c r="C1052" s="24">
        <v>7.1</v>
      </c>
      <c r="D1052" s="65" t="str">
        <f>HYPERLINK("https://github.com/mostafa-saad/MyCompetitiveProgramming/blob/master/Olympiad/IOI/official/2018","Editorial")</f>
        <v>Editorial</v>
      </c>
      <c r="E1052" s="31" t="s">
        <v>3784</v>
      </c>
      <c r="F1052" s="37"/>
      <c r="G1052" s="67"/>
      <c r="H1052" s="67"/>
    </row>
    <row r="1053" spans="1:8" ht="13.2">
      <c r="A1053" s="65" t="str">
        <f>HYPERLINK("https://www.acmicpc.net/problem/5250","Balkan 12-ShortestPaths")</f>
        <v>Balkan 12-ShortestPaths</v>
      </c>
      <c r="B1053" s="37" t="s">
        <v>7207</v>
      </c>
      <c r="C1053" s="24">
        <v>7</v>
      </c>
      <c r="D1053" s="65" t="str">
        <f>HYPERLINK("https://github.com/mostafa-saad/MyCompetitiveProgramming/blob/master/Olympiad/Balkan/Balkan-12-ShortestPaths.txt","Sol")</f>
        <v>Sol</v>
      </c>
      <c r="E1053" s="31" t="s">
        <v>3784</v>
      </c>
      <c r="F1053" s="37" t="s">
        <v>173</v>
      </c>
      <c r="G1053" s="67"/>
      <c r="H1053" s="67"/>
    </row>
    <row r="1054" spans="1:8" ht="13.2">
      <c r="A1054" s="65" t="str">
        <f>HYPERLINK("https://oj.uz/problem/view/JOI17_soccer","JOI 17-soccer")</f>
        <v>JOI 17-soccer</v>
      </c>
      <c r="B1054" s="20" t="s">
        <v>3866</v>
      </c>
      <c r="C1054" s="17">
        <v>7</v>
      </c>
      <c r="D1054" s="65" t="str">
        <f>HYPERLINK("https://github.com/mostafa-saad/MyCompetitiveProgramming/tree/master/Olympiad/JOI/official/JOI/JOI-17-soccer.txt","Editorial")</f>
        <v>Editorial</v>
      </c>
      <c r="E1054" s="31" t="s">
        <v>3784</v>
      </c>
      <c r="F1054" s="37" t="s">
        <v>139</v>
      </c>
      <c r="G1054" s="67"/>
      <c r="H1054" s="67"/>
    </row>
    <row r="1055" spans="1:8" ht="13.2">
      <c r="A1055" s="65" t="str">
        <f>HYPERLINK("https://dunjudge.me/analysis/problems/706/","NOI 15-sudoku")</f>
        <v>NOI 15-sudoku</v>
      </c>
      <c r="B1055" s="37" t="s">
        <v>3791</v>
      </c>
      <c r="C1055" s="24">
        <v>7</v>
      </c>
      <c r="D1055" s="65" t="str">
        <f>HYPERLINK("https://github.com/mostafa-saad/MyCompetitiveProgramming/blob/master/Olympiad/NOI/official","Editorial")</f>
        <v>Editorial</v>
      </c>
      <c r="E1055" s="31" t="s">
        <v>3784</v>
      </c>
      <c r="F1055" s="37"/>
      <c r="G1055" s="67"/>
      <c r="H1055" s="67"/>
    </row>
    <row r="1056" spans="1:8" ht="13.2">
      <c r="A1056" s="65" t="str">
        <f>HYPERLINK("https://szkopul.edu.pl/problemset/problem/HH7LQVRVHom1g8YRe9423d1P/site/", "POI 06-Frogs")</f>
        <v>POI 06-Frogs</v>
      </c>
      <c r="B1056" s="37" t="s">
        <v>7208</v>
      </c>
      <c r="C1056" s="24">
        <v>6.75</v>
      </c>
      <c r="D1056" s="65" t="str">
        <f>HYPERLINK("https://github.com/mostafa-saad/MyCompetitiveProgramming/blob/master/Olympiad/POI/POI-06-Frogs.txt","Sol")</f>
        <v>Sol</v>
      </c>
      <c r="E1056" s="31" t="s">
        <v>3784</v>
      </c>
      <c r="F1056" s="37" t="s">
        <v>154</v>
      </c>
      <c r="G1056" s="67"/>
      <c r="H1056" s="67"/>
    </row>
    <row r="1057" spans="1:8" ht="13.2">
      <c r="A1057" s="65" t="str">
        <f>HYPERLINK("https://oj.uz/problem/view/BOI16_cities","Baltic 16-cities")</f>
        <v>Baltic 16-cities</v>
      </c>
      <c r="B1057" s="20" t="s">
        <v>7209</v>
      </c>
      <c r="C1057" s="24">
        <v>6.5</v>
      </c>
      <c r="D1057" s="65" t="str">
        <f>HYPERLINK("https://github.com/tmwilliamlin168/CompetitiveProgramming/blob/master/BtOI/16-Cities.cpp", "Sol")</f>
        <v>Sol</v>
      </c>
      <c r="E1057" s="31" t="s">
        <v>3784</v>
      </c>
      <c r="F1057" s="37" t="s">
        <v>229</v>
      </c>
      <c r="G1057" s="67"/>
      <c r="H1057" s="67"/>
    </row>
    <row r="1058" spans="1:8" ht="13.2">
      <c r="A1058" s="65" t="str">
        <f>HYPERLINK("https://cses.fi/112/list/","Baltic 07-Fence")</f>
        <v>Baltic 07-Fence</v>
      </c>
      <c r="B1058" s="37" t="s">
        <v>7210</v>
      </c>
      <c r="C1058" s="24">
        <v>6.5</v>
      </c>
      <c r="D1058" s="65" t="str">
        <f>HYPERLINK("https://github.com/mostafa-saad/MyCompetitiveProgramming/blob/master/Olympiad/Baltic/Baltic-07-Fence.txt","Sol")</f>
        <v>Sol</v>
      </c>
      <c r="E1058" s="31" t="s">
        <v>3784</v>
      </c>
      <c r="F1058" s="37" t="s">
        <v>139</v>
      </c>
      <c r="G1058" s="67"/>
      <c r="H1058" s="67"/>
    </row>
    <row r="1059" spans="1:8" ht="13.2">
      <c r="A1059" s="65" t="str">
        <f>HYPERLINK("https://oj.uz/problem/view/JOI20_ho_t4","JOI 20-OlympicBus")</f>
        <v>JOI 20-OlympicBus</v>
      </c>
      <c r="B1059" s="25" t="s">
        <v>7211</v>
      </c>
      <c r="C1059" s="24">
        <v>6.5</v>
      </c>
      <c r="D1059" s="65" t="str">
        <f>HYPERLINK("https://github.com/mostafa-saad/MyCompetitiveProgramming/tree/master/Olympiad/JOI/official/JOI/2020","Official Code")</f>
        <v>Official Code</v>
      </c>
      <c r="E1059" s="31" t="s">
        <v>3784</v>
      </c>
      <c r="F1059" s="37"/>
      <c r="G1059" s="67"/>
      <c r="H1059" s="67"/>
    </row>
    <row r="1060" spans="1:8" ht="13.2">
      <c r="A1060" s="65" t="str">
        <f>HYPERLINK("https://joi2014ho.contest.atcoder.jp/tasks/joi2014ho4","JOI 14-SugarGlider")</f>
        <v>JOI 14-SugarGlider</v>
      </c>
      <c r="B1060" s="20" t="s">
        <v>7212</v>
      </c>
      <c r="C1060" s="17">
        <v>6.5</v>
      </c>
      <c r="D1060" s="69"/>
      <c r="E1060" s="31" t="s">
        <v>3784</v>
      </c>
      <c r="F1060" s="37"/>
      <c r="G1060" s="67"/>
      <c r="H1060" s="67"/>
    </row>
    <row r="1061" spans="1:8" ht="13.2">
      <c r="A1061" s="65" t="str">
        <f>HYPERLINK("https://oj.uz/problems/source/307","JOI 18-commuterpass")</f>
        <v>JOI 18-commuterpass</v>
      </c>
      <c r="B1061" s="15" t="s">
        <v>3809</v>
      </c>
      <c r="C1061" s="24">
        <v>6.4</v>
      </c>
      <c r="D1061" s="65" t="str">
        <f>HYPERLINK("https://github.com/mostafa-saad/MyCompetitiveProgramming/blob/master/Olympiad/JOI/JOI-18-commuterpass.txt","Sol")</f>
        <v>Sol</v>
      </c>
      <c r="E1061" s="31" t="s">
        <v>3784</v>
      </c>
      <c r="F1061" s="37" t="s">
        <v>139</v>
      </c>
      <c r="G1061" s="67"/>
      <c r="H1061" s="67"/>
    </row>
    <row r="1062" spans="1:8" ht="13.2">
      <c r="A1062" s="65" t="str">
        <f>HYPERLINK("https://oj.uz/problem/view/COCI17_ceste","COCI 17-ceste")</f>
        <v>COCI 17-ceste</v>
      </c>
      <c r="B1062" s="20" t="s">
        <v>7213</v>
      </c>
      <c r="C1062" s="24">
        <v>6.3</v>
      </c>
      <c r="D1062" s="65" t="str">
        <f>HYPERLINK("https://github.com/MohamedAhmed04/Competitive-programming/blob/master/COCI/COCI%2017-Ceste.cpp", "Sol")</f>
        <v>Sol</v>
      </c>
      <c r="E1062" s="31" t="s">
        <v>3784</v>
      </c>
      <c r="F1062" s="37" t="s">
        <v>139</v>
      </c>
      <c r="G1062" s="67"/>
      <c r="H1062" s="67"/>
    </row>
    <row r="1063" spans="1:8" ht="13.2">
      <c r="A1063" s="65" t="str">
        <f>HYPERLINK("https://szkopul.edu.pl/problemset/problem/4CirgBfxbj9tIAS2C7DWCCd7/site/?key=statement","POI10 sums")</f>
        <v>POI10 sums</v>
      </c>
      <c r="B1063" s="69" t="s">
        <v>7214</v>
      </c>
      <c r="C1063" s="17">
        <v>6.25</v>
      </c>
      <c r="D1063" s="65" t="str">
        <f>HYPERLINK("https://github.com/mostafa-saad/MyCompetitiveProgramming/blob/master/Olympiad/POI/POI-03-sums.txt","Sol")</f>
        <v>Sol</v>
      </c>
      <c r="E1063" s="31" t="s">
        <v>3784</v>
      </c>
      <c r="F1063" s="37" t="s">
        <v>2843</v>
      </c>
      <c r="G1063" s="67"/>
      <c r="H1063" s="67"/>
    </row>
    <row r="1064" spans="1:8" ht="13.2">
      <c r="A1064" s="65" t="str">
        <f>HYPERLINK("https://oj.uz/problem/view/IOI11_crocodile","IOI 11-crocodile")</f>
        <v>IOI 11-crocodile</v>
      </c>
      <c r="B1064" s="18" t="s">
        <v>3791</v>
      </c>
      <c r="C1064" s="17">
        <v>6.25</v>
      </c>
      <c r="D1064" s="65" t="str">
        <f>HYPERLINK("http://www.ioi2011.or.th/hsc/tasks/solutions/crocodile.pdf","Editorial")</f>
        <v>Editorial</v>
      </c>
      <c r="E1064" s="31" t="s">
        <v>3784</v>
      </c>
      <c r="F1064" s="37" t="s">
        <v>613</v>
      </c>
      <c r="G1064" s="67"/>
      <c r="H1064" s="67"/>
    </row>
    <row r="1065" spans="1:8" ht="13.2">
      <c r="A1065" s="65" t="str">
        <f>HYPERLINK("https://oj.uz/problem/view/APIO15_skyscraper","APIO 15-skyscraper")</f>
        <v>APIO 15-skyscraper</v>
      </c>
      <c r="B1065" s="18" t="s">
        <v>7215</v>
      </c>
      <c r="C1065" s="17">
        <v>6.1</v>
      </c>
      <c r="D1065" s="65" t="str">
        <f>HYPERLINK("https://github.com/mostafa-saad/MyCompetitiveProgramming/blob/master/Olympiad/APIO/APIO-15-skyscraper.txt","Sol")</f>
        <v>Sol</v>
      </c>
      <c r="E1065" s="31" t="s">
        <v>3784</v>
      </c>
      <c r="F1065" s="37" t="s">
        <v>196</v>
      </c>
      <c r="G1065" s="67"/>
      <c r="H1065" s="67"/>
    </row>
    <row r="1066" spans="1:8" ht="13.2">
      <c r="A1066" s="65" t="str">
        <f>HYPERLINK("https://szkopul.edu.pl/problemset/problem/_L_YGzT5VYJO9zHTfVRwPjwh/site/", "POI 07-Tourist")</f>
        <v>POI 07-Tourist</v>
      </c>
      <c r="B1066" s="37" t="s">
        <v>7216</v>
      </c>
      <c r="C1066" s="24">
        <v>6</v>
      </c>
      <c r="D1066" s="65" t="str">
        <f>HYPERLINK("https://github.com/mostafa-saad/MyCompetitiveProgramming/blob/master/Olympiad/POI/POI-07-Tourist.txt","Sol")</f>
        <v>Sol</v>
      </c>
      <c r="E1066" s="31" t="s">
        <v>3784</v>
      </c>
      <c r="F1066" s="37" t="s">
        <v>139</v>
      </c>
      <c r="G1066" s="67"/>
      <c r="H1066" s="67"/>
    </row>
    <row r="1067" spans="1:8" ht="13.2">
      <c r="A1067" s="65" t="str">
        <f>HYPERLINK("https://oj.uz/problem/view/BOI14_portals","Baltic 14-portals")</f>
        <v>Baltic 14-portals</v>
      </c>
      <c r="B1067" s="20" t="s">
        <v>3866</v>
      </c>
      <c r="C1067" s="24">
        <v>6</v>
      </c>
      <c r="D1067" s="65" t="str">
        <f>HYPERLINK("https://github.com/tmwilliamlin168/CompetitiveProgramming/blob/master/BtOI/14-Portals.cpp", "Sol")</f>
        <v>Sol</v>
      </c>
      <c r="E1067" s="31" t="s">
        <v>3784</v>
      </c>
      <c r="F1067" s="37"/>
      <c r="G1067" s="67"/>
      <c r="H1067" s="67"/>
    </row>
    <row r="1068" spans="1:8" ht="13.2">
      <c r="A1068" s="65" t="str">
        <f>HYPERLINK("https://joisc2013-day1.contest.atcoder.jp/tasks/joisc2013_bustour","JOISC 13-BusTour")</f>
        <v>JOISC 13-BusTour</v>
      </c>
      <c r="B1068" s="20" t="s">
        <v>7217</v>
      </c>
      <c r="C1068" s="24">
        <v>6</v>
      </c>
      <c r="D1068" s="69"/>
      <c r="E1068" s="31" t="s">
        <v>3784</v>
      </c>
      <c r="F1068" s="37"/>
      <c r="G1068" s="67"/>
      <c r="H1068" s="67"/>
    </row>
    <row r="1069" spans="1:8" ht="13.2">
      <c r="A1069" s="65" t="str">
        <f>HYPERLINK("https://wcipeg.com/problem/coi07p3","COI 07-Tamnica")</f>
        <v>COI 07-Tamnica</v>
      </c>
      <c r="B1069" s="37" t="s">
        <v>7218</v>
      </c>
      <c r="C1069" s="24">
        <v>5.75</v>
      </c>
      <c r="D1069" s="65" t="str">
        <f>HYPERLINK("https://github.com/mostafa-saad/MyCompetitiveProgramming/blob/master/Olympiad/COI/COI-07-Tamnica.txt","Sol")</f>
        <v>Sol</v>
      </c>
      <c r="E1069" s="31" t="s">
        <v>3784</v>
      </c>
      <c r="F1069" s="37" t="s">
        <v>139</v>
      </c>
      <c r="G1069" s="67"/>
      <c r="H1069" s="67"/>
    </row>
    <row r="1070" spans="1:8" ht="14.25" customHeight="1">
      <c r="A1070" s="65" t="str">
        <f>HYPERLINK("https://csacademy.com/contest/ioi-2016-training-round-1/task/hallway","IOIPractice 16-hallway")</f>
        <v>IOIPractice 16-hallway</v>
      </c>
      <c r="B1070" s="37" t="s">
        <v>7219</v>
      </c>
      <c r="C1070" s="24">
        <v>5.75</v>
      </c>
      <c r="D1070" s="69"/>
      <c r="E1070" s="31" t="s">
        <v>3784</v>
      </c>
      <c r="F1070" s="37" t="s">
        <v>139</v>
      </c>
      <c r="G1070" s="67"/>
      <c r="H1070" s="67"/>
    </row>
    <row r="1071" spans="1:8" ht="13.2">
      <c r="A1071" s="65" t="str">
        <f>HYPERLINK("http://usaco.org/index.php?page=viewproblem2&amp;cpid=861","USACO 18dec-dining")</f>
        <v>USACO 18dec-dining</v>
      </c>
      <c r="B1071" s="20" t="s">
        <v>3791</v>
      </c>
      <c r="C1071" s="21">
        <v>5.75</v>
      </c>
      <c r="D1071" s="69"/>
      <c r="E1071" s="31" t="s">
        <v>3784</v>
      </c>
      <c r="F1071" s="37" t="s">
        <v>201</v>
      </c>
      <c r="G1071" s="67"/>
      <c r="H1071" s="67"/>
    </row>
    <row r="1072" spans="1:8" ht="13.2">
      <c r="A1072" s="65" t="str">
        <f>HYPERLINK("https://oj.uz/problem/view/COCI17_portal","COCI 17-portal")</f>
        <v>COCI 17-portal</v>
      </c>
      <c r="B1072" s="20" t="s">
        <v>7220</v>
      </c>
      <c r="C1072" s="24">
        <v>5.5</v>
      </c>
      <c r="D1072" s="65" t="str">
        <f>HYPERLINK("https://github.com/luciocf/OI-Problems/blob/master/COCI/COCI%202017-2018/portals.cpp","Sol")</f>
        <v>Sol</v>
      </c>
      <c r="E1072" s="31" t="s">
        <v>3784</v>
      </c>
      <c r="F1072" s="37" t="s">
        <v>201</v>
      </c>
      <c r="G1072" s="67"/>
      <c r="H1072" s="67"/>
    </row>
    <row r="1073" spans="1:8" ht="13.2">
      <c r="A1073" s="65" t="str">
        <f>HYPERLINK("https://joi2015ho.contest.atcoder.jp/tasks/joi2015ho_c","JOI 15-JOIPark")</f>
        <v>JOI 15-JOIPark</v>
      </c>
      <c r="B1073" s="20" t="s">
        <v>7221</v>
      </c>
      <c r="C1073" s="17">
        <v>5.5</v>
      </c>
      <c r="D1073" s="69"/>
      <c r="E1073" s="31" t="s">
        <v>3784</v>
      </c>
      <c r="F1073" s="37"/>
      <c r="G1073" s="67"/>
      <c r="H1073" s="67"/>
    </row>
    <row r="1074" spans="1:8" ht="13.2">
      <c r="A1074" s="65" t="str">
        <f>HYPERLINK("https://wcipeg.com/problem/coci092p4","COCI 09-Vuk")</f>
        <v>COCI 09-Vuk</v>
      </c>
      <c r="B1074" s="15" t="s">
        <v>3830</v>
      </c>
      <c r="C1074" s="24">
        <v>5</v>
      </c>
      <c r="D1074" s="65" t="str">
        <f>HYPERLINK("https://github.com/mostafa-saad/MyCompetitiveProgramming/blob/master/Olympiad/COCI/official/2010/contest2_solutions","Editorial")</f>
        <v>Editorial</v>
      </c>
      <c r="E1074" s="31" t="s">
        <v>3784</v>
      </c>
      <c r="F1074" s="37" t="s">
        <v>139</v>
      </c>
      <c r="G1074" s="67"/>
      <c r="H1074" s="67"/>
    </row>
    <row r="1075" spans="1:8" ht="13.2">
      <c r="A1075" s="65" t="str">
        <f>HYPERLINK("https://dunjudge.me/analysis/problems/1228/","NOI 17-hotspot")</f>
        <v>NOI 17-hotspot</v>
      </c>
      <c r="B1075" s="37" t="s">
        <v>7222</v>
      </c>
      <c r="C1075" s="24">
        <v>5</v>
      </c>
      <c r="D1075" s="65" t="str">
        <f>HYPERLINK("https://github.com/mostafa-saad/MyCompetitiveProgramming/blob/master/Olympiad/NOI/official","Editorial")</f>
        <v>Editorial</v>
      </c>
      <c r="E1075" s="31" t="s">
        <v>3784</v>
      </c>
      <c r="F1075" s="37" t="s">
        <v>201</v>
      </c>
      <c r="G1075" s="67"/>
      <c r="H1075" s="67"/>
    </row>
    <row r="1076" spans="1:8" ht="13.2">
      <c r="A1076" s="65" t="str">
        <f>HYPERLINK("https://www.infoarena.ro/problema/pesaptecarari","infoarena pesaptecarari")</f>
        <v>infoarena pesaptecarari</v>
      </c>
      <c r="B1076" s="37" t="s">
        <v>7223</v>
      </c>
      <c r="C1076" s="21">
        <v>5</v>
      </c>
      <c r="D1076" s="65" t="str">
        <f>HYPERLINK("https://github.com/stefdasca/CompetitiveProgramming/blob/master/Infoarena/pesaptecarari.cpp","Sol")</f>
        <v>Sol</v>
      </c>
      <c r="E1076" s="31" t="s">
        <v>3784</v>
      </c>
      <c r="F1076" s="37"/>
      <c r="G1076" s="67"/>
      <c r="H1076" s="67"/>
    </row>
    <row r="1077" spans="1:8" ht="13.2">
      <c r="A1077" s="65" t="str">
        <f>HYPERLINK("https://oj.uz/problem/view/NOI13_ferries","NOI 13-ferries")</f>
        <v>NOI 13-ferries</v>
      </c>
      <c r="B1077" s="20" t="s">
        <v>3791</v>
      </c>
      <c r="C1077" s="24">
        <v>5</v>
      </c>
      <c r="D1077" s="69"/>
      <c r="E1077" s="31" t="s">
        <v>3784</v>
      </c>
      <c r="F1077" s="37"/>
      <c r="G1077" s="67"/>
      <c r="H1077" s="67"/>
    </row>
    <row r="1078" spans="1:8" ht="13.2">
      <c r="A1078" s="65" t="str">
        <f>HYPERLINK("https://szkopul.edu.pl/problemset/problem/Jnq0pGf9q3nVm-b1h6Bg23G9/site/", "POI 04-Competition")</f>
        <v>POI 04-Competition</v>
      </c>
      <c r="B1078" s="37" t="s">
        <v>7224</v>
      </c>
      <c r="C1078" s="24">
        <v>5</v>
      </c>
      <c r="D1078" s="65" t="str">
        <f>HYPERLINK("https://github.com/mostafa-saad/MyCompetitiveProgramming/blob/master/Olympiad/POI/official/find_editorial_sols_guidelines.txt","Editorial")</f>
        <v>Editorial</v>
      </c>
      <c r="E1078" s="31" t="s">
        <v>3784</v>
      </c>
      <c r="F1078" s="37"/>
      <c r="G1078" s="67"/>
      <c r="H1078" s="67"/>
    </row>
    <row r="1079" spans="1:8" ht="13.2">
      <c r="A1079" s="65" t="str">
        <f>HYPERLINK("https://dunjudge.me/analysis/problems/962/","MCO 16-relayrace")</f>
        <v>MCO 16-relayrace</v>
      </c>
      <c r="B1079" s="37" t="s">
        <v>3791</v>
      </c>
      <c r="C1079" s="24">
        <v>5</v>
      </c>
      <c r="D1079" s="65" t="str">
        <f>HYPERLINK("https://github.com/mostafa-saad/MyCompetitiveProgramming/tree/master/Olympiad/MCO/official","Editorial")</f>
        <v>Editorial</v>
      </c>
      <c r="E1079" s="31" t="s">
        <v>3784</v>
      </c>
      <c r="F1079" s="37"/>
      <c r="G1079" s="67"/>
      <c r="H1079" s="67"/>
    </row>
    <row r="1080" spans="1:8" ht="13.2">
      <c r="A1080" s="65" t="str">
        <f>HYPERLINK("https://joi2013ho.contest.atcoder.jp/tasks/joi2013ho3","JOI 13-ModernMansion")</f>
        <v>JOI 13-ModernMansion</v>
      </c>
      <c r="B1080" s="20" t="s">
        <v>3791</v>
      </c>
      <c r="C1080" s="17">
        <v>5</v>
      </c>
      <c r="D1080" s="69"/>
      <c r="E1080" s="31" t="s">
        <v>3784</v>
      </c>
      <c r="F1080" s="37"/>
      <c r="G1080" s="67"/>
      <c r="H1080" s="67"/>
    </row>
    <row r="1081" spans="1:8" ht="13.2">
      <c r="A1081" s="65" t="str">
        <f>HYPERLINK("https://dmoj.ca/problem/coci07c6p4","COCI 07-George")</f>
        <v>COCI 07-George</v>
      </c>
      <c r="B1081" s="15" t="s">
        <v>3791</v>
      </c>
      <c r="C1081" s="24">
        <v>4</v>
      </c>
      <c r="D1081" s="65" t="str">
        <f>HYPERLINK("https://github.com/mostafa-saad/MyCompetitiveProgramming/tree/master/Olympiad/COCI/official/2008/contest6_solutions","Editorial")</f>
        <v>Editorial</v>
      </c>
      <c r="E1081" s="31" t="s">
        <v>3784</v>
      </c>
      <c r="F1081" s="37"/>
      <c r="G1081" s="67"/>
      <c r="H1081" s="67"/>
    </row>
    <row r="1082" spans="1:8" ht="13.2">
      <c r="A1082" s="65" t="str">
        <f>HYPERLINK("https://dunjudge.me/analysis/problems/724/","MCO 15-trains")</f>
        <v>MCO 15-trains</v>
      </c>
      <c r="B1082" s="37" t="s">
        <v>3791</v>
      </c>
      <c r="C1082" s="24">
        <v>4</v>
      </c>
      <c r="D1082" s="65" t="str">
        <f>HYPERLINK("https://github.com/mostafa-saad/MyCompetitiveProgramming/tree/master/Olympiad/MCO/official/2015","Sol No Editorial")</f>
        <v>Sol No Editorial</v>
      </c>
      <c r="E1082" s="31" t="s">
        <v>3784</v>
      </c>
      <c r="F1082" s="37"/>
      <c r="G1082" s="67"/>
      <c r="H1082" s="67"/>
    </row>
    <row r="1083" spans="1:8" ht="13.2">
      <c r="A1083" s="65" t="str">
        <f>HYPERLINK("https://joi2013ho.contest.atcoder.jp/tasks/joi2013ho1","JOI 13-illumination")</f>
        <v>JOI 13-illumination</v>
      </c>
      <c r="B1083" s="20" t="s">
        <v>7225</v>
      </c>
      <c r="C1083" s="17">
        <v>4</v>
      </c>
      <c r="D1083" s="69"/>
      <c r="E1083" s="31" t="s">
        <v>3784</v>
      </c>
      <c r="F1083" s="37"/>
      <c r="G1083" s="67"/>
      <c r="H1083" s="67"/>
    </row>
    <row r="1084" spans="1:8" ht="13.2">
      <c r="A1084" s="65" t="str">
        <f>HYPERLINK("https://dunjudge.me/analysis/problems/265/","NOI 10-sail")</f>
        <v>NOI 10-sail</v>
      </c>
      <c r="B1084" s="37" t="s">
        <v>3791</v>
      </c>
      <c r="C1084" s="24">
        <v>3</v>
      </c>
      <c r="D1084" s="65" t="str">
        <f>HYPERLINK("https://github.com/mostafa-saad/MyCompetitiveProgramming/blob/master/Olympiad/NOI/official","Editorial")</f>
        <v>Editorial</v>
      </c>
      <c r="E1084" s="31" t="s">
        <v>3784</v>
      </c>
      <c r="F1084" s="37"/>
      <c r="G1084" s="67"/>
      <c r="H1084" s="67"/>
    </row>
    <row r="1085" spans="1:8" ht="13.2">
      <c r="A1085" s="65" t="str">
        <f>HYPERLINK("https://codeforces.com/group/R2SERIff4f/contest/213171","MCO 17-TravellingSalesman")</f>
        <v>MCO 17-TravellingSalesman</v>
      </c>
      <c r="B1085" s="37" t="s">
        <v>3791</v>
      </c>
      <c r="C1085" s="24">
        <v>3</v>
      </c>
      <c r="D1085" s="65" t="str">
        <f>HYPERLINK("https://github.com/mostafa-saad/MyCompetitiveProgramming/tree/master/Olympiad/MCO/official","Editorial")</f>
        <v>Editorial</v>
      </c>
      <c r="E1085" s="31" t="s">
        <v>3784</v>
      </c>
      <c r="F1085" s="37"/>
      <c r="G1085" s="67"/>
      <c r="H1085" s="67"/>
    </row>
    <row r="1086" spans="1:8" ht="13.2">
      <c r="A1086" s="65" t="str">
        <f>HYPERLINK("https://dunjudge.me/analysis/problems/87/","NOISelection 11-superlongnoodles")</f>
        <v>NOISelection 11-superlongnoodles</v>
      </c>
      <c r="B1086" s="37" t="s">
        <v>7226</v>
      </c>
      <c r="C1086" s="24"/>
      <c r="D1086" s="69"/>
      <c r="E1086" s="31" t="s">
        <v>3784</v>
      </c>
      <c r="F1086" s="37"/>
      <c r="G1086" s="67"/>
      <c r="H1086" s="67"/>
    </row>
    <row r="1087" spans="1:8" ht="13.2">
      <c r="A1087" s="65" t="str">
        <f>HYPERLINK("https://dunjudge.me/analysis/problems/186/","NOISelection 12-waddlehop")</f>
        <v>NOISelection 12-waddlehop</v>
      </c>
      <c r="B1087" s="37" t="s">
        <v>3791</v>
      </c>
      <c r="C1087" s="24"/>
      <c r="D1087" s="69"/>
      <c r="E1087" s="31" t="s">
        <v>3784</v>
      </c>
      <c r="F1087" s="37"/>
      <c r="G1087" s="67"/>
      <c r="H1087" s="67"/>
    </row>
    <row r="1088" spans="1:8" ht="13.2">
      <c r="A1088" s="65" t="str">
        <f>HYPERLINK("https://oj.uz/problem/view/IOI18_werewolf","IOI 18-werewolf")</f>
        <v>IOI 18-werewolf</v>
      </c>
      <c r="B1088" s="20" t="s">
        <v>7227</v>
      </c>
      <c r="C1088" s="21">
        <v>7.1</v>
      </c>
      <c r="D1088" s="65" t="str">
        <f>HYPERLINK("https://github.com/mostafa-saad/MyCompetitiveProgramming/blob/master/Olympiad/IOI/IOI-18-Werewolf.txt","Sol")</f>
        <v>Sol</v>
      </c>
      <c r="E1088" s="31" t="s">
        <v>3883</v>
      </c>
      <c r="F1088" s="37" t="s">
        <v>139</v>
      </c>
      <c r="G1088" s="67"/>
      <c r="H1088" s="67"/>
    </row>
    <row r="1089" spans="1:8" ht="13.2">
      <c r="A1089" s="65" t="str">
        <f>HYPERLINK("http://usaco.org/index.php?page=viewproblem2&amp;cpid=950","USACO 19mar-Valleys-plat")</f>
        <v>USACO 19mar-Valleys-plat</v>
      </c>
      <c r="B1089" s="37" t="s">
        <v>7228</v>
      </c>
      <c r="C1089" s="24">
        <v>7</v>
      </c>
      <c r="D1089" s="65" t="str">
        <f>HYPERLINK("https://github.com/Szawinis/CompetitiveProgramming/blob/master/Olympiad/USACO/USACO19mar-valleys-plat.cpp","Sol")</f>
        <v>Sol</v>
      </c>
      <c r="E1089" s="31" t="s">
        <v>3883</v>
      </c>
      <c r="F1089" s="37"/>
      <c r="G1089" s="67"/>
      <c r="H1089" s="67"/>
    </row>
    <row r="1090" spans="1:8" ht="13.2">
      <c r="A1090" s="65" t="str">
        <f>HYPERLINK("https://oj.uz/problem/view/COCI16_zamjene","COCI 16-zamjene")</f>
        <v>COCI 16-zamjene</v>
      </c>
      <c r="B1090" s="20" t="s">
        <v>7229</v>
      </c>
      <c r="C1090" s="24">
        <v>6.75</v>
      </c>
      <c r="D1090" s="65" t="str">
        <f>HYPERLINK("https://github.com/mostafa-saad/MyCompetitiveProgramming/blob/master/Olympiad/COCI/COCI-16-zamjene.txt","Sol")</f>
        <v>Sol</v>
      </c>
      <c r="E1090" s="31" t="s">
        <v>3883</v>
      </c>
      <c r="F1090" s="37" t="s">
        <v>139</v>
      </c>
      <c r="G1090" s="67"/>
      <c r="H1090" s="67"/>
    </row>
    <row r="1091" spans="1:8" ht="13.2">
      <c r="A1091" s="65" t="str">
        <f>HYPERLINK("https://www.infoarena.ro/problema/unique","infoarena unique")</f>
        <v>infoarena unique</v>
      </c>
      <c r="B1091" s="20" t="s">
        <v>7230</v>
      </c>
      <c r="C1091" s="17">
        <v>6.75</v>
      </c>
      <c r="D1091" s="65" t="str">
        <f>HYPERLINK("https://github.com/mostafa-saad/MyCompetitiveProgramming/blob/master/Olympiad/infoarena/infoarena_unique.txt","Sol")</f>
        <v>Sol</v>
      </c>
      <c r="E1091" s="31" t="s">
        <v>3883</v>
      </c>
      <c r="F1091" s="37" t="s">
        <v>139</v>
      </c>
      <c r="G1091" s="67"/>
      <c r="H1091" s="67"/>
    </row>
    <row r="1092" spans="1:8" ht="13.2">
      <c r="A1092" s="65" t="str">
        <f>HYPERLINK("https://dunjudge.me/analysis/problems/1827/","NOI 19-riggedroads")</f>
        <v>NOI 19-riggedroads</v>
      </c>
      <c r="B1092" s="20" t="s">
        <v>7231</v>
      </c>
      <c r="C1092" s="17">
        <v>6.75</v>
      </c>
      <c r="D1092" s="65" t="str">
        <f>HYPERLINK("https://github.com/mostafa-saad/MyCompetitiveProgramming/blob/master/Olympiad/NOI/NOI-19-riggedroads.txt","Sol")</f>
        <v>Sol</v>
      </c>
      <c r="E1092" s="31" t="s">
        <v>3883</v>
      </c>
      <c r="F1092" s="37" t="s">
        <v>139</v>
      </c>
      <c r="G1092" s="67"/>
      <c r="H1092" s="67"/>
    </row>
    <row r="1093" spans="1:8" ht="13.2">
      <c r="A1093" s="65" t="str">
        <f>HYPERLINK("https://oj.uz/problem/view/IOI12_rings","IOI 12-rings")</f>
        <v>IOI 12-rings</v>
      </c>
      <c r="B1093" s="23" t="s">
        <v>7232</v>
      </c>
      <c r="C1093" s="24">
        <v>6.5</v>
      </c>
      <c r="D1093" s="65" t="str">
        <f>HYPERLINK("https://github.com/tmwilliamlin168/CompetitiveProgramming/blob/master/IOI/12-Rings.cpp","Sol")</f>
        <v>Sol</v>
      </c>
      <c r="E1093" s="31" t="s">
        <v>3883</v>
      </c>
      <c r="F1093" s="37" t="s">
        <v>242</v>
      </c>
      <c r="G1093" s="67"/>
      <c r="H1093" s="67"/>
    </row>
    <row r="1094" spans="1:8" ht="13.2">
      <c r="A1094" s="65" t="str">
        <f>HYPERLINK("http://www.usaco.org/index.php?page=viewproblem2&amp;cpid=996","USACO 20jan-cave-plat")</f>
        <v>USACO 20jan-cave-plat</v>
      </c>
      <c r="B1094" s="37" t="s">
        <v>3886</v>
      </c>
      <c r="C1094" s="24">
        <v>6.5</v>
      </c>
      <c r="D1094" s="69"/>
      <c r="E1094" s="31" t="s">
        <v>3883</v>
      </c>
      <c r="F1094" s="37"/>
      <c r="G1094" s="67"/>
      <c r="H1094" s="67"/>
    </row>
    <row r="1095" spans="1:8" ht="13.2">
      <c r="A1095" s="65" t="str">
        <f>HYPERLINK("https://joisc2013-day1.contest.atcoder.jp/tasks/joisc2013_communication","JOISC 13-Jamming")</f>
        <v>JOISC 13-Jamming</v>
      </c>
      <c r="B1095" s="20" t="s">
        <v>7233</v>
      </c>
      <c r="C1095" s="24">
        <v>6.5</v>
      </c>
      <c r="D1095" s="69"/>
      <c r="E1095" s="31" t="s">
        <v>3883</v>
      </c>
      <c r="F1095" s="37"/>
      <c r="G1095" s="67"/>
      <c r="H1095" s="67"/>
    </row>
    <row r="1096" spans="1:8" ht="13.2">
      <c r="A1096" s="65" t="str">
        <f>HYPERLINK("https://dmoj.ca/problem/coci15c4p5","COCI 15-galaksija")</f>
        <v>COCI 15-galaksija</v>
      </c>
      <c r="B1096" s="23" t="s">
        <v>7234</v>
      </c>
      <c r="C1096" s="24">
        <v>6.4</v>
      </c>
      <c r="D1096" s="65" t="str">
        <f>HYPERLINK("https://github.com/mostafa-saad/MyCompetitiveProgramming/blob/master/Olympiad/COCI/COCI-15-galaksija.txt","Sol")</f>
        <v>Sol</v>
      </c>
      <c r="E1096" s="31" t="s">
        <v>3883</v>
      </c>
      <c r="F1096" s="37" t="s">
        <v>154</v>
      </c>
      <c r="G1096" s="67"/>
      <c r="H1096" s="67"/>
    </row>
    <row r="1097" spans="1:8" ht="13.2">
      <c r="A1097" s="65" t="str">
        <f>HYPERLINK("https://cses.fi/98/list/","Baltic 12-Peaks")</f>
        <v>Baltic 12-Peaks</v>
      </c>
      <c r="B1097" s="37" t="s">
        <v>7235</v>
      </c>
      <c r="C1097" s="24">
        <v>6.3</v>
      </c>
      <c r="D1097" s="65" t="str">
        <f>HYPERLINK("https://github.com/mostafa-saad/MyCompetitiveProgramming/blob/master/Olympiad/Baltic/Baltic-12-Peaks.txt","Sol")</f>
        <v>Sol</v>
      </c>
      <c r="E1097" s="31" t="s">
        <v>3883</v>
      </c>
      <c r="F1097" s="37" t="s">
        <v>139</v>
      </c>
      <c r="G1097" s="67"/>
      <c r="H1097" s="67"/>
    </row>
    <row r="1098" spans="1:8" ht="13.2">
      <c r="A1098" s="65" t="str">
        <f>HYPERLINK("https://oj.uz/problem/view/IOI14_game","IOI 14-game")</f>
        <v>IOI 14-game</v>
      </c>
      <c r="B1098" s="18" t="s">
        <v>7236</v>
      </c>
      <c r="C1098" s="17">
        <v>6.25</v>
      </c>
      <c r="D1098" s="65" t="str">
        <f>HYPERLINK("https://github.com/mostafa-saad/MyCompetitiveProgramming/blob/master/Olympiad/IOI/IOI-14-game.txt","Sol")</f>
        <v>Sol</v>
      </c>
      <c r="E1098" s="31" t="s">
        <v>3883</v>
      </c>
      <c r="F1098" s="37" t="s">
        <v>201</v>
      </c>
      <c r="G1098" s="67"/>
      <c r="H1098" s="67"/>
    </row>
    <row r="1099" spans="1:8" ht="13.2">
      <c r="A1099" s="65" t="str">
        <f>HYPERLINK("https://joisc2013-day2.contest.atcoder.jp/tasks/joisc2013_construction","JOISC 13-Construct")</f>
        <v>JOISC 13-Construct</v>
      </c>
      <c r="B1099" s="20" t="s">
        <v>7237</v>
      </c>
      <c r="C1099" s="24">
        <v>6.25</v>
      </c>
      <c r="D1099" s="69"/>
      <c r="E1099" s="31" t="s">
        <v>3883</v>
      </c>
      <c r="F1099" s="37"/>
      <c r="G1099" s="67"/>
      <c r="H1099" s="67"/>
    </row>
    <row r="1100" spans="1:8" ht="13.2">
      <c r="A1100" s="65" t="str">
        <f>HYPERLINK("https://dunjudge.me/analysis/problems/732/","JOISC 15-inheritance")</f>
        <v>JOISC 15-inheritance</v>
      </c>
      <c r="B1100" s="20" t="s">
        <v>3882</v>
      </c>
      <c r="C1100" s="24">
        <v>6</v>
      </c>
      <c r="D1100" s="65" t="str">
        <f>HYPERLINK("https://github.com/mostafa-saad/MyCompetitiveProgramming/blob/master/Olympiad/JOI/JOISC-15-inheritance.txt","Sol")</f>
        <v>Sol</v>
      </c>
      <c r="E1100" s="31" t="s">
        <v>3883</v>
      </c>
      <c r="F1100" s="37" t="s">
        <v>154</v>
      </c>
      <c r="G1100" s="67"/>
      <c r="H1100" s="67"/>
    </row>
    <row r="1101" spans="1:8" ht="13.2">
      <c r="A1101" s="65" t="str">
        <f>HYPERLINK("https://www.infoarena.ro/problema/mexc","infoarena mexc")</f>
        <v>infoarena mexc</v>
      </c>
      <c r="B1101" s="20" t="s">
        <v>7238</v>
      </c>
      <c r="C1101" s="21">
        <v>6</v>
      </c>
      <c r="D1101" s="65" t="str">
        <f>HYPERLINK("https://github.com/mostafa-saad/MyCompetitiveProgramming/blob/master/Olympiad/infoarena/infoarena_mexc.txt","Sol")</f>
        <v>Sol</v>
      </c>
      <c r="E1101" s="31" t="s">
        <v>3883</v>
      </c>
      <c r="F1101" s="37" t="s">
        <v>139</v>
      </c>
      <c r="G1101" s="67"/>
      <c r="H1101" s="67"/>
    </row>
    <row r="1102" spans="1:8" ht="13.2">
      <c r="A1102" s="65" t="str">
        <f>HYPERLINK("https://www.infoarena.ro/problema/matrice2","infoarena matrice2")</f>
        <v>infoarena matrice2</v>
      </c>
      <c r="B1102" s="20" t="s">
        <v>7239</v>
      </c>
      <c r="C1102" s="21">
        <v>6</v>
      </c>
      <c r="D1102" s="65" t="str">
        <f>HYPERLINK("https://github.com/mostafa-saad/MyCompetitiveProgramming/blob/master/Olympiad/infoarena/infoarena_matrice2.txt","Sol")</f>
        <v>Sol</v>
      </c>
      <c r="E1102" s="31" t="s">
        <v>3883</v>
      </c>
      <c r="F1102" s="37" t="s">
        <v>201</v>
      </c>
      <c r="G1102" s="67"/>
      <c r="H1102" s="67"/>
    </row>
    <row r="1103" spans="1:8" ht="13.2">
      <c r="A1103" s="65" t="str">
        <f>HYPERLINK("https://www.infoarena.ro/problema/nrsubsecv","infoarena nrsubsecv")</f>
        <v>infoarena nrsubsecv</v>
      </c>
      <c r="B1103" s="37" t="s">
        <v>7240</v>
      </c>
      <c r="C1103" s="21">
        <v>6</v>
      </c>
      <c r="D1103" s="65" t="str">
        <f>HYPERLINK("https://github.com/stefdasca/CompetitiveProgramming/blob/master/Infoarena/nrsubsecv.cpp","Sol")</f>
        <v>Sol</v>
      </c>
      <c r="E1103" s="31" t="s">
        <v>3883</v>
      </c>
      <c r="F1103" s="37" t="s">
        <v>201</v>
      </c>
      <c r="G1103" s="67"/>
      <c r="H1103" s="67"/>
    </row>
    <row r="1104" spans="1:8" ht="13.2">
      <c r="A1104" s="65" t="str">
        <f>HYPERLINK("https://dmoj.ca/problem/coci14c2p5","COCI 14-Suma")</f>
        <v>COCI 14-Suma</v>
      </c>
      <c r="B1104" s="20" t="s">
        <v>7241</v>
      </c>
      <c r="C1104" s="24">
        <v>6</v>
      </c>
      <c r="D1104" s="65" t="str">
        <f>HYPERLINK("https://github.com/mostafa-saad/MyCompetitiveProgramming/blob/master/Olympiad/CEOI/COCI-14-Suma.txt","Sol")</f>
        <v>Sol</v>
      </c>
      <c r="E1104" s="31" t="s">
        <v>3883</v>
      </c>
      <c r="F1104" s="37"/>
      <c r="G1104" s="67"/>
      <c r="H1104" s="67"/>
    </row>
    <row r="1105" spans="1:8" ht="13.2">
      <c r="A1105" s="65" t="str">
        <f>HYPERLINK("https://dunjudge.me/analysis/problems/1824/","NOI 19-pilot")</f>
        <v>NOI 19-pilot</v>
      </c>
      <c r="B1105" s="20" t="s">
        <v>7242</v>
      </c>
      <c r="C1105" s="17">
        <v>5.5</v>
      </c>
      <c r="D1105" s="65" t="str">
        <f>HYPERLINK("https://github.com/MohamedAhmed04/Competitive-programming/blob/master/SingaporeNOI/2019-Pilot.cpp", "AC")</f>
        <v>AC</v>
      </c>
      <c r="E1105" s="31" t="s">
        <v>3883</v>
      </c>
      <c r="F1105" s="37" t="s">
        <v>201</v>
      </c>
      <c r="G1105" s="67"/>
      <c r="H1105" s="67"/>
    </row>
    <row r="1106" spans="1:8" ht="13.2">
      <c r="A1106" s="65" t="str">
        <f>HYPERLINK("https://www.hackerrank.com/contests/ioi-2014-practice-contest-2/challenges/world-peace-ioi14","IOIPractice 14-world-peace-ioi14")</f>
        <v>IOIPractice 14-world-peace-ioi14</v>
      </c>
      <c r="B1106" s="15" t="s">
        <v>7243</v>
      </c>
      <c r="C1106" s="24">
        <v>5</v>
      </c>
      <c r="D1106" s="65" t="str">
        <f>HYPERLINK("https://github.com/updown2/OI-Practice/blob/master/IOI/IOI%202014/World%20Peace%20%5BPractice%5D.cpp","Sol")</f>
        <v>Sol</v>
      </c>
      <c r="E1106" s="31" t="s">
        <v>3883</v>
      </c>
      <c r="F1106" s="37" t="s">
        <v>139</v>
      </c>
      <c r="G1106" s="67"/>
      <c r="H1106" s="67"/>
    </row>
    <row r="1107" spans="1:8" ht="13.2">
      <c r="A1107" s="65" t="str">
        <f>HYPERLINK("https://dmoj.ca/problem/cco07p6","CCO 07-RoadConstruction")</f>
        <v>CCO 07-RoadConstruction</v>
      </c>
      <c r="B1107" s="37" t="s">
        <v>7244</v>
      </c>
      <c r="C1107" s="24">
        <v>5</v>
      </c>
      <c r="D1107" s="65" t="str">
        <f>HYPERLINK("https://github.com/win11905/submission/blob/61c76f8b073e5e5446e7688626c487a4dcbfcd9e/CCO/14/RoadConstruction.cpp","Sol")</f>
        <v>Sol</v>
      </c>
      <c r="E1107" s="31" t="s">
        <v>3883</v>
      </c>
      <c r="F1107" s="37" t="s">
        <v>139</v>
      </c>
      <c r="G1107" s="67"/>
      <c r="H1107" s="67"/>
    </row>
    <row r="1108" spans="1:8" ht="13.2">
      <c r="A1108" s="65" t="str">
        <f>HYPERLINK("https://dmoj.ca/problem/mmcc15p1","Dmoj Inaho")</f>
        <v>Dmoj Inaho</v>
      </c>
      <c r="B1108" s="37" t="s">
        <v>7245</v>
      </c>
      <c r="C1108" s="24">
        <v>5</v>
      </c>
      <c r="D1108" s="69"/>
      <c r="E1108" s="31" t="s">
        <v>3883</v>
      </c>
      <c r="F1108" s="37" t="s">
        <v>139</v>
      </c>
      <c r="G1108" s="67"/>
      <c r="H1108" s="67"/>
    </row>
    <row r="1109" spans="1:8" ht="13.2">
      <c r="A1109" s="65" t="str">
        <f>HYPERLINK("https://www.infoarena.ro/problema/secvmax","infoarena secvmax")</f>
        <v>infoarena secvmax</v>
      </c>
      <c r="B1109" s="20" t="s">
        <v>7246</v>
      </c>
      <c r="C1109" s="17">
        <v>5</v>
      </c>
      <c r="D1109" s="65" t="str">
        <f>HYPERLINK("https://github.com/stefdasca/CompetitiveProgramming/blob/master/Infoarena/secvmax.cpp","Sol")</f>
        <v>Sol</v>
      </c>
      <c r="E1109" s="31" t="s">
        <v>3883</v>
      </c>
      <c r="F1109" s="37"/>
      <c r="G1109" s="67"/>
      <c r="H1109" s="67"/>
    </row>
    <row r="1110" spans="1:8" ht="13.2">
      <c r="A1110" s="65" t="str">
        <f>HYPERLINK("https://szkopul.edu.pl/problemset/problem/G-ZVHDa7y3xWk2PQM27uNq3n/site/", "POI 07-Offices")</f>
        <v>POI 07-Offices</v>
      </c>
      <c r="B1110" s="37" t="s">
        <v>3886</v>
      </c>
      <c r="C1110" s="24">
        <v>5</v>
      </c>
      <c r="D1110" s="65" t="str">
        <f>HYPERLINK("https://github.com/mostafa-saad/MyCompetitiveProgramming/blob/master/Olympiad/POI/official/find_editorial_sols_guidelines.txt","Editorial")</f>
        <v>Editorial</v>
      </c>
      <c r="E1110" s="31" t="s">
        <v>3883</v>
      </c>
      <c r="F1110" s="37"/>
      <c r="G1110" s="67"/>
      <c r="H1110" s="67"/>
    </row>
    <row r="1111" spans="1:8" ht="13.2">
      <c r="A1111" s="65" t="str">
        <f>HYPERLINK("https://dunjudge.me/analysis/problems/777/","COCI 13-ladice")</f>
        <v>COCI 13-ladice</v>
      </c>
      <c r="B1111" s="20" t="s">
        <v>7247</v>
      </c>
      <c r="C1111" s="24">
        <v>4</v>
      </c>
      <c r="D1111" s="65" t="str">
        <f>HYPERLINK("https://github.com/mostafa-saad/MyCompetitiveProgramming/blob/master/Olympiad/COCI/official/2014/contest5_solutions","Editorial")</f>
        <v>Editorial</v>
      </c>
      <c r="E1111" s="31" t="s">
        <v>3883</v>
      </c>
      <c r="F1111" s="37" t="s">
        <v>139</v>
      </c>
      <c r="G1111" s="67"/>
      <c r="H1111" s="67"/>
    </row>
    <row r="1112" spans="1:8" ht="13.2">
      <c r="A1112" s="65" t="str">
        <f>HYPERLINK("https://oj.uz/problem/view/COCI18_zamjena","COCI 19-zamjena")</f>
        <v>COCI 19-zamjena</v>
      </c>
      <c r="B1112" s="20" t="s">
        <v>3886</v>
      </c>
      <c r="C1112" s="17">
        <v>3.5</v>
      </c>
      <c r="D1112" s="69"/>
      <c r="E1112" s="31" t="s">
        <v>3883</v>
      </c>
      <c r="F1112" s="37"/>
      <c r="G1112" s="67"/>
      <c r="H1112" s="67"/>
    </row>
    <row r="1113" spans="1:8" ht="13.2">
      <c r="A1113" s="65" t="str">
        <f>HYPERLINK("https://szkopul.edu.pl/problemset/problem/VENspsedQ1oO5IorYs8Ergdn/site/", "POI 05-Banks")</f>
        <v>POI 05-Banks</v>
      </c>
      <c r="B1113" s="37" t="s">
        <v>3886</v>
      </c>
      <c r="C1113" s="24">
        <v>3</v>
      </c>
      <c r="D1113" s="65" t="str">
        <f>HYPERLINK("https://github.com/mostafa-saad/MyCompetitiveProgramming/blob/master/Olympiad/POI/official/find_editorial_sols_guidelines.txt","Editorial")</f>
        <v>Editorial</v>
      </c>
      <c r="E1113" s="31" t="s">
        <v>3883</v>
      </c>
      <c r="F1113" s="37" t="s">
        <v>139</v>
      </c>
      <c r="G1113" s="67"/>
      <c r="H1113" s="67"/>
    </row>
    <row r="1114" spans="1:8" ht="13.2">
      <c r="A1114" s="65" t="str">
        <f>HYPERLINK("https://dunjudge.me/analysis/problems/422/","NOISelection 14-nemo")</f>
        <v>NOISelection 14-nemo</v>
      </c>
      <c r="B1114" s="37" t="s">
        <v>3886</v>
      </c>
      <c r="C1114" s="24"/>
      <c r="D1114" s="69"/>
      <c r="E1114" s="31" t="s">
        <v>3883</v>
      </c>
      <c r="F1114" s="37"/>
      <c r="G1114" s="67"/>
      <c r="H1114" s="67"/>
    </row>
    <row r="1115" spans="1:8" ht="13.2">
      <c r="A1115" s="65" t="str">
        <f>HYPERLINK("https://oj.uz/problem/view/COCI18_teoreticar","COCI 19-teoreticar")</f>
        <v>COCI 19-teoreticar</v>
      </c>
      <c r="B1115" s="20" t="s">
        <v>3961</v>
      </c>
      <c r="C1115" s="17">
        <v>7</v>
      </c>
      <c r="D1115" s="69"/>
      <c r="E1115" s="31" t="s">
        <v>3955</v>
      </c>
      <c r="F1115" s="37"/>
      <c r="G1115" s="67"/>
      <c r="H1115" s="67"/>
    </row>
    <row r="1116" spans="1:8" ht="13.2">
      <c r="A1116" s="65" t="str">
        <f>HYPERLINK("https://infoarena.ro/problema/ratway","infoarena ratway")</f>
        <v>infoarena ratway</v>
      </c>
      <c r="B1116" s="20" t="s">
        <v>3961</v>
      </c>
      <c r="C1116" s="17">
        <v>6.6</v>
      </c>
      <c r="D1116" s="65" t="str">
        <f>HYPERLINK("https://github.com/mostafa-saad/MyCompetitiveProgramming/blob/master/Olympiad/infoarena/infoarena_ratway.txt","Sol")</f>
        <v>Sol</v>
      </c>
      <c r="E1116" s="31" t="s">
        <v>3955</v>
      </c>
      <c r="F1116" s="37" t="s">
        <v>154</v>
      </c>
      <c r="G1116" s="67"/>
      <c r="H1116" s="67"/>
    </row>
    <row r="1117" spans="1:8" ht="13.2">
      <c r="A1117" s="65" t="str">
        <f>HYPERLINK("https://cses.fi/191/list/","CEOI 05-Depot")</f>
        <v>CEOI 05-Depot</v>
      </c>
      <c r="B1117" s="37" t="s">
        <v>3961</v>
      </c>
      <c r="C1117" s="24">
        <v>6.5</v>
      </c>
      <c r="D1117" s="65" t="str">
        <f>HYPERLINK("https://github.com/mostafa-saad/MyCompetitiveProgramming/blob/master/Olympiad/CEOI/CEOI-05-Depot.txt","Sol")</f>
        <v>Sol</v>
      </c>
      <c r="E1117" s="31" t="s">
        <v>3955</v>
      </c>
      <c r="F1117" s="37" t="s">
        <v>139</v>
      </c>
      <c r="G1117" s="67"/>
      <c r="H1117" s="67"/>
    </row>
    <row r="1118" spans="1:8" ht="13.2">
      <c r="A1118" s="65" t="str">
        <f>HYPERLINK("http://usaco.org/index.php?page=viewproblem2&amp;cpid=866","USACO 18dec-gathering")</f>
        <v>USACO 18dec-gathering</v>
      </c>
      <c r="B1118" s="20" t="s">
        <v>7248</v>
      </c>
      <c r="C1118" s="21">
        <v>6.5</v>
      </c>
      <c r="D1118" s="69"/>
      <c r="E1118" s="31" t="s">
        <v>3955</v>
      </c>
      <c r="F1118" s="37" t="s">
        <v>201</v>
      </c>
      <c r="G1118" s="67"/>
      <c r="H1118" s="67"/>
    </row>
    <row r="1119" spans="1:8" ht="13.2">
      <c r="A1119" s="65" t="str">
        <f>HYPERLINK("https://oj.uz/problem/view/POI11_smi","POI 11-Garbage")</f>
        <v>POI 11-Garbage</v>
      </c>
      <c r="B1119" s="25" t="s">
        <v>7249</v>
      </c>
      <c r="C1119" s="24">
        <v>6.5</v>
      </c>
      <c r="D1119" s="65" t="str">
        <f>HYPERLINK("https://github.com/nikolapesic2802/Programming-Practice/blob/master/Garbage/main.cpp","Sol")</f>
        <v>Sol</v>
      </c>
      <c r="E1119" s="31" t="s">
        <v>3955</v>
      </c>
      <c r="F1119" s="37"/>
      <c r="G1119" s="67"/>
      <c r="H1119" s="67"/>
    </row>
    <row r="1120" spans="1:8" ht="13.2">
      <c r="A1120" s="65" t="str">
        <f>HYPERLINK("https://oj.uz/problem/view/BOI14_postmen","Baltic 14-postmen")</f>
        <v>Baltic 14-postmen</v>
      </c>
      <c r="B1120" s="20" t="s">
        <v>7250</v>
      </c>
      <c r="C1120" s="24">
        <v>6.25</v>
      </c>
      <c r="D1120" s="65" t="str">
        <f>HYPERLINK("https://github.com/mostafa-saad/MyCompetitiveProgramming/blob/master/Olympiad/Baltic/Baltic-14-postmen.txt","Sol")</f>
        <v>Sol</v>
      </c>
      <c r="E1120" s="31" t="s">
        <v>3955</v>
      </c>
      <c r="F1120" s="37" t="s">
        <v>201</v>
      </c>
      <c r="G1120" s="67"/>
      <c r="H1120" s="67"/>
    </row>
    <row r="1121" spans="1:8" ht="13.2">
      <c r="A1121" s="65" t="str">
        <f>HYPERLINK("https://oj.uz/problem/view/APIO17_merchant","APIO 17-merchant")</f>
        <v>APIO 17-merchant</v>
      </c>
      <c r="B1121" s="23" t="s">
        <v>4030</v>
      </c>
      <c r="C1121" s="24">
        <v>6.7</v>
      </c>
      <c r="D1121" s="65" t="str">
        <f>HYPERLINK("https://github.com/mostafa-saad/MyCompetitiveProgramming/blob/master/Olympiad/APIO/APIO-17-merchant.txt","Sol")</f>
        <v>Sol</v>
      </c>
      <c r="E1121" s="31" t="s">
        <v>3998</v>
      </c>
      <c r="F1121" s="37" t="s">
        <v>154</v>
      </c>
      <c r="G1121" s="67"/>
      <c r="H1121" s="67"/>
    </row>
    <row r="1122" spans="1:8" ht="13.2">
      <c r="A1122" s="65" t="str">
        <f>HYPERLINK("https://oj.uz/problem/view/NOI14_obelisk","NOI 14-obelisk")</f>
        <v>NOI 14-obelisk</v>
      </c>
      <c r="B1122" s="37" t="s">
        <v>7251</v>
      </c>
      <c r="C1122" s="17">
        <v>6.7</v>
      </c>
      <c r="D1122" s="65" t="str">
        <f>HYPERLINK("https://github.com/mostafa-saad/MyCompetitiveProgramming/blob/master/Olympiad/NOI/NOI-14-obelisk.txt","Sol")</f>
        <v>Sol</v>
      </c>
      <c r="E1122" s="31" t="s">
        <v>3998</v>
      </c>
      <c r="F1122" s="37"/>
      <c r="G1122" s="67"/>
      <c r="H1122" s="67"/>
    </row>
    <row r="1123" spans="1:8" ht="13.2">
      <c r="A1123" s="65" t="str">
        <f>HYPERLINK("http://usaco.org/index.php?page=viewproblem2&amp;cpid=230","USACO 13jan-island")</f>
        <v>USACO 13jan-island</v>
      </c>
      <c r="B1123" s="37" t="s">
        <v>7252</v>
      </c>
      <c r="C1123" s="24">
        <v>5.5</v>
      </c>
      <c r="D1123" s="69"/>
      <c r="E1123" s="31" t="s">
        <v>3998</v>
      </c>
      <c r="F1123" s="37" t="s">
        <v>139</v>
      </c>
      <c r="G1123" s="67"/>
      <c r="H1123" s="67"/>
    </row>
    <row r="1124" spans="1:8" ht="13.2">
      <c r="A1124" s="65" t="str">
        <f>HYPERLINK("http://poj.org/problem?id=1161","IOI 00-walls")</f>
        <v>IOI 00-walls</v>
      </c>
      <c r="B1124" s="20" t="s">
        <v>7253</v>
      </c>
      <c r="C1124" s="24">
        <v>5</v>
      </c>
      <c r="D1124" s="65" t="str">
        <f>HYPERLINK("https://github.com/mostafa-saad/MyCompetitiveProgramming/blob/master/Olympiad/IOI/IOI-00-walls.txt","Sol")</f>
        <v>Sol</v>
      </c>
      <c r="E1124" s="31" t="s">
        <v>3998</v>
      </c>
      <c r="F1124" s="37" t="s">
        <v>242</v>
      </c>
      <c r="G1124" s="67"/>
      <c r="H1124" s="67"/>
    </row>
    <row r="1125" spans="1:8" ht="13.2">
      <c r="A1125" s="65" t="str">
        <f>HYPERLINK("https://cses.fi/190/list/","CEOI 08-Order")</f>
        <v>CEOI 08-Order</v>
      </c>
      <c r="B1125" s="20" t="s">
        <v>7254</v>
      </c>
      <c r="C1125" s="24">
        <v>7.25</v>
      </c>
      <c r="D1125" s="65" t="str">
        <f>HYPERLINK("https://github.com/mostafa-saad/MyCompetitiveProgramming/tree/master/Olympiad/CEOI/official/2008","Editorial")</f>
        <v>Editorial</v>
      </c>
      <c r="E1125" s="31" t="s">
        <v>4060</v>
      </c>
      <c r="F1125" s="37"/>
      <c r="G1125" s="67"/>
      <c r="H1125" s="67"/>
    </row>
    <row r="1126" spans="1:8" ht="13.2">
      <c r="A1126" s="65" t="str">
        <f>HYPERLINK("https://szkopul.edu.pl/problemset/problem/gh2Yj6Ckrt4Lo_RojONuljuC/site/", "POI 10-Bridges")</f>
        <v>POI 10-Bridges</v>
      </c>
      <c r="B1126" s="37" t="s">
        <v>7255</v>
      </c>
      <c r="C1126" s="24">
        <v>7</v>
      </c>
      <c r="D1126" s="65" t="str">
        <f>HYPERLINK("https://github.com/mostafa-saad/MyCompetitiveProgramming/blob/master/Olympiad/POI/POI-10-Bridges.txt","Sol")</f>
        <v>Sol</v>
      </c>
      <c r="E1126" s="31" t="s">
        <v>4060</v>
      </c>
      <c r="F1126" s="37" t="s">
        <v>154</v>
      </c>
      <c r="G1126" s="67"/>
      <c r="H1126" s="67"/>
    </row>
    <row r="1127" spans="1:8" ht="13.2">
      <c r="A1127" s="65" t="str">
        <f>HYPERLINK("https://dmoj.ca/problem/coci08c6p6","COCI 08-Slicice")</f>
        <v>COCI 08-Slicice</v>
      </c>
      <c r="B1127" s="15" t="s">
        <v>4059</v>
      </c>
      <c r="C1127" s="24">
        <v>6.5</v>
      </c>
      <c r="D1127" s="65" t="str">
        <f>HYPERLINK("https://github.com/mostafa-saad/MyCompetitiveProgramming/blob/master/Olympiad/CEOI/COCI-08-Slicice.txt","Sol")</f>
        <v>Sol</v>
      </c>
      <c r="E1127" s="31" t="s">
        <v>4060</v>
      </c>
      <c r="F1127" s="37" t="s">
        <v>139</v>
      </c>
      <c r="G1127" s="67"/>
      <c r="H1127" s="67"/>
    </row>
    <row r="1128" spans="1:8" ht="13.2">
      <c r="A1128" s="65" t="str">
        <f>HYPERLINK("https://oj.uz/problem/view/BOI18_minmaxtree","Balkan 18-minmaxtree")</f>
        <v>Balkan 18-minmaxtree</v>
      </c>
      <c r="B1128" s="20" t="s">
        <v>4149</v>
      </c>
      <c r="C1128" s="17">
        <v>7</v>
      </c>
      <c r="D1128" s="65" t="str">
        <f>HYPERLINK("https://github.com/mostafa-saad/MyCompetitiveProgramming/blob/master/Olympiad/Balkan/Balkan-18-minmaxtree.txt","Sol")</f>
        <v>Sol</v>
      </c>
      <c r="E1128" s="31" t="s">
        <v>4144</v>
      </c>
      <c r="F1128" s="37" t="s">
        <v>139</v>
      </c>
      <c r="G1128" s="67"/>
      <c r="H1128" s="67"/>
    </row>
    <row r="1129" spans="1:8" ht="13.2">
      <c r="A1129" s="65" t="str">
        <f>HYPERLINK("https://oj.uz/problem/view/IZhO14_marriage","IZhO 14-marriage")</f>
        <v>IZhO 14-marriage</v>
      </c>
      <c r="B1129" s="37" t="s">
        <v>7256</v>
      </c>
      <c r="C1129" s="24">
        <v>6.75</v>
      </c>
      <c r="D1129" s="65" t="str">
        <f>HYPERLINK("https://github.com/LeTrongDat/CompetitiveProgramming/blob/master/IZhO/IZhO14-marriage.cpp","Sol")</f>
        <v>Sol</v>
      </c>
      <c r="E1129" s="31" t="s">
        <v>4144</v>
      </c>
      <c r="F1129" s="37" t="s">
        <v>242</v>
      </c>
      <c r="G1129" s="67"/>
      <c r="H1129" s="67"/>
    </row>
    <row r="1130" spans="1:8" ht="13.2">
      <c r="A1130" s="65" t="str">
        <f>HYPERLINK("https://oj.uz/problem/view/POI11_pro","POI 11-Contest")</f>
        <v>POI 11-Contest</v>
      </c>
      <c r="B1130" s="25" t="s">
        <v>7257</v>
      </c>
      <c r="C1130" s="24">
        <v>6.6</v>
      </c>
      <c r="D1130" s="65" t="str">
        <f>HYPERLINK("https://github.com/mostafa-saad/MyCompetitiveProgramming/blob/master/Olympiad/POI/POI-11-Contest.txt","Sol")</f>
        <v>Sol</v>
      </c>
      <c r="E1130" s="31" t="s">
        <v>4144</v>
      </c>
      <c r="F1130" s="37" t="s">
        <v>139</v>
      </c>
      <c r="G1130" s="67"/>
      <c r="H1130" s="67"/>
    </row>
    <row r="1131" spans="1:8" ht="13.2">
      <c r="A1131" s="65" t="str">
        <f>HYPERLINK("https://www.acmicpc.net/problem/7058","CEOI 02-Guards")</f>
        <v>CEOI 02-Guards</v>
      </c>
      <c r="B1131" s="37" t="s">
        <v>4149</v>
      </c>
      <c r="C1131" s="24">
        <v>6.4</v>
      </c>
      <c r="D1131" s="65" t="str">
        <f>HYPERLINK("https://github.com/mostafa-saad/MyCompetitiveProgramming/blob/master/Olympiad/CEOI/CEOI-02-Guards.txt","Sol")</f>
        <v>Sol</v>
      </c>
      <c r="E1131" s="31" t="s">
        <v>4144</v>
      </c>
      <c r="F1131" s="37" t="s">
        <v>201</v>
      </c>
      <c r="G1131" s="67"/>
      <c r="H1131" s="67"/>
    </row>
    <row r="1132" spans="1:8" ht="13.2">
      <c r="A1132" s="65" t="str">
        <f>HYPERLINK("https://oj.uz/problem/view/COCI18_planinarenje","COCI 18-planinarenje")</f>
        <v>COCI 18-planinarenje</v>
      </c>
      <c r="B1132" s="15" t="s">
        <v>4149</v>
      </c>
      <c r="C1132" s="24">
        <v>6.3</v>
      </c>
      <c r="D1132" s="65" t="str">
        <f>HYPERLINK("http://blog.brucemerry.org.za/2018/01/coci-20172018-r5-analysis.html","Editorial")</f>
        <v>Editorial</v>
      </c>
      <c r="E1132" s="31" t="s">
        <v>4144</v>
      </c>
      <c r="F1132" s="37" t="s">
        <v>154</v>
      </c>
      <c r="G1132" s="67"/>
      <c r="H1132" s="67"/>
    </row>
    <row r="1133" spans="1:8" ht="13.2">
      <c r="A1133" s="65" t="str">
        <f>HYPERLINK("http://usaco.org/index.php?page=viewproblem2&amp;cpid=93", "USACO 11nov-steeple-gold")</f>
        <v>USACO 11nov-steeple-gold</v>
      </c>
      <c r="B1133" s="20" t="s">
        <v>7258</v>
      </c>
      <c r="C1133" s="21">
        <v>6</v>
      </c>
      <c r="D1133" s="69"/>
      <c r="E1133" s="31" t="s">
        <v>4144</v>
      </c>
      <c r="F1133" s="37"/>
      <c r="G1133" s="67"/>
      <c r="H1133" s="67"/>
    </row>
    <row r="1134" spans="1:8" ht="13.2">
      <c r="A1134" s="65" t="str">
        <f>HYPERLINK("https://oj.uz/problem/view/COCI18_priglavci","COCI 18-priglavci")</f>
        <v>COCI 18-priglavci</v>
      </c>
      <c r="B1134" s="20" t="s">
        <v>4196</v>
      </c>
      <c r="C1134" s="24">
        <v>5.5</v>
      </c>
      <c r="D1134" s="65" t="str">
        <f>HYPERLINK("https://github.com/farmerboy95/CompetitiveProgramming/blob/master/COCI/COCI%2018-priglavci.cpp","Sol")</f>
        <v>Sol</v>
      </c>
      <c r="E1134" s="31" t="s">
        <v>4144</v>
      </c>
      <c r="F1134" s="37" t="s">
        <v>201</v>
      </c>
      <c r="G1134" s="67"/>
      <c r="H1134" s="67"/>
    </row>
    <row r="1135" spans="1:8" ht="13.2">
      <c r="A1135" s="65" t="str">
        <f>HYPERLINK("https://training.ia-toki.org/problemsets/113/problems/632/","TOKIOpen 18-CellsTour")</f>
        <v>TOKIOpen 18-CellsTour</v>
      </c>
      <c r="B1135" s="20" t="s">
        <v>7259</v>
      </c>
      <c r="C1135" s="21">
        <v>5</v>
      </c>
      <c r="D1135" s="65" t="str">
        <f>HYPERLINK("https://github.com/timpostuvan/CompetitiveProgramming/blob/master/Olympiad/TOKI/CellsTour2018.cpp","Sol")</f>
        <v>Sol</v>
      </c>
      <c r="E1135" s="31" t="s">
        <v>4144</v>
      </c>
      <c r="F1135" s="37" t="s">
        <v>139</v>
      </c>
      <c r="G1135" s="67"/>
      <c r="H1135" s="67"/>
    </row>
    <row r="1136" spans="1:8" ht="13.2">
      <c r="A1136" s="65" t="str">
        <f>HYPERLINK("https://dunjudge.me/analysis/problems/956/","NOI 16-rock_climbing")</f>
        <v>NOI 16-rock_climbing</v>
      </c>
      <c r="B1136" s="37" t="s">
        <v>4149</v>
      </c>
      <c r="C1136" s="24">
        <v>5</v>
      </c>
      <c r="D1136" s="65" t="str">
        <f>HYPERLINK("https://github.com/mostafa-saad/MyCompetitiveProgramming/blob/master/Olympiad/NOI/official","Editorial")</f>
        <v>Editorial</v>
      </c>
      <c r="E1136" s="31" t="s">
        <v>4144</v>
      </c>
      <c r="F1136" s="37"/>
      <c r="G1136" s="67"/>
      <c r="H1136" s="67"/>
    </row>
    <row r="1137" spans="1:8" ht="13.2">
      <c r="A1137" s="65" t="str">
        <f>HYPERLINK("https://oj.uz/problem/view/APIO13_toll", "APIO 13-Toll")</f>
        <v>APIO 13-Toll</v>
      </c>
      <c r="B1137" s="20" t="s">
        <v>4279</v>
      </c>
      <c r="C1137" s="17">
        <v>7.75</v>
      </c>
      <c r="D1137" s="65" t="str">
        <f>HYPERLINK("https://github.com/tmwilliamlin168/CompetitiveProgramming/blob/master/APIO/13-Toll.cpp","Sol")</f>
        <v>Sol</v>
      </c>
      <c r="E1137" s="31" t="s">
        <v>4275</v>
      </c>
      <c r="F1137" s="37"/>
      <c r="G1137" s="67"/>
      <c r="H1137" s="67"/>
    </row>
    <row r="1138" spans="1:8" ht="13.2">
      <c r="A1138" s="65" t="str">
        <f>HYPERLINK("http://usaco.org/index.php?page=viewproblem2&amp;cpid=745", "USACO 17mar-grass")</f>
        <v>USACO 17mar-grass</v>
      </c>
      <c r="B1138" s="37" t="s">
        <v>7260</v>
      </c>
      <c r="C1138" s="24">
        <v>7.5</v>
      </c>
      <c r="D1138" s="65" t="str">
        <f>HYPERLINK("https://github.com/tmwilliamlin168/CompetitiveProgramming/blob/master/USACO/Contests/1617_4P/grass.cpp", "Sol")</f>
        <v>Sol</v>
      </c>
      <c r="E1138" s="31" t="s">
        <v>4275</v>
      </c>
      <c r="F1138" s="37" t="s">
        <v>139</v>
      </c>
      <c r="G1138" s="67"/>
      <c r="H1138" s="67"/>
    </row>
    <row r="1139" spans="1:8" ht="13.2">
      <c r="A1139" s="65" t="str">
        <f>HYPERLINK("https://dmoj.ca/problem/ccoprep4p3","dmoj ccoprep4p3")</f>
        <v>dmoj ccoprep4p3</v>
      </c>
      <c r="B1139" s="23" t="s">
        <v>7261</v>
      </c>
      <c r="C1139" s="24">
        <v>7.5</v>
      </c>
      <c r="D1139" s="65" t="str">
        <f>HYPERLINK("https://github.com/tsouza0/CompetitiveProgramming/blob/master/Olympiads/Canada/cco/ccoprep4/p3.cpp","Sol")</f>
        <v>Sol</v>
      </c>
      <c r="E1139" s="31" t="s">
        <v>4275</v>
      </c>
      <c r="F1139" s="37" t="s">
        <v>201</v>
      </c>
      <c r="G1139" s="67"/>
      <c r="H1139" s="67"/>
    </row>
    <row r="1140" spans="1:8" ht="13.2">
      <c r="A1140" s="65" t="str">
        <f>HYPERLINK("https://cses.fi/189/list/","CEOI 08-Information")</f>
        <v>CEOI 08-Information</v>
      </c>
      <c r="B1140" s="20" t="s">
        <v>7262</v>
      </c>
      <c r="C1140" s="24">
        <v>7.5</v>
      </c>
      <c r="D1140" s="65" t="str">
        <f>HYPERLINK("https://github.com/mostafa-saad/MyCompetitiveProgramming/tree/master/Olympiad/CEOI/official/2008","Editorial")</f>
        <v>Editorial</v>
      </c>
      <c r="E1140" s="31" t="s">
        <v>4275</v>
      </c>
      <c r="F1140" s="37"/>
      <c r="G1140" s="67"/>
      <c r="H1140" s="67"/>
    </row>
    <row r="1141" spans="1:8" ht="13.2">
      <c r="A1141" s="65" t="str">
        <f>HYPERLINK("https://oj.uz/problem/view/balkan11_timeismoney","Balkan 11-timeismoney")</f>
        <v>Balkan 11-timeismoney</v>
      </c>
      <c r="B1141" s="23" t="s">
        <v>7263</v>
      </c>
      <c r="C1141" s="24">
        <v>7.25</v>
      </c>
      <c r="D1141" s="65" t="str">
        <f>HYPERLINK("https://github.com/tmwilliamlin168/CompetitiveProgramming/blob/master/BkOI/11-Time_Is_Money.cpp","Sol")</f>
        <v>Sol</v>
      </c>
      <c r="E1141" s="31" t="s">
        <v>4275</v>
      </c>
      <c r="F1141" s="37" t="s">
        <v>173</v>
      </c>
      <c r="G1141" s="67"/>
      <c r="H1141" s="67"/>
    </row>
    <row r="1142" spans="1:8" ht="13.2">
      <c r="A1142" s="65" t="str">
        <f>HYPERLINK("https://oj.uz/problem/view/IOI16_railroad","IOI 16-railroad")</f>
        <v>IOI 16-railroad</v>
      </c>
      <c r="B1142" s="18" t="s">
        <v>4279</v>
      </c>
      <c r="C1142" s="17">
        <v>7.25</v>
      </c>
      <c r="D1142" s="65" t="str">
        <f>HYPERLINK("https://github.com/mostafa-saad/MyCompetitiveProgramming/blob/master/Olympiad/IOI/official/2016","Editorial")</f>
        <v>Editorial</v>
      </c>
      <c r="E1142" s="31" t="s">
        <v>4275</v>
      </c>
      <c r="F1142" s="37" t="s">
        <v>139</v>
      </c>
      <c r="G1142" s="67"/>
      <c r="H1142" s="67"/>
    </row>
    <row r="1143" spans="1:8" ht="13.2">
      <c r="A1143" s="65" t="str">
        <f>HYPERLINK("https://ioi2010.contest.atcoder.jp/tasks/ioi2010_2_4","IOI 10-saveit")</f>
        <v>IOI 10-saveit</v>
      </c>
      <c r="B1143" s="20" t="s">
        <v>7264</v>
      </c>
      <c r="C1143" s="24">
        <v>7</v>
      </c>
      <c r="D1143" s="65" t="str">
        <f>HYPERLINK("https://github.com/mostafa-saad/MyCompetitiveProgramming/blob/master/Olympiad/IOI/IOI-10-saveit.txt","Sol")</f>
        <v>Sol</v>
      </c>
      <c r="E1143" s="31" t="s">
        <v>4275</v>
      </c>
      <c r="F1143" s="37" t="s">
        <v>154</v>
      </c>
      <c r="G1143" s="67"/>
      <c r="H1143" s="67"/>
    </row>
    <row r="1144" spans="1:8" ht="13.2">
      <c r="A1144" s="65" t="str">
        <f>HYPERLINK("https://oj.uz/problem/view/COCI17_sirni","COCI 17-sirni")</f>
        <v>COCI 17-sirni</v>
      </c>
      <c r="B1144" s="20" t="s">
        <v>7265</v>
      </c>
      <c r="C1144" s="24">
        <v>6.8</v>
      </c>
      <c r="D1144" s="65" t="str">
        <f>HYPERLINK("https://github.com/mostafa-saad/MyCompetitiveProgramming/blob/master/Olympiad/COCI/COCI-17-sirni.txt","Sol")</f>
        <v>Sol</v>
      </c>
      <c r="E1144" s="31" t="s">
        <v>4275</v>
      </c>
      <c r="F1144" s="37" t="s">
        <v>139</v>
      </c>
      <c r="G1144" s="67"/>
      <c r="H1144" s="67"/>
    </row>
    <row r="1145" spans="1:8" ht="13.2">
      <c r="A1145" s="65" t="str">
        <f>HYPERLINK("http://usaco.org/index.php?page=viewproblem2&amp;cpid=625","USACO 16feb-fencedin-plat")</f>
        <v>USACO 16feb-fencedin-plat</v>
      </c>
      <c r="B1145" s="20" t="s">
        <v>7266</v>
      </c>
      <c r="C1145" s="24">
        <v>6.25</v>
      </c>
      <c r="D1145" s="69"/>
      <c r="E1145" s="31" t="s">
        <v>4275</v>
      </c>
      <c r="F1145" s="37" t="s">
        <v>139</v>
      </c>
      <c r="G1145" s="67"/>
      <c r="H1145" s="67"/>
    </row>
    <row r="1146" spans="1:8" ht="13.2">
      <c r="A1146" s="65" t="str">
        <f>HYPERLINK("https://oj.uz/problem/view/COCI18_pictionary","COCI 18-pictionary")</f>
        <v>COCI 18-pictionary</v>
      </c>
      <c r="B1146" s="20" t="s">
        <v>7267</v>
      </c>
      <c r="C1146" s="24">
        <v>6</v>
      </c>
      <c r="D1146" s="65" t="str">
        <f>HYPERLINK("https://github.com/mostafa-saad/MyCompetitiveProgramming/blob/master/Olympiad/COCI/COCI-18-pictionary.txt","Sol")</f>
        <v>Sol</v>
      </c>
      <c r="E1146" s="31" t="s">
        <v>4275</v>
      </c>
      <c r="F1146" s="37" t="s">
        <v>154</v>
      </c>
      <c r="G1146" s="67"/>
      <c r="H1146" s="67"/>
    </row>
    <row r="1147" spans="1:8" ht="13.2">
      <c r="A1147" s="65" t="str">
        <f>HYPERLINK("https://www.infoarena.ro/problema/karb","infoarena karb")</f>
        <v>infoarena karb</v>
      </c>
      <c r="B1147" s="20" t="s">
        <v>7268</v>
      </c>
      <c r="C1147" s="21">
        <v>6</v>
      </c>
      <c r="D1147" s="65" t="str">
        <f>HYPERLINK("https://github.com/mostafa-saad/MyCompetitiveProgramming/blob/master/Olympiad/infoarena/infoarena-karb.txt","Sol")</f>
        <v>Sol</v>
      </c>
      <c r="E1147" s="31" t="s">
        <v>4275</v>
      </c>
      <c r="F1147" s="37" t="s">
        <v>139</v>
      </c>
      <c r="G1147" s="67"/>
      <c r="H1147" s="67"/>
    </row>
    <row r="1148" spans="1:8" ht="13.2">
      <c r="A1148" s="65" t="str">
        <f>HYPERLINK("https://contest.yandex.ru/ioi/contest/558/enter/","IOI 03-maintain")</f>
        <v>IOI 03-maintain</v>
      </c>
      <c r="B1148" s="15" t="s">
        <v>4279</v>
      </c>
      <c r="C1148" s="24">
        <v>6</v>
      </c>
      <c r="D1148" s="65" t="str">
        <f>HYPERLINK("https://github.com/zoooma13/Competitive-Programming/blob/master/trail_maintenance.cpp","Sol")</f>
        <v>Sol</v>
      </c>
      <c r="E1148" s="31" t="s">
        <v>4275</v>
      </c>
      <c r="F1148" s="37"/>
      <c r="G1148" s="67"/>
      <c r="H1148" s="67"/>
    </row>
    <row r="1149" spans="1:8" ht="13.2">
      <c r="A1149" s="65" t="str">
        <f>HYPERLINK("http://usaco.org/index.php?page=viewproblem2&amp;cpid=101", "USACO 11dec-simplify-gold")</f>
        <v>USACO 11dec-simplify-gold</v>
      </c>
      <c r="B1149" s="20" t="s">
        <v>7269</v>
      </c>
      <c r="C1149" s="21">
        <v>6</v>
      </c>
      <c r="D1149" s="69"/>
      <c r="E1149" s="31" t="s">
        <v>4275</v>
      </c>
      <c r="F1149" s="37"/>
      <c r="G1149" s="67"/>
      <c r="H1149" s="67"/>
    </row>
    <row r="1150" spans="1:8" ht="13.2">
      <c r="A1150" s="65" t="str">
        <f>HYPERLINK("https://oj.uz/problem/view/NOI14_sightseeing","NOI 14-sightseeing")</f>
        <v>NOI 14-sightseeing</v>
      </c>
      <c r="B1150" s="37" t="s">
        <v>4279</v>
      </c>
      <c r="C1150" s="24">
        <v>5.5</v>
      </c>
      <c r="D1150" s="65" t="str">
        <f>HYPERLINK("https://github.com/mostafa-saad/MyCompetitiveProgramming/blob/master/Olympiad/NOI/official","Editorial")</f>
        <v>Editorial</v>
      </c>
      <c r="E1150" s="31" t="s">
        <v>4275</v>
      </c>
      <c r="F1150" s="37"/>
      <c r="G1150" s="67"/>
      <c r="H1150" s="67"/>
    </row>
    <row r="1151" spans="1:8" ht="13.2">
      <c r="A1151" s="65" t="str">
        <f>HYPERLINK("https://szkopul.edu.pl/problemset/problem/dABzva_j1-BvzKMsyxkuRoue/site/", "POI 16-Hedge")</f>
        <v>POI 16-Hedge</v>
      </c>
      <c r="B1151" s="37" t="s">
        <v>7270</v>
      </c>
      <c r="C1151" s="24">
        <v>5</v>
      </c>
      <c r="D1151" s="65" t="str">
        <f>HYPERLINK("https://github.com/mostafa-saad/MyCompetitiveProgramming/blob/master/Olympiad/POI/POI-16-Hedge.txt","Sol")</f>
        <v>Sol</v>
      </c>
      <c r="E1151" s="31" t="s">
        <v>4275</v>
      </c>
      <c r="F1151" s="37" t="s">
        <v>139</v>
      </c>
      <c r="G1151" s="67"/>
      <c r="H1151" s="67"/>
    </row>
    <row r="1152" spans="1:8" ht="13.2">
      <c r="A1152" s="65" t="str">
        <f>HYPERLINK("https://dunjudge.me/analysis/problems/540/","COCI 09-svemir")</f>
        <v>COCI 09-svemir</v>
      </c>
      <c r="B1152" s="20" t="s">
        <v>4279</v>
      </c>
      <c r="C1152" s="24">
        <v>4</v>
      </c>
      <c r="D1152" s="65" t="str">
        <f>HYPERLINK("https://github.com/mostafa-saad/MyCompetitiveProgramming/blob/master/Olympiad/COCI/official/2010/contest7_solutions","Editorial")</f>
        <v>Editorial</v>
      </c>
      <c r="E1152" s="31" t="s">
        <v>4275</v>
      </c>
      <c r="F1152" s="37"/>
      <c r="G1152" s="67"/>
      <c r="H1152" s="67"/>
    </row>
    <row r="1153" spans="1:8" ht="13.2">
      <c r="A1153" s="65" t="str">
        <f>HYPERLINK("https://dunjudge.me/analysis/problems/676/","NOISelection 15-sightseeing2")</f>
        <v>NOISelection 15-sightseeing2</v>
      </c>
      <c r="B1153" s="37" t="s">
        <v>4279</v>
      </c>
      <c r="C1153" s="24"/>
      <c r="D1153" s="69"/>
      <c r="E1153" s="31" t="s">
        <v>4275</v>
      </c>
      <c r="F1153" s="37"/>
      <c r="G1153" s="67"/>
      <c r="H1153" s="67"/>
    </row>
    <row r="1154" spans="1:8" ht="13.2">
      <c r="A1154" s="65" t="str">
        <f>HYPERLINK("https://oj.uz/problem/view/IOI17_simurgh","IOI 17-simurgh")</f>
        <v>IOI 17-simurgh</v>
      </c>
      <c r="B1154" s="15" t="s">
        <v>7271</v>
      </c>
      <c r="C1154" s="17">
        <v>7.75</v>
      </c>
      <c r="D1154" s="65" t="str">
        <f>HYPERLINK("https://github.com/mostafa-saad/MyCompetitiveProgramming/blob/master/Olympiad/IOI/IOI-17-simurgh.txt","Sol")</f>
        <v>Sol</v>
      </c>
      <c r="E1154" s="31" t="s">
        <v>4344</v>
      </c>
      <c r="F1154" s="37" t="s">
        <v>139</v>
      </c>
      <c r="G1154" s="67"/>
      <c r="H1154" s="67"/>
    </row>
    <row r="1155" spans="1:8" ht="13.2">
      <c r="A1155" s="65" t="str">
        <f>HYPERLINK("https://oj.uz/problem/view/JOI19_virus","JOIOC 19-Virus")</f>
        <v>JOIOC 19-Virus</v>
      </c>
      <c r="B1155" s="20" t="s">
        <v>7272</v>
      </c>
      <c r="C1155" s="17">
        <v>7.5</v>
      </c>
      <c r="D1155" s="65" t="str">
        <f>HYPERLINK("https://github.com/tmwilliamlin168/CompetitiveProgramming/blob/master/JOI/19O-Virus.cpp", "Sol (no editorial)")</f>
        <v>Sol (no editorial)</v>
      </c>
      <c r="E1155" s="31" t="s">
        <v>4344</v>
      </c>
      <c r="F1155" s="37" t="s">
        <v>139</v>
      </c>
      <c r="G1155" s="67"/>
      <c r="H1155" s="67"/>
    </row>
    <row r="1156" spans="1:8" ht="13.2">
      <c r="A1156" s="65" t="str">
        <f>HYPERLINK("https://github.com/mostafa-saad/MyCompetitiveProgramming/blob/master/Olympiad/infoarena/drumuri5-statement.txt","infoarena drumuri5")</f>
        <v>infoarena drumuri5</v>
      </c>
      <c r="B1156" s="20" t="s">
        <v>7273</v>
      </c>
      <c r="C1156" s="17">
        <v>7</v>
      </c>
      <c r="D1156" s="65" t="str">
        <f>HYPERLINK("https://github.com/stefdasca/CompetitiveProgramming/blob/master/Infoarena/drumuri5.cpp","Sol")</f>
        <v>Sol</v>
      </c>
      <c r="E1156" s="31" t="s">
        <v>4344</v>
      </c>
      <c r="F1156" s="37"/>
      <c r="G1156" s="67"/>
      <c r="H1156" s="67"/>
    </row>
    <row r="1157" spans="1:8" ht="13.2">
      <c r="A1157" s="65" t="str">
        <f>HYPERLINK("https://csacademy.com/contest/ceoi-2017-day-1/tasks/","CEOI 17-OneWay")</f>
        <v>CEOI 17-OneWay</v>
      </c>
      <c r="B1157" s="18" t="s">
        <v>7274</v>
      </c>
      <c r="C1157" s="17">
        <v>6.5</v>
      </c>
      <c r="D1157" s="65" t="str">
        <f>HYPERLINK("https://github.com/mostafa-saad/MyCompetitiveProgramming/blob/master/Olympiad/CEOI/CEOI-17-OneWay.txt","Sol")</f>
        <v>Sol</v>
      </c>
      <c r="E1157" s="31" t="s">
        <v>4344</v>
      </c>
      <c r="F1157" s="37" t="s">
        <v>154</v>
      </c>
      <c r="G1157" s="67"/>
      <c r="H1157" s="67"/>
    </row>
    <row r="1158" spans="1:8" ht="13.2">
      <c r="A1158" s="65" t="str">
        <f>HYPERLINK("https://tioj.ck.tp.edu.tw/problems/1744","APIO 09-ATM")</f>
        <v>APIO 09-ATM</v>
      </c>
      <c r="B1158" s="20" t="s">
        <v>7275</v>
      </c>
      <c r="C1158" s="17">
        <v>6.5</v>
      </c>
      <c r="D1158" s="65" t="str">
        <f>HYPERLINK("https://github.com/goar5670/CompetitiveProgramming/blob/master/APIO%2009-ATM.cpp","Sol")</f>
        <v>Sol</v>
      </c>
      <c r="E1158" s="31" t="s">
        <v>4344</v>
      </c>
      <c r="F1158" s="37"/>
      <c r="G1158" s="67"/>
      <c r="H1158" s="67"/>
    </row>
    <row r="1159" spans="1:8" ht="13.2">
      <c r="A1159" s="65" t="str">
        <f>HYPERLINK("https://szkopul.edu.pl/problemset/problem/9TaxfuNdAv2FPpQ6PeB-vlti/site/", "POI 16-Streets")</f>
        <v>POI 16-Streets</v>
      </c>
      <c r="B1159" s="37" t="s">
        <v>7276</v>
      </c>
      <c r="C1159" s="24">
        <v>6.4</v>
      </c>
      <c r="D1159" s="65" t="str">
        <f>HYPERLINK("https://github.com/mostafa-saad/MyCompetitiveProgramming/blob/master/Olympiad/POI/POI-16-Streets.txt","Sol")</f>
        <v>Sol</v>
      </c>
      <c r="E1159" s="31" t="s">
        <v>4344</v>
      </c>
      <c r="F1159" s="37" t="s">
        <v>139</v>
      </c>
      <c r="G1159" s="67"/>
      <c r="H1159" s="67"/>
    </row>
    <row r="1160" spans="1:8" ht="13.2">
      <c r="A1160" s="65" t="str">
        <f>HYPERLINK("https://www.acmicpc.net/problem/5253","Balkan 12-Fan_Groups")</f>
        <v>Balkan 12-Fan_Groups</v>
      </c>
      <c r="B1160" s="37" t="s">
        <v>7277</v>
      </c>
      <c r="C1160" s="17">
        <v>6.25</v>
      </c>
      <c r="D1160" s="65" t="str">
        <f>HYPERLINK("https://github.com/mostafa-saad/MyCompetitiveProgramming/blob/master/Olympiad/Balkan/Balkan-12-Fan_Groups.txt","Sol")</f>
        <v>Sol</v>
      </c>
      <c r="E1160" s="31" t="s">
        <v>4344</v>
      </c>
      <c r="F1160" s="37" t="s">
        <v>139</v>
      </c>
      <c r="G1160" s="67"/>
      <c r="H1160" s="67"/>
    </row>
    <row r="1161" spans="1:8" ht="13.2">
      <c r="A1161" s="65" t="str">
        <f>HYPERLINK("https://szkopul.edu.pl/problemset/problem/pWnFB3uRHH0y29PwkMBS2T0Z/site/","CEOI 11-Traffic")</f>
        <v>CEOI 11-Traffic</v>
      </c>
      <c r="B1161" s="20" t="s">
        <v>7278</v>
      </c>
      <c r="C1161" s="24">
        <v>6</v>
      </c>
      <c r="D1161" s="65" t="str">
        <f>HYPERLINK("https://github.com/mostafa-saad/MyCompetitiveProgramming/blob/master/Olympiad/CEOI/CEOI-11-Traffic.txt","Sol")</f>
        <v>Sol</v>
      </c>
      <c r="E1161" s="31" t="s">
        <v>4344</v>
      </c>
      <c r="F1161" s="37" t="s">
        <v>139</v>
      </c>
      <c r="G1161" s="67"/>
      <c r="H1161" s="67"/>
    </row>
    <row r="1162" spans="1:8" ht="13.2">
      <c r="A1162" s="65" t="str">
        <f>HYPERLINK("https://szkopul.edu.pl/problemset/problem/p9uJo01RR9ouMLLAYroFuQ-7/site/", "POI 12-Festival")</f>
        <v>POI 12-Festival</v>
      </c>
      <c r="B1162" s="37" t="s">
        <v>4346</v>
      </c>
      <c r="C1162" s="24">
        <v>6</v>
      </c>
      <c r="D1162" s="65" t="str">
        <f>HYPERLINK("https://github.com/mostafa-saad/MyCompetitiveProgramming/blob/master/Olympiad/POI/official/find_editorial_sols_guidelines.txt","Editorial")</f>
        <v>Editorial</v>
      </c>
      <c r="E1162" s="31" t="s">
        <v>4344</v>
      </c>
      <c r="F1162" s="37"/>
      <c r="G1162" s="67"/>
      <c r="H1162" s="67"/>
    </row>
    <row r="1163" spans="1:8" ht="13.2">
      <c r="A1163" s="65" t="str">
        <f>HYPERLINK("https://oj.uz/problems/source/245", "CEOI 15-pipes")</f>
        <v>CEOI 15-pipes</v>
      </c>
      <c r="B1163" s="20" t="s">
        <v>7279</v>
      </c>
      <c r="C1163" s="17">
        <v>6</v>
      </c>
      <c r="D1163" s="69" t="s">
        <v>7810</v>
      </c>
      <c r="E1163" s="31" t="s">
        <v>4344</v>
      </c>
      <c r="F1163" s="37"/>
      <c r="G1163" s="67"/>
      <c r="H1163" s="67"/>
    </row>
    <row r="1164" spans="1:8" ht="13.2">
      <c r="A1164" s="65" t="str">
        <f>HYPERLINK("http://usaco.org/index.php?page=viewproblem2&amp;cpid=516","USACO 15jan-grass")</f>
        <v>USACO 15jan-grass</v>
      </c>
      <c r="B1164" s="20" t="s">
        <v>4346</v>
      </c>
      <c r="C1164" s="17">
        <v>5.5</v>
      </c>
      <c r="D1164" s="65" t="str">
        <f>HYPERLINK("https://github.com/updown2/OI-Practice/blob/master/USACO/2014-2015/January/Problem%203%20grass.cpp","Sol")</f>
        <v>Sol</v>
      </c>
      <c r="E1164" s="31" t="s">
        <v>4344</v>
      </c>
      <c r="F1164" s="37" t="s">
        <v>201</v>
      </c>
      <c r="G1164" s="67"/>
      <c r="H1164" s="67"/>
    </row>
    <row r="1165" spans="1:8" ht="13.2">
      <c r="A1165" s="65" t="str">
        <f>HYPERLINK("https://dmoj.ca/problem/coci06c3p5","COCI 06-Bicikli")</f>
        <v>COCI 06-Bicikli</v>
      </c>
      <c r="B1165" s="15" t="s">
        <v>7280</v>
      </c>
      <c r="C1165" s="24">
        <v>4.5</v>
      </c>
      <c r="D1165" s="65" t="str">
        <f>HYPERLINK("https://github.com/mostafa-saad/MyCompetitiveProgramming/blob/master/Olympiad/CEOI/06-Bicikli.txt","Sol")</f>
        <v>Sol</v>
      </c>
      <c r="E1165" s="31" t="s">
        <v>4344</v>
      </c>
      <c r="F1165" s="37" t="s">
        <v>196</v>
      </c>
      <c r="G1165" s="67"/>
      <c r="H1165" s="67"/>
    </row>
    <row r="1166" spans="1:8" ht="13.2">
      <c r="A1166" s="65" t="str">
        <f>HYPERLINK("https://szkopul.edu.pl/problemset/problem/1ACC1pIG2nDGZefi1v5BVSmw/site/?key=statement","POI 01-SPO")</f>
        <v>POI 01-SPO</v>
      </c>
      <c r="B1166" s="20" t="s">
        <v>4385</v>
      </c>
      <c r="C1166" s="17">
        <v>6</v>
      </c>
      <c r="D1166" s="65" t="str">
        <f>HYPERLINK("https://github.com/HeartBlue/CompetitiveProgramming/blob/master/POI/POI%2000-SPO%20Peaceful%20Commission.cpp","Sol")</f>
        <v>Sol</v>
      </c>
      <c r="E1166" s="31" t="s">
        <v>4379</v>
      </c>
      <c r="F1166" s="37"/>
      <c r="G1166" s="67"/>
      <c r="H1166" s="67"/>
    </row>
    <row r="1167" spans="1:8" ht="13.2">
      <c r="A1167" s="65" t="str">
        <f>HYPERLINK("https://cses.fi/113/list/","Baltic 08-Gates")</f>
        <v>Baltic 08-Gates</v>
      </c>
      <c r="B1167" s="37" t="s">
        <v>7281</v>
      </c>
      <c r="C1167" s="24">
        <v>6</v>
      </c>
      <c r="D1167" s="65" t="str">
        <f>HYPERLINK("https://github.com/mostafa-saad/MyCompetitiveProgramming/blob/master/Olympiad/Baltic/Baltic-08-Gates.txt","Sol")</f>
        <v>Sol</v>
      </c>
      <c r="E1167" s="31" t="s">
        <v>4379</v>
      </c>
      <c r="F1167" s="37"/>
      <c r="G1167" s="67"/>
      <c r="H1167" s="67"/>
    </row>
    <row r="1168" spans="1:8" ht="13.2">
      <c r="A1168" s="65" t="str">
        <f>HYPERLINK("https://dmoj.ca/problem/coi06p2", "COI 06-Policija")</f>
        <v>COI 06-Policija</v>
      </c>
      <c r="B1168" s="20" t="s">
        <v>7282</v>
      </c>
      <c r="C1168" s="21">
        <v>7</v>
      </c>
      <c r="D1168" s="65" t="str">
        <f>HYPERLINK("https://github.com/timpostuvan/CompetitiveProgramming/blob/master/Olympiad/COI/Policija2006.cpp","Sol")</f>
        <v>Sol</v>
      </c>
      <c r="E1168" s="31" t="s">
        <v>4411</v>
      </c>
      <c r="F1168" s="37" t="s">
        <v>201</v>
      </c>
      <c r="G1168" s="67"/>
      <c r="H1168" s="67"/>
    </row>
    <row r="1169" spans="1:8" ht="13.2">
      <c r="A1169" s="65" t="str">
        <f>HYPERLINK("https://codeforces.com/contest/1192/problem/A","CEOI 19-Skyscrapers")</f>
        <v>CEOI 19-Skyscrapers</v>
      </c>
      <c r="B1169" s="37" t="s">
        <v>7283</v>
      </c>
      <c r="C1169" s="24">
        <v>8</v>
      </c>
      <c r="D1169" s="65" t="str">
        <f>HYPERLINK("https://codeforces.com/blog/entry/68676","Editorial")</f>
        <v>Editorial</v>
      </c>
      <c r="E1169" s="31" t="s">
        <v>4423</v>
      </c>
      <c r="F1169" s="37" t="s">
        <v>139</v>
      </c>
      <c r="G1169" s="67"/>
      <c r="H1169" s="67"/>
    </row>
    <row r="1170" spans="1:8" ht="13.2">
      <c r="A1170" s="65" t="str">
        <f>HYPERLINK("https://oj.uz/problems/source/326", "APIO 18-duathlon")</f>
        <v>APIO 18-duathlon</v>
      </c>
      <c r="B1170" s="15" t="s">
        <v>7284</v>
      </c>
      <c r="C1170" s="24">
        <v>7.5</v>
      </c>
      <c r="D1170" s="65" t="str">
        <f>HYPERLINK("https://github.com/mostafa-saad/MyCompetitiveProgramming/blob/master/Olympiad/APIO/APIO-18-duathlon.txt","Sol")</f>
        <v>Sol</v>
      </c>
      <c r="E1170" s="31" t="s">
        <v>4423</v>
      </c>
      <c r="F1170" s="37" t="s">
        <v>154</v>
      </c>
      <c r="G1170" s="67"/>
      <c r="H1170" s="67"/>
    </row>
    <row r="1171" spans="1:8" ht="13.2">
      <c r="A1171" s="65" t="str">
        <f>HYPERLINK("https://szkopul.edu.pl/problemset/problem/y9HM1ctDU8V8xLMRUYACDIRs/site/", "POI 16-Hydro")</f>
        <v>POI 16-Hydro</v>
      </c>
      <c r="B1171" s="37" t="s">
        <v>7285</v>
      </c>
      <c r="C1171" s="24">
        <v>7.25</v>
      </c>
      <c r="D1171" s="65" t="str">
        <f>HYPERLINK("https://github.com/mostafa-saad/MyCompetitiveProgramming/blob/master/Olympiad/POI/POI-16-Hydro.txt","Sol")</f>
        <v>Sol</v>
      </c>
      <c r="E1171" s="31" t="s">
        <v>4423</v>
      </c>
      <c r="F1171" s="37" t="s">
        <v>201</v>
      </c>
      <c r="G1171" s="67"/>
      <c r="H1171" s="67"/>
    </row>
    <row r="1172" spans="1:8" ht="13.2">
      <c r="A1172" s="65" t="str">
        <f>HYPERLINK("https://szkopul.edu.pl/problemset/problem/YY6-3ua-C1rt7q-97laWc0UP/site/", "POI 16-Journey")</f>
        <v>POI 16-Journey</v>
      </c>
      <c r="B1172" s="37" t="s">
        <v>7286</v>
      </c>
      <c r="C1172" s="24">
        <v>7.1</v>
      </c>
      <c r="D1172" s="65" t="str">
        <f>HYPERLINK("https://github.com/mostafa-saad/MyCompetitiveProgramming/blob/master/Olympiad/POI/POI-16-Journey.txt","Sol")</f>
        <v>Sol</v>
      </c>
      <c r="E1172" s="31" t="s">
        <v>4423</v>
      </c>
      <c r="F1172" s="37" t="s">
        <v>154</v>
      </c>
      <c r="G1172" s="67"/>
      <c r="H1172" s="67"/>
    </row>
    <row r="1173" spans="1:8" ht="13.2">
      <c r="A1173" s="65" t="str">
        <f>HYPERLINK("https://dmoj.ca/problem/coci07c1p6","COCI 07-Staza")</f>
        <v>COCI 07-Staza</v>
      </c>
      <c r="B1173" s="15" t="s">
        <v>7287</v>
      </c>
      <c r="C1173" s="24">
        <v>6.5</v>
      </c>
      <c r="D1173" s="65" t="str">
        <f>HYPERLINK("https://github.com/mostafa-saad/MyCompetitiveProgramming/blob/master/Olympiad/COCI/COCI-07-Staza.txt","Sol")</f>
        <v>Sol</v>
      </c>
      <c r="E1173" s="31" t="s">
        <v>4423</v>
      </c>
      <c r="F1173" s="37"/>
      <c r="G1173" s="67"/>
      <c r="H1173" s="67"/>
    </row>
    <row r="1174" spans="1:8" ht="13.2">
      <c r="A1174" s="65" t="str">
        <f>HYPERLINK("http://usaco.org/index.php?page=viewproblem2&amp;cpid=769", "USACO 17dec-pushabox-plat")</f>
        <v>USACO 17dec-pushabox-plat</v>
      </c>
      <c r="B1174" s="20" t="s">
        <v>7288</v>
      </c>
      <c r="C1174" s="21">
        <v>6.5</v>
      </c>
      <c r="D1174" s="69"/>
      <c r="E1174" s="31" t="s">
        <v>4423</v>
      </c>
      <c r="F1174" s="37"/>
      <c r="G1174" s="67"/>
      <c r="H1174" s="67"/>
    </row>
    <row r="1175" spans="1:8" ht="13.2">
      <c r="A1175" s="65" t="str">
        <f>HYPERLINK("https://training.ia-toki.org/problemsets/87/problems/445/","TOKIOpen 17-Beauty")</f>
        <v>TOKIOpen 17-Beauty</v>
      </c>
      <c r="B1175" s="20" t="s">
        <v>7289</v>
      </c>
      <c r="C1175" s="24">
        <v>5.5</v>
      </c>
      <c r="D1175" s="65" t="str">
        <f>HYPERLINK("https://github.com/win11905/submission/blob/master/TOKI/17/beauty/beauty.cpp","Sol")</f>
        <v>Sol</v>
      </c>
      <c r="E1175" s="31" t="s">
        <v>4423</v>
      </c>
      <c r="F1175" s="37"/>
      <c r="G1175" s="67"/>
      <c r="H1175" s="67"/>
    </row>
    <row r="1176" spans="1:8" ht="13.2">
      <c r="A1176" s="65" t="str">
        <f>HYPERLINK("https://cses.fi/192/list/","CEOI 05-Net")</f>
        <v>CEOI 05-Net</v>
      </c>
      <c r="B1176" s="37" t="s">
        <v>4427</v>
      </c>
      <c r="C1176" s="24">
        <v>5</v>
      </c>
      <c r="D1176" s="65" t="str">
        <f>HYPERLINK("https://github.com/mostafa-saad/MyCompetitiveProgramming/blob/master/Olympiad/CEOI/CEOI-05-Net.txt","Sol")</f>
        <v>Sol</v>
      </c>
      <c r="E1176" s="31" t="s">
        <v>4423</v>
      </c>
      <c r="F1176" s="37" t="s">
        <v>242</v>
      </c>
      <c r="G1176" s="67"/>
      <c r="H1176" s="67"/>
    </row>
    <row r="1177" spans="1:8" ht="13.2">
      <c r="A1177" s="65" t="str">
        <f>HYPERLINK("https://oj.uz/problem/view/COI14_grad","COI 14-grad")</f>
        <v>COI 14-grad</v>
      </c>
      <c r="B1177" s="20" t="s">
        <v>7290</v>
      </c>
      <c r="C1177" s="21">
        <v>7.75</v>
      </c>
      <c r="D1177" s="65" t="str">
        <f>HYPERLINK("https://github.com/mostafa-saad/MyCompetitiveProgramming/tree/master/Olympiad/COI/official/2014","Editorial")</f>
        <v>Editorial</v>
      </c>
      <c r="E1177" s="31" t="s">
        <v>4454</v>
      </c>
      <c r="F1177" s="37" t="s">
        <v>154</v>
      </c>
      <c r="G1177" s="67"/>
      <c r="H1177" s="67"/>
    </row>
    <row r="1178" spans="1:8" ht="13.2">
      <c r="A1178" s="65" t="str">
        <f>HYPERLINK("https://csacademy.com/contest/ioi-2016-training-round-3/task/tree-nodes-destruction/","IOIPractice 16-tree-nodes-destruction")</f>
        <v>IOIPractice 16-tree-nodes-destruction</v>
      </c>
      <c r="B1178" s="37" t="s">
        <v>7291</v>
      </c>
      <c r="C1178" s="24">
        <v>7</v>
      </c>
      <c r="D1178" s="69"/>
      <c r="E1178" s="31" t="s">
        <v>4454</v>
      </c>
      <c r="F1178" s="37"/>
      <c r="G1178" s="67"/>
      <c r="H1178" s="67"/>
    </row>
    <row r="1179" spans="1:8" ht="13.2">
      <c r="A1179" s="65" t="str">
        <f>HYPERLINK("https://www.infoarena.ro/problema/casute","infoarena casute")</f>
        <v>infoarena casute</v>
      </c>
      <c r="B1179" s="20" t="s">
        <v>7292</v>
      </c>
      <c r="C1179" s="21">
        <v>6.5</v>
      </c>
      <c r="D1179" s="65" t="str">
        <f>HYPERLINK("https://github.com/mostafa-saad/MyCompetitiveProgramming/blob/master/Olympiad/infoarena/infoarena_casute.txt","Sol")</f>
        <v>Sol</v>
      </c>
      <c r="E1179" s="31" t="s">
        <v>4454</v>
      </c>
      <c r="F1179" s="37" t="s">
        <v>139</v>
      </c>
      <c r="G1179" s="67"/>
      <c r="H1179" s="67"/>
    </row>
    <row r="1180" spans="1:8" ht="13.2">
      <c r="A1180" s="69" t="s">
        <v>7293</v>
      </c>
      <c r="B1180" s="20" t="s">
        <v>7294</v>
      </c>
      <c r="C1180" s="21">
        <v>6.5</v>
      </c>
      <c r="D1180" s="65" t="str">
        <f>HYPERLINK("https://github.com/dolphingarlic/CompetitiveProgramming/blob/master/COI/COCI%2020-putovanje.cpp", "Sol")</f>
        <v>Sol</v>
      </c>
      <c r="E1180" s="31" t="s">
        <v>4454</v>
      </c>
      <c r="F1180" s="37" t="s">
        <v>139</v>
      </c>
      <c r="G1180" s="67"/>
      <c r="H1180" s="67"/>
    </row>
    <row r="1181" spans="1:8" ht="13.2">
      <c r="A1181" s="65" t="str">
        <f>HYPERLINK("https://infoarena.ro/problema/hacker2","infoarena hacker2")</f>
        <v>infoarena hacker2</v>
      </c>
      <c r="B1181" s="20" t="s">
        <v>7295</v>
      </c>
      <c r="C1181" s="21">
        <v>6.5</v>
      </c>
      <c r="D1181" s="65" t="str">
        <f>HYPERLINK("https://github.com/stefdasca/CompetitiveProgramming/blob/master/Infoarena/hacker2.cpp","Sol")</f>
        <v>Sol</v>
      </c>
      <c r="E1181" s="31" t="s">
        <v>4454</v>
      </c>
      <c r="F1181" s="37"/>
      <c r="G1181" s="67"/>
      <c r="H1181" s="67"/>
    </row>
    <row r="1182" spans="1:8" ht="13.2">
      <c r="A1182" s="65" t="str">
        <f>HYPERLINK("https://oj.uz/problem/view/BOI19_valley","Baltic 19-valley")</f>
        <v>Baltic 19-valley</v>
      </c>
      <c r="B1182" s="75" t="s">
        <v>7296</v>
      </c>
      <c r="C1182" s="17">
        <v>6.3</v>
      </c>
      <c r="D1182" s="65" t="str">
        <f>HYPERLINK("https://github.com/mostafa-saad/MyCompetitiveProgramming/blob/master/Olympiad/Baltic/Baltic-19-valley.txt","Sol")</f>
        <v>Sol</v>
      </c>
      <c r="E1182" s="31" t="s">
        <v>4454</v>
      </c>
      <c r="F1182" s="37" t="s">
        <v>139</v>
      </c>
      <c r="G1182" s="67"/>
      <c r="H1182" s="67"/>
    </row>
    <row r="1183" spans="1:8" ht="13.2">
      <c r="A1183" s="65" t="str">
        <f>HYPERLINK("https://oj.uz/problem/view/IZhO18_plan","IZHO 18-plan")</f>
        <v>IZHO 18-plan</v>
      </c>
      <c r="B1183" s="23" t="s">
        <v>7297</v>
      </c>
      <c r="C1183" s="24">
        <v>6.1</v>
      </c>
      <c r="D1183" s="69"/>
      <c r="E1183" s="31" t="s">
        <v>4454</v>
      </c>
      <c r="F1183" s="37" t="s">
        <v>139</v>
      </c>
      <c r="G1183" s="67"/>
      <c r="H1183" s="67"/>
    </row>
    <row r="1184" spans="1:8" ht="13.2">
      <c r="A1184" s="65" t="str">
        <f>HYPERLINK("https://oj.uz/problem/view/IZhO18_treearray","IZhO 18-treearray")</f>
        <v>IZhO 18-treearray</v>
      </c>
      <c r="B1184" s="37" t="s">
        <v>7298</v>
      </c>
      <c r="C1184" s="24">
        <v>6</v>
      </c>
      <c r="D1184" s="65" t="str">
        <f>HYPERLINK("https://github.com/mostafa-saad/MyCompetitiveProgramming/blob/master/Olympiad/IZhO/IZhO-18-treearray.txt","Sol")</f>
        <v>Sol</v>
      </c>
      <c r="E1184" s="31" t="s">
        <v>4454</v>
      </c>
      <c r="F1184" s="37" t="s">
        <v>154</v>
      </c>
      <c r="G1184" s="67"/>
      <c r="H1184" s="67"/>
    </row>
    <row r="1185" spans="1:8" ht="13.2">
      <c r="A1185" s="65" t="str">
        <f>HYPERLINK("https://training.ia-toki.org/problemsets/113/problems","TOKIOpen 18-TileCovering")</f>
        <v>TOKIOpen 18-TileCovering</v>
      </c>
      <c r="B1185" s="20" t="s">
        <v>7299</v>
      </c>
      <c r="C1185" s="21">
        <v>6</v>
      </c>
      <c r="D1185" s="65" t="str">
        <f>HYPERLINK("https://github.com/mostafa-saad/MyCompetitiveProgramming/blob/master/Olympiad/TOKI/TOKIOpen-18-TileCovering.txt","Sol")</f>
        <v>Sol</v>
      </c>
      <c r="E1185" s="31" t="s">
        <v>4454</v>
      </c>
      <c r="F1185" s="37" t="s">
        <v>139</v>
      </c>
      <c r="G1185" s="67"/>
      <c r="H1185" s="67"/>
    </row>
    <row r="1186" spans="1:8" ht="13.2">
      <c r="A1186" s="65" t="str">
        <f>HYPERLINK("https://cses.fi/108/list/","Baltic 09-Triangulate")</f>
        <v>Baltic 09-Triangulate</v>
      </c>
      <c r="B1186" s="37" t="s">
        <v>4484</v>
      </c>
      <c r="C1186" s="24">
        <v>6</v>
      </c>
      <c r="D1186" s="65" t="str">
        <f>HYPERLINK("https://github.com/mostafa-saad/MyCompetitiveProgramming/blob/master/Olympiad/Baltic/Baltic-09-Triangulate.txt","Sol")</f>
        <v>Sol</v>
      </c>
      <c r="E1186" s="31" t="s">
        <v>4454</v>
      </c>
      <c r="F1186" s="37" t="s">
        <v>201</v>
      </c>
      <c r="G1186" s="67"/>
      <c r="H1186" s="67"/>
    </row>
    <row r="1187" spans="1:8" ht="13.2">
      <c r="A1187" s="65" t="str">
        <f>HYPERLINK("http://usaco.org/index.php?page=viewproblem2&amp;cpid=576", "USACO 15dec-maxflow-plat")</f>
        <v>USACO 15dec-maxflow-plat</v>
      </c>
      <c r="B1187" s="20" t="s">
        <v>7300</v>
      </c>
      <c r="C1187" s="21">
        <v>5.5</v>
      </c>
      <c r="D1187" s="69"/>
      <c r="E1187" s="31" t="s">
        <v>4454</v>
      </c>
      <c r="F1187" s="37"/>
      <c r="G1187" s="67"/>
      <c r="H1187" s="67"/>
    </row>
    <row r="1188" spans="1:8" ht="13.2">
      <c r="A1188" s="65" t="str">
        <f>HYPERLINK("https://dmoj.ca/problem/coci14c3p5","COCI 14-Stogovi")</f>
        <v>COCI 14-Stogovi</v>
      </c>
      <c r="B1188" s="23" t="s">
        <v>7301</v>
      </c>
      <c r="C1188" s="24">
        <v>5</v>
      </c>
      <c r="D1188" s="65" t="str">
        <f>HYPERLINK("https://github.com/mostafa-saad/MyCompetitiveProgramming/blob/master/Olympiad/COCI/COCI-14-Stogovi.txt","Sol")</f>
        <v>Sol</v>
      </c>
      <c r="E1188" s="31" t="s">
        <v>4454</v>
      </c>
      <c r="F1188" s="37" t="s">
        <v>139</v>
      </c>
      <c r="G1188" s="67"/>
      <c r="H1188" s="67"/>
    </row>
    <row r="1189" spans="1:8" ht="13.2">
      <c r="A1189" s="65" t="str">
        <f>HYPERLINK("https://dmoj.ca/problem/utso15p5","UTSOpen 15-DistributionChannel")</f>
        <v>UTSOpen 15-DistributionChannel</v>
      </c>
      <c r="B1189" s="23" t="s">
        <v>4456</v>
      </c>
      <c r="C1189" s="24">
        <v>5</v>
      </c>
      <c r="D1189" s="65" t="str">
        <f>HYPERLINK("https://github.com/win11905/submission/blob/61c76f8b073e5e5446e7688626c487a4dcbfcd9e/Dmoj/utso15p5.cpp","Sol")</f>
        <v>Sol</v>
      </c>
      <c r="E1189" s="31" t="s">
        <v>4454</v>
      </c>
      <c r="F1189" s="37" t="s">
        <v>139</v>
      </c>
      <c r="G1189" s="67"/>
      <c r="H1189" s="67"/>
    </row>
    <row r="1190" spans="1:8" ht="13.2">
      <c r="A1190" s="65" t="str">
        <f>HYPERLINK("https://csacademy.com/contest/round-78/task/generating-set/","ROUSelection 18-generating_set")</f>
        <v>ROUSelection 18-generating_set</v>
      </c>
      <c r="B1190" s="37" t="s">
        <v>7302</v>
      </c>
      <c r="C1190" s="24">
        <v>9</v>
      </c>
      <c r="D1190" s="69"/>
      <c r="E1190" s="31" t="s">
        <v>4531</v>
      </c>
      <c r="F1190" s="37"/>
      <c r="G1190" s="67"/>
      <c r="H1190" s="67"/>
    </row>
    <row r="1191" spans="1:8" ht="13.2">
      <c r="A1191" s="65" t="str">
        <f>HYPERLINK("https://oj.uz/problems/source/314","JOISC 18-asceticism")</f>
        <v>JOISC 18-asceticism</v>
      </c>
      <c r="B1191" s="18" t="s">
        <v>7303</v>
      </c>
      <c r="C1191" s="72">
        <v>8</v>
      </c>
      <c r="D1191" s="65" t="str">
        <f>HYPERLINK("https://github.com/tmwilliamlin168/CompetitiveProgramming/blob/master/JOI/18SC-Asceticism.cpp","Sol")</f>
        <v>Sol</v>
      </c>
      <c r="E1191" s="31" t="s">
        <v>4531</v>
      </c>
      <c r="F1191" s="37"/>
      <c r="G1191" s="67"/>
      <c r="H1191" s="67"/>
    </row>
    <row r="1192" spans="1:8" ht="13.2">
      <c r="A1192" s="65" t="str">
        <f>HYPERLINK("https://oj.uz/problem/view/COCI17_gauss","COCI 17-gauss")</f>
        <v>COCI 17-gauss</v>
      </c>
      <c r="B1192" s="20" t="s">
        <v>7304</v>
      </c>
      <c r="C1192" s="24">
        <v>8</v>
      </c>
      <c r="D1192" s="69"/>
      <c r="E1192" s="31" t="s">
        <v>4531</v>
      </c>
      <c r="F1192" s="37"/>
      <c r="G1192" s="67"/>
      <c r="H1192" s="67"/>
    </row>
    <row r="1193" spans="1:8" ht="13.2">
      <c r="A1193" s="65" t="str">
        <f>HYPERLINK("https://oj.uz/problem/view/IZhO17_bomb","IZhO 17-bomb")</f>
        <v>IZhO 17-bomb</v>
      </c>
      <c r="B1193" s="20" t="s">
        <v>4530</v>
      </c>
      <c r="C1193" s="24">
        <v>7.5</v>
      </c>
      <c r="D1193" s="65" t="str">
        <f>HYPERLINK("https://github.com/ihdignite/CompetitiveProgramming/blob/master/IZHO/17-Bomb.cpp", "Sol")</f>
        <v>Sol</v>
      </c>
      <c r="E1193" s="31" t="s">
        <v>4531</v>
      </c>
      <c r="F1193" s="37" t="s">
        <v>139</v>
      </c>
      <c r="G1193" s="67"/>
      <c r="H1193" s="67"/>
    </row>
    <row r="1194" spans="1:8" ht="13.2">
      <c r="A1194" s="65" t="str">
        <f>HYPERLINK("https://cses.fi/193/list/", "CEOI 16-trick")</f>
        <v>CEOI 16-trick</v>
      </c>
      <c r="B1194" s="20" t="s">
        <v>4710</v>
      </c>
      <c r="C1194" s="24">
        <v>7.5</v>
      </c>
      <c r="D1194" s="65" t="str">
        <f>HYPERLINK("https://github.com/mostafa-saad/MyCompetitiveProgramming/blob/master/Olympiad/CEOI/CEOI-16-trick.txt","Sol")</f>
        <v>Sol</v>
      </c>
      <c r="E1194" s="31" t="s">
        <v>4531</v>
      </c>
      <c r="F1194" s="37" t="s">
        <v>139</v>
      </c>
      <c r="G1194" s="67"/>
      <c r="H1194" s="67"/>
    </row>
    <row r="1195" spans="1:8" ht="13.2">
      <c r="A1195" s="65" t="str">
        <f>HYPERLINK("https://www.hackerrank.com/contests/boi-2016/challenges","Balkan 16-PowerTowers")</f>
        <v>Balkan 16-PowerTowers</v>
      </c>
      <c r="B1195" s="18" t="s">
        <v>7305</v>
      </c>
      <c r="C1195" s="17">
        <v>7.5</v>
      </c>
      <c r="D1195" s="65" t="str">
        <f>HYPERLINK("https://bytefreaks.net/cyprus-computer-society/tasks-balkan-olympiad-in-informatics-2016","Editorial")</f>
        <v>Editorial</v>
      </c>
      <c r="E1195" s="31" t="s">
        <v>4531</v>
      </c>
      <c r="F1195" s="37"/>
      <c r="G1195" s="67"/>
      <c r="H1195" s="67"/>
    </row>
    <row r="1196" spans="1:8" ht="13.2">
      <c r="A1196" s="65" t="str">
        <f>HYPERLINK("https://oj.uz/problem/view/IZhO19_xorsum","IZhO 19-xorsum")</f>
        <v>IZhO 19-xorsum</v>
      </c>
      <c r="B1196" s="20" t="s">
        <v>7306</v>
      </c>
      <c r="C1196" s="24">
        <v>7.5</v>
      </c>
      <c r="D1196" s="69"/>
      <c r="E1196" s="31" t="s">
        <v>4531</v>
      </c>
      <c r="F1196" s="37"/>
      <c r="G1196" s="67"/>
      <c r="H1196" s="67"/>
    </row>
    <row r="1197" spans="1:8" ht="13.2">
      <c r="A1197" s="65" t="str">
        <f>HYPERLINK("https://szkopul.edu.pl/problemset/problem/DKfNUFPEex9M2RZxld6pPcxT/site/", "POI 05-Mirror")</f>
        <v>POI 05-Mirror</v>
      </c>
      <c r="B1197" s="37" t="s">
        <v>7307</v>
      </c>
      <c r="C1197" s="24">
        <v>7.25</v>
      </c>
      <c r="D1197" s="65" t="str">
        <f>HYPERLINK("https://github.com/mostafa-saad/MyCompetitiveProgramming/blob/master/Olympiad/POI/official/find_editorial_sols_guidelines.txt","Editorial")</f>
        <v>Editorial</v>
      </c>
      <c r="E1197" s="31" t="s">
        <v>4531</v>
      </c>
      <c r="F1197" s="37"/>
      <c r="G1197" s="67"/>
      <c r="H1197" s="67"/>
    </row>
    <row r="1198" spans="1:8" ht="13.2">
      <c r="A1198" s="65" t="str">
        <f>HYPERLINK("https://szkopul.edu.pl/problemset/problem/O730xgZEVynTWBmscBinhMbD/site/", "POI 16-Arkanoid")</f>
        <v>POI 16-Arkanoid</v>
      </c>
      <c r="B1198" s="23" t="s">
        <v>7308</v>
      </c>
      <c r="C1198" s="24">
        <v>7</v>
      </c>
      <c r="D1198" s="65" t="str">
        <f>HYPERLINK("https://github.com/mostafa-saad/MyCompetitiveProgramming/blob/master/Olympiad/POI/POI-16-Arkanoid.txt","Sol")</f>
        <v>Sol</v>
      </c>
      <c r="E1198" s="31" t="s">
        <v>4531</v>
      </c>
      <c r="F1198" s="37" t="s">
        <v>139</v>
      </c>
      <c r="G1198" s="67"/>
      <c r="H1198" s="67"/>
    </row>
    <row r="1199" spans="1:8" ht="13.2">
      <c r="A1199" s="65" t="str">
        <f>HYPERLINK("https://szkopul.edu.pl/problemset/problem/vQpjG0o3j0x3BQDNXpuciN3n/site/","CEOI 04-Sweets")</f>
        <v>CEOI 04-Sweets</v>
      </c>
      <c r="B1199" s="37" t="s">
        <v>7309</v>
      </c>
      <c r="C1199" s="24">
        <v>6.75</v>
      </c>
      <c r="D1199" s="65" t="str">
        <f>HYPERLINK("https://github.com/mostafa-saad/MyCompetitiveProgramming/blob/master/Olympiad/CEOI/CEOI-04-Sweets.txt","Sol")</f>
        <v>Sol</v>
      </c>
      <c r="E1199" s="31" t="s">
        <v>4531</v>
      </c>
      <c r="F1199" s="37" t="s">
        <v>139</v>
      </c>
      <c r="G1199" s="67"/>
      <c r="H1199" s="67"/>
    </row>
    <row r="1200" spans="1:8" ht="13.2">
      <c r="A1200" s="65" t="str">
        <f>HYPERLINK("https://www.infoarena.ro/problema/perioada","infoarena perioada")</f>
        <v>infoarena perioada</v>
      </c>
      <c r="B1200" s="20" t="s">
        <v>7310</v>
      </c>
      <c r="C1200" s="17">
        <v>6.5</v>
      </c>
      <c r="D1200" s="65" t="str">
        <f>HYPERLINK("https://github.com/mostafa-saad/MyCompetitiveProgramming/blob/master/Olympiad/infoarena/infoarena_perioada.txt","Sol")</f>
        <v>Sol</v>
      </c>
      <c r="E1200" s="31" t="s">
        <v>4531</v>
      </c>
      <c r="F1200" s="37" t="s">
        <v>139</v>
      </c>
      <c r="G1200" s="67"/>
      <c r="H1200" s="67"/>
    </row>
    <row r="1201" spans="1:8" ht="13.2">
      <c r="A1201" s="65" t="str">
        <f>HYPERLINK("https://szkopul.edu.pl/problemset/problem/rfG3gSJfUHoOk3t6379xduHr/site/", "POI 14-Panels")</f>
        <v>POI 14-Panels</v>
      </c>
      <c r="B1201" s="20" t="s">
        <v>7311</v>
      </c>
      <c r="C1201" s="17">
        <v>6.3</v>
      </c>
      <c r="D1201" s="65" t="str">
        <f>HYPERLINK("https://github.com/mostafa-saad/MyCompetitiveProgramming/blob/master/Olympiad/POI/POI-14-Panels.txt","Sol")</f>
        <v>Sol</v>
      </c>
      <c r="E1201" s="31" t="s">
        <v>4531</v>
      </c>
      <c r="F1201" s="37" t="s">
        <v>196</v>
      </c>
      <c r="G1201" s="67"/>
      <c r="H1201" s="67"/>
    </row>
    <row r="1202" spans="1:8" ht="13.2">
      <c r="A1202" s="65" t="str">
        <f>HYPERLINK("https://dunjudge.me/analysis/problems/573/","Balkan 11-decrypt")</f>
        <v>Balkan 11-decrypt</v>
      </c>
      <c r="B1202" s="23" t="s">
        <v>7312</v>
      </c>
      <c r="C1202" s="17">
        <v>6.3</v>
      </c>
      <c r="D1202" s="65" t="str">
        <f>HYPERLINK("https://github.com/mostafa-saad/MyCompetitiveProgramming/blob/master/Olympiad/Balkan/Balkan-11-decrypt.txt","Sol")</f>
        <v>Sol</v>
      </c>
      <c r="E1202" s="31" t="s">
        <v>4531</v>
      </c>
      <c r="F1202" s="37" t="s">
        <v>139</v>
      </c>
      <c r="G1202" s="67"/>
      <c r="H1202" s="67"/>
    </row>
    <row r="1203" spans="1:8" ht="13.2">
      <c r="A1203" s="65" t="str">
        <f>HYPERLINK("https://codeforces.com/gym/102257/","APIO 19-strange_device")</f>
        <v>APIO 19-strange_device</v>
      </c>
      <c r="B1203" s="37" t="s">
        <v>7313</v>
      </c>
      <c r="C1203" s="24">
        <v>6.25</v>
      </c>
      <c r="D1203" s="65" t="str">
        <f>HYPERLINK("https://github.com/mostafa-saad/MyCompetitiveProgramming/blob/master/Olympiad/APIO/APIO-19-strange_device.txt","Sol")</f>
        <v>Sol</v>
      </c>
      <c r="E1203" s="31" t="s">
        <v>4531</v>
      </c>
      <c r="F1203" s="37" t="s">
        <v>139</v>
      </c>
      <c r="G1203" s="67"/>
      <c r="H1203" s="67"/>
    </row>
    <row r="1204" spans="1:8" ht="13.2">
      <c r="A1204" s="65" t="str">
        <f>HYPERLINK("https://szkopul.edu.pl/problemset/problem/kTJwMBMs_vXtliFNlHAZ0Hcu/site/","CEOI 04-Football")</f>
        <v>CEOI 04-Football</v>
      </c>
      <c r="B1204" s="37" t="s">
        <v>7314</v>
      </c>
      <c r="C1204" s="24">
        <v>6.25</v>
      </c>
      <c r="D1204" s="65" t="str">
        <f>HYPERLINK("https://github.com/mostafa-saad/MyCompetitiveProgramming/blob/master/Olympiad/CEOI/CEOI-04-Football.txt","Sol")</f>
        <v>Sol</v>
      </c>
      <c r="E1204" s="31" t="s">
        <v>4531</v>
      </c>
      <c r="F1204" s="37" t="s">
        <v>201</v>
      </c>
      <c r="G1204" s="67"/>
      <c r="H1204" s="67"/>
    </row>
    <row r="1205" spans="1:8" ht="13.2">
      <c r="A1205" s="65" t="str">
        <f>HYPERLINK("https://www.infoarena.ro/problema/jap2","infoarena jap2")</f>
        <v>infoarena jap2</v>
      </c>
      <c r="B1205" s="20" t="s">
        <v>7315</v>
      </c>
      <c r="C1205" s="17">
        <v>6.25</v>
      </c>
      <c r="D1205" s="65" t="str">
        <f>HYPERLINK("https://github.com/mostafa-saad/MyCompetitiveProgramming/blob/master/Olympiad/infoarena/infoarena-jap2.txt","Sol")</f>
        <v>Sol</v>
      </c>
      <c r="E1205" s="31" t="s">
        <v>4531</v>
      </c>
      <c r="F1205" s="37"/>
      <c r="G1205" s="67"/>
      <c r="H1205" s="67"/>
    </row>
    <row r="1206" spans="1:8" ht="13.2">
      <c r="A1206" s="65" t="str">
        <f>HYPERLINK("https://www.infoarena.ro/problema/meneaito","infoarena meneaito")</f>
        <v>infoarena meneaito</v>
      </c>
      <c r="B1206" s="20" t="s">
        <v>7316</v>
      </c>
      <c r="C1206" s="17">
        <v>6.25</v>
      </c>
      <c r="D1206" s="65" t="str">
        <f>HYPERLINK("https://github.com/stefdasca/CompetitiveProgramming/blob/master/Infoarena/meneaito.cpp","Sol")</f>
        <v>Sol</v>
      </c>
      <c r="E1206" s="31" t="s">
        <v>4531</v>
      </c>
      <c r="F1206" s="37"/>
      <c r="G1206" s="67"/>
      <c r="H1206" s="67"/>
    </row>
    <row r="1207" spans="1:8" ht="13.2">
      <c r="A1207" s="65" t="str">
        <f>HYPERLINK("https://dunjudge.me/analysis/problems/1663/","IOIPractice 17-coins")</f>
        <v>IOIPractice 17-coins</v>
      </c>
      <c r="B1207" s="18" t="s">
        <v>7317</v>
      </c>
      <c r="C1207" s="17">
        <v>6.1</v>
      </c>
      <c r="D1207" s="65" t="str">
        <f>HYPERLINK("https://github.com/mostafa-saad/MyCompetitiveProgramming/blob/master/Olympiad/IOI/IOIPractice-17-coins.txt","Sol")</f>
        <v>Sol</v>
      </c>
      <c r="E1207" s="31" t="s">
        <v>4531</v>
      </c>
      <c r="F1207" s="37" t="s">
        <v>154</v>
      </c>
      <c r="G1207" s="67"/>
      <c r="H1207" s="67"/>
    </row>
    <row r="1208" spans="1:8" ht="13.2">
      <c r="A1208" s="65" t="str">
        <f>HYPERLINK("https://infoarena.ro/problema/overpower","infoarena overpower")</f>
        <v>infoarena overpower</v>
      </c>
      <c r="B1208" s="20" t="s">
        <v>4564</v>
      </c>
      <c r="C1208" s="24">
        <v>6.1</v>
      </c>
      <c r="D1208" s="65" t="str">
        <f>HYPERLINK("https://github.com/stefdasca/CompetitiveProgramming/blob/master/Infoarena/overpower.cpp","Sol")</f>
        <v>Sol</v>
      </c>
      <c r="E1208" s="31" t="s">
        <v>4531</v>
      </c>
      <c r="F1208" s="37"/>
      <c r="G1208" s="67"/>
      <c r="H1208" s="67"/>
    </row>
    <row r="1209" spans="1:8" ht="13.2">
      <c r="A1209" s="65" t="str">
        <f>HYPERLINK("http://usaco.org/index.php?page=viewproblem2&amp;cpid=924", "USACO 19feb-plat_cowdate")</f>
        <v>USACO 19feb-plat_cowdate</v>
      </c>
      <c r="B1209" s="23" t="s">
        <v>7318</v>
      </c>
      <c r="C1209" s="21">
        <v>6</v>
      </c>
      <c r="D1209" s="69"/>
      <c r="E1209" s="31" t="s">
        <v>4531</v>
      </c>
      <c r="F1209" s="37" t="s">
        <v>139</v>
      </c>
      <c r="G1209" s="67"/>
      <c r="H1209" s="67"/>
    </row>
    <row r="1210" spans="1:8" ht="13.2">
      <c r="A1210" s="65" t="str">
        <f>HYPERLINK("https://szkopul.edu.pl/problemset/problem/y7tXjqVq0gPZjc8kPrscs2CJ/site/", "POI 07-Weights")</f>
        <v>POI 07-Weights</v>
      </c>
      <c r="B1210" s="37" t="s">
        <v>7319</v>
      </c>
      <c r="C1210" s="21">
        <v>6</v>
      </c>
      <c r="D1210" s="65" t="str">
        <f>HYPERLINK("https://github.com/peon-pasado/CompetitiveProgramming/blob/master/szkoput/POI_07-Weights.cpp","sol")</f>
        <v>sol</v>
      </c>
      <c r="E1210" s="31" t="s">
        <v>4531</v>
      </c>
      <c r="F1210" s="37" t="s">
        <v>139</v>
      </c>
      <c r="G1210" s="67"/>
      <c r="H1210" s="67"/>
    </row>
    <row r="1211" spans="1:8" ht="13.2">
      <c r="A1211" s="65" t="str">
        <f>HYPERLINK("https://www.infoarena.ro/problema/matrice","infoarena matrice")</f>
        <v>infoarena matrice</v>
      </c>
      <c r="B1211" s="20" t="s">
        <v>7320</v>
      </c>
      <c r="C1211" s="24">
        <v>6</v>
      </c>
      <c r="D1211" s="65" t="str">
        <f>HYPERLINK("https://github.com/stefdasca/CompetitiveProgramming/blob/master/Infoarena/matrice.cpp","Sol")</f>
        <v>Sol</v>
      </c>
      <c r="E1211" s="31" t="s">
        <v>4531</v>
      </c>
      <c r="F1211" s="37" t="s">
        <v>201</v>
      </c>
      <c r="G1211" s="67"/>
      <c r="H1211" s="67"/>
    </row>
    <row r="1212" spans="1:8" ht="13.2">
      <c r="A1212" s="69" t="s">
        <v>7321</v>
      </c>
      <c r="B1212" s="20" t="s">
        <v>7322</v>
      </c>
      <c r="C1212" s="21">
        <v>6</v>
      </c>
      <c r="D1212" s="65" t="str">
        <f>HYPERLINK("https://github.com/dolphingarlic/CompetitiveProgramming/blob/master/COI/COCI%2020-zapina.cpp", "Sol")</f>
        <v>Sol</v>
      </c>
      <c r="E1212" s="31" t="s">
        <v>4531</v>
      </c>
      <c r="F1212" s="37"/>
      <c r="G1212" s="67"/>
      <c r="H1212" s="67"/>
    </row>
    <row r="1213" spans="1:8" ht="13.2">
      <c r="A1213" s="65" t="str">
        <f>HYPERLINK("https://www.infoarena.ro/problema/penal","infoarena penal")</f>
        <v>infoarena penal</v>
      </c>
      <c r="B1213" s="20" t="s">
        <v>7323</v>
      </c>
      <c r="C1213" s="17">
        <v>6</v>
      </c>
      <c r="D1213" s="65" t="str">
        <f>HYPERLINK("https://github.com/stefdasca/CompetitiveProgramming/blob/master/Infoarena/penal.cpp","Sol")</f>
        <v>Sol</v>
      </c>
      <c r="E1213" s="31" t="s">
        <v>4531</v>
      </c>
      <c r="F1213" s="37"/>
      <c r="G1213" s="67"/>
      <c r="H1213" s="67"/>
    </row>
    <row r="1214" spans="1:8" ht="13.2">
      <c r="A1214" s="65" t="str">
        <f>HYPERLINK("https://oj.uz/problem/view/NOI12_modsum","NOI 12-modsum")</f>
        <v>NOI 12-modsum</v>
      </c>
      <c r="B1214" s="37" t="s">
        <v>7324</v>
      </c>
      <c r="C1214" s="24">
        <v>6</v>
      </c>
      <c r="D1214" s="65" t="str">
        <f>HYPERLINK("https://github.com/win11905/submission/blob/master/NOI/12/modsum.cpp","Sol")</f>
        <v>Sol</v>
      </c>
      <c r="E1214" s="31" t="s">
        <v>4531</v>
      </c>
      <c r="F1214" s="37"/>
      <c r="G1214" s="67"/>
      <c r="H1214" s="67"/>
    </row>
    <row r="1215" spans="1:8" ht="13.2">
      <c r="A1215" s="65" t="str">
        <f>HYPERLINK("https://dunjudge.me/analysis/problems/955/","NOI 16-fabric")</f>
        <v>NOI 16-fabric</v>
      </c>
      <c r="B1215" s="37" t="s">
        <v>7325</v>
      </c>
      <c r="C1215" s="24">
        <v>5.75</v>
      </c>
      <c r="D1215" s="65" t="str">
        <f>HYPERLINK("https://github.com/mostafa-saad/MyCompetitiveProgramming/blob/master/Olympiad/NOI/official","Editorial")</f>
        <v>Editorial</v>
      </c>
      <c r="E1215" s="31" t="s">
        <v>4531</v>
      </c>
      <c r="F1215" s="37"/>
      <c r="G1215" s="67"/>
      <c r="H1215" s="67"/>
    </row>
    <row r="1216" spans="1:8" ht="13.2">
      <c r="A1216" s="65" t="str">
        <f>HYPERLINK("https://www.acmicpc.net/problem/2284","CEOI 03-Therace")</f>
        <v>CEOI 03-Therace</v>
      </c>
      <c r="B1216" s="37" t="s">
        <v>4541</v>
      </c>
      <c r="C1216" s="21">
        <v>5.5</v>
      </c>
      <c r="D1216" s="65" t="str">
        <f>HYPERLINK("https://github.com/mostafa-saad/MyCompetitiveProgramming/blob/master/Olympiad/CEOI/CEOI-03-Therace.txt","Sol")</f>
        <v>Sol</v>
      </c>
      <c r="E1216" s="31" t="s">
        <v>4531</v>
      </c>
      <c r="F1216" s="37" t="s">
        <v>154</v>
      </c>
      <c r="G1216" s="67"/>
      <c r="H1216" s="67"/>
    </row>
    <row r="1217" spans="1:8" ht="13.2">
      <c r="A1217" s="65" t="str">
        <f>HYPERLINK("https://dmoj.ca/problem/coci07c2p5","COCI 07-Kemija")</f>
        <v>COCI 07-Kemija</v>
      </c>
      <c r="B1217" s="15" t="s">
        <v>4535</v>
      </c>
      <c r="C1217" s="24">
        <v>5.5</v>
      </c>
      <c r="D1217" s="65" t="str">
        <f>HYPERLINK("https://github.com/mostafa-saad/MyCompetitiveProgramming/blob/master/Olympiad/COCI/COCI-07-Kemija.txt","Sol")</f>
        <v>Sol</v>
      </c>
      <c r="E1217" s="31" t="s">
        <v>4531</v>
      </c>
      <c r="F1217" s="37" t="s">
        <v>139</v>
      </c>
      <c r="G1217" s="67"/>
      <c r="H1217" s="67"/>
    </row>
    <row r="1218" spans="1:8" ht="13.2">
      <c r="A1218" s="65" t="str">
        <f>HYPERLINK("https://dunjudge.me/analysis/problems/1413/","COCI 13-cokolade")</f>
        <v>COCI 13-cokolade</v>
      </c>
      <c r="B1218" s="15" t="s">
        <v>7326</v>
      </c>
      <c r="C1218" s="24">
        <v>5</v>
      </c>
      <c r="D1218" s="65" t="str">
        <f>HYPERLINK("https://github.com/mostafa-saad/MyCompetitiveProgramming/blob/master/Olympiad/COCI/COCI-13-cokolade.txt","Sol")</f>
        <v>Sol</v>
      </c>
      <c r="E1218" s="31" t="s">
        <v>4531</v>
      </c>
      <c r="F1218" s="37" t="s">
        <v>139</v>
      </c>
      <c r="G1218" s="67"/>
      <c r="H1218" s="67"/>
    </row>
    <row r="1219" spans="1:8" ht="13.2">
      <c r="A1219" s="65" t="str">
        <f>HYPERLINK("https://oj.uz/problem/view/COCI16_prosjecni","COCI 16-prosjecni")</f>
        <v>COCI 16-prosjecni</v>
      </c>
      <c r="B1219" s="15" t="s">
        <v>4658</v>
      </c>
      <c r="C1219" s="24">
        <v>5</v>
      </c>
      <c r="D1219" s="65" t="str">
        <f>HYPERLINK("https://github.com/mostafa-saad/MyCompetitiveProgramming/blob/master/Olympiad/COCI/official/2017/contest2_solutions","Editorial")</f>
        <v>Editorial</v>
      </c>
      <c r="E1219" s="31" t="s">
        <v>4531</v>
      </c>
      <c r="F1219" s="37" t="s">
        <v>201</v>
      </c>
      <c r="G1219" s="67"/>
      <c r="H1219" s="67"/>
    </row>
    <row r="1220" spans="1:8" ht="13.2">
      <c r="A1220" s="65" t="str">
        <f>HYPERLINK("https://dmoj.ca/problem/coci15c4p4","COCI 15-Chewbacca")</f>
        <v>COCI 15-Chewbacca</v>
      </c>
      <c r="B1220" s="20" t="s">
        <v>4530</v>
      </c>
      <c r="C1220" s="24">
        <v>5</v>
      </c>
      <c r="D1220" s="69"/>
      <c r="E1220" s="31" t="s">
        <v>4531</v>
      </c>
      <c r="F1220" s="37" t="s">
        <v>201</v>
      </c>
      <c r="G1220" s="67"/>
      <c r="H1220" s="67"/>
    </row>
    <row r="1221" spans="1:8" ht="13.2">
      <c r="A1221" s="65" t="str">
        <f>HYPERLINK("https://dmoj.ca/problem/fibonacci2","Dmoj FibonacciSequenceHarder")</f>
        <v>Dmoj FibonacciSequenceHarder</v>
      </c>
      <c r="B1221" s="37" t="s">
        <v>4658</v>
      </c>
      <c r="C1221" s="24">
        <v>5</v>
      </c>
      <c r="D1221" s="69"/>
      <c r="E1221" s="31" t="s">
        <v>4531</v>
      </c>
      <c r="F1221" s="37" t="s">
        <v>201</v>
      </c>
      <c r="G1221" s="67"/>
      <c r="H1221" s="67"/>
    </row>
    <row r="1222" spans="1:8" ht="13.2">
      <c r="A1222" s="65" t="str">
        <f>HYPERLINK("https://contest.yandex.ru/contest/8699/problems/A","SNSS 18-R1-A")</f>
        <v>SNSS 18-R1-A</v>
      </c>
      <c r="B1222" s="20" t="s">
        <v>7327</v>
      </c>
      <c r="C1222" s="21">
        <v>5</v>
      </c>
      <c r="D1222" s="65" t="str">
        <f>HYPERLINK("https://github.com/SpeedOfMagic/CompetitiveProgramming/blob/master/SNSS/18-R1-A.cpp","Sol")</f>
        <v>Sol</v>
      </c>
      <c r="E1222" s="31" t="s">
        <v>4531</v>
      </c>
      <c r="F1222" s="37" t="s">
        <v>201</v>
      </c>
      <c r="G1222" s="67"/>
      <c r="H1222" s="67"/>
    </row>
    <row r="1223" spans="1:8" ht="13.2">
      <c r="A1223" s="65" t="str">
        <f>HYPERLINK("https://dmoj.ca/problem/crci07p3","COCI 07-Kuhar")</f>
        <v>COCI 07-Kuhar</v>
      </c>
      <c r="B1223" s="15" t="s">
        <v>4653</v>
      </c>
      <c r="C1223" s="24">
        <v>5</v>
      </c>
      <c r="D1223" s="65" t="str">
        <f>HYPERLINK("https://github.com/mostafa-saad/MyCompetitiveProgramming/tree/master/Olympiad/COCI/official/2008/regional_solutions","Editorial")</f>
        <v>Editorial</v>
      </c>
      <c r="E1223" s="31" t="s">
        <v>4531</v>
      </c>
      <c r="F1223" s="37"/>
      <c r="G1223" s="67"/>
      <c r="H1223" s="67"/>
    </row>
    <row r="1224" spans="1:8" ht="13.2">
      <c r="A1224" s="65" t="str">
        <f>HYPERLINK("https://contest.yandex.ru/ioi/contest/566/enter/","IOI 05-mean")</f>
        <v>IOI 05-mean</v>
      </c>
      <c r="B1224" s="23" t="s">
        <v>4654</v>
      </c>
      <c r="C1224" s="24">
        <v>5</v>
      </c>
      <c r="D1224" s="65" t="str">
        <f>HYPERLINK("https://www.oi.edu.pl/old/ioi/downloads/ioi2005-tasks-and-solutions-a5.pdf","Editorial")</f>
        <v>Editorial</v>
      </c>
      <c r="E1224" s="31" t="s">
        <v>4531</v>
      </c>
      <c r="F1224" s="37"/>
      <c r="G1224" s="67"/>
      <c r="H1224" s="67"/>
    </row>
    <row r="1225" spans="1:8" ht="13.2">
      <c r="A1225" s="65" t="str">
        <f>HYPERLINK("https://dunjudge.me/analysis/problems/705/","NOI 15-radioactive")</f>
        <v>NOI 15-radioactive</v>
      </c>
      <c r="B1225" s="37" t="s">
        <v>4530</v>
      </c>
      <c r="C1225" s="24">
        <v>5</v>
      </c>
      <c r="D1225" s="65" t="str">
        <f>HYPERLINK("https://github.com/mostafa-saad/MyCompetitiveProgramming/blob/master/Olympiad/NOI/official","Editorial")</f>
        <v>Editorial</v>
      </c>
      <c r="E1225" s="31" t="s">
        <v>4531</v>
      </c>
      <c r="F1225" s="37"/>
      <c r="G1225" s="67"/>
      <c r="H1225" s="67"/>
    </row>
    <row r="1226" spans="1:8" ht="13.2">
      <c r="A1226" s="65" t="str">
        <f>HYPERLINK("https://infoarena.ro/problema/abx","infoarena abx")</f>
        <v>infoarena abx</v>
      </c>
      <c r="B1226" s="20" t="s">
        <v>7328</v>
      </c>
      <c r="C1226" s="21">
        <v>4.5</v>
      </c>
      <c r="D1226" s="65" t="str">
        <f>HYPERLINK("https://github.com/stefdasca/CompetitiveProgramming/blob/master/Infoarena/abx.cpp","Sol")</f>
        <v>Sol</v>
      </c>
      <c r="E1226" s="31" t="s">
        <v>4531</v>
      </c>
      <c r="F1226" s="37"/>
      <c r="G1226" s="67"/>
      <c r="H1226" s="67"/>
    </row>
    <row r="1227" spans="1:8" ht="13.2">
      <c r="A1227" s="65" t="str">
        <f>HYPERLINK("https://dunjudge.me/analysis/problems/552/","MCO 14-random")</f>
        <v>MCO 14-random</v>
      </c>
      <c r="B1227" s="37" t="s">
        <v>7329</v>
      </c>
      <c r="C1227" s="24">
        <v>4.5</v>
      </c>
      <c r="D1227" s="65" t="str">
        <f>HYPERLINK("https://github.com/mostafa-saad/MyCompetitiveProgramming/tree/master/Olympiad/MCO/official/2014","Sol No Editorial")</f>
        <v>Sol No Editorial</v>
      </c>
      <c r="E1227" s="31" t="s">
        <v>4531</v>
      </c>
      <c r="F1227" s="37"/>
      <c r="G1227" s="67"/>
      <c r="H1227" s="67"/>
    </row>
    <row r="1228" spans="1:8" ht="13.2">
      <c r="A1228" s="65" t="str">
        <f>HYPERLINK("https://infoarena.ro/problema/cate3cifre","infoarena cate3cifre")</f>
        <v>infoarena cate3cifre</v>
      </c>
      <c r="B1228" s="20" t="s">
        <v>4562</v>
      </c>
      <c r="C1228" s="21">
        <v>4</v>
      </c>
      <c r="D1228" s="65" t="str">
        <f>HYPERLINK("https://github.com/stefdasca/CompetitiveProgramming/blob/master/Infoarena/cate3cifre.cpp","Sol")</f>
        <v>Sol</v>
      </c>
      <c r="E1228" s="31" t="s">
        <v>4531</v>
      </c>
      <c r="F1228" s="37" t="s">
        <v>139</v>
      </c>
      <c r="G1228" s="67"/>
      <c r="H1228" s="67"/>
    </row>
    <row r="1229" spans="1:8" ht="13.2">
      <c r="A1229" s="65" t="str">
        <f>HYPERLINK("https://oj.uz/problem/view/IOI17_coins","IOI 17-coins")</f>
        <v>IOI 17-coins</v>
      </c>
      <c r="B1229" s="20" t="s">
        <v>4698</v>
      </c>
      <c r="C1229" s="17">
        <v>4</v>
      </c>
      <c r="D1229" s="69"/>
      <c r="E1229" s="31" t="s">
        <v>4531</v>
      </c>
      <c r="F1229" s="37" t="s">
        <v>139</v>
      </c>
      <c r="G1229" s="67"/>
      <c r="H1229" s="67"/>
    </row>
    <row r="1230" spans="1:8" ht="13.2">
      <c r="A1230" s="65" t="str">
        <f>HYPERLINK("https://dmoj.ca/problem/coci07c5p3","COCI 07-Jabuke")</f>
        <v>COCI 07-Jabuke</v>
      </c>
      <c r="B1230" s="15" t="s">
        <v>4530</v>
      </c>
      <c r="C1230" s="24">
        <v>4</v>
      </c>
      <c r="D1230" s="65" t="str">
        <f>HYPERLINK("https://github.com/mostafa-saad/MyCompetitiveProgramming/tree/master/Olympiad/COCI/official/2008/contest5_solutions","Editorial")</f>
        <v>Editorial</v>
      </c>
      <c r="E1230" s="31" t="s">
        <v>4531</v>
      </c>
      <c r="F1230" s="37" t="s">
        <v>201</v>
      </c>
      <c r="G1230" s="67"/>
      <c r="H1230" s="67"/>
    </row>
    <row r="1231" spans="1:8" ht="13.2">
      <c r="A1231" s="65" t="str">
        <f>HYPERLINK("https://dunjudge.me/analysis/problems/271/","NOI 08-nprime")</f>
        <v>NOI 08-nprime</v>
      </c>
      <c r="B1231" s="37" t="s">
        <v>7330</v>
      </c>
      <c r="C1231" s="24">
        <v>4</v>
      </c>
      <c r="D1231" s="65" t="str">
        <f>HYPERLINK("https://github.com/mostafa-saad/MyCompetitiveProgramming/blob/master/Olympiad/NOI/official","Editorial")</f>
        <v>Editorial</v>
      </c>
      <c r="E1231" s="31" t="s">
        <v>4531</v>
      </c>
      <c r="F1231" s="37"/>
      <c r="G1231" s="67"/>
      <c r="H1231" s="67"/>
    </row>
    <row r="1232" spans="1:8" ht="13.2">
      <c r="A1232" s="65" t="str">
        <f>HYPERLINK("https://dunjudge.me/analysis/problems/27/","NOI 11-sequence")</f>
        <v>NOI 11-sequence</v>
      </c>
      <c r="B1232" s="37" t="s">
        <v>7331</v>
      </c>
      <c r="C1232" s="24">
        <v>4</v>
      </c>
      <c r="D1232" s="65" t="str">
        <f>HYPERLINK("https://github.com/mostafa-saad/MyCompetitiveProgramming/blob/master/Olympiad/NOI/official/2011.pptx","Editorial")</f>
        <v>Editorial</v>
      </c>
      <c r="E1232" s="31" t="s">
        <v>4531</v>
      </c>
      <c r="F1232" s="37"/>
      <c r="G1232" s="67"/>
      <c r="H1232" s="67"/>
    </row>
    <row r="1233" spans="1:8" ht="13.2">
      <c r="A1233" s="65" t="str">
        <f>HYPERLINK("https://codeforces.com/group/swEqtABRxe/contest/243430/problem/A","EOI 19-d2-A")</f>
        <v>EOI 19-d2-A</v>
      </c>
      <c r="B1233" s="37" t="s">
        <v>4530</v>
      </c>
      <c r="C1233" s="24">
        <v>4</v>
      </c>
      <c r="D1233" s="69"/>
      <c r="E1233" s="31" t="s">
        <v>4531</v>
      </c>
      <c r="F1233" s="37"/>
      <c r="G1233" s="67"/>
      <c r="H1233" s="67"/>
    </row>
    <row r="1234" spans="1:8" ht="13.2">
      <c r="A1234" s="65" t="str">
        <f>HYPERLINK("https://codeforces.com/group/swEqtABRxe/contest/243430/problem/A", "EOI 18-d2-A")</f>
        <v>EOI 18-d2-A</v>
      </c>
      <c r="B1234" s="20" t="s">
        <v>4530</v>
      </c>
      <c r="C1234" s="17">
        <v>3.5</v>
      </c>
      <c r="D1234" s="69"/>
      <c r="E1234" s="31" t="s">
        <v>4531</v>
      </c>
      <c r="F1234" s="37"/>
      <c r="G1234" s="67"/>
      <c r="H1234" s="67"/>
    </row>
    <row r="1235" spans="1:8" ht="13.2">
      <c r="A1235" s="65" t="str">
        <f>HYPERLINK("https://dmoj.ca/problem/ccc13s5","CCC 13-Factor_Solitaire")</f>
        <v>CCC 13-Factor_Solitaire</v>
      </c>
      <c r="B1235" s="37" t="s">
        <v>4530</v>
      </c>
      <c r="C1235" s="24">
        <v>3</v>
      </c>
      <c r="D1235" s="69"/>
      <c r="E1235" s="31" t="s">
        <v>4531</v>
      </c>
      <c r="F1235" s="37"/>
      <c r="G1235" s="67"/>
      <c r="H1235" s="67"/>
    </row>
    <row r="1236" spans="1:8" ht="13.2">
      <c r="A1236" s="65" t="str">
        <f>HYPERLINK("https://oj.uz/problem/view/COCI16_tavan","COCI 16-tavan")</f>
        <v>COCI 16-tavan</v>
      </c>
      <c r="B1236" s="20" t="s">
        <v>7332</v>
      </c>
      <c r="C1236" s="24">
        <v>3</v>
      </c>
      <c r="D1236" s="65" t="str">
        <f>HYPERLINK("https://github.com/mostafa-saad/MyCompetitiveProgramming/blob/master/Olympiad/COCI/official/2017/contest2_solutions","Editorial")</f>
        <v>Editorial</v>
      </c>
      <c r="E1236" s="31" t="s">
        <v>4531</v>
      </c>
      <c r="F1236" s="37"/>
      <c r="G1236" s="67"/>
      <c r="H1236" s="67"/>
    </row>
    <row r="1237" spans="1:8" ht="13.2">
      <c r="A1237" s="65" t="str">
        <f>HYPERLINK("https://dmoj.ca/problem/coci06c3p3","COCI 06-Trojke")</f>
        <v>COCI 06-Trojke</v>
      </c>
      <c r="B1237" s="15" t="s">
        <v>4530</v>
      </c>
      <c r="C1237" s="24">
        <v>2</v>
      </c>
      <c r="D1237" s="65" t="str">
        <f>HYPERLINK("https://github.com/mostafa-saad/MyCompetitiveProgramming/tree/master/Olympiad/COCI/official/2007/contest3_solutions","Editorial")</f>
        <v>Editorial</v>
      </c>
      <c r="E1237" s="31" t="s">
        <v>4531</v>
      </c>
      <c r="F1237" s="37"/>
      <c r="G1237" s="67"/>
      <c r="H1237" s="67"/>
    </row>
    <row r="1238" spans="1:8" ht="13.2">
      <c r="A1238" s="65" t="str">
        <f>HYPERLINK("https://dmoj.ca/problem/nccc6s1","CCCMock 19-PusheensReportCard")</f>
        <v>CCCMock 19-PusheensReportCard</v>
      </c>
      <c r="B1238" s="20" t="s">
        <v>4530</v>
      </c>
      <c r="C1238" s="24">
        <v>2</v>
      </c>
      <c r="D1238" s="69"/>
      <c r="E1238" s="31" t="s">
        <v>4531</v>
      </c>
      <c r="F1238" s="37"/>
      <c r="G1238" s="67"/>
      <c r="H1238" s="67"/>
    </row>
    <row r="1239" spans="1:8" ht="13.2">
      <c r="A1239" s="65" t="str">
        <f>HYPERLINK("https://oj.uz/problem/view/COCI17_turnir","COCI 17-turnir")</f>
        <v>COCI 17-turnir</v>
      </c>
      <c r="B1239" s="20" t="s">
        <v>4653</v>
      </c>
      <c r="C1239" s="24">
        <v>2</v>
      </c>
      <c r="D1239" s="65" t="str">
        <f>HYPERLINK("https://github.com/mostafa-saad/MyCompetitiveProgramming/blob/master/Olympiad/COCI/official/2017/contest6_solutions","Editorial")</f>
        <v>Editorial</v>
      </c>
      <c r="E1239" s="31" t="s">
        <v>4531</v>
      </c>
      <c r="F1239" s="37"/>
      <c r="G1239" s="67"/>
      <c r="H1239" s="67"/>
    </row>
    <row r="1240" spans="1:8" ht="13.2">
      <c r="A1240" s="65" t="str">
        <f>HYPERLINK("https://dunjudge.me/analysis/problems/1495/","NOI 06-euclid")</f>
        <v>NOI 06-euclid</v>
      </c>
      <c r="B1240" s="37" t="s">
        <v>4564</v>
      </c>
      <c r="C1240" s="24"/>
      <c r="D1240" s="69"/>
      <c r="E1240" s="31" t="s">
        <v>4531</v>
      </c>
      <c r="F1240" s="37"/>
      <c r="G1240" s="67"/>
      <c r="H1240" s="67"/>
    </row>
    <row r="1241" spans="1:8" ht="13.2">
      <c r="A1241" s="65" t="str">
        <f>HYPERLINK("https://dunjudge.me/analysis/problems/88/","NOISelection 11-factortiles")</f>
        <v>NOISelection 11-factortiles</v>
      </c>
      <c r="B1241" s="37" t="s">
        <v>4564</v>
      </c>
      <c r="C1241" s="24"/>
      <c r="D1241" s="69"/>
      <c r="E1241" s="31" t="s">
        <v>4531</v>
      </c>
      <c r="F1241" s="37"/>
      <c r="G1241" s="67"/>
      <c r="H1241" s="67"/>
    </row>
    <row r="1242" spans="1:8" ht="13.2">
      <c r="A1242" s="65" t="str">
        <f>HYPERLINK("https://dunjudge.me/analysis/problems/680/","NOISelection 15-access_code")</f>
        <v>NOISelection 15-access_code</v>
      </c>
      <c r="B1242" s="37" t="s">
        <v>4530</v>
      </c>
      <c r="C1242" s="24"/>
      <c r="D1242" s="69"/>
      <c r="E1242" s="31" t="s">
        <v>4531</v>
      </c>
      <c r="F1242" s="37"/>
      <c r="G1242" s="67"/>
      <c r="H1242" s="67"/>
    </row>
    <row r="1243" spans="1:8" ht="13.2">
      <c r="A1243" s="65" t="str">
        <f>HYPERLINK("https://dunjudge.me/analysis/problems/953/","NOISelection 16-bananaflood")</f>
        <v>NOISelection 16-bananaflood</v>
      </c>
      <c r="B1243" s="37" t="s">
        <v>4530</v>
      </c>
      <c r="C1243" s="24"/>
      <c r="D1243" s="69"/>
      <c r="E1243" s="31" t="s">
        <v>4531</v>
      </c>
      <c r="F1243" s="37"/>
      <c r="G1243" s="67"/>
      <c r="H1243" s="67"/>
    </row>
    <row r="1244" spans="1:8" ht="13.2">
      <c r="A1244" s="65" t="str">
        <f>HYPERLINK("https://dunjudge.me/analysis/problems/933/","NOISelection 16-catnames")</f>
        <v>NOISelection 16-catnames</v>
      </c>
      <c r="B1244" s="37" t="s">
        <v>4530</v>
      </c>
      <c r="C1244" s="24"/>
      <c r="D1244" s="69"/>
      <c r="E1244" s="31" t="s">
        <v>4531</v>
      </c>
      <c r="F1244" s="37"/>
      <c r="G1244" s="67"/>
      <c r="H1244" s="67"/>
    </row>
    <row r="1245" spans="1:8" ht="13.2">
      <c r="A1245" s="65" t="str">
        <f>HYPERLINK("https://dunjudge.me/analysis/problems/1477/","NOISelection 18-spiraldance")</f>
        <v>NOISelection 18-spiraldance</v>
      </c>
      <c r="B1245" s="37" t="s">
        <v>4530</v>
      </c>
      <c r="C1245" s="24"/>
      <c r="D1245" s="69"/>
      <c r="E1245" s="31" t="s">
        <v>4531</v>
      </c>
      <c r="F1245" s="37"/>
      <c r="G1245" s="67"/>
      <c r="H1245" s="67"/>
    </row>
    <row r="1246" spans="1:8" ht="13.2">
      <c r="A1246" s="65" t="str">
        <f>HYPERLINK("https://szkopul.edu.pl/problemset/problem/CP4mQc-h-Vkg--I1g49xovQj/site/", "POI 09-Words")</f>
        <v>POI 09-Words</v>
      </c>
      <c r="B1246" s="37" t="s">
        <v>4776</v>
      </c>
      <c r="C1246" s="24">
        <v>7.5</v>
      </c>
      <c r="D1246" s="65" t="str">
        <f>HYPERLINK("https://github.com/mostafa-saad/MyCompetitiveProgramming/blob/master/Olympiad/POI/POI-09-Words.txt","Sol")</f>
        <v>Sol</v>
      </c>
      <c r="E1246" s="31" t="s">
        <v>4767</v>
      </c>
      <c r="F1246" s="37" t="s">
        <v>139</v>
      </c>
      <c r="G1246" s="67"/>
      <c r="H1246" s="67"/>
    </row>
    <row r="1247" spans="1:8" ht="13.2">
      <c r="A1247" s="65" t="str">
        <f>HYPERLINK("https://oj.uz/problem/view/NOI14_cats","NOI 14-cats")</f>
        <v>NOI 14-cats</v>
      </c>
      <c r="B1247" s="37" t="s">
        <v>7333</v>
      </c>
      <c r="C1247" s="24">
        <v>6.4</v>
      </c>
      <c r="D1247" s="65" t="str">
        <f>HYPERLINK("https://github.com/mostafa-saad/MyCompetitiveProgramming/blob/master/Olympiad/NOI/NOI-14-cats.txt","Sol")</f>
        <v>Sol</v>
      </c>
      <c r="E1247" s="31" t="s">
        <v>4778</v>
      </c>
      <c r="F1247" s="37" t="s">
        <v>154</v>
      </c>
      <c r="G1247" s="67"/>
      <c r="H1247" s="67"/>
    </row>
    <row r="1248" spans="1:8" ht="13.2">
      <c r="A1248" s="65" t="str">
        <f>HYPERLINK("https://contest.yandex.ru/roiarchive/contest/2170/problems/8","RusOI-reg 16-sequence")</f>
        <v>RusOI-reg 16-sequence</v>
      </c>
      <c r="B1248" s="23" t="s">
        <v>7334</v>
      </c>
      <c r="C1248" s="24">
        <v>6.25</v>
      </c>
      <c r="D1248" s="69"/>
      <c r="E1248" s="31" t="s">
        <v>4778</v>
      </c>
      <c r="F1248" s="37"/>
      <c r="G1248" s="67"/>
      <c r="H1248" s="67"/>
    </row>
    <row r="1249" spans="1:8" ht="13.2">
      <c r="A1249" s="65" t="str">
        <f>HYPERLINK("https://dmoj.ca/problem/coci07c6p3","COCI 07-Granica")</f>
        <v>COCI 07-Granica</v>
      </c>
      <c r="B1249" s="15" t="s">
        <v>7335</v>
      </c>
      <c r="C1249" s="24">
        <v>5.5</v>
      </c>
      <c r="D1249" s="65" t="str">
        <f>HYPERLINK("https://github.com/mostafa-saad/MyCompetitiveProgramming/blob/master/Olympiad/COCI/COCI-07-Granica.txt","Sol")</f>
        <v>Sol</v>
      </c>
      <c r="E1249" s="31" t="s">
        <v>4809</v>
      </c>
      <c r="F1249" s="37" t="s">
        <v>139</v>
      </c>
      <c r="G1249" s="67"/>
      <c r="H1249" s="67"/>
    </row>
    <row r="1250" spans="1:8" ht="13.2">
      <c r="A1250" s="65" t="str">
        <f>HYPERLINK("https://wcipeg.com/problem/coci091p5","COCI 09-Genijalac")</f>
        <v>COCI 09-Genijalac</v>
      </c>
      <c r="B1250" s="15" t="s">
        <v>7336</v>
      </c>
      <c r="C1250" s="24">
        <v>4</v>
      </c>
      <c r="D1250" s="65" t="str">
        <f>HYPERLINK("https://github.com/mostafa-saad/MyCompetitiveProgramming/blob/master/Olympiad/COCI/official/2010/contest1_solutions","Editorial")</f>
        <v>Editorial</v>
      </c>
      <c r="E1250" s="31" t="s">
        <v>4809</v>
      </c>
      <c r="F1250" s="37"/>
      <c r="G1250" s="67"/>
      <c r="H1250" s="67"/>
    </row>
    <row r="1251" spans="1:8" ht="13.2">
      <c r="A1251" s="65" t="str">
        <f>HYPERLINK("https://szkopul.edu.pl/problemset/problem/oTpPdueVv1-3g247_-ejjcR_/site/", "POI 05-Knights")</f>
        <v>POI 05-Knights</v>
      </c>
      <c r="B1251" s="37" t="s">
        <v>7337</v>
      </c>
      <c r="C1251" s="24">
        <v>4</v>
      </c>
      <c r="D1251" s="65" t="str">
        <f>HYPERLINK("https://github.com/mostafa-saad/MyCompetitiveProgramming/blob/master/Olympiad/POI/official/find_editorial_sols_guidelines.txt","Editorial")</f>
        <v>Editorial</v>
      </c>
      <c r="E1251" s="31" t="s">
        <v>4809</v>
      </c>
      <c r="F1251" s="37"/>
      <c r="G1251" s="67"/>
      <c r="H1251" s="67"/>
    </row>
    <row r="1252" spans="1:8" ht="13.2">
      <c r="A1252" s="65" t="str">
        <f>HYPERLINK("https://cses.fi/106/list/","Baltic 10-Mines")</f>
        <v>Baltic 10-Mines</v>
      </c>
      <c r="B1252" s="37" t="s">
        <v>7338</v>
      </c>
      <c r="C1252" s="24">
        <v>7.5</v>
      </c>
      <c r="D1252" s="65" t="str">
        <f>HYPERLINK("https://github.com/mostafa-saad/MyCompetitiveProgramming/blob/master/Olympiad/Baltic/official/boi2010_solutions","Editorial")</f>
        <v>Editorial</v>
      </c>
      <c r="E1252" s="31" t="s">
        <v>4867</v>
      </c>
      <c r="F1252" s="37"/>
      <c r="G1252" s="67"/>
      <c r="H1252" s="67"/>
    </row>
    <row r="1253" spans="1:8" ht="13.2">
      <c r="A1253" s="65" t="str">
        <f>HYPERLINK("https://oj.uz/problem/view/JOI16_joiris","JOIOC 16-joiris")</f>
        <v>JOIOC 16-joiris</v>
      </c>
      <c r="B1253" s="23" t="s">
        <v>7339</v>
      </c>
      <c r="C1253" s="24">
        <v>7.1</v>
      </c>
      <c r="D1253" s="65" t="str">
        <f>HYPERLINK("https://github.com/mostafa-saad/MyCompetitiveProgramming/blob/master/Olympiad/JOI/JOIOC-16-joiris.txt","Sol")</f>
        <v>Sol</v>
      </c>
      <c r="E1253" s="31" t="s">
        <v>4867</v>
      </c>
      <c r="F1253" s="37" t="s">
        <v>154</v>
      </c>
      <c r="G1253" s="67"/>
      <c r="H1253" s="67"/>
    </row>
    <row r="1254" spans="1:8" ht="13.2">
      <c r="A1254" s="65" t="str">
        <f>HYPERLINK("https://oj.uz/problem/view/COCI17_uzastopni","COCI 17-uzastopni")</f>
        <v>COCI 17-uzastopni</v>
      </c>
      <c r="B1254" s="20" t="s">
        <v>7340</v>
      </c>
      <c r="C1254" s="24">
        <v>4</v>
      </c>
      <c r="D1254" s="65" t="str">
        <f>HYPERLINK("https://github.com/AhmedElsisy/CompetitiveProgramming/blob/master/Olympiad/COCI/COCI%2017-uzastopni.cpp","sol")</f>
        <v>sol</v>
      </c>
      <c r="E1254" s="31" t="s">
        <v>4893</v>
      </c>
      <c r="F1254" s="37" t="s">
        <v>139</v>
      </c>
      <c r="G1254" s="67"/>
      <c r="H1254" s="67"/>
    </row>
    <row r="1255" spans="1:8" ht="13.2">
      <c r="A1255" s="65" t="str">
        <f>HYPERLINK("https://cses.fi/187/list/","CEOI 07-Nasty")</f>
        <v>CEOI 07-Nasty</v>
      </c>
      <c r="B1255" s="28" t="s">
        <v>4937</v>
      </c>
      <c r="C1255" s="24">
        <v>6</v>
      </c>
      <c r="D1255" s="69"/>
      <c r="E1255" s="31" t="s">
        <v>4932</v>
      </c>
      <c r="F1255" s="37"/>
      <c r="G1255" s="67"/>
      <c r="H1255" s="67"/>
    </row>
    <row r="1256" spans="1:8" ht="13.2">
      <c r="A1256" s="65" t="str">
        <f>HYPERLINK("http://usaco.org/index.php?page=viewproblem2&amp;cpid=818", "USACO 18feb-gymnasts-plat")</f>
        <v>USACO 18feb-gymnasts-plat</v>
      </c>
      <c r="B1256" s="20" t="s">
        <v>4960</v>
      </c>
      <c r="C1256" s="21">
        <v>7.25</v>
      </c>
      <c r="D1256" s="69"/>
      <c r="E1256" s="31" t="s">
        <v>4958</v>
      </c>
      <c r="F1256" s="37" t="s">
        <v>139</v>
      </c>
      <c r="G1256" s="67"/>
      <c r="H1256" s="67"/>
    </row>
    <row r="1257" spans="1:8" ht="13.2">
      <c r="A1257" s="65" t="str">
        <f>HYPERLINK("http://usaco.org/index.php?page=viewproblem2&amp;cpid=794", "USACO 18jan-sprinklers-plat")</f>
        <v>USACO 18jan-sprinklers-plat</v>
      </c>
      <c r="B1257" s="20" t="s">
        <v>7341</v>
      </c>
      <c r="C1257" s="21">
        <v>6.5</v>
      </c>
      <c r="D1257" s="65" t="str">
        <f>HYPERLINK("https://github.com/stefdasca/CompetitiveProgramming/blob/master/USACO/USACO%2018jan-sprinklers-plat.cpp","Sol")</f>
        <v>Sol</v>
      </c>
      <c r="E1257" s="31" t="s">
        <v>4958</v>
      </c>
      <c r="F1257" s="37" t="s">
        <v>139</v>
      </c>
      <c r="G1257" s="67"/>
      <c r="H1257" s="67"/>
    </row>
    <row r="1258" spans="1:8" ht="16.5" customHeight="1">
      <c r="A1258" s="65" t="str">
        <f>HYPERLINK("https://www.infoarena.ro/problema/cifru","infoarena cifru")</f>
        <v>infoarena cifru</v>
      </c>
      <c r="B1258" s="20" t="s">
        <v>4964</v>
      </c>
      <c r="C1258" s="21">
        <v>5.5</v>
      </c>
      <c r="D1258" s="65" t="str">
        <f>HYPERLINK("https://github.com/stefdasca/CompetitiveProgramming/blob/master/Infoarena/cifru.cpp","Sol")</f>
        <v>Sol</v>
      </c>
      <c r="E1258" s="31" t="s">
        <v>4958</v>
      </c>
      <c r="F1258" s="37" t="s">
        <v>201</v>
      </c>
      <c r="G1258" s="67"/>
      <c r="H1258" s="67"/>
    </row>
    <row r="1259" spans="1:8" ht="13.2">
      <c r="A1259" s="65" t="str">
        <f>HYPERLINK("https://cses.fi/231/task/D","Datatähti Open19-D")</f>
        <v>Datatähti Open19-D</v>
      </c>
      <c r="B1259" s="20" t="s">
        <v>7342</v>
      </c>
      <c r="C1259" s="24">
        <v>5.25</v>
      </c>
      <c r="D1259" s="69"/>
      <c r="E1259" s="31" t="s">
        <v>4958</v>
      </c>
      <c r="F1259" s="37" t="s">
        <v>139</v>
      </c>
      <c r="G1259" s="67"/>
      <c r="H1259" s="67"/>
    </row>
    <row r="1260" spans="1:8" ht="13.2">
      <c r="A1260" s="65" t="str">
        <f>HYPERLINK("https://www.infoarena.ro/problema/color","infoarena color")</f>
        <v>infoarena color</v>
      </c>
      <c r="B1260" s="20" t="s">
        <v>4964</v>
      </c>
      <c r="C1260" s="21">
        <v>4.5</v>
      </c>
      <c r="D1260" s="65" t="str">
        <f>HYPERLINK("https://github.com/stefdasca/CompetitiveProgramming/blob/master/Infoarena/color.cpp","Sol")</f>
        <v>Sol</v>
      </c>
      <c r="E1260" s="31" t="s">
        <v>4958</v>
      </c>
      <c r="F1260" s="37"/>
      <c r="G1260" s="67"/>
      <c r="H1260" s="67"/>
    </row>
    <row r="1261" spans="1:8" ht="13.2">
      <c r="A1261" s="65" t="str">
        <f>HYPERLINK("https://wcipeg.com/problem/coci091p3","COCI 09-Dobra")</f>
        <v>COCI 09-Dobra</v>
      </c>
      <c r="B1261" s="15" t="s">
        <v>7343</v>
      </c>
      <c r="C1261" s="24">
        <v>4</v>
      </c>
      <c r="D1261" s="65" t="str">
        <f>HYPERLINK("https://github.com/mostafa-saad/MyCompetitiveProgramming/blob/master/Olympiad/COCI/official/2010/contest1_solutions","Editorial")</f>
        <v>Editorial</v>
      </c>
      <c r="E1261" s="31" t="s">
        <v>4958</v>
      </c>
      <c r="F1261" s="37" t="s">
        <v>201</v>
      </c>
      <c r="G1261" s="67"/>
      <c r="H1261" s="67"/>
    </row>
    <row r="1262" spans="1:8" ht="13.2">
      <c r="A1262" s="65" t="str">
        <f>HYPERLINK("https://www.infoarena.ro/problema/permsort2","infoarena permsort2")</f>
        <v>infoarena permsort2</v>
      </c>
      <c r="B1262" s="37" t="s">
        <v>7344</v>
      </c>
      <c r="C1262" s="21">
        <v>6.25</v>
      </c>
      <c r="D1262" s="65" t="str">
        <f>HYPERLINK("https://github.com/mostafa-saad/MyCompetitiveProgramming/blob/master/Olympiad/infoarena/infoarena_permsort2.txt","Sol")</f>
        <v>Sol</v>
      </c>
      <c r="E1262" s="31" t="s">
        <v>5043</v>
      </c>
      <c r="F1262" s="37" t="s">
        <v>139</v>
      </c>
      <c r="G1262" s="67"/>
      <c r="H1262" s="67"/>
    </row>
    <row r="1263" spans="1:8" ht="13.2">
      <c r="A1263" s="65" t="str">
        <f>HYPERLINK("https://dunjudge.me/analysis/problems/975/","MCOCAMP 16-flippermutation")</f>
        <v>MCOCAMP 16-flippermutation</v>
      </c>
      <c r="B1263" s="37" t="s">
        <v>7345</v>
      </c>
      <c r="C1263" s="24">
        <v>8</v>
      </c>
      <c r="D1263" s="65" t="str">
        <f>HYPERLINK("https://github.com/fyquah95/ioi-malaysia-2016-training-camp","Sol (no editorial)")</f>
        <v>Sol (no editorial)</v>
      </c>
      <c r="E1263" s="31" t="s">
        <v>5075</v>
      </c>
      <c r="F1263" s="37"/>
      <c r="G1263" s="67"/>
      <c r="H1263" s="67"/>
    </row>
    <row r="1264" spans="1:8" ht="13.2">
      <c r="A1264" s="65" t="str">
        <f>HYPERLINK("https://oj.uz/problem/view/POI11_sej","POI 11-sej")</f>
        <v>POI 11-sej</v>
      </c>
      <c r="B1264" s="20" t="s">
        <v>7346</v>
      </c>
      <c r="C1264" s="17">
        <v>6.75</v>
      </c>
      <c r="D1264" s="65" t="str">
        <f>HYPERLINK("https://github.com/mostafa-saad/MyCompetitiveProgramming/blob/master/Olympiad/POI/POI-11-sej.txt","Sol")</f>
        <v>Sol</v>
      </c>
      <c r="E1264" s="31" t="s">
        <v>5075</v>
      </c>
      <c r="F1264" s="37" t="s">
        <v>139</v>
      </c>
      <c r="G1264" s="67"/>
      <c r="H1264" s="67"/>
    </row>
    <row r="1265" spans="1:8" ht="13.2">
      <c r="A1265" s="65" t="str">
        <f>HYPERLINK("https://www.infoarena.ro/problema/countfefete","infoarena countfefete")</f>
        <v>infoarena countfefete</v>
      </c>
      <c r="B1265" s="20" t="s">
        <v>7347</v>
      </c>
      <c r="C1265" s="17">
        <v>7</v>
      </c>
      <c r="D1265" s="65" t="str">
        <f>HYPERLINK("https://github.com/mostafa-saad/MyCompetitiveProgramming/blob/master/Olympiad/infoarena/infoarena_countfefete.txt","Sol")</f>
        <v>Sol</v>
      </c>
      <c r="E1265" s="31" t="s">
        <v>5134</v>
      </c>
      <c r="F1265" s="37" t="s">
        <v>139</v>
      </c>
      <c r="G1265" s="67"/>
      <c r="H1265" s="67"/>
    </row>
    <row r="1266" spans="1:8" ht="13.2">
      <c r="A1266" s="65" t="str">
        <f>HYPERLINK("https://dmoj.ca/problem/coci08c4p5","COCI 08-Trezor")</f>
        <v>COCI 08-Trezor</v>
      </c>
      <c r="B1266" s="15" t="s">
        <v>7348</v>
      </c>
      <c r="C1266" s="24">
        <v>6.3</v>
      </c>
      <c r="D1266" s="65" t="str">
        <f>HYPERLINK("https://github.com/mostafa-saad/MyCompetitiveProgramming/blob/master/Olympiad/COCI/COCI-08-Trezor.txt","Sol")</f>
        <v>Sol</v>
      </c>
      <c r="E1266" s="31" t="s">
        <v>5134</v>
      </c>
      <c r="F1266" s="37" t="s">
        <v>139</v>
      </c>
      <c r="G1266" s="67"/>
      <c r="H1266" s="67"/>
    </row>
    <row r="1267" spans="1:8" ht="13.2">
      <c r="A1267" s="65" t="str">
        <f>HYPERLINK("https://www.infoarena.ro/problema/porcjoc","infoarena porcjoc")</f>
        <v>infoarena porcjoc</v>
      </c>
      <c r="B1267" s="20" t="s">
        <v>7349</v>
      </c>
      <c r="C1267" s="21">
        <v>6</v>
      </c>
      <c r="D1267" s="65" t="str">
        <f>HYPERLINK("https://github.com/stefdasca/CompetitiveProgramming/blob/master/Infoarena/porcjoc.cpp","Sol")</f>
        <v>Sol</v>
      </c>
      <c r="E1267" s="31" t="s">
        <v>5134</v>
      </c>
      <c r="F1267" s="37"/>
      <c r="G1267" s="67"/>
      <c r="H1267" s="67"/>
    </row>
    <row r="1268" spans="1:8" ht="13.2">
      <c r="A1268" s="65" t="str">
        <f>HYPERLINK("http://usaco.org/index.php?page=viewproblem2&amp;cpid=862","USACO 18dec-cowpatibility")</f>
        <v>USACO 18dec-cowpatibility</v>
      </c>
      <c r="B1268" s="20" t="s">
        <v>7350</v>
      </c>
      <c r="C1268" s="21">
        <v>5.5</v>
      </c>
      <c r="D1268" s="69"/>
      <c r="E1268" s="31" t="s">
        <v>5134</v>
      </c>
      <c r="F1268" s="37" t="s">
        <v>201</v>
      </c>
      <c r="G1268" s="67"/>
      <c r="H1268" s="67"/>
    </row>
    <row r="1269" spans="1:8" ht="13.2">
      <c r="A1269" s="65" t="str">
        <f>HYPERLINK("https://szkopul.edu.pl/problemset/problem/v6-xa-25AJSF4_oV5LAKvz7H/site/","CEOI 10-PIN")</f>
        <v>CEOI 10-PIN</v>
      </c>
      <c r="B1269" s="20" t="s">
        <v>7351</v>
      </c>
      <c r="C1269" s="24">
        <v>5</v>
      </c>
      <c r="D1269" s="65" t="str">
        <f>HYPERLINK("https://github.com/mostafa-saad/MyCompetitiveProgramming/blob/master/Olympiad/CEOI/CEOI%2010-pin.cpp","Sol")</f>
        <v>Sol</v>
      </c>
      <c r="E1269" s="31" t="s">
        <v>5134</v>
      </c>
      <c r="F1269" s="37"/>
      <c r="G1269" s="67"/>
      <c r="H1269" s="67"/>
    </row>
    <row r="1270" spans="1:8" ht="13.2">
      <c r="A1270" s="65" t="str">
        <f>HYPERLINK("https://wcipeg.com/problem/coci096p6","COCI 09-Gremlini")</f>
        <v>COCI 09-Gremlini</v>
      </c>
      <c r="B1270" s="15" t="s">
        <v>7352</v>
      </c>
      <c r="C1270" s="24">
        <v>7</v>
      </c>
      <c r="D1270" s="65" t="str">
        <f>HYPERLINK("https://github.com/mostafa-saad/MyCompetitiveProgramming/blob/master/Olympiad/COCI/COCI-09-Gremlini.txt","Sol")</f>
        <v>Sol</v>
      </c>
      <c r="E1270" s="31" t="s">
        <v>5246</v>
      </c>
      <c r="F1270" s="37" t="s">
        <v>139</v>
      </c>
      <c r="G1270" s="67"/>
      <c r="H1270" s="67"/>
    </row>
    <row r="1271" spans="1:8" ht="13.2">
      <c r="A1271" s="65" t="str">
        <f>HYPERLINK("https://wcipeg.com/problem/coci094p6","COCI 09-Palacinke")</f>
        <v>COCI 09-Palacinke</v>
      </c>
      <c r="B1271" s="15" t="s">
        <v>7353</v>
      </c>
      <c r="C1271" s="24">
        <v>6.7</v>
      </c>
      <c r="D1271" s="65" t="str">
        <f>HYPERLINK("https://github.com/mostafa-saad/MyCompetitiveProgramming/blob/master/Olympiad/COCI/COCI-09-Palacinke.txt","Sol")</f>
        <v>Sol</v>
      </c>
      <c r="E1271" s="31" t="s">
        <v>5246</v>
      </c>
      <c r="F1271" s="37" t="s">
        <v>154</v>
      </c>
      <c r="G1271" s="67"/>
      <c r="H1271" s="67"/>
    </row>
    <row r="1272" spans="1:8" ht="13.2">
      <c r="A1272" s="65" t="str">
        <f>HYPERLINK("https://szkopul.edu.pl/problemset/problem/zKf5Ua8okcS0jngsrTgKVM9L/site/", "POI 15-Trips")</f>
        <v>POI 15-Trips</v>
      </c>
      <c r="B1272" s="37" t="s">
        <v>7354</v>
      </c>
      <c r="C1272" s="24"/>
      <c r="D1272" s="65" t="str">
        <f>HYPERLINK("https://github.com/mostafa-saad/MyCompetitiveProgramming/blob/master/Olympiad/POI/POI-15-Trips.txt","Sol")</f>
        <v>Sol</v>
      </c>
      <c r="E1272" s="31" t="s">
        <v>5246</v>
      </c>
      <c r="F1272" s="37" t="s">
        <v>139</v>
      </c>
      <c r="G1272" s="67"/>
      <c r="H1272" s="67"/>
    </row>
    <row r="1273" spans="1:8" ht="13.2">
      <c r="A1273" s="65" t="str">
        <f>HYPERLINK("https://www.acmicpc.net/problem/7053","CEOI 03-Register")</f>
        <v>CEOI 03-Register</v>
      </c>
      <c r="B1273" s="37" t="s">
        <v>5326</v>
      </c>
      <c r="C1273" s="24">
        <v>5</v>
      </c>
      <c r="D1273" s="65" t="str">
        <f>HYPERLINK("https://github.com/mostafa-saad/MyCompetitiveProgramming/tree/master/Olympiad/CEOI/official/2003","Editorial")</f>
        <v>Editorial</v>
      </c>
      <c r="E1273" s="31" t="s">
        <v>5310</v>
      </c>
      <c r="F1273" s="37"/>
      <c r="G1273" s="67"/>
      <c r="H1273" s="67"/>
    </row>
    <row r="1274" spans="1:8" ht="13.2">
      <c r="A1274" s="65" t="str">
        <f>HYPERLINK("https://dunjudge.me/analysis/problems/973/","MCOCAMP 16-flipbits")</f>
        <v>MCOCAMP 16-flipbits</v>
      </c>
      <c r="B1274" s="37" t="s">
        <v>7355</v>
      </c>
      <c r="C1274" s="24">
        <v>6</v>
      </c>
      <c r="D1274" s="65" t="str">
        <f>HYPERLINK("https://github.com/fyquah95/ioi-malaysia-2016-training-camp","Sol (no editorial)")</f>
        <v>Sol (no editorial)</v>
      </c>
      <c r="E1274" s="31" t="s">
        <v>5346</v>
      </c>
      <c r="F1274" s="37"/>
      <c r="G1274" s="67"/>
      <c r="H1274" s="67"/>
    </row>
    <row r="1275" spans="1:8" ht="13.2">
      <c r="A1275" s="65" t="str">
        <f>HYPERLINK("https://infoarena.ro/problema/deletegcd","infoarena deletegcd")</f>
        <v>infoarena deletegcd</v>
      </c>
      <c r="B1275" s="37" t="s">
        <v>7356</v>
      </c>
      <c r="C1275" s="24">
        <v>6.7</v>
      </c>
      <c r="D1275" s="65" t="str">
        <f>HYPERLINK("https://github.com/mostafa-saad/MyCompetitiveProgramming/blob/master/Olympiad/infoarena/infoarena_deletegcd.txt","Sol")</f>
        <v>Sol</v>
      </c>
      <c r="E1275" s="31" t="s">
        <v>5414</v>
      </c>
      <c r="F1275" s="37" t="s">
        <v>201</v>
      </c>
      <c r="G1275" s="67"/>
      <c r="H1275" s="67"/>
    </row>
    <row r="1276" spans="1:8" ht="13.2">
      <c r="A1276" s="65" t="str">
        <f>HYPERLINK("https://wcipeg.com/problem/coi09p2","COI 09-Kolo")</f>
        <v>COI 09-Kolo</v>
      </c>
      <c r="B1276" s="37" t="s">
        <v>7357</v>
      </c>
      <c r="C1276" s="24">
        <v>6.5</v>
      </c>
      <c r="D1276" s="65" t="str">
        <f>HYPERLINK("https://github.com/mostafa-saad/MyCompetitiveProgramming/blob/master/Olympiad/COI/COI-09-Kolo.txt","Sol")</f>
        <v>Sol</v>
      </c>
      <c r="E1276" s="31" t="s">
        <v>5414</v>
      </c>
      <c r="F1276" s="37" t="s">
        <v>139</v>
      </c>
      <c r="G1276" s="67"/>
      <c r="H1276" s="67"/>
    </row>
    <row r="1277" spans="1:8" ht="13.2">
      <c r="A1277" s="65" t="str">
        <f>HYPERLINK("https://dmoj.ca/problem/phantom3","Dmoj TortureChamber")</f>
        <v>Dmoj TortureChamber</v>
      </c>
      <c r="B1277" s="37" t="s">
        <v>7358</v>
      </c>
      <c r="C1277" s="24">
        <v>5.5</v>
      </c>
      <c r="D1277" s="69"/>
      <c r="E1277" s="31" t="s">
        <v>5414</v>
      </c>
      <c r="F1277" s="37" t="s">
        <v>201</v>
      </c>
      <c r="G1277" s="67"/>
      <c r="H1277" s="67"/>
    </row>
    <row r="1278" spans="1:8" ht="13.2">
      <c r="A1278" s="65" t="str">
        <f>HYPERLINK("https://dmoj.ca/problem/bf3hard","Dmoj NextPrimeHard")</f>
        <v>Dmoj NextPrimeHard</v>
      </c>
      <c r="B1278" s="37" t="s">
        <v>7359</v>
      </c>
      <c r="C1278" s="24">
        <v>5</v>
      </c>
      <c r="D1278" s="69"/>
      <c r="E1278" s="31" t="s">
        <v>5414</v>
      </c>
      <c r="F1278" s="37"/>
      <c r="G1278" s="67"/>
      <c r="H1278" s="67"/>
    </row>
    <row r="1279" spans="1:8" ht="13.2">
      <c r="A1279" s="65" t="str">
        <f>HYPERLINK("https://szkopul.edu.pl/problemset/problem/MVjuhH4JZu17rusHweyEdyJx/site/", "POI 07-Queries")</f>
        <v>POI 07-Queries</v>
      </c>
      <c r="B1279" s="37" t="s">
        <v>7360</v>
      </c>
      <c r="C1279" s="24">
        <v>5</v>
      </c>
      <c r="D1279" s="65" t="str">
        <f t="shared" ref="D1279:D1280" si="16">HYPERLINK("https://github.com/mostafa-saad/MyCompetitiveProgramming/blob/master/Olympiad/POI/official/find_editorial_sols_guidelines.txt","Editorial")</f>
        <v>Editorial</v>
      </c>
      <c r="E1279" s="31" t="s">
        <v>5414</v>
      </c>
      <c r="F1279" s="37"/>
      <c r="G1279" s="67"/>
      <c r="H1279" s="67"/>
    </row>
    <row r="1280" spans="1:8" ht="13.2">
      <c r="A1280" s="65" t="str">
        <f>HYPERLINK("https://szkopul.edu.pl/problemset/problem/hOwg83Xw_OnTpfQ9SroS0OJA/site/", "POI 10-Divisor")</f>
        <v>POI 10-Divisor</v>
      </c>
      <c r="B1280" s="37" t="s">
        <v>7361</v>
      </c>
      <c r="C1280" s="24">
        <v>5</v>
      </c>
      <c r="D1280" s="65" t="str">
        <f t="shared" si="16"/>
        <v>Editorial</v>
      </c>
      <c r="E1280" s="31" t="s">
        <v>5414</v>
      </c>
      <c r="F1280" s="37"/>
      <c r="G1280" s="67"/>
      <c r="H1280" s="67"/>
    </row>
    <row r="1281" spans="1:8" ht="13.2">
      <c r="A1281" s="69" t="s">
        <v>7362</v>
      </c>
      <c r="B1281" s="20" t="s">
        <v>7363</v>
      </c>
      <c r="C1281" s="17">
        <v>4</v>
      </c>
      <c r="D1281" s="69"/>
      <c r="E1281" s="31" t="s">
        <v>5414</v>
      </c>
      <c r="F1281" s="37"/>
      <c r="G1281" s="67"/>
      <c r="H1281" s="67"/>
    </row>
    <row r="1282" spans="1:8" ht="13.2">
      <c r="A1282" s="65" t="str">
        <f>HYPERLINK("https://oj.uz/problem/view/COCI17_savrsen","COCI 17-savrsen")</f>
        <v>COCI 17-savrsen</v>
      </c>
      <c r="B1282" s="20" t="s">
        <v>5416</v>
      </c>
      <c r="C1282" s="24">
        <v>3</v>
      </c>
      <c r="D1282" s="65" t="str">
        <f>HYPERLINK("https://github.com/mostafa-saad/MyCompetitiveProgramming/blob/master/Olympiad/COCI/official/2017/contest6_solutions","Editorial")</f>
        <v>Editorial</v>
      </c>
      <c r="E1282" s="31" t="s">
        <v>5414</v>
      </c>
      <c r="F1282" s="37"/>
      <c r="G1282" s="67"/>
      <c r="H1282" s="67"/>
    </row>
    <row r="1283" spans="1:8" ht="13.2">
      <c r="A1283" s="65" t="str">
        <f>HYPERLINK("https://szkopul.edu.pl/problemset/problem/W54iZIwStF1TYWRxa1bdVPQo/site/", "POI 12-Leveling")</f>
        <v>POI 12-Leveling</v>
      </c>
      <c r="B1283" s="37" t="s">
        <v>5500</v>
      </c>
      <c r="C1283" s="24">
        <v>7.25</v>
      </c>
      <c r="D1283" s="65" t="str">
        <f>HYPERLINK("https://github.com/mostafa-saad/MyCompetitiveProgramming/blob/master/Olympiad/POI/official/find_editorial_sols_guidelines.txt","Editorial")</f>
        <v>Editorial</v>
      </c>
      <c r="E1283" s="31" t="s">
        <v>5501</v>
      </c>
      <c r="F1283" s="37" t="s">
        <v>139</v>
      </c>
      <c r="G1283" s="67"/>
      <c r="H1283" s="67"/>
    </row>
    <row r="1284" spans="1:8" ht="13.2">
      <c r="A1284" s="65" t="str">
        <f>HYPERLINK("https://oj.uz/problem/view/COCI17_sazetak","COCI 17-sazetak")</f>
        <v>COCI 17-sazetak</v>
      </c>
      <c r="B1284" s="20" t="s">
        <v>7364</v>
      </c>
      <c r="C1284" s="24">
        <v>7</v>
      </c>
      <c r="D1284" s="69"/>
      <c r="E1284" s="31" t="s">
        <v>5524</v>
      </c>
      <c r="F1284" s="37"/>
      <c r="G1284" s="67"/>
      <c r="H1284" s="67"/>
    </row>
    <row r="1285" spans="1:8" ht="13.2">
      <c r="A1285" s="65" t="str">
        <f>HYPERLINK("https://oj.uz/problem/view/COI15_zarulje","COI 15-zarulje")</f>
        <v>COI 15-zarulje</v>
      </c>
      <c r="B1285" s="20" t="s">
        <v>7365</v>
      </c>
      <c r="C1285" s="24">
        <v>6.8</v>
      </c>
      <c r="D1285" s="65" t="str">
        <f>HYPERLINK("https://github.com/mostafa-saad/MyCompetitiveProgramming/blob/master/Olympiad/COI/COI-15-zarulje.txt","Sol")</f>
        <v>Sol</v>
      </c>
      <c r="E1285" s="31" t="s">
        <v>5524</v>
      </c>
      <c r="F1285" s="37" t="s">
        <v>154</v>
      </c>
      <c r="G1285" s="67"/>
      <c r="H1285" s="67"/>
    </row>
    <row r="1286" spans="1:8" ht="13.2">
      <c r="A1286" s="65" t="str">
        <f>HYPERLINK("https://szkopul.edu.pl/problemset/problem/etwe8b5zlM4uVn4dpxr32ua8/site/", "POI 08-Permutation")</f>
        <v>POI 08-Permutation</v>
      </c>
      <c r="B1286" s="37" t="s">
        <v>7366</v>
      </c>
      <c r="C1286" s="24">
        <v>6.5</v>
      </c>
      <c r="D1286" s="65" t="str">
        <f>HYPERLINK("https://github.com/mostafa-saad/MyCompetitiveProgramming/blob/master/Olympiad/POI/POI-08-Permutation.txt","Sol")</f>
        <v>Sol</v>
      </c>
      <c r="E1286" s="31" t="s">
        <v>5524</v>
      </c>
      <c r="F1286" s="37" t="s">
        <v>139</v>
      </c>
      <c r="G1286" s="67"/>
      <c r="H1286" s="67"/>
    </row>
    <row r="1287" spans="1:8" ht="13.2">
      <c r="A1287" s="65" t="str">
        <f>HYPERLINK("https://codeforces.com/group/R2SERIff4f/contest/213171","MCO 17-ScientificResearch")</f>
        <v>MCO 17-ScientificResearch</v>
      </c>
      <c r="B1287" s="37" t="s">
        <v>7367</v>
      </c>
      <c r="C1287" s="24">
        <v>6</v>
      </c>
      <c r="D1287" s="65" t="str">
        <f>HYPERLINK("https://github.com/mostafa-saad/MyCompetitiveProgramming/tree/master/Olympiad/MCO/official","Editorial")</f>
        <v>Editorial</v>
      </c>
      <c r="E1287" s="31" t="s">
        <v>5524</v>
      </c>
      <c r="F1287" s="37"/>
      <c r="G1287" s="67"/>
      <c r="H1287" s="67"/>
    </row>
    <row r="1288" spans="1:8" ht="13.2">
      <c r="A1288" s="65" t="str">
        <f>HYPERLINK("https://oj.uz/problems/source/213","JOIOC 16-selling_rna")</f>
        <v>JOIOC 16-selling_rna</v>
      </c>
      <c r="B1288" s="15" t="s">
        <v>7368</v>
      </c>
      <c r="C1288" s="17">
        <v>7</v>
      </c>
      <c r="D1288" s="65" t="str">
        <f>HYPERLINK("https://github.com/mostafa-saad/MyCompetitiveProgramming/blob/master/Olympiad/JOI/JOIOC-16-selling_rna.txt","Sol")</f>
        <v>Sol</v>
      </c>
      <c r="E1288" s="31" t="s">
        <v>5643</v>
      </c>
      <c r="F1288" s="37" t="s">
        <v>139</v>
      </c>
      <c r="G1288" s="67"/>
      <c r="H1288" s="67"/>
    </row>
    <row r="1289" spans="1:8" ht="13.2">
      <c r="A1289" s="65" t="str">
        <f>HYPERLINK("https://oj.uz/problem/view/IZhO12_xor","IZhO 12-xor")</f>
        <v>IZhO 12-xor</v>
      </c>
      <c r="B1289" s="20" t="s">
        <v>7369</v>
      </c>
      <c r="C1289" s="24">
        <v>7</v>
      </c>
      <c r="D1289" s="69"/>
      <c r="E1289" s="31" t="s">
        <v>5643</v>
      </c>
      <c r="F1289" s="37"/>
      <c r="G1289" s="67"/>
      <c r="H1289" s="67"/>
    </row>
    <row r="1290" spans="1:8" ht="13.2">
      <c r="A1290" s="65" t="str">
        <f>HYPERLINK("https://dmoj.ca/problem/coci07c5p6","COCI 07-Baza")</f>
        <v>COCI 07-Baza</v>
      </c>
      <c r="B1290" s="15" t="s">
        <v>7370</v>
      </c>
      <c r="C1290" s="24">
        <v>6.5</v>
      </c>
      <c r="D1290" s="65" t="str">
        <f>HYPERLINK("https://github.com/mostafa-saad/MyCompetitiveProgramming/blob/master/Olympiad/COCI/COCI-07-Baza.txt","Sol")</f>
        <v>Sol</v>
      </c>
      <c r="E1290" s="31" t="s">
        <v>5643</v>
      </c>
      <c r="F1290" s="37" t="s">
        <v>242</v>
      </c>
      <c r="G1290" s="67"/>
      <c r="H1290" s="67"/>
    </row>
    <row r="1291" spans="1:8" ht="13.2">
      <c r="A1291" s="69" t="s">
        <v>7371</v>
      </c>
      <c r="B1291" s="20" t="s">
        <v>7372</v>
      </c>
      <c r="C1291" s="17">
        <v>6.5</v>
      </c>
      <c r="D1291" s="69"/>
      <c r="E1291" s="31" t="s">
        <v>5643</v>
      </c>
      <c r="F1291" s="37"/>
      <c r="G1291" s="67"/>
      <c r="H1291" s="67"/>
    </row>
    <row r="1292" spans="1:8" ht="13.2">
      <c r="A1292" s="65" t="str">
        <f>HYPERLINK("https://oj.uz/problem/view/COCI17_rima","COCI 17-rima")</f>
        <v>COCI 17-rima</v>
      </c>
      <c r="B1292" s="20" t="s">
        <v>5654</v>
      </c>
      <c r="C1292" s="24">
        <v>6.25</v>
      </c>
      <c r="D1292" s="65" t="str">
        <f>HYPERLINK("https://github.com/mostafa-saad/MyCompetitiveProgramming/blob/master/Olympiad/COCI/official/2017/contest4_solutions","Editorial")</f>
        <v>Editorial</v>
      </c>
      <c r="E1292" s="31" t="s">
        <v>5643</v>
      </c>
      <c r="F1292" s="37" t="s">
        <v>139</v>
      </c>
      <c r="G1292" s="67"/>
      <c r="H1292" s="67"/>
    </row>
    <row r="1293" spans="1:8" ht="13.2">
      <c r="A1293" s="65" t="str">
        <f>HYPERLINK("https://oj.uz/problem/view/IOI12_scrivener","IOI 12-scrivener")</f>
        <v>IOI 12-scrivener</v>
      </c>
      <c r="B1293" s="18" t="s">
        <v>7373</v>
      </c>
      <c r="C1293" s="17">
        <v>6</v>
      </c>
      <c r="D1293" s="65" t="str">
        <f>HYPERLINK("https://github.com/mostafa-saad/MyCompetitiveProgramming/blob/master/Olympiad/IOI/IOI-12-scrivener.txt","Sol")</f>
        <v>Sol</v>
      </c>
      <c r="E1293" s="31" t="s">
        <v>5643</v>
      </c>
      <c r="F1293" s="37"/>
      <c r="G1293" s="67"/>
      <c r="H1293" s="67"/>
    </row>
    <row r="1294" spans="1:8" ht="13.2">
      <c r="A1294" s="65" t="str">
        <f>HYPERLINK("https://contest.yandex.com/roiarchive/contest/2012/problems/D","RusOI-reg 15-search")</f>
        <v>RusOI-reg 15-search</v>
      </c>
      <c r="B1294" s="37" t="s">
        <v>7374</v>
      </c>
      <c r="C1294" s="21">
        <v>5.75</v>
      </c>
      <c r="D1294" s="69"/>
      <c r="E1294" s="31" t="s">
        <v>5643</v>
      </c>
      <c r="F1294" s="37"/>
      <c r="G1294" s="67"/>
      <c r="H1294" s="67"/>
    </row>
    <row r="1295" spans="1:8" ht="13.2">
      <c r="A1295" s="65" t="str">
        <f>HYPERLINK("https://oj.uz/problem/view/IOI08_printer","IOI 08-printer")</f>
        <v>IOI 08-printer</v>
      </c>
      <c r="B1295" s="18" t="s">
        <v>7375</v>
      </c>
      <c r="C1295" s="17">
        <v>5.5</v>
      </c>
      <c r="D1295" s="65" t="str">
        <f>HYPERLINK("https://github.com/updown2/OI-Practice/blob/master/IOI/IOI%202008/Type%20Printer.cpp","Sol")</f>
        <v>Sol</v>
      </c>
      <c r="E1295" s="31" t="s">
        <v>5643</v>
      </c>
      <c r="F1295" s="37" t="s">
        <v>201</v>
      </c>
      <c r="G1295" s="67"/>
      <c r="H1295" s="67"/>
    </row>
    <row r="1296" spans="1:8" ht="13.2">
      <c r="A1296" s="65" t="str">
        <f>HYPERLINK("https://szkopul.edu.pl/problemset/problem/DkPj-ES6glaEwxppbuaxbOO6/site/", "POI 12-Prefixuffix")</f>
        <v>POI 12-Prefixuffix</v>
      </c>
      <c r="B1296" s="37" t="s">
        <v>7376</v>
      </c>
      <c r="C1296" s="24">
        <v>7.25</v>
      </c>
      <c r="D1296" s="65" t="str">
        <f>HYPERLINK("https://github.com/mostafa-saad/MyCompetitiveProgramming/blob/master/Olympiad/POI/POI-12-Prefixuffix.txt","Sol")</f>
        <v>Sol</v>
      </c>
      <c r="E1296" s="31" t="s">
        <v>5702</v>
      </c>
      <c r="F1296" s="37" t="s">
        <v>154</v>
      </c>
      <c r="G1296" s="67"/>
      <c r="H1296" s="67"/>
    </row>
    <row r="1297" spans="1:8" ht="13.2">
      <c r="A1297" s="65" t="str">
        <f>HYPERLINK("https://oj.uz/problem/view/COCI17_klavir","COCI 17-klavir")</f>
        <v>COCI 17-klavir</v>
      </c>
      <c r="B1297" s="20" t="s">
        <v>7377</v>
      </c>
      <c r="C1297" s="24">
        <v>6.75</v>
      </c>
      <c r="D1297" s="65" t="str">
        <f>HYPERLINK("https://github.com/mostafa-saad/MyCompetitiveProgramming/blob/master/Olympiad/CEOI/COCI-17-klavir.txt","Sol")</f>
        <v>Sol</v>
      </c>
      <c r="E1297" s="31" t="s">
        <v>5702</v>
      </c>
      <c r="F1297" s="37"/>
      <c r="G1297" s="67"/>
      <c r="H1297" s="67"/>
    </row>
    <row r="1298" spans="1:8" ht="13.2">
      <c r="A1298" s="65" t="str">
        <f>HYPERLINK("https://oj.uz/problem/view/POI11_okr","POI 11-okr")</f>
        <v>POI 11-okr</v>
      </c>
      <c r="B1298" s="25" t="s">
        <v>7378</v>
      </c>
      <c r="C1298" s="24">
        <v>6.75</v>
      </c>
      <c r="D1298" s="65" t="str">
        <f>HYPERLINK("https://github.com/mostafa-saad/MyCompetitiveProgramming/blob/master/Olympiad/POI/POI-11-okr.txt","Sol")</f>
        <v>Sol</v>
      </c>
      <c r="E1298" s="31" t="s">
        <v>5702</v>
      </c>
      <c r="F1298" s="37"/>
      <c r="G1298" s="67"/>
      <c r="H1298" s="67"/>
    </row>
    <row r="1299" spans="1:8" ht="13.2">
      <c r="A1299" s="65" t="str">
        <f>HYPERLINK("https://szkopul.edu.pl/problemset/problem/PT4yHRX9Mmz85ndhNPGCi_WB/site/", "POI 05-Template")</f>
        <v>POI 05-Template</v>
      </c>
      <c r="B1299" s="37" t="s">
        <v>7379</v>
      </c>
      <c r="C1299" s="24">
        <v>6.5</v>
      </c>
      <c r="D1299" s="65" t="str">
        <f>HYPERLINK("https://github.com/mostafa-saad/MyCompetitiveProgramming/blob/master/Olympiad/POI/POI-05-Template.txt","Sol")</f>
        <v>Sol</v>
      </c>
      <c r="E1299" s="31" t="s">
        <v>5702</v>
      </c>
      <c r="F1299" s="37" t="s">
        <v>154</v>
      </c>
      <c r="G1299" s="67"/>
      <c r="H1299" s="67"/>
    </row>
    <row r="1300" spans="1:8" ht="13.2">
      <c r="A1300" s="65" t="str">
        <f>HYPERLINK("https://codeforces.com/group/R2SERIff4f/contest/213171","MCO 17-NewbieHacker")</f>
        <v>MCO 17-NewbieHacker</v>
      </c>
      <c r="B1300" s="37" t="s">
        <v>7380</v>
      </c>
      <c r="C1300" s="24">
        <v>6</v>
      </c>
      <c r="D1300" s="65" t="str">
        <f>HYPERLINK("https://github.com/mostafa-saad/MyCompetitiveProgramming/blob/master/Olympiad/MCO/MCO-17-NewbieHacker.txt","Sol")</f>
        <v>Sol</v>
      </c>
      <c r="E1300" s="31" t="s">
        <v>5702</v>
      </c>
      <c r="F1300" s="37" t="s">
        <v>139</v>
      </c>
      <c r="G1300" s="67"/>
      <c r="H1300" s="67"/>
    </row>
    <row r="1301" spans="1:8" ht="13.2">
      <c r="A1301" s="65" t="str">
        <f>HYPERLINK("https://szkopul.edu.pl/problemset/problem/in7jx1ATY7fnkmK87b9m_Nu_/site/","CEOI 11-Matching")</f>
        <v>CEOI 11-Matching</v>
      </c>
      <c r="B1301" s="20" t="s">
        <v>5714</v>
      </c>
      <c r="C1301" s="24">
        <v>6</v>
      </c>
      <c r="D1301" s="65" t="str">
        <f>HYPERLINK("https://github.com/mostafa-saad/MyCompetitiveProgramming/blob/master/Olympiad/CEOI/official/2011/","Editorial")</f>
        <v>Editorial</v>
      </c>
      <c r="E1301" s="31" t="s">
        <v>5702</v>
      </c>
      <c r="F1301" s="37"/>
      <c r="G1301" s="67"/>
      <c r="H1301" s="67"/>
    </row>
    <row r="1302" spans="1:8" ht="13.2">
      <c r="A1302" s="65" t="str">
        <f>HYPERLINK("https://dmoj.ca/problem/coci14c5p6","COCI 14-Divljak")</f>
        <v>COCI 14-Divljak</v>
      </c>
      <c r="B1302" s="37" t="s">
        <v>7381</v>
      </c>
      <c r="C1302" s="24">
        <v>7.5</v>
      </c>
      <c r="D1302" s="65" t="str">
        <f>HYPERLINK("https://github.com/mostafa-saad/MyCompetitiveProgramming/blob/master/Olympiad/COCI/official/2015/contest5_solutions","Editorial")</f>
        <v>Editorial</v>
      </c>
      <c r="E1302" s="31" t="s">
        <v>5761</v>
      </c>
      <c r="F1302" s="37" t="s">
        <v>139</v>
      </c>
      <c r="G1302" s="67"/>
      <c r="H1302" s="67"/>
    </row>
    <row r="1303" spans="1:8" ht="13.2">
      <c r="A1303" s="65" t="str">
        <f>HYPERLINK("https://dmoj.ca/problem/apio14p1", "APIO 14-Palindrome")</f>
        <v>APIO 14-Palindrome</v>
      </c>
      <c r="B1303" s="20" t="s">
        <v>7382</v>
      </c>
      <c r="C1303" s="17">
        <v>7.75</v>
      </c>
      <c r="D1303" s="65" t="str">
        <f>HYPERLINK("https://github.com/mostafa-saad/MyCompetitiveProgramming/blob/master/Olympiad/APIO/APIO-14-Palindrome.txt","Sol")</f>
        <v>Sol</v>
      </c>
      <c r="E1303" s="31" t="s">
        <v>5794</v>
      </c>
      <c r="F1303" s="37"/>
      <c r="G1303" s="67"/>
      <c r="H1303" s="67"/>
    </row>
    <row r="1304" spans="1:8" ht="13.2">
      <c r="A1304" s="65" t="str">
        <f>HYPERLINK("https://www.acmicpc.net/problem/11555","Balkan 15-Clarkson")</f>
        <v>Balkan 15-Clarkson</v>
      </c>
      <c r="B1304" s="37" t="s">
        <v>7383</v>
      </c>
      <c r="C1304" s="24">
        <v>6.5</v>
      </c>
      <c r="D1304" s="65" t="str">
        <f>HYPERLINK("https://github.com/mostafa-saad/MyCompetitiveProgramming/tree/master/Olympiad/Balkan/official/2015","Sol (no editorial)")</f>
        <v>Sol (no editorial)</v>
      </c>
      <c r="E1304" s="31" t="s">
        <v>5794</v>
      </c>
      <c r="F1304" s="37"/>
      <c r="G1304" s="67"/>
      <c r="H1304" s="67"/>
    </row>
    <row r="1305" spans="1:8" ht="13.2">
      <c r="A1305" s="65" t="str">
        <f>HYPERLINK("http://usaco.org/index.php?page=viewproblem2&amp;cpid=768", "USACO 17dec-standingout-plat")</f>
        <v>USACO 17dec-standingout-plat</v>
      </c>
      <c r="B1305" s="20" t="s">
        <v>5796</v>
      </c>
      <c r="C1305" s="21">
        <v>6.25</v>
      </c>
      <c r="D1305" s="69"/>
      <c r="E1305" s="31" t="s">
        <v>5794</v>
      </c>
      <c r="F1305" s="37" t="s">
        <v>154</v>
      </c>
      <c r="G1305" s="67"/>
      <c r="H1305" s="67"/>
    </row>
    <row r="1306" spans="1:8" ht="13.2">
      <c r="A1306" s="65" t="str">
        <f>HYPERLINK("https://csacademy.com/contest/rmi-2017-day-1/task/hangman2/","RMI 17-D1-Hangman 2")</f>
        <v>RMI 17-D1-Hangman 2</v>
      </c>
      <c r="B1306" s="20" t="s">
        <v>7384</v>
      </c>
      <c r="C1306" s="21">
        <v>6</v>
      </c>
      <c r="D1306" s="65" t="str">
        <f>HYPERLINK("https://github.com/mostafa-saad/MyCompetitiveProgramming/blob/master/Olympiad/RMI/RMI-17-D1-Hangman-2.txt","Sol")</f>
        <v>Sol</v>
      </c>
      <c r="E1306" s="31" t="s">
        <v>5857</v>
      </c>
      <c r="F1306" s="37" t="s">
        <v>154</v>
      </c>
      <c r="G1306" s="67"/>
      <c r="H1306" s="67"/>
    </row>
    <row r="1307" spans="1:8" ht="13.2">
      <c r="A1307" s="65" t="str">
        <f>HYPERLINK("https://oj.uz/problem/view/BOI14_friends","Baltic 14-friends")</f>
        <v>Baltic 14-friends</v>
      </c>
      <c r="B1307" s="20" t="s">
        <v>7385</v>
      </c>
      <c r="C1307" s="24">
        <v>5.5</v>
      </c>
      <c r="D1307" s="65" t="str">
        <f>HYPERLINK("https://github.com/SpeedOfMagic/CompetitiveProgramming/blob/master/Baltic/14-friends.cpp","Sol")</f>
        <v>Sol</v>
      </c>
      <c r="E1307" s="31" t="s">
        <v>5857</v>
      </c>
      <c r="F1307" s="37" t="s">
        <v>201</v>
      </c>
      <c r="G1307" s="67"/>
      <c r="H1307" s="67"/>
    </row>
    <row r="1308" spans="1:8" ht="13.2">
      <c r="A1308" s="65" t="str">
        <f>HYPERLINK("https://csacademy.com/contest/balkan-oi-2017-day-1/","Balkan 17-strings")</f>
        <v>Balkan 17-strings</v>
      </c>
      <c r="B1308" s="18" t="s">
        <v>5892</v>
      </c>
      <c r="C1308" s="17">
        <v>8</v>
      </c>
      <c r="D1308" s="69"/>
      <c r="E1308" s="31" t="s">
        <v>5874</v>
      </c>
      <c r="F1308" s="37"/>
      <c r="G1308" s="67"/>
      <c r="H1308" s="67"/>
    </row>
    <row r="1309" spans="1:8" ht="13.2">
      <c r="A1309" s="65" t="str">
        <f>HYPERLINK("https://dunjudge.me/analysis/problems/578/","COCI 10-upit")</f>
        <v>COCI 10-upit</v>
      </c>
      <c r="B1309" s="15" t="s">
        <v>5903</v>
      </c>
      <c r="C1309" s="24">
        <v>7.25</v>
      </c>
      <c r="D1309" s="65" t="str">
        <f>HYPERLINK("https://github.com/mostafa-saad/MyCompetitiveProgramming/blob/master/Olympiad/CEOI/COCI-10-upit.txt","Sol")</f>
        <v>Sol</v>
      </c>
      <c r="E1309" s="31" t="s">
        <v>5874</v>
      </c>
      <c r="F1309" s="37" t="s">
        <v>139</v>
      </c>
      <c r="G1309" s="67"/>
      <c r="H1309" s="67"/>
    </row>
    <row r="1310" spans="1:8" ht="13.2">
      <c r="A1310" s="65" t="str">
        <f>HYPERLINK("https://oj.uz/problem/view/BOI11_grow","Baltic 11-grow")</f>
        <v>Baltic 11-grow</v>
      </c>
      <c r="B1310" s="20" t="s">
        <v>7386</v>
      </c>
      <c r="C1310" s="24">
        <v>5</v>
      </c>
      <c r="D1310" s="65" t="str">
        <f>HYPERLINK("https://github.com/mostafa-saad/MyCompetitiveProgramming/blob/master/Olympiad/Baltic/Baltic-11-grow.txt","Sol")</f>
        <v>Sol</v>
      </c>
      <c r="E1310" s="31" t="s">
        <v>5874</v>
      </c>
      <c r="F1310" s="37"/>
      <c r="G1310" s="67"/>
      <c r="H1310" s="67"/>
    </row>
    <row r="1311" spans="1:8" ht="13.2">
      <c r="A1311" s="65" t="str">
        <f>HYPERLINK("https://joisc2013-day4.contest.atcoder.jp/tasks/joisc2013_spaceships","JOISC 13-Spaceships")</f>
        <v>JOISC 13-Spaceships</v>
      </c>
      <c r="B1311" s="20" t="s">
        <v>7387</v>
      </c>
      <c r="C1311" s="24">
        <v>5</v>
      </c>
      <c r="D1311" s="69"/>
      <c r="E1311" s="31" t="s">
        <v>5874</v>
      </c>
      <c r="F1311" s="37"/>
      <c r="G1311" s="67"/>
      <c r="H1311" s="67"/>
    </row>
    <row r="1312" spans="1:8" ht="13.2">
      <c r="A1312" s="65" t="str">
        <f>HYPERLINK("https://dunjudge.me/analysis/problems/153/","COCI 09-snowwhite")</f>
        <v>COCI 09-snowwhite</v>
      </c>
      <c r="B1312" s="20" t="s">
        <v>7388</v>
      </c>
      <c r="C1312" s="24">
        <v>6</v>
      </c>
      <c r="D1312" s="65" t="str">
        <f>HYPERLINK("https://github.com/mostafa-saad/MyCompetitiveProgramming/blob/master/Olympiad/CEOI/COCI-09-snowwhite.txt","Sol")</f>
        <v>Sol</v>
      </c>
      <c r="E1312" s="31" t="s">
        <v>5915</v>
      </c>
      <c r="F1312" s="37" t="s">
        <v>154</v>
      </c>
      <c r="G1312" s="67"/>
      <c r="H1312" s="67"/>
    </row>
    <row r="1313" spans="1:8" ht="13.2">
      <c r="A1313" s="65" t="str">
        <f>HYPERLINK("https://dmoj.ca/problem/stnbd4","Dmoj stnbd4")</f>
        <v>Dmoj stnbd4</v>
      </c>
      <c r="B1313" s="37" t="s">
        <v>5939</v>
      </c>
      <c r="C1313" s="24">
        <v>6</v>
      </c>
      <c r="D1313" s="65" t="str">
        <f>HYPERLINK("https://github.com/tsouza0/CompetitiveProgramming/blob/master/DMOJ/stnbd4.cpp","Sol")</f>
        <v>Sol</v>
      </c>
      <c r="E1313" s="31" t="s">
        <v>5915</v>
      </c>
      <c r="F1313" s="37"/>
      <c r="G1313" s="67"/>
      <c r="H1313" s="67"/>
    </row>
    <row r="1314" spans="1:8" ht="13.2">
      <c r="A1314" s="65" t="str">
        <f>HYPERLINK("https://dmoj.ca/problem/dmopc16c4p4","DMOPC 16-MollyMangaShopping")</f>
        <v>DMOPC 16-MollyMangaShopping</v>
      </c>
      <c r="B1314" s="37" t="s">
        <v>5914</v>
      </c>
      <c r="C1314" s="24">
        <v>6</v>
      </c>
      <c r="D1314" s="69"/>
      <c r="E1314" s="31" t="s">
        <v>5915</v>
      </c>
      <c r="F1314" s="37"/>
      <c r="G1314" s="67"/>
      <c r="H1314" s="67"/>
    </row>
    <row r="1315" spans="1:8" ht="13.2">
      <c r="A1315" s="65" t="str">
        <f>HYPERLINK("https://csacademy.com/contest/round-78/task/count-bst/","ROUSelection 18-count_bst")</f>
        <v>ROUSelection 18-count_bst</v>
      </c>
      <c r="B1315" s="37" t="s">
        <v>7389</v>
      </c>
      <c r="C1315" s="24">
        <v>6.5</v>
      </c>
      <c r="D1315" s="69"/>
      <c r="E1315" s="31" t="s">
        <v>5947</v>
      </c>
      <c r="F1315" s="37"/>
      <c r="G1315" s="67"/>
      <c r="H1315" s="67"/>
    </row>
    <row r="1316" spans="1:8" ht="13.2">
      <c r="A1316" s="65" t="str">
        <f>HYPERLINK("https://szkopul.edu.pl/problemset/problem/GqRTa-xd7d9cGS5RL5Os-qTV/site/?key=statement","POI 96-kod")</f>
        <v>POI 96-kod</v>
      </c>
      <c r="B1316" s="20" t="s">
        <v>5952</v>
      </c>
      <c r="C1316" s="21">
        <v>5.5</v>
      </c>
      <c r="D1316" s="65" t="str">
        <f>HYPERLINK("https://github.com/SpeedOfMagic/CompetitiveProgramming/blob/master/POI/96-kod.cpp","Sol")</f>
        <v>Sol</v>
      </c>
      <c r="E1316" s="31" t="s">
        <v>5947</v>
      </c>
      <c r="F1316" s="37" t="s">
        <v>201</v>
      </c>
      <c r="G1316" s="67"/>
      <c r="H1316" s="67"/>
    </row>
    <row r="1317" spans="1:8" ht="13.2">
      <c r="A1317" s="65" t="str">
        <f>HYPERLINK("https://szkopul.edu.pl/problemset/problem/fuTBSUcQ2U9sVPYJUDI4JwIe/site/", "POI 15-Sorcerer")</f>
        <v>POI 15-Sorcerer</v>
      </c>
      <c r="B1317" s="70" t="s">
        <v>7390</v>
      </c>
      <c r="C1317" s="66">
        <v>8</v>
      </c>
      <c r="D1317" s="65" t="str">
        <f>HYPERLINK("https://github.com/mostafa-saad/MyCompetitiveProgramming/blob/master/Olympiad/POI/official/find_editorial_sols_guidelines.txt","Editorial")</f>
        <v>Editorial</v>
      </c>
      <c r="E1317" s="31" t="s">
        <v>5958</v>
      </c>
      <c r="F1317" s="37"/>
      <c r="G1317" s="67"/>
      <c r="H1317" s="67"/>
    </row>
    <row r="1318" spans="1:8" ht="13.2">
      <c r="A1318" s="65" t="str">
        <f>HYPERLINK("https://www.acmicpc.net/problem/9282","CEOI 13-splot")</f>
        <v>CEOI 13-splot</v>
      </c>
      <c r="B1318" s="74" t="s">
        <v>7391</v>
      </c>
      <c r="C1318" s="78">
        <v>8</v>
      </c>
      <c r="D1318" s="65" t="str">
        <f t="shared" ref="D1318:D1319" si="17">HYPERLINK("https://github.com/mostafa-saad/MyCompetitiveProgramming/blob/master/Olympiad/CEOI/official/2013","Editorial")</f>
        <v>Editorial</v>
      </c>
      <c r="E1318" s="31" t="s">
        <v>5958</v>
      </c>
      <c r="F1318" s="37"/>
      <c r="G1318" s="67"/>
      <c r="H1318" s="67"/>
    </row>
    <row r="1319" spans="1:8" ht="13.2">
      <c r="A1319" s="65" t="str">
        <f>HYPERLINK("https://dunjudge.me/analysis/problems/802/","CEOI 13-watering")</f>
        <v>CEOI 13-watering</v>
      </c>
      <c r="B1319" s="20" t="s">
        <v>7392</v>
      </c>
      <c r="C1319" s="79">
        <v>8</v>
      </c>
      <c r="D1319" s="65" t="str">
        <f t="shared" si="17"/>
        <v>Editorial</v>
      </c>
      <c r="E1319" s="31" t="s">
        <v>5958</v>
      </c>
      <c r="F1319" s="37"/>
      <c r="G1319" s="67"/>
      <c r="H1319" s="67"/>
    </row>
    <row r="1320" spans="1:8" ht="13.2">
      <c r="A1320" s="65" t="str">
        <f>HYPERLINK("https://csacademy.com/contest/ejoi-2017-day-2/task/camel/","EJOI 17-camel")</f>
        <v>EJOI 17-camel</v>
      </c>
      <c r="B1320" s="20" t="s">
        <v>7393</v>
      </c>
      <c r="C1320" s="24">
        <v>8</v>
      </c>
      <c r="D1320" s="69"/>
      <c r="E1320" s="31" t="s">
        <v>5958</v>
      </c>
      <c r="F1320" s="37"/>
      <c r="G1320" s="67"/>
      <c r="H1320" s="67"/>
    </row>
    <row r="1321" spans="1:8" ht="13.2">
      <c r="A1321" s="65" t="str">
        <f>HYPERLINK("https://szkopul.edu.pl/problemset/problem/_PLjXEFyR0XMBQ-kZ1k_GgHE/site/", "POI 15-Desert")</f>
        <v>POI 15-Desert</v>
      </c>
      <c r="B1321" s="37" t="s">
        <v>7394</v>
      </c>
      <c r="C1321" s="24">
        <v>7.5</v>
      </c>
      <c r="D1321" s="65" t="str">
        <f t="shared" ref="D1321:D1323" si="18">HYPERLINK("https://github.com/mostafa-saad/MyCompetitiveProgramming/blob/master/Olympiad/POI/official/find_editorial_sols_guidelines.txt","Editorial")</f>
        <v>Editorial</v>
      </c>
      <c r="E1321" s="31" t="s">
        <v>5958</v>
      </c>
      <c r="F1321" s="37"/>
      <c r="G1321" s="67"/>
      <c r="H1321" s="67"/>
    </row>
    <row r="1322" spans="1:8" ht="13.2">
      <c r="A1322" s="65" t="str">
        <f>HYPERLINK("https://szkopul.edu.pl/problemset/problem/4roJ2TqCXhLN6ftK2jiWKlO9/site/", "POI 15-Direction")</f>
        <v>POI 15-Direction</v>
      </c>
      <c r="B1322" s="37" t="s">
        <v>7395</v>
      </c>
      <c r="C1322" s="24">
        <v>7.25</v>
      </c>
      <c r="D1322" s="65" t="str">
        <f t="shared" si="18"/>
        <v>Editorial</v>
      </c>
      <c r="E1322" s="31" t="s">
        <v>5958</v>
      </c>
      <c r="F1322" s="37"/>
      <c r="G1322" s="67"/>
      <c r="H1322" s="67"/>
    </row>
    <row r="1323" spans="1:8" ht="13.2">
      <c r="A1323" s="65" t="str">
        <f>HYPERLINK("https://szkopul.edu.pl/problemset/problem/SbvfueoDtZe2DQFHrywTIakc/site/", "POI 15-Necklace")</f>
        <v>POI 15-Necklace</v>
      </c>
      <c r="B1323" s="37" t="s">
        <v>7396</v>
      </c>
      <c r="C1323" s="24">
        <v>7</v>
      </c>
      <c r="D1323" s="65" t="str">
        <f t="shared" si="18"/>
        <v>Editorial</v>
      </c>
      <c r="E1323" s="31" t="s">
        <v>5958</v>
      </c>
      <c r="F1323" s="37"/>
      <c r="G1323" s="67"/>
      <c r="H1323" s="67"/>
    </row>
    <row r="1324" spans="1:8" ht="13.2">
      <c r="A1324" s="65" t="str">
        <f>HYPERLINK("https://cses.fi/110/list/","Baltic 06-RLE")</f>
        <v>Baltic 06-RLE</v>
      </c>
      <c r="B1324" s="37" t="s">
        <v>7397</v>
      </c>
      <c r="C1324" s="24">
        <v>6.75</v>
      </c>
      <c r="D1324" s="65" t="str">
        <f>HYPERLINK("https://github.com/mostafa-saad/MyCompetitiveProgramming/blob/master/Olympiad/Baltic/Baltic-06-RLE.txt","Sol")</f>
        <v>Sol</v>
      </c>
      <c r="E1324" s="31" t="s">
        <v>5958</v>
      </c>
      <c r="F1324" s="37" t="s">
        <v>201</v>
      </c>
      <c r="G1324" s="67"/>
      <c r="H1324" s="67"/>
    </row>
    <row r="1325" spans="1:8" ht="13.2">
      <c r="A1325" s="65" t="str">
        <f>HYPERLINK("https://wcipeg.com/problem/coi08p3","COI 08-Plahte")</f>
        <v>COI 08-Plahte</v>
      </c>
      <c r="B1325" s="37" t="s">
        <v>7398</v>
      </c>
      <c r="C1325" s="24">
        <v>6.5</v>
      </c>
      <c r="D1325" s="65" t="str">
        <f>HYPERLINK("https://github.com/mostafa-saad/MyCompetitiveProgramming/tree/master/Olympiad/COCI/official/2009/olympiad_solutions","Editorial")</f>
        <v>Editorial</v>
      </c>
      <c r="E1325" s="31" t="s">
        <v>5958</v>
      </c>
      <c r="F1325" s="37" t="s">
        <v>201</v>
      </c>
      <c r="G1325" s="67"/>
      <c r="H1325" s="67"/>
    </row>
    <row r="1326" spans="1:8" ht="13.2">
      <c r="A1326" s="65" t="str">
        <f>HYPERLINK("https://contest.yandex.ru/ioi/contest/558/enter/","IOI 03-robots")</f>
        <v>IOI 03-robots</v>
      </c>
      <c r="B1326" s="20" t="s">
        <v>7399</v>
      </c>
      <c r="C1326" s="24">
        <v>6.5</v>
      </c>
      <c r="D1326" s="65" t="str">
        <f>HYPERLINK("https://github.com/mostafa-saad/MyCompetitiveProgramming/blob/master/Olympiad/IOI/IOI-03-robots.txt","Sol")</f>
        <v>Sol</v>
      </c>
      <c r="E1326" s="31" t="s">
        <v>5958</v>
      </c>
      <c r="F1326" s="37"/>
      <c r="G1326" s="67"/>
      <c r="H1326" s="67"/>
    </row>
    <row r="1327" spans="1:8" ht="13.2">
      <c r="A1327" s="65" t="str">
        <f>HYPERLINK("https://oj.uz/problem/view/COCI18_clickbait","COCI 18-clickbait")</f>
        <v>COCI 18-clickbait</v>
      </c>
      <c r="B1327" s="20" t="s">
        <v>7400</v>
      </c>
      <c r="C1327" s="24">
        <v>6.25</v>
      </c>
      <c r="D1327" s="69"/>
      <c r="E1327" s="31" t="s">
        <v>5958</v>
      </c>
      <c r="F1327" s="37"/>
      <c r="G1327" s="67"/>
      <c r="H1327" s="67"/>
    </row>
    <row r="1328" spans="1:8" ht="13.2">
      <c r="A1328" s="65" t="str">
        <f>HYPERLINK("https://dmoj.ca/problem/coci08c3p4","COCI 08-Matrica")</f>
        <v>COCI 08-Matrica</v>
      </c>
      <c r="B1328" s="15" t="s">
        <v>5961</v>
      </c>
      <c r="C1328" s="24">
        <v>6</v>
      </c>
      <c r="D1328" s="65" t="str">
        <f>HYPERLINK("https://github.com/mostafa-saad/MyCompetitiveProgramming/blob/master/Olympiad/COCI/COCI-08-Matrica","Sol")</f>
        <v>Sol</v>
      </c>
      <c r="E1328" s="31" t="s">
        <v>5958</v>
      </c>
      <c r="F1328" s="37"/>
      <c r="G1328" s="67"/>
      <c r="H1328" s="67"/>
    </row>
    <row r="1329" spans="1:8" ht="13.2">
      <c r="A1329" s="65" t="str">
        <f>HYPERLINK("https://oj.uz/problem/view/IZhO18_chessboard","IZhO 18-chessboard")</f>
        <v>IZhO 18-chessboard</v>
      </c>
      <c r="B1329" s="20" t="s">
        <v>5992</v>
      </c>
      <c r="C1329" s="24">
        <v>6</v>
      </c>
      <c r="D1329" s="69"/>
      <c r="E1329" s="31" t="s">
        <v>5958</v>
      </c>
      <c r="F1329" s="37"/>
      <c r="G1329" s="67"/>
      <c r="H1329" s="67"/>
    </row>
    <row r="1330" spans="1:8" ht="13.2">
      <c r="A1330" s="65" t="str">
        <f>HYPERLINK("https://oj.uz/problem/view/JOI17_broken_device","JOISC 17-broken_device")</f>
        <v>JOISC 17-broken_device</v>
      </c>
      <c r="B1330" s="20" t="s">
        <v>7401</v>
      </c>
      <c r="C1330" s="24">
        <v>6</v>
      </c>
      <c r="D1330" s="65" t="str">
        <f>HYPERLINK("https://ivaniscoding.wordpress.com/2018/08/25/communication-3-broken-device/","Sol")</f>
        <v>Sol</v>
      </c>
      <c r="E1330" s="31" t="s">
        <v>5958</v>
      </c>
      <c r="F1330" s="37"/>
      <c r="G1330" s="67"/>
      <c r="H1330" s="67"/>
    </row>
    <row r="1331" spans="1:8" ht="13.2">
      <c r="A1331" s="65" t="str">
        <f>HYPERLINK("https://oj.uz/problem/view/BOI14_network","Baltic 14-network")</f>
        <v>Baltic 14-network</v>
      </c>
      <c r="B1331" s="20" t="s">
        <v>5961</v>
      </c>
      <c r="C1331" s="24">
        <v>5.5</v>
      </c>
      <c r="D1331" s="65" t="str">
        <f>HYPERLINK("https://github.com/mushisgosuuu/oj-solutions/blob/master/BOI/network2014.cpp","Sol")</f>
        <v>Sol</v>
      </c>
      <c r="E1331" s="31" t="s">
        <v>5958</v>
      </c>
      <c r="F1331" s="37" t="s">
        <v>242</v>
      </c>
      <c r="G1331" s="67"/>
      <c r="H1331" s="67"/>
    </row>
    <row r="1332" spans="1:8" ht="13.2">
      <c r="A1332" s="65" t="str">
        <f>HYPERLINK("https://www.acmicpc.net/category/94","Balkan 15-UltimateTTT")</f>
        <v>Balkan 15-UltimateTTT</v>
      </c>
      <c r="B1332" s="18" t="s">
        <v>7402</v>
      </c>
      <c r="C1332" s="17">
        <v>5.5</v>
      </c>
      <c r="D1332" s="69"/>
      <c r="E1332" s="31" t="s">
        <v>5958</v>
      </c>
      <c r="F1332" s="37"/>
      <c r="G1332" s="67"/>
      <c r="H1332" s="67"/>
    </row>
    <row r="1333" spans="1:8" ht="13.2">
      <c r="A1333" s="65" t="str">
        <f>HYPERLINK("https://joi2016ho.contest.atcoder.jp/tasks/joi2016ho_b","JOI 16-CollectingStamps2")</f>
        <v>JOI 16-CollectingStamps2</v>
      </c>
      <c r="B1333" s="20" t="s">
        <v>7403</v>
      </c>
      <c r="C1333" s="17">
        <v>5.5</v>
      </c>
      <c r="D1333" s="65" t="str">
        <f>HYPERLINK("https://github.com/nikolapesic2802/Programming-Practice/blob/master/Collecting%20stamps/main.cpp","AC")</f>
        <v>AC</v>
      </c>
      <c r="E1333" s="31" t="s">
        <v>5958</v>
      </c>
      <c r="F1333" s="37"/>
      <c r="G1333" s="67"/>
      <c r="H1333" s="67"/>
    </row>
    <row r="1334" spans="1:8" ht="13.2">
      <c r="A1334" s="65" t="str">
        <f>HYPERLINK("https://dmoj.ca/problem/coci06c3p6","COCI 06-lista")</f>
        <v>COCI 06-lista</v>
      </c>
      <c r="B1334" s="15" t="s">
        <v>7404</v>
      </c>
      <c r="C1334" s="24">
        <v>5.5</v>
      </c>
      <c r="D1334" s="65" t="str">
        <f>HYPERLINK("https://github.com/tsouza0/CompetitiveProgramming/blob/master/Olympiads/COCI/lista.cpp","Sol")</f>
        <v>Sol</v>
      </c>
      <c r="E1334" s="31" t="s">
        <v>5958</v>
      </c>
      <c r="F1334" s="37"/>
      <c r="G1334" s="67"/>
      <c r="H1334" s="67"/>
    </row>
    <row r="1335" spans="1:8" ht="13.2">
      <c r="A1335" s="65" t="str">
        <f>HYPERLINK("https://joi2014ho.contest.atcoder.jp/tasks/joi2014ho1","JOI 14-JOIEmblem")</f>
        <v>JOI 14-JOIEmblem</v>
      </c>
      <c r="B1335" s="20" t="s">
        <v>7405</v>
      </c>
      <c r="C1335" s="17">
        <v>5.5</v>
      </c>
      <c r="D1335" s="69"/>
      <c r="E1335" s="31" t="s">
        <v>5958</v>
      </c>
      <c r="F1335" s="37"/>
      <c r="G1335" s="67"/>
      <c r="H1335" s="67"/>
    </row>
    <row r="1336" spans="1:8" ht="13.2">
      <c r="A1336" s="65" t="str">
        <f>HYPERLINK("https://oj.uz/problem/view/JOI17_semiexpress","JOI 17-semiexpress")</f>
        <v>JOI 17-semiexpress</v>
      </c>
      <c r="B1336" s="20" t="s">
        <v>5961</v>
      </c>
      <c r="C1336" s="17">
        <v>5.5</v>
      </c>
      <c r="D1336" s="69"/>
      <c r="E1336" s="31" t="s">
        <v>5958</v>
      </c>
      <c r="F1336" s="37"/>
      <c r="G1336" s="67"/>
      <c r="H1336" s="67"/>
    </row>
    <row r="1337" spans="1:8" ht="13.2">
      <c r="A1337" s="65" t="str">
        <f>HYPERLINK("https://oj.uz/problem/view/COCI15_topovi","COCI 15-topovi")</f>
        <v>COCI 15-topovi</v>
      </c>
      <c r="B1337" s="20" t="s">
        <v>6004</v>
      </c>
      <c r="C1337" s="24">
        <v>5</v>
      </c>
      <c r="D1337" s="65" t="str">
        <f>HYPERLINK("https://github.com/mostafa-saad/MyCompetitiveProgramming/blob/master/Olympiad/COCI/COCI-15-topovi.txt","Sol")</f>
        <v>Sol</v>
      </c>
      <c r="E1337" s="31" t="s">
        <v>5958</v>
      </c>
      <c r="F1337" s="37" t="s">
        <v>139</v>
      </c>
      <c r="G1337" s="67"/>
      <c r="H1337" s="67"/>
    </row>
    <row r="1338" spans="1:8" ht="13.2">
      <c r="A1338" s="65" t="str">
        <f>HYPERLINK("https://oj.uz/problem/view/NOI14_orchard","NOI 14-orchard")</f>
        <v>NOI 14-orchard</v>
      </c>
      <c r="B1338" s="37" t="s">
        <v>7406</v>
      </c>
      <c r="C1338" s="24">
        <v>5</v>
      </c>
      <c r="D1338" s="65" t="str">
        <f>HYPERLINK("https://github.com/mostafa-saad/MyCompetitiveProgramming/blob/master/Olympiad/NOI/official","Editorial")</f>
        <v>Editorial</v>
      </c>
      <c r="E1338" s="31" t="s">
        <v>5958</v>
      </c>
      <c r="F1338" s="37" t="s">
        <v>201</v>
      </c>
      <c r="G1338" s="67"/>
      <c r="H1338" s="67"/>
    </row>
    <row r="1339" spans="1:8" ht="13.2">
      <c r="A1339" s="65" t="str">
        <f>HYPERLINK("https://infoarena.ro/problema/poarta2","infoarena poarta2")</f>
        <v>infoarena poarta2</v>
      </c>
      <c r="B1339" s="20" t="s">
        <v>7407</v>
      </c>
      <c r="C1339" s="21">
        <v>5</v>
      </c>
      <c r="D1339" s="65" t="str">
        <f>HYPERLINK("https://github.com/stefdasca/CompetitiveProgramming/blob/master/Infoarena/poarta2.cpp","Sol")</f>
        <v>Sol</v>
      </c>
      <c r="E1339" s="31" t="s">
        <v>5958</v>
      </c>
      <c r="F1339" s="37"/>
      <c r="G1339" s="67"/>
      <c r="H1339" s="67"/>
    </row>
    <row r="1340" spans="1:8" ht="13.2">
      <c r="A1340" s="65" t="str">
        <f>HYPERLINK("https://codeforces.com/group/swEqtABRxe/contest/243427/problem/C", "EOIQ 18-r2-C")</f>
        <v>EOIQ 18-r2-C</v>
      </c>
      <c r="B1340" s="20" t="s">
        <v>5961</v>
      </c>
      <c r="C1340" s="17">
        <v>5</v>
      </c>
      <c r="D1340" s="69"/>
      <c r="E1340" s="31" t="s">
        <v>5958</v>
      </c>
      <c r="F1340" s="37"/>
      <c r="G1340" s="67"/>
      <c r="H1340" s="67"/>
    </row>
    <row r="1341" spans="1:8" ht="13.2">
      <c r="A1341" s="65" t="str">
        <f>HYPERLINK("https://szkopul.edu.pl/problemset/problem/NuGiXg5BO8iuLFU7vmhCmNWK/site/", "POI 09-Brigade")</f>
        <v>POI 09-Brigade</v>
      </c>
      <c r="B1341" s="37" t="s">
        <v>5961</v>
      </c>
      <c r="C1341" s="24">
        <v>5</v>
      </c>
      <c r="D1341" s="65" t="str">
        <f t="shared" ref="D1341:D1342" si="19">HYPERLINK("https://github.com/mostafa-saad/MyCompetitiveProgramming/blob/master/Olympiad/POI/official/find_editorial_sols_guidelines.txt","Editorial")</f>
        <v>Editorial</v>
      </c>
      <c r="E1341" s="31" t="s">
        <v>5958</v>
      </c>
      <c r="F1341" s="37"/>
      <c r="G1341" s="67"/>
      <c r="H1341" s="67"/>
    </row>
    <row r="1342" spans="1:8" ht="13.2">
      <c r="A1342" s="65" t="str">
        <f>HYPERLINK("https://szkopul.edu.pl/problemset/problem/70I-ks8dXjgq3xwzRzLV1w4p/site/", "POI 16-Water_Park")</f>
        <v>POI 16-Water_Park</v>
      </c>
      <c r="B1342" s="37" t="s">
        <v>5961</v>
      </c>
      <c r="C1342" s="24">
        <v>5</v>
      </c>
      <c r="D1342" s="65" t="str">
        <f t="shared" si="19"/>
        <v>Editorial</v>
      </c>
      <c r="E1342" s="31" t="s">
        <v>5958</v>
      </c>
      <c r="F1342" s="37"/>
      <c r="G1342" s="67"/>
      <c r="H1342" s="67"/>
    </row>
    <row r="1343" spans="1:8" ht="13.2">
      <c r="A1343" s="65" t="str">
        <f>HYPERLINK("https://oj.uz/problem/view/IZhO19_stones","IZhO 19-stones")</f>
        <v>IZhO 19-stones</v>
      </c>
      <c r="B1343" s="20" t="s">
        <v>5961</v>
      </c>
      <c r="C1343" s="24">
        <v>5</v>
      </c>
      <c r="D1343" s="69"/>
      <c r="E1343" s="31" t="s">
        <v>5958</v>
      </c>
      <c r="F1343" s="37"/>
      <c r="G1343" s="67"/>
      <c r="H1343" s="67"/>
    </row>
    <row r="1344" spans="1:8" ht="13.2">
      <c r="A1344" s="65" t="str">
        <f>HYPERLINK("https://joisc2013-day1.contest.atcoder.jp/tasks/joisc2013_joi_poster","JOISC 13-Poster")</f>
        <v>JOISC 13-Poster</v>
      </c>
      <c r="B1344" s="20" t="s">
        <v>7408</v>
      </c>
      <c r="C1344" s="24">
        <v>5</v>
      </c>
      <c r="D1344" s="69"/>
      <c r="E1344" s="31" t="s">
        <v>5958</v>
      </c>
      <c r="F1344" s="37"/>
      <c r="G1344" s="67"/>
      <c r="H1344" s="67"/>
    </row>
    <row r="1345" spans="1:8" ht="13.2">
      <c r="A1345" s="65" t="str">
        <f>HYPERLINK("https://dmoj.ca/problem/coci13c1p3","COCI 13-Ratar")</f>
        <v>COCI 13-Ratar</v>
      </c>
      <c r="B1345" s="20" t="s">
        <v>7409</v>
      </c>
      <c r="C1345" s="24">
        <v>4.5</v>
      </c>
      <c r="D1345" s="65" t="str">
        <f>HYPERLINK("https://github.com/mostafa-saad/MyCompetitiveProgramming/blob/master/Olympiad/COCI/official/2014/contest1_solutions","Editorial")</f>
        <v>Editorial</v>
      </c>
      <c r="E1345" s="31" t="s">
        <v>5958</v>
      </c>
      <c r="F1345" s="37" t="s">
        <v>201</v>
      </c>
      <c r="G1345" s="67"/>
      <c r="H1345" s="67"/>
    </row>
    <row r="1346" spans="1:8" ht="13.2">
      <c r="A1346" s="65" t="str">
        <f>HYPERLINK("https://codeforces.com/group/swEqtABRxe/contest/243427/problem/A", "EOIQ 18-r2-A")</f>
        <v>EOIQ 18-r2-A</v>
      </c>
      <c r="B1346" s="20" t="s">
        <v>5961</v>
      </c>
      <c r="C1346" s="17">
        <v>4.5</v>
      </c>
      <c r="D1346" s="69"/>
      <c r="E1346" s="31" t="s">
        <v>5958</v>
      </c>
      <c r="F1346" s="37"/>
      <c r="G1346" s="67"/>
      <c r="H1346" s="67"/>
    </row>
    <row r="1347" spans="1:8" ht="13.2">
      <c r="A1347" s="65" t="str">
        <f>HYPERLINK("https://codeforces.com/group/swEqtABRxe/contest/227524/problem/A", "EOIQ 18-r1-A")</f>
        <v>EOIQ 18-r1-A</v>
      </c>
      <c r="B1347" s="20" t="s">
        <v>5961</v>
      </c>
      <c r="C1347" s="17">
        <v>4</v>
      </c>
      <c r="D1347" s="69"/>
      <c r="E1347" s="31" t="s">
        <v>5958</v>
      </c>
      <c r="F1347" s="37"/>
      <c r="G1347" s="67"/>
      <c r="H1347" s="67"/>
    </row>
    <row r="1348" spans="1:8" ht="13.2">
      <c r="A1348" s="65" t="str">
        <f>HYPERLINK("https://codeforces.com/group/swEqtABRxe/contest/243435/problem/C", "IOIQ 19-r2-C")</f>
        <v>IOIQ 19-r2-C</v>
      </c>
      <c r="B1348" s="20" t="s">
        <v>5961</v>
      </c>
      <c r="C1348" s="17">
        <v>4</v>
      </c>
      <c r="D1348" s="69"/>
      <c r="E1348" s="31" t="s">
        <v>5958</v>
      </c>
      <c r="F1348" s="37"/>
      <c r="G1348" s="67"/>
      <c r="H1348" s="67"/>
    </row>
    <row r="1349" spans="1:8" ht="13.2">
      <c r="A1349" s="65" t="str">
        <f>HYPERLINK("https://www.infoarena.ro/problema/cmmp","infoarena cmmp")</f>
        <v>infoarena cmmp</v>
      </c>
      <c r="B1349" s="20" t="s">
        <v>5992</v>
      </c>
      <c r="C1349" s="21">
        <v>4</v>
      </c>
      <c r="D1349" s="65" t="str">
        <f>HYPERLINK("https://github.com/stefdasca/CompetitiveProgramming/blob/master/Infoarena/cmmp.cpp","Sol")</f>
        <v>Sol</v>
      </c>
      <c r="E1349" s="31" t="s">
        <v>5958</v>
      </c>
      <c r="F1349" s="37"/>
      <c r="G1349" s="67"/>
      <c r="H1349" s="67"/>
    </row>
    <row r="1350" spans="1:8" ht="13.2">
      <c r="A1350" s="65" t="str">
        <f>HYPERLINK("https://codeforces.com/group/swEqtABRxe/contest/227524/problem/C", "EOIQ 18-r1-C")</f>
        <v>EOIQ 18-r1-C</v>
      </c>
      <c r="B1350" s="20" t="s">
        <v>5961</v>
      </c>
      <c r="C1350" s="17">
        <v>4</v>
      </c>
      <c r="D1350" s="69"/>
      <c r="E1350" s="31" t="s">
        <v>5958</v>
      </c>
      <c r="F1350" s="37"/>
      <c r="G1350" s="67"/>
      <c r="H1350" s="67"/>
    </row>
    <row r="1351" spans="1:8" ht="13.2">
      <c r="A1351" s="65" t="str">
        <f>HYPERLINK("https://codeforces.com/group/swEqtABRxe/contest/227527/problem/B", "IOIQ 18-r1-B")</f>
        <v>IOIQ 18-r1-B</v>
      </c>
      <c r="B1351" s="37" t="s">
        <v>5961</v>
      </c>
      <c r="C1351" s="17">
        <v>4</v>
      </c>
      <c r="D1351" s="69"/>
      <c r="E1351" s="31" t="s">
        <v>5958</v>
      </c>
      <c r="F1351" s="37"/>
      <c r="G1351" s="67"/>
      <c r="H1351" s="67"/>
    </row>
    <row r="1352" spans="1:8" ht="13.2">
      <c r="A1352" s="65" t="str">
        <f>HYPERLINK("https://infoarena.ro/problema/album2","infoarena album2")</f>
        <v>infoarena album2</v>
      </c>
      <c r="B1352" s="20" t="s">
        <v>5961</v>
      </c>
      <c r="C1352" s="21">
        <v>3</v>
      </c>
      <c r="D1352" s="65" t="str">
        <f>HYPERLINK("https://github.com/stefdasca/CompetitiveProgramming/blob/master/Infoarena/album2.cpp","Sol")</f>
        <v>Sol</v>
      </c>
      <c r="E1352" s="31" t="s">
        <v>5958</v>
      </c>
      <c r="F1352" s="37" t="s">
        <v>139</v>
      </c>
      <c r="G1352" s="67"/>
      <c r="H1352" s="67"/>
    </row>
    <row r="1353" spans="1:8" ht="13.2">
      <c r="A1353" s="65" t="str">
        <f>HYPERLINK("https://oj.uz/problem/view/IOI09_garage","IOI 09-garage")</f>
        <v>IOI 09-garage</v>
      </c>
      <c r="B1353" s="20" t="s">
        <v>5961</v>
      </c>
      <c r="C1353" s="24">
        <v>3</v>
      </c>
      <c r="D1353" s="65" t="str">
        <f>HYPERLINK("https://github.com/mostafa-saad/MyCompetitiveProgramming/blob/master/Olympiad/IOI/official/2009","Editorial")</f>
        <v>Editorial</v>
      </c>
      <c r="E1353" s="31" t="s">
        <v>5958</v>
      </c>
      <c r="F1353" s="37"/>
      <c r="G1353" s="67"/>
      <c r="H1353" s="67"/>
    </row>
    <row r="1354" spans="1:8" ht="13.2">
      <c r="A1354" s="65" t="str">
        <f>HYPERLINK("https://codeforces.com/group/swEqtABRxe/contest/243431/problem/A", "IOIQ 19-r1-A")</f>
        <v>IOIQ 19-r1-A</v>
      </c>
      <c r="B1354" s="20" t="s">
        <v>5961</v>
      </c>
      <c r="C1354" s="17">
        <v>3</v>
      </c>
      <c r="D1354" s="69"/>
      <c r="E1354" s="31" t="s">
        <v>5958</v>
      </c>
      <c r="F1354" s="37"/>
      <c r="G1354" s="67"/>
      <c r="H1354" s="67"/>
    </row>
    <row r="1355" spans="1:8" ht="13.2">
      <c r="A1355" s="65" t="str">
        <f>HYPERLINK("https://codeforces.com/group/swEqtABRxe/contest/243435/problem/B", "IOIQ 19-r2-B")</f>
        <v>IOIQ 19-r2-B</v>
      </c>
      <c r="B1355" s="20" t="s">
        <v>5961</v>
      </c>
      <c r="C1355" s="17">
        <v>3</v>
      </c>
      <c r="D1355" s="69"/>
      <c r="E1355" s="31" t="s">
        <v>5958</v>
      </c>
      <c r="F1355" s="37"/>
      <c r="G1355" s="67"/>
      <c r="H1355" s="67"/>
    </row>
    <row r="1356" spans="1:8" ht="13.2">
      <c r="A1356" s="65" t="str">
        <f>HYPERLINK("https://oj.uz/problem/view/COCI17_tetris","COCI 17-tetris")</f>
        <v>COCI 17-tetris</v>
      </c>
      <c r="B1356" s="20" t="s">
        <v>5961</v>
      </c>
      <c r="C1356" s="24">
        <v>3</v>
      </c>
      <c r="D1356" s="69"/>
      <c r="E1356" s="31" t="s">
        <v>5958</v>
      </c>
      <c r="F1356" s="37"/>
      <c r="G1356" s="67"/>
      <c r="H1356" s="67"/>
    </row>
    <row r="1357" spans="1:8" ht="13.2">
      <c r="A1357" s="65" t="str">
        <f>HYPERLINK("https://github.com/stefdasca/CompetitiveProgramming/blob/master/Info1Cup/National%20Round/Treasure%20(RO).pdf","Info1Cup 19-Treasure")</f>
        <v>Info1Cup 19-Treasure</v>
      </c>
      <c r="B1357" s="20" t="s">
        <v>7410</v>
      </c>
      <c r="C1357" s="21">
        <v>2.5</v>
      </c>
      <c r="D1357" s="65" t="str">
        <f>HYPERLINK("https://github.com/stefdasca/CompetitiveProgramming/blob/master/Info1Cup/National%20Round/treasure.cpp","Sol")</f>
        <v>Sol</v>
      </c>
      <c r="E1357" s="31" t="s">
        <v>5958</v>
      </c>
      <c r="F1357" s="37"/>
      <c r="G1357" s="67"/>
      <c r="H1357" s="67"/>
    </row>
    <row r="1358" spans="1:8" ht="13.2">
      <c r="A1358" s="65" t="str">
        <f>HYPERLINK("https://contest.yandex.ru/ioi/contest/570/enter/","IOI 10-cluedo")</f>
        <v>IOI 10-cluedo</v>
      </c>
      <c r="B1358" s="18" t="s">
        <v>5961</v>
      </c>
      <c r="C1358" s="17">
        <v>2</v>
      </c>
      <c r="D1358" s="65" t="str">
        <f t="shared" ref="D1358:D1359" si="20">HYPERLINK("https://github.com/mostafa-saad/MyCompetitiveProgramming/blob/master/Olympiad/IOI/official/2010","Editorial")</f>
        <v>Editorial</v>
      </c>
      <c r="E1358" s="31" t="s">
        <v>5958</v>
      </c>
      <c r="F1358" s="37"/>
      <c r="G1358" s="67"/>
      <c r="H1358" s="67"/>
    </row>
    <row r="1359" spans="1:8" ht="13.2">
      <c r="A1359" s="65" t="str">
        <f>HYPERLINK("https://contest.yandex.ru/ioi/contest/570/enter/","IOI 10-memory")</f>
        <v>IOI 10-memory</v>
      </c>
      <c r="B1359" s="18" t="s">
        <v>5961</v>
      </c>
      <c r="C1359" s="17">
        <v>2</v>
      </c>
      <c r="D1359" s="65" t="str">
        <f t="shared" si="20"/>
        <v>Editorial</v>
      </c>
      <c r="E1359" s="31" t="s">
        <v>5958</v>
      </c>
      <c r="F1359" s="37"/>
      <c r="G1359" s="67"/>
      <c r="H1359" s="67"/>
    </row>
    <row r="1360" spans="1:8" ht="13.2">
      <c r="A1360" s="65" t="str">
        <f>HYPERLINK("https://wcipeg.com/problem/coci092p2","COCI 09-Rimski")</f>
        <v>COCI 09-Rimski</v>
      </c>
      <c r="B1360" s="15" t="s">
        <v>5961</v>
      </c>
      <c r="C1360" s="24">
        <v>2</v>
      </c>
      <c r="D1360" s="65" t="str">
        <f>HYPERLINK("https://github.com/mostafa-saad/MyCompetitiveProgramming/blob/master/Olympiad/COCI/official/2010/contest2_solutions","Editorial")</f>
        <v>Editorial</v>
      </c>
      <c r="E1360" s="31" t="s">
        <v>5958</v>
      </c>
      <c r="F1360" s="37"/>
      <c r="G1360" s="67"/>
      <c r="H1360" s="67"/>
    </row>
    <row r="1361" spans="1:8" ht="13.2">
      <c r="A1361" s="65" t="str">
        <f>HYPERLINK("https://wcipeg.com/problem/coci093p4","COCI 09-Razgovori")</f>
        <v>COCI 09-Razgovori</v>
      </c>
      <c r="B1361" s="15" t="s">
        <v>7411</v>
      </c>
      <c r="C1361" s="24">
        <v>2</v>
      </c>
      <c r="D1361" s="65" t="str">
        <f>HYPERLINK("https://github.com/mostafa-saad/MyCompetitiveProgramming/blob/master/Olympiad/COCI/official/2010/contest3_solutions","Editorial")</f>
        <v>Editorial</v>
      </c>
      <c r="E1361" s="31" t="s">
        <v>5958</v>
      </c>
      <c r="F1361" s="37"/>
      <c r="G1361" s="67"/>
      <c r="H1361" s="67"/>
    </row>
    <row r="1362" spans="1:8" ht="13.2">
      <c r="A1362" s="65" t="str">
        <f>HYPERLINK("https://wcipeg.com/problem/coci095p5","COCI 09-Program")</f>
        <v>COCI 09-Program</v>
      </c>
      <c r="B1362" s="15" t="s">
        <v>5961</v>
      </c>
      <c r="C1362" s="24">
        <v>2</v>
      </c>
      <c r="D1362" s="65" t="str">
        <f>HYPERLINK("https://github.com/mostafa-saad/MyCompetitiveProgramming/blob/master/Olympiad/COCI/official/2010/contest5_solutions","Editorial")</f>
        <v>Editorial</v>
      </c>
      <c r="E1362" s="31" t="s">
        <v>5958</v>
      </c>
      <c r="F1362" s="37"/>
      <c r="G1362" s="67"/>
      <c r="H1362" s="67"/>
    </row>
    <row r="1363" spans="1:8" ht="13.2">
      <c r="A1363" s="65" t="str">
        <f>HYPERLINK("https://oj.uz/problem/view/COCI16_tarifa","COCI 16-tarifa")</f>
        <v>COCI 16-tarifa</v>
      </c>
      <c r="B1363" s="20" t="s">
        <v>5961</v>
      </c>
      <c r="C1363" s="24">
        <v>1</v>
      </c>
      <c r="D1363" s="69"/>
      <c r="E1363" s="31" t="s">
        <v>5958</v>
      </c>
      <c r="F1363" s="37"/>
      <c r="G1363" s="67"/>
      <c r="H1363" s="67"/>
    </row>
    <row r="1364" spans="1:8" ht="13.2">
      <c r="A1364" s="65" t="str">
        <f>HYPERLINK("https://dmoj.ca/problem/coci13c1p1","COCI 13-Trener")</f>
        <v>COCI 13-Trener</v>
      </c>
      <c r="B1364" s="20" t="s">
        <v>7412</v>
      </c>
      <c r="C1364" s="24">
        <v>1</v>
      </c>
      <c r="D1364" s="65" t="str">
        <f>HYPERLINK("https://github.com/mostafa-saad/MyCompetitiveProgramming/blob/master/Olympiad/COCI/official/2014/contest1_solutions","Editorial")</f>
        <v>Editorial</v>
      </c>
      <c r="E1364" s="31" t="s">
        <v>5958</v>
      </c>
      <c r="F1364" s="37"/>
      <c r="G1364" s="67"/>
      <c r="H1364" s="67"/>
    </row>
    <row r="1365" spans="1:8" ht="13.2">
      <c r="A1365" s="65" t="str">
        <f>HYPERLINK("https://dmoj.ca/problem/coci15c4p1","COCI 15-Yoda")</f>
        <v>COCI 15-Yoda</v>
      </c>
      <c r="B1365" s="20" t="s">
        <v>5961</v>
      </c>
      <c r="C1365" s="24">
        <v>1</v>
      </c>
      <c r="D1365" s="69"/>
      <c r="E1365" s="31" t="s">
        <v>5958</v>
      </c>
      <c r="F1365" s="37"/>
      <c r="G1365" s="67"/>
      <c r="H1365" s="67"/>
    </row>
    <row r="1366" spans="1:8" ht="13.2">
      <c r="A1366" s="65" t="str">
        <f>HYPERLINK("https://oj.uz/problem/view/COCI18_magnus","COCI 18-magnus")</f>
        <v>COCI 18-magnus</v>
      </c>
      <c r="B1366" s="37" t="s">
        <v>5992</v>
      </c>
      <c r="C1366" s="24">
        <v>1</v>
      </c>
      <c r="D1366" s="69"/>
      <c r="E1366" s="31" t="s">
        <v>5958</v>
      </c>
      <c r="F1366" s="37"/>
      <c r="G1366" s="67"/>
      <c r="H1366" s="67"/>
    </row>
    <row r="1367" spans="1:8" ht="13.2">
      <c r="A1367" s="65" t="str">
        <f>HYPERLINK("https://oj.uz/problem/view/COCI18_pismo","COCI 18-pismo")</f>
        <v>COCI 18-pismo</v>
      </c>
      <c r="B1367" s="37" t="s">
        <v>5992</v>
      </c>
      <c r="C1367" s="24">
        <v>1</v>
      </c>
      <c r="D1367" s="69"/>
      <c r="E1367" s="31" t="s">
        <v>5958</v>
      </c>
      <c r="F1367" s="37"/>
      <c r="G1367" s="67"/>
      <c r="H1367" s="67"/>
    </row>
    <row r="1368" spans="1:8" ht="13.2">
      <c r="A1368" s="65" t="str">
        <f>HYPERLINK("https://oj.uz/problem/view/COCI19_elder","COCI 19-elder")</f>
        <v>COCI 19-elder</v>
      </c>
      <c r="B1368" s="37" t="s">
        <v>5992</v>
      </c>
      <c r="C1368" s="24">
        <v>1</v>
      </c>
      <c r="D1368" s="69"/>
      <c r="E1368" s="31" t="s">
        <v>5958</v>
      </c>
      <c r="F1368" s="37"/>
      <c r="G1368" s="67"/>
      <c r="H1368" s="67"/>
    </row>
    <row r="1369" spans="1:8" ht="13.2">
      <c r="A1369" s="65" t="str">
        <f>HYPERLINK("https://oj.uz/problem/view/COCI19_konj","COCI 19-konj")</f>
        <v>COCI 19-konj</v>
      </c>
      <c r="B1369" s="37" t="s">
        <v>5992</v>
      </c>
      <c r="C1369" s="24">
        <v>1</v>
      </c>
      <c r="D1369" s="69"/>
      <c r="E1369" s="31" t="s">
        <v>5958</v>
      </c>
      <c r="F1369" s="37"/>
      <c r="G1369" s="67"/>
      <c r="H1369" s="67"/>
    </row>
    <row r="1370" spans="1:8" ht="13.2">
      <c r="A1370" s="65" t="str">
        <f>HYPERLINK("https://oj.uz/problem/view/COCI19_lun","COCI 19-lun")</f>
        <v>COCI 19-lun</v>
      </c>
      <c r="B1370" s="37" t="s">
        <v>5992</v>
      </c>
      <c r="C1370" s="24">
        <v>1</v>
      </c>
      <c r="D1370" s="69"/>
      <c r="E1370" s="31" t="s">
        <v>5958</v>
      </c>
      <c r="F1370" s="37"/>
      <c r="G1370" s="67"/>
      <c r="H1370" s="67"/>
    </row>
    <row r="1371" spans="1:8" ht="13.2">
      <c r="A1371" s="65" t="str">
        <f>HYPERLINK("https://infoarena.ro/problema/calancea","Infoarena Calancea")</f>
        <v>Infoarena Calancea</v>
      </c>
      <c r="B1371" s="74" t="s">
        <v>7413</v>
      </c>
      <c r="C1371" s="80">
        <v>6.5</v>
      </c>
      <c r="D1371" s="69"/>
      <c r="E1371" s="31" t="s">
        <v>6040</v>
      </c>
      <c r="F1371" s="37"/>
      <c r="G1371" s="67"/>
      <c r="H1371" s="67"/>
    </row>
    <row r="1372" spans="1:8" ht="13.2">
      <c r="A1372" s="65" t="str">
        <f>HYPERLINK("https://csacademy.com/contest/ioi-2016-training-round-2/task/increasing_subarrays/","IOIPractice 16-increasing_subarrays")</f>
        <v>IOIPractice 16-increasing_subarrays</v>
      </c>
      <c r="B1372" s="37" t="s">
        <v>7414</v>
      </c>
      <c r="C1372" s="24">
        <v>6.4</v>
      </c>
      <c r="D1372" s="65" t="str">
        <f>HYPERLINK("https://github.com/mostafa-saad/MyCompetitiveProgramming/blob/master/Olympiad/IOI/IOIPractice-16-increasing_subarrays.txt","Sol")</f>
        <v>Sol</v>
      </c>
      <c r="E1372" s="31" t="s">
        <v>6040</v>
      </c>
      <c r="F1372" s="37" t="s">
        <v>196</v>
      </c>
      <c r="G1372" s="67"/>
      <c r="H1372" s="67"/>
    </row>
    <row r="1373" spans="1:8" ht="13.2">
      <c r="A1373" s="65" t="str">
        <f>HYPERLINK("https://szkopul.edu.pl/problemset/problem/lcU5m2RAICwNHsdzydb8JTQw/site/", "POI 10-Pilots")</f>
        <v>POI 10-Pilots</v>
      </c>
      <c r="B1373" s="20" t="s">
        <v>7415</v>
      </c>
      <c r="C1373" s="21">
        <v>5.75</v>
      </c>
      <c r="D1373" s="65" t="str">
        <f>HYPERLINK("https://github.com/mostafa-saad/MyCompetitiveProgramming/blob/master/Olympiad/POI/POI-10-Pilots.txt","Sol")</f>
        <v>Sol</v>
      </c>
      <c r="E1373" s="31" t="s">
        <v>6040</v>
      </c>
      <c r="F1373" s="37" t="s">
        <v>242</v>
      </c>
      <c r="G1373" s="67"/>
      <c r="H1373" s="67"/>
    </row>
    <row r="1374" spans="1:8" ht="13.2">
      <c r="A1374" s="65" t="str">
        <f>HYPERLINK("https://codeforces.com/group/swEqtABRxe/contest/227531/problem/C", "IOIQ 18-onsite-C")</f>
        <v>IOIQ 18-onsite-C</v>
      </c>
      <c r="B1374" s="20" t="s">
        <v>7416</v>
      </c>
      <c r="C1374" s="17">
        <v>5.5</v>
      </c>
      <c r="D1374" s="65" t="str">
        <f>HYPERLINK("https://ideone.com/iyHw7X", "Sol")</f>
        <v>Sol</v>
      </c>
      <c r="E1374" s="31" t="s">
        <v>6040</v>
      </c>
      <c r="F1374" s="37" t="s">
        <v>139</v>
      </c>
      <c r="G1374" s="67"/>
      <c r="H1374" s="67"/>
    </row>
    <row r="1375" spans="1:8" ht="13.2">
      <c r="A1375" s="65" t="str">
        <f>HYPERLINK("https://szkopul.edu.pl/problemset/problem/4BL9eUWjrvT7ecMUJcmSuJI3/site/", "POI 10-Blocks")</f>
        <v>POI 10-Blocks</v>
      </c>
      <c r="B1375" s="37" t="s">
        <v>7417</v>
      </c>
      <c r="C1375" s="24">
        <v>5.5</v>
      </c>
      <c r="D1375" s="65" t="str">
        <f>HYPERLINK("https://ideone.com/iOUxs7","Sol")</f>
        <v>Sol</v>
      </c>
      <c r="E1375" s="31" t="s">
        <v>6040</v>
      </c>
      <c r="F1375" s="37" t="s">
        <v>139</v>
      </c>
      <c r="G1375" s="67"/>
      <c r="H1375" s="67"/>
    </row>
    <row r="1376" spans="1:8" ht="13.2">
      <c r="A1376" s="65" t="str">
        <f>HYPERLINK("https://oj.uz/problem/view/IOI16_molecules","IOI 16-molecules")</f>
        <v>IOI 16-molecules</v>
      </c>
      <c r="B1376" s="18" t="s">
        <v>6047</v>
      </c>
      <c r="C1376" s="17">
        <v>5.5</v>
      </c>
      <c r="D1376" s="65" t="str">
        <f>HYPERLINK("https://github.com/mostafa-saad/MyCompetitiveProgramming/blob/master/Olympiad/IOI/official/2016","Editorial")</f>
        <v>Editorial</v>
      </c>
      <c r="E1376" s="31" t="s">
        <v>6040</v>
      </c>
      <c r="F1376" s="37" t="s">
        <v>201</v>
      </c>
      <c r="G1376" s="67"/>
      <c r="H1376" s="67"/>
    </row>
    <row r="1377" spans="1:8" ht="13.2">
      <c r="A1377" s="65" t="str">
        <f>HYPERLINK("https://codeforces.com/group/swEqtABRxe/contest/227531/problem/C", "EOI_IOI 18-QR-C")</f>
        <v>EOI_IOI 18-QR-C</v>
      </c>
      <c r="B1377" s="37" t="s">
        <v>6054</v>
      </c>
      <c r="C1377" s="24">
        <v>5.5</v>
      </c>
      <c r="D1377" s="65" t="str">
        <f>HYPERLINK("https://ideone.com/iw7JBC", "Sol")</f>
        <v>Sol</v>
      </c>
      <c r="E1377" s="31" t="s">
        <v>6040</v>
      </c>
      <c r="F1377" s="37" t="s">
        <v>201</v>
      </c>
      <c r="G1377" s="67"/>
      <c r="H1377" s="67"/>
    </row>
    <row r="1378" spans="1:8" ht="13.2">
      <c r="A1378" s="65" t="str">
        <f>HYPERLINK("https://www.infoarena.ro/problema/drept2","infoarena drept2")</f>
        <v>infoarena drept2</v>
      </c>
      <c r="B1378" s="20" t="s">
        <v>7418</v>
      </c>
      <c r="C1378" s="21">
        <v>5.5</v>
      </c>
      <c r="D1378" s="69"/>
      <c r="E1378" s="31" t="s">
        <v>6040</v>
      </c>
      <c r="F1378" s="37"/>
      <c r="G1378" s="67"/>
      <c r="H1378" s="67"/>
    </row>
    <row r="1379" spans="1:8" ht="13.2">
      <c r="A1379" s="65" t="str">
        <f>HYPERLINK("https://boi18-day1-open.kattis.com/problems","Baltic 18-MartianDNA")</f>
        <v>Baltic 18-MartianDNA</v>
      </c>
      <c r="B1379" s="18" t="s">
        <v>7419</v>
      </c>
      <c r="C1379" s="17">
        <v>5</v>
      </c>
      <c r="D1379" s="65" t="str">
        <f>HYPERLINK("https://github.com/mostafa-saad/MyCompetitiveProgramming/blob/master/Olympiad/Baltic/Baltic-18-MartianDNA.txt","Sol")</f>
        <v>Sol</v>
      </c>
      <c r="E1379" s="31" t="s">
        <v>6040</v>
      </c>
      <c r="F1379" s="37" t="s">
        <v>139</v>
      </c>
      <c r="G1379" s="67"/>
      <c r="H1379" s="67"/>
    </row>
    <row r="1380" spans="1:8" ht="13.2">
      <c r="A1380" s="65" t="str">
        <f>HYPERLINK("https://csacademy.com/contest/ejoi-2017-day-2/task/game/","EJOI 17-game")</f>
        <v>EJOI 17-game</v>
      </c>
      <c r="B1380" s="20" t="s">
        <v>6054</v>
      </c>
      <c r="C1380" s="24">
        <v>5</v>
      </c>
      <c r="D1380" s="65" t="str">
        <f>HYPERLINK("https://github.com/Rockbet/Problems/blob/master/EJOI/2017/Day%202/Game.cpp","Sol")</f>
        <v>Sol</v>
      </c>
      <c r="E1380" s="31" t="s">
        <v>6040</v>
      </c>
      <c r="F1380" s="37" t="s">
        <v>139</v>
      </c>
      <c r="G1380" s="67"/>
      <c r="H1380" s="67"/>
    </row>
    <row r="1381" spans="1:8" ht="13.2">
      <c r="A1381" s="65" t="str">
        <f>HYPERLINK("https://cses.fi/106/list/","Baltic 10-Bins")</f>
        <v>Baltic 10-Bins</v>
      </c>
      <c r="B1381" s="23" t="s">
        <v>7420</v>
      </c>
      <c r="C1381" s="24">
        <v>5</v>
      </c>
      <c r="D1381" s="65" t="str">
        <f>HYPERLINK("https://github.com/mostafa-saad/MyCompetitiveProgramming/blob/master/Olympiad/Baltic/Baltic-10-Bins.txt","Sol")</f>
        <v>Sol</v>
      </c>
      <c r="E1381" s="31" t="s">
        <v>6040</v>
      </c>
      <c r="F1381" s="37" t="s">
        <v>139</v>
      </c>
      <c r="G1381" s="67"/>
      <c r="H1381" s="67"/>
    </row>
    <row r="1382" spans="1:8" ht="13.2">
      <c r="A1382" s="65" t="str">
        <f>HYPERLINK("http://usaco.org/index.php?page=viewproblem2&amp;cpid=924","USACO 19feb-cowdate-plat")</f>
        <v>USACO 19feb-cowdate-plat</v>
      </c>
      <c r="B1382" s="23" t="s">
        <v>7421</v>
      </c>
      <c r="C1382" s="24">
        <v>5</v>
      </c>
      <c r="D1382" s="69"/>
      <c r="E1382" s="31" t="s">
        <v>6040</v>
      </c>
      <c r="F1382" s="37" t="s">
        <v>201</v>
      </c>
      <c r="G1382" s="67"/>
      <c r="H1382" s="67"/>
    </row>
    <row r="1383" spans="1:8" ht="13.2">
      <c r="A1383" s="65" t="str">
        <f>HYPERLINK("https://oj.uz/problem/view/JOI19_ho_t2","JOI 19-ExhibitionBatch")</f>
        <v>JOI 19-ExhibitionBatch</v>
      </c>
      <c r="B1383" s="37" t="s">
        <v>7422</v>
      </c>
      <c r="C1383" s="24">
        <v>5</v>
      </c>
      <c r="D1383" s="69"/>
      <c r="E1383" s="31" t="s">
        <v>6040</v>
      </c>
      <c r="F1383" s="37"/>
      <c r="G1383" s="67"/>
      <c r="H1383" s="67"/>
    </row>
    <row r="1384" spans="1:8" ht="13.2">
      <c r="A1384" s="65" t="str">
        <f>HYPERLINK("http://usaco.org/index.php?page=viewproblem2&amp;cpid=229","USACO 13jan-lineup")</f>
        <v>USACO 13jan-lineup</v>
      </c>
      <c r="B1384" s="20" t="s">
        <v>6054</v>
      </c>
      <c r="C1384" s="21">
        <v>5</v>
      </c>
      <c r="D1384" s="65" t="str">
        <f>HYPERLINK("https://github.com/mostafa-saad/MyCompetitiveProgramming/blob/master/Olympiad/USACO/USACO-13jan-lineup.txt","Sol")</f>
        <v>Sol</v>
      </c>
      <c r="E1384" s="31" t="s">
        <v>6040</v>
      </c>
      <c r="F1384" s="37"/>
      <c r="G1384" s="67"/>
      <c r="H1384" s="67"/>
    </row>
    <row r="1385" spans="1:8" ht="13.2">
      <c r="A1385" s="65" t="str">
        <f>HYPERLINK("https://szkopul.edu.pl/problemset/problem/SXtZ8jxPUjMD5cLWqCI1EZLT/site/", "POI 13-Colorful")</f>
        <v>POI 13-Colorful</v>
      </c>
      <c r="B1385" s="20" t="s">
        <v>6054</v>
      </c>
      <c r="C1385" s="17">
        <v>5</v>
      </c>
      <c r="D1385" s="65" t="str">
        <f>HYPERLINK("https://github.com/mostafa-saad/MyCompetitiveProgramming/blob/master/Olympiad/POI/official/find_editorial_sols_guidelines.txt","Editorial")</f>
        <v>Editorial</v>
      </c>
      <c r="E1385" s="31" t="s">
        <v>6040</v>
      </c>
      <c r="F1385" s="37"/>
      <c r="G1385" s="67"/>
      <c r="H1385" s="67"/>
    </row>
    <row r="1386" spans="1:8" ht="13.2">
      <c r="A1386" s="65" t="str">
        <f>HYPERLINK("https://www.infoarena.ro/problema/lautari","Infoarena lautari")</f>
        <v>Infoarena lautari</v>
      </c>
      <c r="B1386" s="20" t="s">
        <v>7419</v>
      </c>
      <c r="C1386" s="21">
        <v>4</v>
      </c>
      <c r="D1386" s="65" t="str">
        <f>HYPERLINK("https://github.com/stefdasca/CompetitiveProgramming/blob/master/Infoarena/lautari.cpp","Sol")</f>
        <v>Sol</v>
      </c>
      <c r="E1386" s="31" t="s">
        <v>6040</v>
      </c>
      <c r="F1386" s="37"/>
      <c r="G1386" s="67"/>
      <c r="H1386" s="67"/>
    </row>
    <row r="1387" spans="1:8" ht="13.2">
      <c r="A1387" s="65" t="str">
        <f>HYPERLINK("https://oj.uz/problem/view/JOI20_ho_t2","JOI 20-JJOOII2")</f>
        <v>JOI 20-JJOOII2</v>
      </c>
      <c r="B1387" s="25" t="s">
        <v>7423</v>
      </c>
      <c r="C1387" s="24">
        <v>4</v>
      </c>
      <c r="D1387" s="65" t="str">
        <f>HYPERLINK("https://github.com/dolphingarlic/CompetitiveProgramming/blob/master/JOI/JOI%2020-jjooii.cpp","Sol")</f>
        <v>Sol</v>
      </c>
      <c r="E1387" s="31" t="s">
        <v>6040</v>
      </c>
      <c r="F1387" s="37"/>
      <c r="G1387" s="67"/>
      <c r="H1387" s="67"/>
    </row>
    <row r="1388" spans="1:8" ht="13.2">
      <c r="A1388" s="65" t="str">
        <f>HYPERLINK("https://codeforces.com/group/swEqtABRxe/contest/243427/problem/B", "EOIQ 18-r2-B")</f>
        <v>EOIQ 18-r2-B</v>
      </c>
      <c r="B1388" s="20" t="s">
        <v>7424</v>
      </c>
      <c r="C1388" s="17">
        <v>4</v>
      </c>
      <c r="D1388" s="69"/>
      <c r="E1388" s="31" t="s">
        <v>6040</v>
      </c>
      <c r="F1388" s="37"/>
      <c r="G1388" s="67"/>
      <c r="H1388" s="67"/>
    </row>
    <row r="1389" spans="1:8" ht="13.2">
      <c r="A1389" s="65" t="str">
        <f>HYPERLINK("https://oj.uz/problem/view/COCI16_nizin","COCI 16-nizin")</f>
        <v>COCI 16-nizin</v>
      </c>
      <c r="B1389" s="20" t="s">
        <v>6054</v>
      </c>
      <c r="C1389" s="24">
        <v>3</v>
      </c>
      <c r="D1389" s="65" t="str">
        <f>HYPERLINK("https://github.com/mostafa-saad/MyCompetitiveProgramming/blob/master/Olympiad/COCI/official/2017/contest2_solutions","Editorial")</f>
        <v>Editorial</v>
      </c>
      <c r="E1389" s="31" t="s">
        <v>6040</v>
      </c>
      <c r="F1389" s="37"/>
      <c r="G1389" s="67"/>
      <c r="H1389" s="67"/>
    </row>
    <row r="1390" spans="1:8" ht="13.2">
      <c r="A1390" s="65" t="str">
        <f>HYPERLINK("https://oj.uz/problem/view/BOI15_bow","Baltic 15-bow")</f>
        <v>Baltic 15-bow</v>
      </c>
      <c r="B1390" s="20" t="s">
        <v>7425</v>
      </c>
      <c r="C1390" s="24">
        <v>7</v>
      </c>
      <c r="D1390" s="65" t="str">
        <f>HYPERLINK("https://github.com/mostafa-saad/MyCompetitiveProgramming/blob/master/Olympiad/Baltic/Baltic-15-bow.txt","Sol")</f>
        <v>Sol</v>
      </c>
      <c r="E1390" s="31" t="s">
        <v>6075</v>
      </c>
      <c r="F1390" s="37"/>
      <c r="G1390" s="67"/>
      <c r="H1390" s="67"/>
    </row>
    <row r="1391" spans="1:8" ht="13.2">
      <c r="A1391" s="65" t="str">
        <f>HYPERLINK("https://wcipeg.com/problem/coi07p2","COI 07-Kolekcija")</f>
        <v>COI 07-Kolekcija</v>
      </c>
      <c r="B1391" s="37" t="s">
        <v>7426</v>
      </c>
      <c r="C1391" s="24">
        <v>6.3</v>
      </c>
      <c r="D1391" s="65" t="str">
        <f>HYPERLINK("https://github.com/mostafa-saad/MyCompetitiveProgramming/blob/master/Olympiad/COI/COI_07-Kolekcija.txt","Sol")</f>
        <v>Sol</v>
      </c>
      <c r="E1391" s="31" t="s">
        <v>6075</v>
      </c>
      <c r="F1391" s="37" t="s">
        <v>196</v>
      </c>
      <c r="G1391" s="67"/>
      <c r="H1391" s="67"/>
    </row>
    <row r="1392" spans="1:8" ht="13.2">
      <c r="A1392" s="65" t="str">
        <f>HYPERLINK("https://oj.uz/problem/view/IOI08_linear_garden","IOI 08-linear")</f>
        <v>IOI 08-linear</v>
      </c>
      <c r="B1392" s="18" t="s">
        <v>7427</v>
      </c>
      <c r="C1392" s="24">
        <v>5.75</v>
      </c>
      <c r="D1392" s="65" t="str">
        <f>HYPERLINK("https://github.com/mostafa-saad/MyCompetitiveProgramming/blob/master/Olympiad/IOI/IOI-08-linear.txt","Sol")</f>
        <v>Sol</v>
      </c>
      <c r="E1392" s="31" t="s">
        <v>6075</v>
      </c>
      <c r="F1392" s="37" t="s">
        <v>139</v>
      </c>
      <c r="G1392" s="67"/>
      <c r="H1392" s="67"/>
    </row>
    <row r="1393" spans="1:8" ht="13.2">
      <c r="A1393" s="65" t="str">
        <f>HYPERLINK("https://www.acmicpc.net/problem/7054","CEOI 03-Trip")</f>
        <v>CEOI 03-Trip</v>
      </c>
      <c r="B1393" s="37" t="s">
        <v>7428</v>
      </c>
      <c r="C1393" s="24">
        <v>5.5</v>
      </c>
      <c r="D1393" s="65" t="str">
        <f>HYPERLINK("https://github.com/mostafa-saad/MyCompetitiveProgramming/tree/master/Olympiad/CEOI/official/2003","Editorial")</f>
        <v>Editorial</v>
      </c>
      <c r="E1393" s="31" t="s">
        <v>6075</v>
      </c>
      <c r="F1393" s="37" t="s">
        <v>201</v>
      </c>
      <c r="G1393" s="67"/>
      <c r="H1393" s="67"/>
    </row>
    <row r="1394" spans="1:8" ht="13.2">
      <c r="A1394" s="65" t="str">
        <f>HYPERLINK("https://oj.uz/problem/view/COI15_nafta","COI 15-nafta")</f>
        <v>COI 15-nafta</v>
      </c>
      <c r="B1394" s="20" t="s">
        <v>6100</v>
      </c>
      <c r="C1394" s="24">
        <v>6.75</v>
      </c>
      <c r="D1394" s="65" t="str">
        <f>HYPERLINK("https://github.com/mostafa-saad/MyCompetitiveProgramming/blob/master/Olympiad/COI/COI-15-nafta.txt","Sol")</f>
        <v>Sol</v>
      </c>
      <c r="E1394" s="31" t="s">
        <v>6098</v>
      </c>
      <c r="F1394" s="37" t="s">
        <v>139</v>
      </c>
      <c r="G1394" s="67"/>
      <c r="H1394" s="67"/>
    </row>
    <row r="1395" spans="1:8" ht="13.2">
      <c r="A1395" s="65" t="str">
        <f>HYPERLINK("http://usaco.org/index.php?page=viewproblem2&amp;cpid=626","USACO 16feb-cbarn-plat")</f>
        <v>USACO 16feb-cbarn-plat</v>
      </c>
      <c r="B1395" s="20" t="s">
        <v>7429</v>
      </c>
      <c r="C1395" s="24">
        <v>6.5</v>
      </c>
      <c r="D1395" s="65" t="str">
        <f>HYPERLINK("https://github.com/thecodingwizard/competitive-programming/blob/master/USACO/2016feb/plat/cbarn.cpp","Sol")</f>
        <v>Sol</v>
      </c>
      <c r="E1395" s="31" t="s">
        <v>6098</v>
      </c>
      <c r="F1395" s="37" t="s">
        <v>201</v>
      </c>
      <c r="G1395" s="67"/>
      <c r="H1395" s="67"/>
    </row>
    <row r="1396" spans="1:8" ht="13.2">
      <c r="A1396" s="65" t="str">
        <f>HYPERLINK("https://codeforces.com/group/swEqtABRxe/contest/243429/problem/A", "EOI 18-d1-A")</f>
        <v>EOI 18-d1-A</v>
      </c>
      <c r="B1396" s="20" t="s">
        <v>7430</v>
      </c>
      <c r="C1396" s="17">
        <v>6</v>
      </c>
      <c r="D1396" s="69"/>
      <c r="E1396" s="31" t="s">
        <v>6098</v>
      </c>
      <c r="F1396" s="37"/>
      <c r="G1396" s="67"/>
      <c r="H1396" s="67"/>
    </row>
    <row r="1397" spans="1:8" ht="13.2">
      <c r="A1397" s="65" t="str">
        <f>HYPERLINK("https://wcipeg.com/problem/coi07p4","COI 07-Umnozak")</f>
        <v>COI 07-Umnozak</v>
      </c>
      <c r="B1397" s="37" t="s">
        <v>6122</v>
      </c>
      <c r="C1397" s="24">
        <v>6.75</v>
      </c>
      <c r="D1397" s="65" t="str">
        <f>HYPERLINK("https://github.com/mostafa-saad/MyCompetitiveProgramming/blob/master/Olympiad/COI/COI-07-Umnozak.txt","Sol")</f>
        <v>Sol</v>
      </c>
      <c r="E1397" s="31" t="s">
        <v>6118</v>
      </c>
      <c r="F1397" s="37" t="s">
        <v>154</v>
      </c>
      <c r="G1397" s="67"/>
      <c r="H1397" s="67"/>
    </row>
    <row r="1398" spans="1:8" ht="13.2">
      <c r="A1398" s="65" t="str">
        <f>HYPERLINK("https://cses.fi/113/list/","Baltic 08-Magical")</f>
        <v>Baltic 08-Magical</v>
      </c>
      <c r="B1398" s="37" t="s">
        <v>7431</v>
      </c>
      <c r="C1398" s="24">
        <v>6.75</v>
      </c>
      <c r="D1398" s="65" t="str">
        <f>HYPERLINK("https://github.com/mostafa-saad/MyCompetitiveProgramming/blob/master/Olympiad/Baltic/Baltic-08-Magical.txt","Sol")</f>
        <v>Sol</v>
      </c>
      <c r="E1398" s="31" t="s">
        <v>6118</v>
      </c>
      <c r="F1398" s="37"/>
      <c r="G1398" s="67"/>
      <c r="H1398" s="67"/>
    </row>
    <row r="1399" spans="1:8" ht="13.2">
      <c r="A1399" s="65" t="str">
        <f>HYPERLINK("https://dunjudge.me/analysis/problems/1408/","COCI 13-parovi")</f>
        <v>COCI 13-parovi</v>
      </c>
      <c r="B1399" s="15" t="s">
        <v>7432</v>
      </c>
      <c r="C1399" s="24">
        <v>6</v>
      </c>
      <c r="D1399" s="65" t="str">
        <f>HYPERLINK("https://github.com/mostafa-saad/MyCompetitiveProgramming/blob/master/Olympiad/COCI/COCI-13-parovi.txt","Sol")</f>
        <v>Sol</v>
      </c>
      <c r="E1399" s="31" t="s">
        <v>6118</v>
      </c>
      <c r="F1399" s="37" t="s">
        <v>139</v>
      </c>
      <c r="G1399" s="67"/>
      <c r="H1399" s="67"/>
    </row>
    <row r="1400" spans="1:8" ht="13.2">
      <c r="A1400" s="65" t="str">
        <f>HYPERLINK("https://oj.uz/problem/view/BOI13_numbers","Baltic 13-numbers")</f>
        <v>Baltic 13-numbers</v>
      </c>
      <c r="B1400" s="20" t="s">
        <v>7433</v>
      </c>
      <c r="C1400" s="24">
        <v>5.5</v>
      </c>
      <c r="D1400" s="65" t="str">
        <f>HYPERLINK("https://github.com/mostafa-saad/MyCompetitiveProgramming/blob/master/Olympiad/Baltic/Baltic-13-numbers.txt","Sol")</f>
        <v>Sol</v>
      </c>
      <c r="E1400" s="31" t="s">
        <v>6118</v>
      </c>
      <c r="F1400" s="37" t="s">
        <v>201</v>
      </c>
      <c r="G1400" s="67"/>
      <c r="H1400" s="67"/>
    </row>
    <row r="1401" spans="1:8" ht="13.2">
      <c r="A1401" s="65" t="str">
        <f>HYPERLINK("https://dmoj.ca/problem/coci08c5p5","COCI 08-Tresnja")</f>
        <v>COCI 08-Tresnja</v>
      </c>
      <c r="B1401" s="15" t="s">
        <v>6122</v>
      </c>
      <c r="C1401" s="24">
        <v>5.5</v>
      </c>
      <c r="D1401" s="65" t="str">
        <f>HYPERLINK("https://github.com/mostafa-saad/MyCompetitiveProgramming/blob/master/Olympiad/COCI/COCI-08-Tresnja.txt","Sol")</f>
        <v>Sol</v>
      </c>
      <c r="E1401" s="31" t="s">
        <v>6118</v>
      </c>
      <c r="F1401" s="37" t="s">
        <v>201</v>
      </c>
      <c r="G1401" s="67"/>
      <c r="H1401" s="67"/>
    </row>
    <row r="1402" spans="1:8" ht="13.2">
      <c r="A1402" s="65" t="str">
        <f>HYPERLINK("https://dmoj.ca/problem/coci07c3p5","COCI 07-Cudak")</f>
        <v>COCI 07-Cudak</v>
      </c>
      <c r="B1402" s="15" t="s">
        <v>6122</v>
      </c>
      <c r="C1402" s="24">
        <v>5.5</v>
      </c>
      <c r="D1402" s="65" t="str">
        <f>HYPERLINK("https://github.com/mostafa-saad/MyCompetitiveProgramming/tree/master/Olympiad/COCI/official/2008/contest3_solutions","Editorial")</f>
        <v>Editorial</v>
      </c>
      <c r="E1402" s="31" t="s">
        <v>6118</v>
      </c>
      <c r="F1402" s="37" t="s">
        <v>201</v>
      </c>
      <c r="G1402" s="67"/>
      <c r="H1402" s="67"/>
    </row>
    <row r="1403" spans="1:8" ht="13.2">
      <c r="A1403" s="65" t="str">
        <f>HYPERLINK("https://www.infoarena.ro/problema/cifra4","infoarena cifra4")</f>
        <v>infoarena cifra4</v>
      </c>
      <c r="B1403" s="20" t="s">
        <v>7434</v>
      </c>
      <c r="C1403" s="21">
        <v>5</v>
      </c>
      <c r="D1403" s="65" t="str">
        <f>HYPERLINK("https://github.com/stefdasca/CompetitiveProgramming/blob/master/Infoarena/cifra4.cpp","Sol")</f>
        <v>Sol</v>
      </c>
      <c r="E1403" s="31" t="s">
        <v>6118</v>
      </c>
      <c r="F1403" s="37"/>
      <c r="G1403" s="67"/>
      <c r="H1403" s="67"/>
    </row>
    <row r="1404" spans="1:8" ht="13.2">
      <c r="A1404" s="65" t="str">
        <f>HYPERLINK("https://oj.uz/problem/view/APIO14_beads","APIO 14-Beads")</f>
        <v>APIO 14-Beads</v>
      </c>
      <c r="B1404" s="20" t="s">
        <v>7435</v>
      </c>
      <c r="C1404" s="17">
        <v>7.1</v>
      </c>
      <c r="D1404" s="65" t="str">
        <f>HYPERLINK("https://github.com/tmwilliamlin168/CompetitiveProgramming/blob/master/APIO/14-Beads.cpp", "Sol")</f>
        <v>Sol</v>
      </c>
      <c r="E1404" s="31" t="s">
        <v>6151</v>
      </c>
      <c r="F1404" s="37"/>
      <c r="G1404" s="67"/>
      <c r="H1404" s="67"/>
    </row>
    <row r="1405" spans="1:8" ht="13.2">
      <c r="A1405" s="65" t="str">
        <f>HYPERLINK("https://dmoj.ca/problem/apio10p2", "APIO 10-Patrol")</f>
        <v>APIO 10-Patrol</v>
      </c>
      <c r="B1405" s="20" t="s">
        <v>7436</v>
      </c>
      <c r="C1405" s="17">
        <v>6.8</v>
      </c>
      <c r="D1405" s="65" t="str">
        <f>HYPERLINK("https://github.com/mostafa-saad/MyCompetitiveProgramming/blob/master/Olympiad/APIO/APIO-10-Patrol.txt","Sol")</f>
        <v>Sol</v>
      </c>
      <c r="E1405" s="31" t="s">
        <v>6151</v>
      </c>
      <c r="F1405" s="37" t="s">
        <v>154</v>
      </c>
      <c r="G1405" s="67"/>
      <c r="H1405" s="67"/>
    </row>
    <row r="1406" spans="1:8" ht="13.2">
      <c r="A1406" s="65" t="str">
        <f>HYPERLINK("https://cses.fi/112/list/","Baltic 07-Points")</f>
        <v>Baltic 07-Points</v>
      </c>
      <c r="B1406" s="37" t="s">
        <v>7437</v>
      </c>
      <c r="C1406" s="24">
        <v>6.5</v>
      </c>
      <c r="D1406" s="65" t="str">
        <f>HYPERLINK("https://github.com/mostafa-saad/MyCompetitiveProgramming/blob/master/Olympiad/Baltic/Baltic-07-Points.txt","Sol")</f>
        <v>Sol</v>
      </c>
      <c r="E1406" s="31" t="s">
        <v>6157</v>
      </c>
      <c r="F1406" s="37" t="s">
        <v>201</v>
      </c>
      <c r="G1406" s="67"/>
      <c r="H1406" s="67"/>
    </row>
    <row r="1407" spans="1:8" ht="13.2">
      <c r="A1407" s="65" t="str">
        <f>HYPERLINK("https://www.acmicpc.net/problem/7055","CEOI 02-Bugs")</f>
        <v>CEOI 02-Bugs</v>
      </c>
      <c r="B1407" s="37" t="s">
        <v>6160</v>
      </c>
      <c r="C1407" s="24">
        <v>6.5</v>
      </c>
      <c r="D1407" s="65" t="str">
        <f>HYPERLINK("https://github.com/mostafa-saad/MyCompetitiveProgramming/blob/master/Olympiad/CEOI/CEOI-02-Bugs.txt","Sol")</f>
        <v>Sol</v>
      </c>
      <c r="E1407" s="31" t="s">
        <v>6157</v>
      </c>
      <c r="F1407" s="37"/>
      <c r="G1407" s="67"/>
      <c r="H1407" s="67"/>
    </row>
    <row r="1408" spans="1:8" ht="13.2">
      <c r="A1408" s="65" t="str">
        <f>HYPERLINK("https://oj.uz/problem/view/IZhO18_sequence","IZhO 18-sequence")</f>
        <v>IZhO 18-sequence</v>
      </c>
      <c r="B1408" s="20" t="s">
        <v>6208</v>
      </c>
      <c r="C1408" s="24">
        <v>7</v>
      </c>
      <c r="D1408" s="69"/>
      <c r="E1408" s="31" t="s">
        <v>6205</v>
      </c>
      <c r="F1408" s="37"/>
      <c r="G1408" s="67"/>
      <c r="H1408" s="67"/>
    </row>
    <row r="1409" spans="1:8" ht="13.2">
      <c r="A1409" s="65" t="str">
        <f>HYPERLINK("https://oj.uz/problem/view/BOI14_coprobber","Baltic 14-coprobber")</f>
        <v>Baltic 14-coprobber</v>
      </c>
      <c r="B1409" s="20" t="s">
        <v>7438</v>
      </c>
      <c r="C1409" s="24">
        <v>6.5</v>
      </c>
      <c r="D1409" s="65" t="str">
        <f>HYPERLINK("https://github.com/mostafa-saad/MyCompetitiveProgramming/blob/master/Olympiad/Baltic/Baltic-14-coprobber.txt","Sol")</f>
        <v>Sol</v>
      </c>
      <c r="E1409" s="31" t="s">
        <v>6205</v>
      </c>
      <c r="F1409" s="37" t="s">
        <v>1053</v>
      </c>
      <c r="G1409" s="67"/>
      <c r="H1409" s="67"/>
    </row>
    <row r="1410" spans="1:8" ht="13.2">
      <c r="A1410" s="65" t="str">
        <f>HYPERLINK("https://oj.uz/problem/view/BOI13_pipes","Baltic 13-pipes")</f>
        <v>Baltic 13-pipes</v>
      </c>
      <c r="B1410" s="20" t="s">
        <v>7439</v>
      </c>
      <c r="C1410" s="24">
        <v>6</v>
      </c>
      <c r="D1410" s="65" t="str">
        <f>HYPERLINK("https://github.com/mostafa-saad/MyCompetitiveProgramming/blob/master/Olympiad/Baltic/Baltic-13-pipes.txt","Sol")</f>
        <v>Sol</v>
      </c>
      <c r="E1410" s="31" t="s">
        <v>6205</v>
      </c>
      <c r="F1410" s="37" t="s">
        <v>154</v>
      </c>
      <c r="G1410" s="67"/>
      <c r="H1410" s="67"/>
    </row>
    <row r="1411" spans="1:8" ht="13.2">
      <c r="A1411" s="65" t="str">
        <f>HYPERLINK("https://dmoj.ca/problem/coci16c1p3","COCI 16-cezar")</f>
        <v>COCI 16-cezar</v>
      </c>
      <c r="B1411" s="20" t="s">
        <v>7440</v>
      </c>
      <c r="C1411" s="21">
        <v>5.75</v>
      </c>
      <c r="D1411" s="65" t="str">
        <f>HYPERLINK("https://github.com/nikolapesic2802/Programming-Practice/blob/master/Cezar/main.cpp","Sol")</f>
        <v>Sol</v>
      </c>
      <c r="E1411" s="31" t="s">
        <v>6205</v>
      </c>
      <c r="F1411" s="37" t="s">
        <v>201</v>
      </c>
      <c r="G1411" s="67"/>
      <c r="H1411" s="67"/>
    </row>
    <row r="1412" spans="1:8" ht="13.2">
      <c r="A1412" s="65" t="str">
        <f>HYPERLINK("https://dunjudge.me/analysis/problems/274/","NOI 08-rank")</f>
        <v>NOI 08-rank</v>
      </c>
      <c r="B1412" s="37" t="s">
        <v>7441</v>
      </c>
      <c r="C1412" s="24">
        <v>4</v>
      </c>
      <c r="D1412" s="65" t="str">
        <f>HYPERLINK("https://github.com/mostafa-saad/MyCompetitiveProgramming/blob/master/Olympiad/NOI/official","Editorial")</f>
        <v>Editorial</v>
      </c>
      <c r="E1412" s="31" t="s">
        <v>6205</v>
      </c>
      <c r="F1412" s="37"/>
      <c r="G1412" s="67"/>
      <c r="H1412" s="67"/>
    </row>
    <row r="1413" spans="1:8" ht="13.2">
      <c r="A1413" s="65" t="str">
        <f>HYPERLINK("https://www.infoarena.ro/problema/pm2","infoarena pm2")</f>
        <v>infoarena pm2</v>
      </c>
      <c r="B1413" s="20" t="s">
        <v>7442</v>
      </c>
      <c r="C1413" s="21">
        <v>3.5</v>
      </c>
      <c r="D1413" s="65" t="str">
        <f>HYPERLINK("https://github.com/stefdasca/CompetitiveProgramming/blob/master/Infoarena/pm2.cpp","Sol")</f>
        <v>Sol</v>
      </c>
      <c r="E1413" s="31" t="s">
        <v>6205</v>
      </c>
      <c r="F1413" s="37"/>
      <c r="G1413" s="67"/>
      <c r="H1413" s="67"/>
    </row>
    <row r="1414" spans="1:8" ht="13.2">
      <c r="A1414" s="65" t="str">
        <f>HYPERLINK("https://cses.fi/111/list/","Baltic 07-Escape")</f>
        <v>Baltic 07-Escape</v>
      </c>
      <c r="B1414" s="37" t="s">
        <v>7443</v>
      </c>
      <c r="C1414" s="24">
        <v>5.75</v>
      </c>
      <c r="D1414" s="65" t="str">
        <f>HYPERLINK("https://github.com/mostafa-saad/MyCompetitiveProgramming/blob/master/Olympiad/Baltic/Baltic-07-Escape.txt","Sol")</f>
        <v>Sol</v>
      </c>
      <c r="E1414" s="31" t="s">
        <v>6246</v>
      </c>
      <c r="F1414" s="37" t="s">
        <v>201</v>
      </c>
      <c r="G1414" s="67"/>
      <c r="H1414" s="67"/>
    </row>
    <row r="1415" spans="1:8" ht="13.2">
      <c r="A1415" s="65" t="str">
        <f>HYPERLINK("https://dunjudge.me/analysis/problems/974/","MCOCAMP 16-flipbrackets")</f>
        <v>MCOCAMP 16-flipbrackets</v>
      </c>
      <c r="B1415" s="37" t="s">
        <v>7444</v>
      </c>
      <c r="C1415" s="24">
        <v>8</v>
      </c>
      <c r="D1415" s="65" t="str">
        <f>HYPERLINK("https://github.com/fyquah95/ioi-malaysia-2016-training-camp","Sol (no editorial)")</f>
        <v>Sol (no editorial)</v>
      </c>
      <c r="E1415" s="31" t="s">
        <v>6311</v>
      </c>
      <c r="F1415" s="37"/>
      <c r="G1415" s="67"/>
      <c r="H1415" s="67"/>
    </row>
    <row r="1416" spans="1:8" ht="13.2">
      <c r="A1416" s="65" t="str">
        <f>HYPERLINK("https://oj.uz/problems/source/313","JOISC 18-construction")</f>
        <v>JOISC 18-construction</v>
      </c>
      <c r="B1416" s="15" t="s">
        <v>7445</v>
      </c>
      <c r="C1416" s="24">
        <v>7.25</v>
      </c>
      <c r="D1416" s="65" t="str">
        <f>HYPERLINK("https://github.com/mostafa-saad/MyCompetitiveProgramming/blob/master/Olympiad/JOI/JOISC-18-construction.txt","Sol")</f>
        <v>Sol</v>
      </c>
      <c r="E1416" s="31" t="s">
        <v>6311</v>
      </c>
      <c r="F1416" s="37" t="s">
        <v>154</v>
      </c>
      <c r="G1416" s="67"/>
      <c r="H1416" s="67"/>
    </row>
    <row r="1417" spans="1:8" ht="13.2">
      <c r="A1417" s="65" t="str">
        <f>HYPERLINK("https://www.infoarena.ro/problema/disconnect", "infoarena disconnect")</f>
        <v>infoarena disconnect</v>
      </c>
      <c r="B1417" s="20" t="s">
        <v>7446</v>
      </c>
      <c r="C1417" s="17">
        <v>7</v>
      </c>
      <c r="D1417" s="65" t="str">
        <f>HYPERLINK("https://github.com/mostafa-saad/MyCompetitiveProgramming/blob/master/Olympiad/infoarena/infoarena-disconnect.txt","Sol")</f>
        <v>Sol</v>
      </c>
      <c r="E1417" s="31" t="s">
        <v>6311</v>
      </c>
      <c r="F1417" s="37" t="s">
        <v>139</v>
      </c>
      <c r="G1417" s="67"/>
      <c r="H1417" s="67"/>
    </row>
    <row r="1418" spans="1:8" ht="13.2">
      <c r="A1418" s="65" t="str">
        <f>HYPERLINK("https://wcipeg.com/problem/coi08p2","COI 08-Otoci")</f>
        <v>COI 08-Otoci</v>
      </c>
      <c r="B1418" s="15" t="s">
        <v>7447</v>
      </c>
      <c r="C1418" s="24">
        <v>6.5</v>
      </c>
      <c r="D1418" s="65" t="str">
        <f>HYPERLINK("https://github.com/mostafa-saad/MyCompetitiveProgramming/blob/master/Olympiad/COI/COI-08-Otoci.txt","Sol")</f>
        <v>Sol</v>
      </c>
      <c r="E1418" s="31" t="s">
        <v>6311</v>
      </c>
      <c r="F1418" s="37" t="s">
        <v>139</v>
      </c>
      <c r="G1418" s="67"/>
      <c r="H1418" s="67"/>
    </row>
    <row r="1419" spans="1:8" ht="13.2">
      <c r="A1419" s="65" t="str">
        <f>HYPERLINK("http://usaco.org/index.php?page=viewproblem2&amp;cpid=921","USACO 19feb-gold-cowland")</f>
        <v>USACO 19feb-gold-cowland</v>
      </c>
      <c r="B1419" s="37" t="s">
        <v>6320</v>
      </c>
      <c r="C1419" s="24">
        <v>5</v>
      </c>
      <c r="D1419" s="69"/>
      <c r="E1419" s="31" t="s">
        <v>6311</v>
      </c>
      <c r="F1419" s="37"/>
      <c r="G1419" s="67"/>
      <c r="H1419" s="67"/>
    </row>
    <row r="1420" spans="1:8" ht="13.2">
      <c r="A1420" s="65" t="str">
        <f>HYPERLINK("https://oj.uz/problem/view/JOI19_designated_cities","JOISC 19-designated-cities")</f>
        <v>JOISC 19-designated-cities</v>
      </c>
      <c r="B1420" s="20" t="s">
        <v>7448</v>
      </c>
      <c r="C1420" s="21">
        <v>7</v>
      </c>
      <c r="D1420" s="69"/>
      <c r="E1420" s="31" t="s">
        <v>6345</v>
      </c>
      <c r="F1420" s="37"/>
      <c r="G1420" s="67"/>
      <c r="H1420" s="67"/>
    </row>
    <row r="1421" spans="1:8" ht="13.2">
      <c r="A1421" s="65" t="str">
        <f>HYPERLINK("https://contest.yandex.ru/roiarchive/contest/3926/problems/8/","RusOI-reg 13-capitals")</f>
        <v>RusOI-reg 13-capitals</v>
      </c>
      <c r="B1421" s="20" t="s">
        <v>7449</v>
      </c>
      <c r="C1421" s="21">
        <v>6.75</v>
      </c>
      <c r="D1421" s="65" t="str">
        <f>HYPERLINK("https://github.com/SpeedOfMagic/CompetitiveProgramming/blob/master/RusOI-reg/13-capitals.cpp","Sol")</f>
        <v>Sol</v>
      </c>
      <c r="E1421" s="31" t="s">
        <v>6345</v>
      </c>
      <c r="F1421" s="37" t="s">
        <v>139</v>
      </c>
      <c r="G1421" s="67"/>
      <c r="H1421" s="67"/>
    </row>
    <row r="1422" spans="1:8" ht="13.2">
      <c r="A1422" s="65" t="str">
        <f>HYPERLINK("https://oj.uz/problem/view/COCI19_transport","COCI 19-transport")</f>
        <v>COCI 19-transport</v>
      </c>
      <c r="B1422" s="20" t="s">
        <v>7450</v>
      </c>
      <c r="C1422" s="21">
        <v>6.3</v>
      </c>
      <c r="D1422" s="65" t="str">
        <f>HYPERLINK("https://github.com/mostafa-saad/MyCompetitiveProgramming/blob/master/Olympiad/COCI/COCI-19-transport.txt","Sol")</f>
        <v>Sol</v>
      </c>
      <c r="E1422" s="31" t="s">
        <v>6345</v>
      </c>
      <c r="F1422" s="37" t="s">
        <v>154</v>
      </c>
      <c r="G1422" s="67"/>
      <c r="H1422" s="67"/>
    </row>
    <row r="1423" spans="1:8" ht="13.2">
      <c r="A1423" s="65" t="str">
        <f>HYPERLINK("https://dmoj.ca/problem/dmopc18c3p4","DMOPC 18-BobEnglishClass")</f>
        <v>DMOPC 18-BobEnglishClass</v>
      </c>
      <c r="B1423" s="37" t="s">
        <v>7451</v>
      </c>
      <c r="C1423" s="24">
        <v>6.3</v>
      </c>
      <c r="D1423" s="65" t="str">
        <f>HYPERLINK("https://github.com/mostafa-saad/MyCompetitiveProgramming/blob/master/Olympiad/Misc/DMOPC-18-BobEnglishClass.txt","Sol")</f>
        <v>Sol</v>
      </c>
      <c r="E1423" s="31" t="s">
        <v>6345</v>
      </c>
      <c r="F1423" s="37" t="s">
        <v>139</v>
      </c>
      <c r="G1423" s="67"/>
      <c r="H1423" s="67"/>
    </row>
    <row r="1424" spans="1:8" ht="13.2">
      <c r="A1424" s="65" t="str">
        <f>HYPERLINK("http://usaco.org/index.php?page=viewproblem2&amp;cpid=817", "USACO 18feb-newbarn-plat")</f>
        <v>USACO 18feb-newbarn-plat</v>
      </c>
      <c r="B1424" s="20" t="s">
        <v>7452</v>
      </c>
      <c r="C1424" s="21">
        <v>6.25</v>
      </c>
      <c r="D1424" s="69"/>
      <c r="E1424" s="31" t="s">
        <v>6345</v>
      </c>
      <c r="F1424" s="37" t="s">
        <v>201</v>
      </c>
      <c r="G1424" s="67"/>
      <c r="H1424" s="67"/>
    </row>
    <row r="1425" spans="1:8" ht="13.2">
      <c r="A1425" s="65" t="str">
        <f>HYPERLINK("https://oj.uz/problem/view/COI17_zagrade","COI 17-zagrade")</f>
        <v>COI 17-zagrade</v>
      </c>
      <c r="B1425" s="20" t="s">
        <v>7453</v>
      </c>
      <c r="C1425" s="24">
        <v>6.25</v>
      </c>
      <c r="D1425" s="65" t="str">
        <f>HYPERLINK("https://github.com/mostafa-saad/MyCompetitiveProgramming/blob/master/Olympiad/COI/COI-17-zagrade.txt","Sol")</f>
        <v>Sol</v>
      </c>
      <c r="E1425" s="31" t="s">
        <v>6345</v>
      </c>
      <c r="F1425" s="37"/>
      <c r="G1425" s="67"/>
      <c r="H1425" s="67"/>
    </row>
    <row r="1426" spans="1:8" ht="13.2">
      <c r="A1426" s="65" t="str">
        <f>HYPERLINK("https://oj.uz/problem/view/JOI14_factories","JOIOC 14-factories")</f>
        <v>JOIOC 14-factories</v>
      </c>
      <c r="B1426" s="15" t="s">
        <v>7454</v>
      </c>
      <c r="C1426" s="17">
        <v>6</v>
      </c>
      <c r="D1426" s="65" t="str">
        <f>HYPERLINK("https://github.com/Yehezkiel01/CompetitiveProgramming/blob/master/JOIOC/JOIOC-14-factories.cpp","Sol")</f>
        <v>Sol</v>
      </c>
      <c r="E1426" s="31" t="s">
        <v>6345</v>
      </c>
      <c r="F1426" s="37" t="s">
        <v>139</v>
      </c>
      <c r="G1426" s="67"/>
      <c r="H1426" s="67"/>
    </row>
    <row r="1427" spans="1:8" ht="13.2">
      <c r="A1427" s="65" t="str">
        <f>HYPERLINK("https://open.kattis.com/problems/catinatree","Baltic 17-Cat")</f>
        <v>Baltic 17-Cat</v>
      </c>
      <c r="B1427" s="18" t="s">
        <v>7455</v>
      </c>
      <c r="C1427" s="17">
        <v>6</v>
      </c>
      <c r="D1427" s="65" t="str">
        <f>HYPERLINK("https://github.com/mostafa-saad/MyCompetitiveProgramming/blob/master/Olympiad/Baltic/Baltic-17-Cat.txt","Sol")</f>
        <v>Sol</v>
      </c>
      <c r="E1427" s="31" t="s">
        <v>6345</v>
      </c>
      <c r="F1427" s="37" t="s">
        <v>242</v>
      </c>
      <c r="G1427" s="67"/>
      <c r="H1427" s="67"/>
    </row>
    <row r="1428" spans="1:8" ht="13.2">
      <c r="A1428" s="65" t="str">
        <f>HYPERLINK("https://dunjudge.me/analysis/problems/961/","MCO 16-town_planning")</f>
        <v>MCO 16-town_planning</v>
      </c>
      <c r="B1428" s="37" t="s">
        <v>6349</v>
      </c>
      <c r="C1428" s="24">
        <v>6</v>
      </c>
      <c r="D1428" s="65" t="str">
        <f>HYPERLINK("https://github.com/mostafa-saad/MyCompetitiveProgramming/blob/master/Olympiad/MCO/MCO-16-town_planning.txt","Sol")</f>
        <v>Sol</v>
      </c>
      <c r="E1428" s="31" t="s">
        <v>6345</v>
      </c>
      <c r="F1428" s="37"/>
      <c r="G1428" s="67"/>
      <c r="H1428" s="67"/>
    </row>
    <row r="1429" spans="1:8" ht="13.2">
      <c r="A1429" s="65" t="str">
        <f>HYPERLINK("https://oj.uz/problem/view/COCI18_deblo","COCI 19-deblo")</f>
        <v>COCI 19-deblo</v>
      </c>
      <c r="B1429" s="20" t="s">
        <v>7456</v>
      </c>
      <c r="C1429" s="17">
        <v>5.5</v>
      </c>
      <c r="D1429" s="65" t="str">
        <f>HYPERLINK("https://github.com/YazanZebak/CompetitiveProgramming/blob/master/Olympiad/COCI/COCI-18-DEBLO.cpp", "Sol")</f>
        <v>Sol</v>
      </c>
      <c r="E1429" s="31" t="s">
        <v>6345</v>
      </c>
      <c r="F1429" s="37"/>
      <c r="G1429" s="67"/>
      <c r="H1429" s="67"/>
    </row>
    <row r="1430" spans="1:8" ht="13.2">
      <c r="A1430" s="65" t="str">
        <f>HYPERLINK("https://oj.uz/problem/view/JOI17_coach","JOISC 17-coach")</f>
        <v>JOISC 17-coach</v>
      </c>
      <c r="B1430" s="20" t="s">
        <v>6361</v>
      </c>
      <c r="C1430" s="24">
        <v>7.25</v>
      </c>
      <c r="D1430" s="65" t="str">
        <f>HYPERLINK("https://github.com/tmwilliamlin168/CompetitiveProgramming/blob/master/JOI/17SC-Coach.cpp", "Sol")</f>
        <v>Sol</v>
      </c>
      <c r="E1430" s="31" t="s">
        <v>6362</v>
      </c>
      <c r="F1430" s="37" t="s">
        <v>154</v>
      </c>
      <c r="G1430" s="67"/>
      <c r="H1430" s="67"/>
    </row>
    <row r="1431" spans="1:8" ht="13.2">
      <c r="A1431" s="65" t="str">
        <f>HYPERLINK("https://szkopul.edu.pl/problemset/problem/oSpFEpvAxKNk0Il-nOe5L9El/site/", "POI 08-Robinson")</f>
        <v>POI 08-Robinson</v>
      </c>
      <c r="B1431" s="37" t="s">
        <v>7457</v>
      </c>
      <c r="C1431" s="24">
        <v>7.1</v>
      </c>
      <c r="D1431" s="65" t="str">
        <f>HYPERLINK("https://github.com/mostafa-saad/MyCompetitiveProgramming/blob/master/Olympiad/POI/POI-08-Robinson.txt","Sol")</f>
        <v>Sol</v>
      </c>
      <c r="E1431" s="31" t="s">
        <v>6362</v>
      </c>
      <c r="F1431" s="37" t="s">
        <v>154</v>
      </c>
      <c r="G1431" s="67"/>
      <c r="H1431" s="67"/>
    </row>
    <row r="1432" spans="1:8" ht="13.2">
      <c r="A1432" s="65" t="str">
        <f>HYPERLINK("https://oj.uz/problem/view/IOI09_salesman","IOI 09-salesman")</f>
        <v>IOI 09-salesman</v>
      </c>
      <c r="B1432" s="37" t="s">
        <v>7458</v>
      </c>
      <c r="C1432" s="24">
        <v>6.8</v>
      </c>
      <c r="D1432" s="65" t="str">
        <f>HYPERLINK("https://github.com/mostafa-saad/MyCompetitiveProgramming/blob/master/Olympiad/IOI/IOI-09-salesman.txt","Sol")</f>
        <v>Sol</v>
      </c>
      <c r="E1432" s="31" t="s">
        <v>6362</v>
      </c>
      <c r="F1432" s="37" t="s">
        <v>139</v>
      </c>
      <c r="G1432" s="67"/>
      <c r="H1432" s="67"/>
    </row>
    <row r="1433" spans="1:8" ht="13.2">
      <c r="A1433" s="65" t="str">
        <f>HYPERLINK("https://szkopul.edu.pl/problemset/problem/X_XFcxCm1xIAk2alKtQLN79O/site/", "POI 09-Island")</f>
        <v>POI 09-Island</v>
      </c>
      <c r="B1433" s="37" t="s">
        <v>7459</v>
      </c>
      <c r="C1433" s="24">
        <v>6.8</v>
      </c>
      <c r="D1433" s="65" t="str">
        <f>HYPERLINK("https://github.com/mostafa-saad/MyCompetitiveProgramming/blob/master/Olympiad/POI/POI-09-Island.txt","Sol")</f>
        <v>Sol</v>
      </c>
      <c r="E1433" s="31" t="s">
        <v>6362</v>
      </c>
      <c r="F1433" s="37" t="s">
        <v>139</v>
      </c>
      <c r="G1433" s="67"/>
      <c r="H1433" s="67"/>
    </row>
    <row r="1434" spans="1:8" ht="13.2">
      <c r="A1434" s="65" t="str">
        <f>HYPERLINK("https://oj.uz/problem/view/POI11_pio","POI 11-Conductor")</f>
        <v>POI 11-Conductor</v>
      </c>
      <c r="B1434" s="25" t="s">
        <v>7460</v>
      </c>
      <c r="C1434" s="17">
        <v>6.25</v>
      </c>
      <c r="D1434" s="65" t="str">
        <f>HYPERLINK("https://github.com/mostafa-saad/MyCompetitiveProgramming/blob/master/Olympiad/POI/POI-11-Conductor.txt","Sol")</f>
        <v>Sol</v>
      </c>
      <c r="E1434" s="31" t="s">
        <v>6362</v>
      </c>
      <c r="F1434" s="37" t="s">
        <v>154</v>
      </c>
      <c r="G1434" s="67"/>
      <c r="H1434" s="67"/>
    </row>
    <row r="1435" spans="1:8" ht="13.2">
      <c r="A1435" s="65" t="str">
        <f>HYPERLINK("https://oj.uz/problem/view/APIO14_sequence", "APIO 14-Sequence")</f>
        <v>APIO 14-Sequence</v>
      </c>
      <c r="B1435" s="15" t="s">
        <v>7461</v>
      </c>
      <c r="C1435" s="17">
        <v>6.25</v>
      </c>
      <c r="D1435" s="65" t="str">
        <f>HYPERLINK("https://github.com/mostafa-saad/MyCompetitiveProgramming/blob/master/Olympiad/APIO/APIO-14-Sequence.txt","Sol")</f>
        <v>Sol</v>
      </c>
      <c r="E1435" s="31" t="s">
        <v>6362</v>
      </c>
      <c r="F1435" s="37"/>
      <c r="G1435" s="67"/>
      <c r="H1435" s="67"/>
    </row>
    <row r="1436" spans="1:8" ht="13.2">
      <c r="A1436" s="65" t="str">
        <f>HYPERLINK("https://dmoj.ca/problem/apio10p1","APIO 10-Commando")</f>
        <v>APIO 10-Commando</v>
      </c>
      <c r="B1436" s="20" t="s">
        <v>7462</v>
      </c>
      <c r="C1436" s="17">
        <v>6.25</v>
      </c>
      <c r="D1436" s="65" t="str">
        <f>HYPERLINK("https://github.com/timpostuvan/CompetitiveProgramming/blob/master/Olympiad/APIO/Commando2010.cpp","Sol")</f>
        <v>Sol</v>
      </c>
      <c r="E1436" s="31" t="s">
        <v>6362</v>
      </c>
      <c r="F1436" s="37"/>
      <c r="G1436" s="67"/>
      <c r="H1436" s="67"/>
    </row>
    <row r="1437" spans="1:8" ht="13.2">
      <c r="A1437" s="65" t="str">
        <f>HYPERLINK("https://dunjudge.me/analysis/problems/964/","MCO 16-acorn")</f>
        <v>MCO 16-acorn</v>
      </c>
      <c r="B1437" s="37" t="s">
        <v>7463</v>
      </c>
      <c r="C1437" s="24">
        <v>6</v>
      </c>
      <c r="D1437" s="65" t="str">
        <f>HYPERLINK("https://github.com/mostafa-saad/MyCompetitiveProgramming/blob/master/Olympiad/MCO/MCO-16-acorn.txt","Sol")</f>
        <v>Sol</v>
      </c>
      <c r="E1437" s="31" t="s">
        <v>6362</v>
      </c>
      <c r="F1437" s="37" t="s">
        <v>139</v>
      </c>
      <c r="G1437" s="67"/>
      <c r="H1437" s="67"/>
    </row>
    <row r="1438" spans="1:8" ht="13.2">
      <c r="A1438" s="65" t="str">
        <f>HYPERLINK("https://www.acmicpc.net/problem/5254","Balkan 12-balls")</f>
        <v>Balkan 12-balls</v>
      </c>
      <c r="B1438" s="20" t="s">
        <v>7464</v>
      </c>
      <c r="C1438" s="17">
        <v>6</v>
      </c>
      <c r="D1438" s="65" t="str">
        <f>HYPERLINK("https://github.com/mostafa-saad/MyCompetitiveProgramming/blob/master/Olympiad/Balkan/Balkan-12-balls.txt","Sol")</f>
        <v>Sol</v>
      </c>
      <c r="E1438" s="31" t="s">
        <v>6362</v>
      </c>
      <c r="F1438" s="37"/>
      <c r="G1438" s="67"/>
      <c r="H1438" s="67"/>
    </row>
    <row r="1439" spans="1:8" ht="13.2">
      <c r="A1439" s="65" t="str">
        <f>HYPERLINK("https://szkopul.edu.pl/problemset/problem/ovRIpLFK3IhyFPjnVXeZtGxH/site/?key=statement","CEOI 04-Two")</f>
        <v>CEOI 04-Two</v>
      </c>
      <c r="B1439" s="37" t="s">
        <v>7465</v>
      </c>
      <c r="C1439" s="24">
        <v>6</v>
      </c>
      <c r="D1439" s="65" t="str">
        <f>HYPERLINK("https://github.com/mostafa-saad/MyCompetitiveProgramming/blob/master/Olympiad/CEOI/CEOI-04-Two.txt","Sol")</f>
        <v>Sol</v>
      </c>
      <c r="E1439" s="31" t="s">
        <v>6362</v>
      </c>
      <c r="F1439" s="37"/>
      <c r="G1439" s="67"/>
      <c r="H1439" s="67"/>
    </row>
    <row r="1440" spans="1:8" ht="13.2">
      <c r="A1440" s="65" t="str">
        <f>HYPERLINK("https://csacademy.com/contest/ceoi-2017-day-2/","CEOI 17-Building")</f>
        <v>CEOI 17-Building</v>
      </c>
      <c r="B1440" s="18" t="s">
        <v>7466</v>
      </c>
      <c r="C1440" s="24">
        <v>5.75</v>
      </c>
      <c r="D1440" s="65" t="str">
        <f>HYPERLINK("https://github.com/mostafa-saad/MyCompetitiveProgramming/blob/master/Olympiad/CEOI/CEOI-17-Building.txt","Sol")</f>
        <v>Sol</v>
      </c>
      <c r="E1440" s="31" t="s">
        <v>6362</v>
      </c>
      <c r="F1440" s="37" t="s">
        <v>139</v>
      </c>
      <c r="G1440" s="67"/>
      <c r="H1440" s="67"/>
    </row>
    <row r="1441" spans="1:8" ht="13.2">
      <c r="A1441" s="65" t="str">
        <f>HYPERLINK("https://www.infoarena.ro/problema/puncte","infoarena puncte")</f>
        <v>infoarena puncte</v>
      </c>
      <c r="B1441" s="37" t="s">
        <v>7467</v>
      </c>
      <c r="C1441" s="24">
        <v>5.5</v>
      </c>
      <c r="D1441" s="65" t="str">
        <f>HYPERLINK("https://github.com/mostafa-saad/MyCompetitiveProgramming/blob/master/Olympiad/infoarena/infoarena_puncte.txt","Sol")</f>
        <v>Sol</v>
      </c>
      <c r="E1441" s="31" t="s">
        <v>6362</v>
      </c>
      <c r="F1441" s="37" t="s">
        <v>139</v>
      </c>
      <c r="G1441" s="67"/>
      <c r="H1441" s="67"/>
    </row>
    <row r="1442" spans="1:8" ht="13.2">
      <c r="A1442" s="65" t="str">
        <f>HYPERLINK("https://www.infoarena.ro/problema/vmin","Infoarena vmin")</f>
        <v>Infoarena vmin</v>
      </c>
      <c r="B1442" s="37" t="s">
        <v>7468</v>
      </c>
      <c r="C1442" s="24">
        <v>5</v>
      </c>
      <c r="D1442" s="65" t="str">
        <f>HYPERLINK("https://github.com/mostafa-saad/MyCompetitiveProgramming/blob/master/Olympiad/infoarena/Infoarena_vmin.txt","Sol")</f>
        <v>Sol</v>
      </c>
      <c r="E1442" s="31" t="s">
        <v>6362</v>
      </c>
      <c r="F1442" s="37" t="s">
        <v>201</v>
      </c>
      <c r="G1442" s="67"/>
      <c r="H1442" s="67"/>
    </row>
    <row r="1443" spans="1:8" ht="13.2">
      <c r="A1443" s="65" t="str">
        <f>HYPERLINK("https://oj.uz/problem/view/IOI11_race","IOI 11-race")</f>
        <v>IOI 11-race</v>
      </c>
      <c r="B1443" s="20" t="s">
        <v>7469</v>
      </c>
      <c r="C1443" s="17">
        <v>6</v>
      </c>
      <c r="D1443" s="65" t="str">
        <f>HYPERLINK("https://github.com/aviroop123/CompetitiveProgramming/blob/master/Olympiad/IOI/IOI%2011-race.cpp","Sol")</f>
        <v>Sol</v>
      </c>
      <c r="E1443" s="31" t="s">
        <v>6390</v>
      </c>
      <c r="F1443" s="37" t="s">
        <v>201</v>
      </c>
      <c r="G1443" s="67"/>
      <c r="H1443" s="67"/>
    </row>
    <row r="1444" spans="1:8" ht="13.2">
      <c r="A1444" s="65" t="str">
        <f>HYPERLINK("https://szkopul.edu.pl/problemset/problem/b0BM0al2crQBt6zovEtJfOc6/site/?key=statement","POI 11-rod")</f>
        <v>POI 11-rod</v>
      </c>
      <c r="B1444" s="25" t="s">
        <v>7470</v>
      </c>
      <c r="C1444" s="24">
        <v>5.5</v>
      </c>
      <c r="D1444" s="65" t="str">
        <f>HYPERLINK("https://github.com/Szawinis/CompetitiveProgramming/blob/master/Olympiad/POI/POI11-Rotation2.cpp","Sol - see editorials of rot for easier constraints")</f>
        <v>Sol - see editorials of rot for easier constraints</v>
      </c>
      <c r="E1444" s="31" t="s">
        <v>6390</v>
      </c>
      <c r="F1444" s="37"/>
      <c r="G1444" s="67"/>
      <c r="H1444" s="67"/>
    </row>
    <row r="1445" spans="1:8" ht="13.2">
      <c r="A1445" s="65" t="str">
        <f>HYPERLINK("https://oj.uz/problem/view/POI11_rot","POI 11-Rotation")</f>
        <v>POI 11-Rotation</v>
      </c>
      <c r="B1445" s="25" t="s">
        <v>7471</v>
      </c>
      <c r="C1445" s="24">
        <v>5</v>
      </c>
      <c r="D1445" s="65" t="str">
        <f>HYPERLINK("https://github.com/mostafa-saad/MyCompetitiveProgramming/blob/master/Olympiad/POI/official/find_editorial_sols_guidelines.txt","Editorial")</f>
        <v>Editorial</v>
      </c>
      <c r="E1445" s="31" t="s">
        <v>6390</v>
      </c>
      <c r="F1445" s="37" t="s">
        <v>201</v>
      </c>
      <c r="G1445" s="67"/>
      <c r="H1445" s="67"/>
    </row>
    <row r="1446" spans="1:8" ht="13.2">
      <c r="A1446" s="65" t="str">
        <f>HYPERLINK("https://cses.fi/179/list/","CEOI 09-Boxes")</f>
        <v>CEOI 09-Boxes</v>
      </c>
      <c r="B1446" s="20" t="s">
        <v>7472</v>
      </c>
      <c r="C1446" s="24">
        <v>7.75</v>
      </c>
      <c r="D1446" s="65" t="str">
        <f>HYPERLINK("https://github.com/mostafa-saad/MyCompetitiveProgramming/blob/master/Olympiad/CEOI/CEOI-09-Boxes.txt","Sol")</f>
        <v>Sol</v>
      </c>
      <c r="E1446" s="31" t="s">
        <v>6397</v>
      </c>
      <c r="F1446" s="37" t="s">
        <v>154</v>
      </c>
      <c r="G1446" s="67"/>
      <c r="H1446" s="67"/>
    </row>
    <row r="1447" spans="1:8" ht="13.2">
      <c r="A1447" s="65" t="str">
        <f>HYPERLINK("http://usaco.org/index.php?page=viewproblem2&amp;cpid=793", "USACO 18jan-atlarge-plat")</f>
        <v>USACO 18jan-atlarge-plat</v>
      </c>
      <c r="B1447" s="20" t="s">
        <v>7473</v>
      </c>
      <c r="C1447" s="21">
        <v>7.5</v>
      </c>
      <c r="D1447" s="65" t="str">
        <f>HYPERLINK("https://github.com/gametothepower8/Solutions-to-OI-problems/blob/master/USACO18Janplat-atlarge.cpp","Sol")</f>
        <v>Sol</v>
      </c>
      <c r="E1447" s="31" t="s">
        <v>6397</v>
      </c>
      <c r="F1447" s="37" t="s">
        <v>173</v>
      </c>
      <c r="G1447" s="67"/>
      <c r="H1447" s="67"/>
    </row>
    <row r="1448" spans="1:8" ht="13.2">
      <c r="A1448" s="65" t="str">
        <f>HYPERLINK("http://usaco.org/index.php?page=viewproblem2&amp;cpid=841", "USACO 18mar-trainplat")</f>
        <v>USACO 18mar-trainplat</v>
      </c>
      <c r="B1448" s="20" t="s">
        <v>6398</v>
      </c>
      <c r="C1448" s="24">
        <v>7.5</v>
      </c>
      <c r="D1448" s="69"/>
      <c r="E1448" s="31" t="s">
        <v>6397</v>
      </c>
      <c r="F1448" s="37" t="s">
        <v>139</v>
      </c>
      <c r="G1448" s="67"/>
      <c r="H1448" s="67"/>
    </row>
    <row r="1449" spans="1:8" ht="13.2">
      <c r="A1449" s="65" t="str">
        <f>HYPERLINK("https://oj.uz/problems/source/351","JOIOC 18-Collapse")</f>
        <v>JOIOC 18-Collapse</v>
      </c>
      <c r="B1449" s="20" t="s">
        <v>6398</v>
      </c>
      <c r="C1449" s="21">
        <v>7.5</v>
      </c>
      <c r="D1449" s="65" t="str">
        <f>HYPERLINK("https://github.com/mostafa-saad/MyCompetitiveProgramming/tree/master/Olympiad/JOI/official/JOIOC/2018","Editorial")</f>
        <v>Editorial</v>
      </c>
      <c r="E1449" s="31" t="s">
        <v>6397</v>
      </c>
      <c r="F1449" s="37"/>
      <c r="G1449" s="67"/>
      <c r="H1449" s="67"/>
    </row>
    <row r="1450" spans="1:8" ht="13.2">
      <c r="A1450" s="65" t="str">
        <f>HYPERLINK("https://oj.uz/problem/view/IZhO18_segments","IZhO 18-segments")</f>
        <v>IZhO 18-segments</v>
      </c>
      <c r="B1450" s="23" t="s">
        <v>7474</v>
      </c>
      <c r="C1450" s="24">
        <v>7.4</v>
      </c>
      <c r="D1450" s="65" t="str">
        <f>HYPERLINK("https://github.com/mostafa-saad/MyCompetitiveProgramming/blob/master/Olympiad/IZhO/IZhO-18-segments.txt","Sol")</f>
        <v>Sol</v>
      </c>
      <c r="E1450" s="31" t="s">
        <v>6397</v>
      </c>
      <c r="F1450" s="37" t="s">
        <v>201</v>
      </c>
      <c r="G1450" s="67"/>
      <c r="H1450" s="67"/>
    </row>
    <row r="1451" spans="1:8" ht="13.2">
      <c r="A1451" s="65" t="str">
        <f>HYPERLINK("https://oj.uz/problems/source/315","JOISC 18-bitaro")</f>
        <v>JOISC 18-bitaro</v>
      </c>
      <c r="B1451" s="18" t="s">
        <v>6402</v>
      </c>
      <c r="C1451" s="17">
        <v>7.25</v>
      </c>
      <c r="D1451" s="65" t="str">
        <f>HYPERLINK("https://github.com/mostafa-saad/MyCompetitiveProgramming/blob/master/Olympiad/JOI/JOISC-18-bitaro.txt","Sol")</f>
        <v>Sol</v>
      </c>
      <c r="E1451" s="31" t="s">
        <v>6397</v>
      </c>
      <c r="F1451" s="37" t="s">
        <v>154</v>
      </c>
      <c r="G1451" s="67"/>
      <c r="H1451" s="67"/>
    </row>
    <row r="1452" spans="1:8" ht="13.2">
      <c r="A1452" s="65" t="str">
        <f>HYPERLINK("https://szkopul.edu.pl/problemset/problem/FHsx0TDoMNHN-XrWzXtUzzpi/site/", "POI 13-Price")</f>
        <v>POI 13-Price</v>
      </c>
      <c r="B1452" s="37" t="s">
        <v>7475</v>
      </c>
      <c r="C1452" s="24">
        <v>7.25</v>
      </c>
      <c r="D1452" s="65" t="str">
        <f>HYPERLINK("https://github.com/mostafa-saad/MyCompetitiveProgramming/blob/master/Olympiad/POI/POI-13-Price.txt","Sol")</f>
        <v>Sol</v>
      </c>
      <c r="E1452" s="31" t="s">
        <v>6397</v>
      </c>
      <c r="F1452" s="37" t="s">
        <v>154</v>
      </c>
      <c r="G1452" s="67"/>
      <c r="H1452" s="67"/>
    </row>
    <row r="1453" spans="1:8" ht="13.2">
      <c r="A1453" s="65" t="str">
        <f>HYPERLINK("https://codeforces.com/gym/102257/","APIO 19-bridges")</f>
        <v>APIO 19-bridges</v>
      </c>
      <c r="B1453" s="23" t="s">
        <v>7476</v>
      </c>
      <c r="C1453" s="24">
        <v>7</v>
      </c>
      <c r="D1453" s="65" t="str">
        <f>HYPERLINK("https://github.com/mostafa-saad/MyCompetitiveProgramming/blob/master/Olympiad/APIO/APIO-19-bridges.txt","Sol")</f>
        <v>Sol</v>
      </c>
      <c r="E1453" s="31" t="s">
        <v>6397</v>
      </c>
      <c r="F1453" s="37" t="s">
        <v>139</v>
      </c>
      <c r="G1453" s="67"/>
      <c r="H1453" s="67"/>
    </row>
    <row r="1454" spans="1:8" ht="13.2">
      <c r="A1454" s="65" t="str">
        <f>HYPERLINK("https://www.infoarena.ro/problema/bvarcolaci","infoarena bvarcolaci")</f>
        <v>infoarena bvarcolaci</v>
      </c>
      <c r="B1454" s="20" t="s">
        <v>7477</v>
      </c>
      <c r="C1454" s="17">
        <v>7</v>
      </c>
      <c r="D1454" s="65" t="str">
        <f>HYPERLINK("https://github.com/stefdasca/CompetitiveProgramming/blob/master/Infoarena/bvarcolaci.cpp","Sol")</f>
        <v>Sol</v>
      </c>
      <c r="E1454" s="31" t="s">
        <v>6397</v>
      </c>
      <c r="F1454" s="37"/>
      <c r="G1454" s="67"/>
      <c r="H1454" s="24"/>
    </row>
    <row r="1455" spans="1:8" ht="13.2">
      <c r="A1455" s="65" t="str">
        <f>HYPERLINK("https://szkopul.edu.pl/problemset/problem/cSa80AKpjHR8FlWE4BCpLGT3/site/?key=statement","POI 16-Christmas")</f>
        <v>POI 16-Christmas</v>
      </c>
      <c r="B1455" s="37" t="s">
        <v>7478</v>
      </c>
      <c r="C1455" s="24">
        <v>6.75</v>
      </c>
      <c r="D1455" s="65" t="str">
        <f>HYPERLINK("https://github.com/mostafa-saad/MyCompetitiveProgramming/blob/master/Olympiad/POI/POI-16-Christmas.txt","Sol")</f>
        <v>Sol</v>
      </c>
      <c r="E1455" s="31" t="s">
        <v>6397</v>
      </c>
      <c r="F1455" s="37" t="s">
        <v>139</v>
      </c>
      <c r="G1455" s="67"/>
      <c r="H1455" s="24"/>
    </row>
    <row r="1456" spans="1:8" ht="13.2">
      <c r="A1456" s="65" t="str">
        <f>HYPERLINK("https://oj.uz/problem/view/IOI11_elephants","IOI 11-elephants")</f>
        <v>IOI 11-elephants</v>
      </c>
      <c r="B1456" s="20" t="s">
        <v>7479</v>
      </c>
      <c r="C1456" s="24">
        <v>6.75</v>
      </c>
      <c r="D1456" s="65" t="str">
        <f>HYPERLINK("https://github.com/mostafa-saad/MyCompetitiveProgramming/blob/master/Olympiad/IOI/IOI-11-elephants.txt","Sol")</f>
        <v>Sol</v>
      </c>
      <c r="E1456" s="31" t="s">
        <v>6397</v>
      </c>
      <c r="F1456" s="37" t="s">
        <v>242</v>
      </c>
      <c r="G1456" s="67"/>
      <c r="H1456" s="24"/>
    </row>
    <row r="1457" spans="1:8" ht="13.2">
      <c r="A1457" s="65" t="str">
        <f>HYPERLINK("https://infoarena.ro/problema/mindist", "infoarena mindist")</f>
        <v>infoarena mindist</v>
      </c>
      <c r="B1457" s="37" t="s">
        <v>7480</v>
      </c>
      <c r="C1457" s="24">
        <v>6.5</v>
      </c>
      <c r="D1457" s="65" t="str">
        <f>HYPERLINK("https://github.com/mostafa-saad/MyCompetitiveProgramming/blob/master/Olympiad/infoarena/infoarena-mindist.txt","Sol")</f>
        <v>Sol</v>
      </c>
      <c r="E1457" s="31" t="s">
        <v>6397</v>
      </c>
      <c r="F1457" s="37" t="s">
        <v>201</v>
      </c>
      <c r="G1457" s="67"/>
      <c r="H1457" s="24"/>
    </row>
    <row r="1458" spans="1:8" ht="13.2">
      <c r="A1458" s="65" t="str">
        <f>HYPERLINK("https://oj.uz/problem/view/IOI09_regions","IOI 09-regions")</f>
        <v>IOI 09-regions</v>
      </c>
      <c r="B1458" s="20" t="s">
        <v>7481</v>
      </c>
      <c r="C1458" s="24">
        <v>6.4</v>
      </c>
      <c r="D1458" s="65" t="str">
        <f>HYPERLINK("https://github.com/mostafa-saad/MyCompetitiveProgramming/blob/master/Olympiad/IOI/IOI-09-regions.txt","Sol")</f>
        <v>Sol</v>
      </c>
      <c r="E1458" s="31" t="s">
        <v>6397</v>
      </c>
      <c r="F1458" s="37" t="s">
        <v>201</v>
      </c>
      <c r="G1458" s="67"/>
      <c r="H1458" s="24"/>
    </row>
    <row r="1459" spans="1:8" ht="13.2">
      <c r="A1459" s="65" t="str">
        <f>HYPERLINK("http://usaco.org/index.php?page=viewproblem2&amp;cpid=925", "USACO 19feb-plat_mooriokart")</f>
        <v>USACO 19feb-plat_mooriokart</v>
      </c>
      <c r="B1459" s="20" t="s">
        <v>7482</v>
      </c>
      <c r="C1459" s="21">
        <v>6.25</v>
      </c>
      <c r="D1459" s="65" t="str">
        <f>HYPERLINK("https://github.com/thecodingwizard/competitive-programming/blob/master/USACO/2019feb/plat/mooriokart.cpp","Sol")</f>
        <v>Sol</v>
      </c>
      <c r="E1459" s="31" t="s">
        <v>6397</v>
      </c>
      <c r="F1459" s="37" t="s">
        <v>139</v>
      </c>
      <c r="G1459" s="67"/>
      <c r="H1459" s="24"/>
    </row>
    <row r="1460" spans="1:8" ht="13.2">
      <c r="A1460" s="65" t="str">
        <f>HYPERLINK("https://dmoj.ca/problem/cco18p5","CCO 18-boring")</f>
        <v>CCO 18-boring</v>
      </c>
      <c r="B1460" s="20" t="s">
        <v>6398</v>
      </c>
      <c r="C1460" s="17">
        <v>6.25</v>
      </c>
      <c r="D1460" s="65" t="str">
        <f>HYPERLINK("https://github.com/luciocf/OI-Problems/blob/master/CCO/CCO%202018/boring.cpp","Sol")</f>
        <v>Sol</v>
      </c>
      <c r="E1460" s="31" t="s">
        <v>6397</v>
      </c>
      <c r="F1460" s="37" t="s">
        <v>139</v>
      </c>
      <c r="G1460" s="67"/>
      <c r="H1460" s="24"/>
    </row>
    <row r="1461" spans="1:8" ht="13.2">
      <c r="A1461" s="65" t="str">
        <f>HYPERLINK("https://www.infoarena.ro/problema/arbore","infoarena arbore")</f>
        <v>infoarena arbore</v>
      </c>
      <c r="B1461" s="20" t="s">
        <v>7483</v>
      </c>
      <c r="C1461" s="21">
        <v>6</v>
      </c>
      <c r="D1461" s="65" t="str">
        <f>HYPERLINK("https://github.com/mostafa-saad/MyCompetitiveProgramming/blob/master/Olympiad/infoarena/infoarena_arbore.txt","Sol")</f>
        <v>Sol</v>
      </c>
      <c r="E1461" s="31" t="s">
        <v>6397</v>
      </c>
      <c r="F1461" s="37" t="s">
        <v>201</v>
      </c>
      <c r="G1461" s="67"/>
      <c r="H1461" s="24"/>
    </row>
    <row r="1462" spans="1:8" ht="13.2">
      <c r="A1462" s="65" t="str">
        <f>HYPERLINK("https://dmoj.ca/problem/ccoprep16c2q3","Dmoj HopScotch")</f>
        <v>Dmoj HopScotch</v>
      </c>
      <c r="B1462" s="37" t="s">
        <v>7484</v>
      </c>
      <c r="C1462" s="24">
        <v>5</v>
      </c>
      <c r="D1462" s="69"/>
      <c r="E1462" s="31" t="s">
        <v>6397</v>
      </c>
      <c r="F1462" s="37" t="s">
        <v>201</v>
      </c>
      <c r="G1462" s="67"/>
      <c r="H1462" s="24"/>
    </row>
    <row r="1463" spans="1:8" ht="13.2">
      <c r="A1463" s="65" t="str">
        <f>HYPERLINK("https://dmoj.ca/problem/stnbd4","Dmoj EllisFahrengart")</f>
        <v>Dmoj EllisFahrengart</v>
      </c>
      <c r="B1463" s="37" t="s">
        <v>7485</v>
      </c>
      <c r="C1463" s="24">
        <v>5</v>
      </c>
      <c r="D1463" s="65" t="str">
        <f>HYPERLINK("https://github.com/win11905/submission/blob/master/Dmoj/EllisFahrengart.cpp","Sol")</f>
        <v>Sol</v>
      </c>
      <c r="E1463" s="31" t="s">
        <v>6397</v>
      </c>
      <c r="F1463" s="37" t="s">
        <v>242</v>
      </c>
      <c r="G1463" s="67"/>
      <c r="H1463" s="24"/>
    </row>
    <row r="1464" spans="1:8" ht="13.2">
      <c r="A1464" s="65" t="str">
        <f>HYPERLINK("https://dmoj.ca/problem/dmpg18s5","DMPG 18-MimiDivision")</f>
        <v>DMPG 18-MimiDivision</v>
      </c>
      <c r="B1464" s="37" t="s">
        <v>6398</v>
      </c>
      <c r="C1464" s="24">
        <v>5</v>
      </c>
      <c r="D1464" s="69"/>
      <c r="E1464" s="31" t="s">
        <v>6397</v>
      </c>
      <c r="F1464" s="37"/>
      <c r="G1464" s="67"/>
      <c r="H1464" s="24"/>
    </row>
    <row r="1465" spans="1:8" ht="13.2">
      <c r="A1465" s="65" t="str">
        <f>HYPERLINK("https://oj.uz/problem/view/IOI16_aliens","IOI 16-aliens")</f>
        <v>IOI 16-aliens</v>
      </c>
      <c r="B1465" s="20" t="s">
        <v>7486</v>
      </c>
      <c r="C1465" s="17">
        <v>7.25</v>
      </c>
      <c r="D1465" s="65" t="str">
        <f>HYPERLINK("https://github.com/mostafa-saad/MyCompetitiveProgramming/blob/master/Olympiad/IOI/IOI-16-aliens.txt","Sol")</f>
        <v>Sol</v>
      </c>
      <c r="E1465" s="31" t="s">
        <v>6417</v>
      </c>
      <c r="F1465" s="37" t="s">
        <v>173</v>
      </c>
      <c r="G1465" s="67"/>
      <c r="H1465" s="24"/>
    </row>
    <row r="1466" spans="1:8" ht="13.2">
      <c r="A1466" s="65" t="str">
        <f>HYPERLINK("https://dunjudge.me/analysis/problems/1826/","NOI 19-feast")</f>
        <v>NOI 19-feast</v>
      </c>
      <c r="B1466" s="20" t="s">
        <v>7487</v>
      </c>
      <c r="C1466" s="17">
        <v>6.75</v>
      </c>
      <c r="D1466" s="65" t="str">
        <f>HYPERLINK("https://github.com/mostafa-saad/MyCompetitiveProgramming/blob/master/Olympiad/NOI/NOI-19-feast.txt","Sol")</f>
        <v>Sol</v>
      </c>
      <c r="E1466" s="31" t="s">
        <v>6417</v>
      </c>
      <c r="F1466" s="37" t="s">
        <v>139</v>
      </c>
      <c r="G1466" s="67"/>
      <c r="H1466" s="24"/>
    </row>
    <row r="1467" spans="1:8" ht="13.2">
      <c r="A1467" s="65" t="str">
        <f>HYPERLINK("https://www.infoarena.ro/problema/padurari","infoarena padurari")</f>
        <v>infoarena padurari</v>
      </c>
      <c r="B1467" s="37" t="s">
        <v>7486</v>
      </c>
      <c r="C1467" s="24">
        <v>6</v>
      </c>
      <c r="D1467" s="65" t="str">
        <f>HYPERLINK("https://github.com/stefdasca/CompetitiveProgramming/blob/master/Infoarena/padurari.cpp","Sol")</f>
        <v>Sol</v>
      </c>
      <c r="E1467" s="31" t="s">
        <v>6417</v>
      </c>
      <c r="F1467" s="37"/>
      <c r="G1467" s="67"/>
      <c r="H1467" s="24"/>
    </row>
    <row r="1468" spans="1:8" ht="13.2">
      <c r="A1468" s="65" t="str">
        <f>HYPERLINK("https://www.acmicpc.net/problem/7056","CEOI 02-Fence")</f>
        <v>CEOI 02-Fence</v>
      </c>
      <c r="B1468" s="25" t="s">
        <v>7488</v>
      </c>
      <c r="C1468" s="24">
        <v>6.4</v>
      </c>
      <c r="D1468" s="65" t="str">
        <f>HYPERLINK("https://github.com/mostafa-saad/MyCompetitiveProgramming/blob/master/Olympiad/CEOI/CEOI-02-Fence.txt","Sol")</f>
        <v>Sol</v>
      </c>
      <c r="E1468" s="31" t="s">
        <v>6419</v>
      </c>
      <c r="F1468" s="37" t="s">
        <v>139</v>
      </c>
      <c r="G1468" s="67"/>
      <c r="H1468" s="24"/>
    </row>
    <row r="1469" spans="1:8" ht="13.2">
      <c r="A1469" s="65" t="str">
        <f>HYPERLINK("https://www.hackerrank.com/contests/ioi-2014-practice-contest-2/challenges","IOIPractice 14-guardians-lunatics-ioi14")</f>
        <v>IOIPractice 14-guardians-lunatics-ioi14</v>
      </c>
      <c r="B1469" s="15" t="s">
        <v>7489</v>
      </c>
      <c r="C1469" s="17">
        <v>6.25</v>
      </c>
      <c r="D1469" s="65" t="str">
        <f>HYPERLINK("https://github.com/mostafa-saad/MyCompetitiveProgramming/blob/master/Olympiad/IOI/IOIPractice-14-guardians-lunatics-ioi14.txt","Sol - must read - can u do O(LG)?")</f>
        <v>Sol - must read - can u do O(LG)?</v>
      </c>
      <c r="E1469" s="31" t="s">
        <v>6419</v>
      </c>
      <c r="F1469" s="37" t="s">
        <v>139</v>
      </c>
      <c r="G1469" s="67"/>
      <c r="H1469" s="24"/>
    </row>
    <row r="1470" spans="1:8" ht="13.2">
      <c r="A1470" s="65" t="str">
        <f>HYPERLINK("http://usaco.org/index.php?page=viewproblem2&amp;cpid=926", "USACO 19feb-mowing-plat")</f>
        <v>USACO 19feb-mowing-plat</v>
      </c>
      <c r="B1470" s="37" t="s">
        <v>7490</v>
      </c>
      <c r="C1470" s="21">
        <v>8</v>
      </c>
      <c r="D1470" s="65" t="str">
        <f>HYPERLINK("https://github.com/ihdignite/CompetitiveProgramming/blob/master/USACO/1819_3P/Mowing.cpp", "Sol")</f>
        <v>Sol</v>
      </c>
      <c r="E1470" s="31" t="s">
        <v>6430</v>
      </c>
      <c r="F1470" s="37" t="s">
        <v>139</v>
      </c>
      <c r="G1470" s="67"/>
      <c r="H1470" s="24"/>
    </row>
    <row r="1471" spans="1:8" ht="13.2">
      <c r="A1471" s="65" t="str">
        <f>HYPERLINK("https://oj.uz/problems/source/213","JOIOC 16-skyscraper")</f>
        <v>JOIOC 16-skyscraper</v>
      </c>
      <c r="B1471" s="18" t="s">
        <v>7491</v>
      </c>
      <c r="C1471" s="24">
        <v>7.25</v>
      </c>
      <c r="D1471" s="65" t="str">
        <f>HYPERLINK("http://codeforces.com/blog/entry/47764","Sol")</f>
        <v>Sol</v>
      </c>
      <c r="E1471" s="31" t="s">
        <v>7492</v>
      </c>
      <c r="F1471" s="37" t="s">
        <v>173</v>
      </c>
      <c r="G1471" s="67"/>
      <c r="H1471" s="24"/>
    </row>
    <row r="1472" spans="1:8" ht="13.2">
      <c r="A1472" s="65" t="str">
        <f>HYPERLINK("https://codeforces.com/group/R2SERIff4f/contest/213171/problem/R","MCO 17-MagicalTeleporter")</f>
        <v>MCO 17-MagicalTeleporter</v>
      </c>
      <c r="B1472" s="37" t="s">
        <v>7493</v>
      </c>
      <c r="C1472" s="24">
        <v>7</v>
      </c>
      <c r="D1472" s="65" t="str">
        <f>HYPERLINK("https://github.com/mostafa-saad/MyCompetitiveProgramming/tree/master/Olympiad/MCO/official","Editorial")</f>
        <v>Editorial</v>
      </c>
      <c r="E1472" s="31" t="s">
        <v>7492</v>
      </c>
      <c r="F1472" s="37" t="s">
        <v>154</v>
      </c>
      <c r="G1472" s="67"/>
      <c r="H1472" s="24"/>
    </row>
    <row r="1473" spans="1:8" ht="13.2">
      <c r="A1473" s="65" t="str">
        <f>HYPERLINK("https://oj.uz/problem/view/CEOI16_kangaroo","CEOI 16-Kangaroo")</f>
        <v>CEOI 16-Kangaroo</v>
      </c>
      <c r="B1473" s="18" t="s">
        <v>7494</v>
      </c>
      <c r="C1473" s="17">
        <v>6.5</v>
      </c>
      <c r="D1473" s="65" t="str">
        <f>HYPERLINK("https://github.com/mostafa-saad/MyCompetitiveProgramming/blob/master/Olympiad/CEOI/CEOI-16-Kangaroo.txt","Sol")</f>
        <v>Sol</v>
      </c>
      <c r="E1473" s="31" t="s">
        <v>7492</v>
      </c>
      <c r="F1473" s="37" t="s">
        <v>154</v>
      </c>
      <c r="G1473" s="67"/>
      <c r="H1473" s="24"/>
    </row>
    <row r="1474" spans="1:8" ht="13.2">
      <c r="A1474" s="65" t="str">
        <f>HYPERLINK("https://csacademy.com/contest/round-78/task/xor-transform/","ROUSelection 18-xor_transform")</f>
        <v>ROUSelection 18-xor_transform</v>
      </c>
      <c r="B1474" s="37" t="s">
        <v>7495</v>
      </c>
      <c r="C1474" s="24">
        <v>7</v>
      </c>
      <c r="D1474" s="69"/>
      <c r="E1474" s="31" t="s">
        <v>6441</v>
      </c>
      <c r="F1474" s="37"/>
      <c r="G1474" s="67"/>
      <c r="H1474" s="24"/>
    </row>
    <row r="1475" spans="1:8" ht="13.2">
      <c r="A1475" s="65" t="str">
        <f>HYPERLINK("https://infoarena.ro/problema/xortransform","infoarena xortransform")</f>
        <v>infoarena xortransform</v>
      </c>
      <c r="B1475" s="15" t="s">
        <v>7496</v>
      </c>
      <c r="C1475" s="24">
        <v>6.9</v>
      </c>
      <c r="D1475" s="65" t="str">
        <f>HYPERLINK("https://github.com/mostafa-saad/MyCompetitiveProgramming/blob/master/Olympiad/infoarena/infoarena_xortransform.txt","Sol")</f>
        <v>Sol</v>
      </c>
      <c r="E1475" s="31" t="s">
        <v>6441</v>
      </c>
      <c r="F1475" s="37" t="s">
        <v>154</v>
      </c>
      <c r="G1475" s="67"/>
      <c r="H1475" s="24"/>
    </row>
    <row r="1476" spans="1:8" ht="13.2">
      <c r="A1476" s="65" t="str">
        <f>HYPERLINK("http://usaco.org/index.php?page=viewproblem2&amp;cpid=515","USACO 15jan-gold_movie")</f>
        <v>USACO 15jan-gold_movie</v>
      </c>
      <c r="B1476" s="20" t="s">
        <v>6444</v>
      </c>
      <c r="C1476" s="21">
        <v>5.5</v>
      </c>
      <c r="D1476" s="69"/>
      <c r="E1476" s="31" t="s">
        <v>6441</v>
      </c>
      <c r="F1476" s="37" t="s">
        <v>139</v>
      </c>
      <c r="G1476" s="67"/>
      <c r="H1476" s="24"/>
    </row>
    <row r="1477" spans="1:8" ht="13.2">
      <c r="A1477" s="65" t="str">
        <f>HYPERLINK("https://cses.fi/problemset/task/1654","CSES 1654")</f>
        <v>CSES 1654</v>
      </c>
      <c r="B1477" s="37" t="s">
        <v>6444</v>
      </c>
      <c r="C1477" s="24">
        <v>5.5</v>
      </c>
      <c r="D1477" s="65" t="str">
        <f>HYPERLINK("https://github.com/nikolapesic2802/Programming-Practice/blob/master/Bit%20problem/main.cpp","Sol")</f>
        <v>Sol</v>
      </c>
      <c r="E1477" s="31" t="s">
        <v>6441</v>
      </c>
      <c r="F1477" s="37" t="s">
        <v>139</v>
      </c>
      <c r="G1477" s="67"/>
      <c r="H1477" s="24"/>
    </row>
    <row r="1478" spans="1:8" ht="13.2">
      <c r="A1478" s="65" t="str">
        <f>HYPERLINK("http://hsin.hr/coci/archive/2011_2012/","COCI 12-KOSARE")</f>
        <v>COCI 12-KOSARE</v>
      </c>
      <c r="B1478" s="76" t="s">
        <v>7497</v>
      </c>
      <c r="C1478" s="62">
        <v>5</v>
      </c>
      <c r="D1478" s="65" t="str">
        <f>HYPERLINK("https://github.com/mostafa-saad/MyCompetitiveProgramming/tree/master/Olympiad/COCI/official/2012/contest6_solutions","Editorial")</f>
        <v>Editorial</v>
      </c>
      <c r="E1478" s="31" t="s">
        <v>6441</v>
      </c>
      <c r="F1478" s="37"/>
      <c r="G1478" s="67"/>
      <c r="H1478" s="24"/>
    </row>
    <row r="1479" spans="1:8" ht="13.2">
      <c r="A1479" s="65" t="str">
        <f>HYPERLINK("https://oj.uz/problem/view/IZhO17_road","IZhO 17-road")</f>
        <v>IZhO 17-road</v>
      </c>
      <c r="B1479" s="23" t="s">
        <v>6458</v>
      </c>
      <c r="C1479" s="24">
        <v>7.5</v>
      </c>
      <c r="D1479" s="65" t="str">
        <f>HYPERLINK("https://github.com/LeTrongDat/CompetitiveProgramming/blob/master/IZhO/IZhO17-road.cpp","Sol")</f>
        <v>Sol</v>
      </c>
      <c r="E1479" s="31" t="s">
        <v>6459</v>
      </c>
      <c r="F1479" s="37" t="s">
        <v>154</v>
      </c>
      <c r="G1479" s="67"/>
      <c r="H1479" s="24"/>
    </row>
    <row r="1480" spans="1:8" ht="13.2">
      <c r="A1480" s="65" t="str">
        <f>HYPERLINK("https://oj.uz/problem/view/IOI12_city","IOI 12-city")</f>
        <v>IOI 12-city</v>
      </c>
      <c r="B1480" s="15" t="s">
        <v>7498</v>
      </c>
      <c r="C1480" s="24">
        <v>7.1</v>
      </c>
      <c r="D1480" s="65" t="str">
        <f>HYPERLINK("https://github.com/mostafa-saad/MyCompetitiveProgramming/blob/master/Olympiad/IOI/IOI-12-city.txt","Sol")</f>
        <v>Sol</v>
      </c>
      <c r="E1480" s="31" t="s">
        <v>6459</v>
      </c>
      <c r="F1480" s="37" t="s">
        <v>154</v>
      </c>
      <c r="G1480" s="67"/>
      <c r="H1480" s="24"/>
    </row>
    <row r="1481" spans="1:8" ht="13.2">
      <c r="A1481" s="65" t="str">
        <f>HYPERLINK("https://oj.uz/problem/view/IOI07_training","IOI 07-training")</f>
        <v>IOI 07-training</v>
      </c>
      <c r="B1481" s="20" t="s">
        <v>7499</v>
      </c>
      <c r="C1481" s="24">
        <v>7.1</v>
      </c>
      <c r="D1481" s="65" t="str">
        <f>HYPERLINK("https://github.com/mostafa-saad/MyCompetitiveProgramming/blob/master/Olympiad/IOI/IOI-07-training.txt","Sol")</f>
        <v>Sol</v>
      </c>
      <c r="E1481" s="31" t="s">
        <v>6459</v>
      </c>
      <c r="F1481" s="37" t="s">
        <v>154</v>
      </c>
      <c r="G1481" s="67"/>
      <c r="H1481" s="24"/>
    </row>
    <row r="1482" spans="1:8" ht="13.2">
      <c r="A1482" s="65" t="str">
        <f>HYPERLINK("https://szkopul.edu.pl/problemset/problem/5Z9PRRPP-R90WhmbSY_qHd-1/site/", "POI 04-Cave")</f>
        <v>POI 04-Cave</v>
      </c>
      <c r="B1482" s="37" t="s">
        <v>6458</v>
      </c>
      <c r="C1482" s="24">
        <v>7</v>
      </c>
      <c r="D1482" s="65" t="str">
        <f>HYPERLINK("https://github.com/mostafa-saad/MyCompetitiveProgramming/blob/master/Olympiad/POI/POI-04-Cave.txt","Sol")</f>
        <v>Sol</v>
      </c>
      <c r="E1482" s="31" t="s">
        <v>6459</v>
      </c>
      <c r="F1482" s="37" t="s">
        <v>139</v>
      </c>
      <c r="G1482" s="67"/>
      <c r="H1482" s="24"/>
    </row>
    <row r="1483" spans="1:8" ht="13.2">
      <c r="A1483" s="65" t="str">
        <f>HYPERLINK("https://oj.uz/problems/source/351","JOIOC 18-CatsorDogs")</f>
        <v>JOIOC 18-CatsorDogs</v>
      </c>
      <c r="B1483" s="20" t="s">
        <v>7500</v>
      </c>
      <c r="C1483" s="21">
        <v>6.75</v>
      </c>
      <c r="D1483" s="65" t="str">
        <f>HYPERLINK("https://github.com/mostafa-saad/MyCompetitiveProgramming/tree/master/Olympiad/JOI/official/JOIOC/2018","Editorial")</f>
        <v>Editorial</v>
      </c>
      <c r="E1483" s="31" t="s">
        <v>6459</v>
      </c>
      <c r="F1483" s="37"/>
      <c r="G1483" s="67"/>
      <c r="H1483" s="24"/>
    </row>
    <row r="1484" spans="1:8" ht="13.2">
      <c r="A1484" s="65" t="str">
        <f>HYPERLINK("https://oj.uz/problem/view/COCI15_uzastopni","COCI 15-uzastopni")</f>
        <v>COCI 15-uzastopni</v>
      </c>
      <c r="B1484" s="20" t="s">
        <v>7501</v>
      </c>
      <c r="C1484" s="24">
        <v>6.6</v>
      </c>
      <c r="D1484" s="65" t="str">
        <f>HYPERLINK("https://github.com/mostafa-saad/MyCompetitiveProgramming/blob/master/Olympiad/COCI/COCI-15-uzastopni.txt","Sol")</f>
        <v>Sol</v>
      </c>
      <c r="E1484" s="31" t="s">
        <v>6459</v>
      </c>
      <c r="F1484" s="37" t="s">
        <v>196</v>
      </c>
      <c r="G1484" s="67"/>
      <c r="H1484" s="24"/>
    </row>
    <row r="1485" spans="1:8" ht="13.2">
      <c r="A1485" s="65" t="str">
        <f>HYPERLINK("https://contest.yandex.ru/ioi/contest/566/enter/","IOI 05-rivers")</f>
        <v>IOI 05-rivers</v>
      </c>
      <c r="B1485" s="15" t="s">
        <v>7502</v>
      </c>
      <c r="C1485" s="24">
        <v>6.5</v>
      </c>
      <c r="D1485" s="65" t="str">
        <f>HYPERLINK("https://github.com/mostafa-saad/MyCompetitiveProgramming/blob/master/Olympiad/IOI/IOI-05-rivers.txt","Sol")</f>
        <v>Sol</v>
      </c>
      <c r="E1485" s="31" t="s">
        <v>6459</v>
      </c>
      <c r="F1485" s="37" t="s">
        <v>154</v>
      </c>
      <c r="G1485" s="67"/>
      <c r="H1485" s="24"/>
    </row>
    <row r="1486" spans="1:8" ht="13.2">
      <c r="A1486" s="65" t="str">
        <f>HYPERLINK(" https://www.infoarena.ro/problema/tricolor","Infoarena tricolor")</f>
        <v>Infoarena tricolor</v>
      </c>
      <c r="B1486" s="37" t="s">
        <v>7503</v>
      </c>
      <c r="C1486" s="24">
        <v>6.5</v>
      </c>
      <c r="D1486" s="65" t="str">
        <f>HYPERLINK("https://github.com/mostafa-saad/MyCompetitiveProgramming/blob/master/Olympiad/infoarena/Infoarena_tricolor.txt","Sol")</f>
        <v>Sol</v>
      </c>
      <c r="E1486" s="31" t="s">
        <v>6459</v>
      </c>
      <c r="F1486" s="37" t="s">
        <v>139</v>
      </c>
      <c r="G1486" s="67"/>
      <c r="H1486" s="24"/>
    </row>
    <row r="1487" spans="1:8" ht="13.2">
      <c r="A1487" s="65" t="str">
        <f>HYPERLINK("https://infoarena.ro/problema/radare","infoarena radare")</f>
        <v>infoarena radare</v>
      </c>
      <c r="B1487" s="20" t="s">
        <v>7504</v>
      </c>
      <c r="C1487" s="24">
        <v>6.5</v>
      </c>
      <c r="D1487" s="65" t="str">
        <f>HYPERLINK("https://github.com/mostafa-saad/MyCompetitiveProgramming/blob/master/Olympiad/infoarena/infoarena-radare.txt","Sol")</f>
        <v>Sol</v>
      </c>
      <c r="E1487" s="31" t="s">
        <v>6459</v>
      </c>
      <c r="F1487" s="37" t="s">
        <v>139</v>
      </c>
      <c r="G1487" s="67"/>
      <c r="H1487" s="24"/>
    </row>
    <row r="1488" spans="1:8" ht="13.2">
      <c r="A1488" s="65" t="str">
        <f>HYPERLINK("https://oj.uz/problem/view/CEOI17_museum","CEOIPractice 17-Museum")</f>
        <v>CEOIPractice 17-Museum</v>
      </c>
      <c r="B1488" s="18" t="s">
        <v>7505</v>
      </c>
      <c r="C1488" s="17">
        <v>6.3</v>
      </c>
      <c r="D1488" s="65" t="str">
        <f>HYPERLINK("https://github.com/mostafa-saad/MyCompetitiveProgramming/blob/master/Olympiad/CEOI/CEOIPractice_17-Museum.txt","Sol")</f>
        <v>Sol</v>
      </c>
      <c r="E1488" s="31" t="s">
        <v>6459</v>
      </c>
      <c r="F1488" s="37" t="s">
        <v>1053</v>
      </c>
      <c r="G1488" s="67"/>
      <c r="H1488" s="24"/>
    </row>
    <row r="1489" spans="1:8" ht="13.2">
      <c r="A1489" s="65" t="str">
        <f>HYPERLINK("https://infoarena.ro/problema/arb3","infoarena arb3")</f>
        <v>infoarena arb3</v>
      </c>
      <c r="B1489" s="20" t="s">
        <v>7506</v>
      </c>
      <c r="C1489" s="17">
        <v>6.25</v>
      </c>
      <c r="D1489" s="65" t="str">
        <f>HYPERLINK("https://github.com/mostafa-saad/MyCompetitiveProgramming/blob/master/Olympiad/infoarena/infoarena-arb3.txt","Sol")</f>
        <v>Sol</v>
      </c>
      <c r="E1489" s="31" t="s">
        <v>6459</v>
      </c>
      <c r="F1489" s="37" t="s">
        <v>154</v>
      </c>
      <c r="G1489" s="67"/>
      <c r="H1489" s="24"/>
    </row>
    <row r="1490" spans="1:8" ht="13.2">
      <c r="A1490" s="65" t="str">
        <f>HYPERLINK("https://csacademy.com/contest/ceoi-2017-day-2/","CEOI 17-Chase")</f>
        <v>CEOI 17-Chase</v>
      </c>
      <c r="B1490" s="18" t="s">
        <v>6458</v>
      </c>
      <c r="C1490" s="17">
        <v>6.25</v>
      </c>
      <c r="D1490" s="65" t="str">
        <f>HYPERLINK("https://github.com/samyravitoria/olympics-problems/blob/master/CEOI/2017/chase.cpp","Sol")</f>
        <v>Sol</v>
      </c>
      <c r="E1490" s="31" t="s">
        <v>6459</v>
      </c>
      <c r="F1490" s="37" t="s">
        <v>196</v>
      </c>
      <c r="G1490" s="67"/>
      <c r="H1490" s="24"/>
    </row>
    <row r="1491" spans="1:8" ht="13.2">
      <c r="A1491" s="65" t="str">
        <f>HYPERLINK("https://oj.uz/problem/view/IZhO12_biochips","IZhO 12-biochips")</f>
        <v>IZhO 12-biochips</v>
      </c>
      <c r="B1491" s="20" t="s">
        <v>7507</v>
      </c>
      <c r="C1491" s="24">
        <v>6.25</v>
      </c>
      <c r="D1491" s="65" t="str">
        <f>HYPERLINK("https://github.com/mostafa-saad/MyCompetitiveProgramming/blob/master/Olympiad/IZhO/IZhO-12-biochips.txt","Sol")</f>
        <v>Sol</v>
      </c>
      <c r="E1491" s="31" t="s">
        <v>6459</v>
      </c>
      <c r="F1491" s="37" t="s">
        <v>139</v>
      </c>
      <c r="G1491" s="67"/>
      <c r="H1491" s="24"/>
    </row>
    <row r="1492" spans="1:8" ht="13.2">
      <c r="A1492" s="65" t="str">
        <f>HYPERLINK("https://oj.uz/problem/view/COCI18_dostavljac","COCI 18-dostavljac")</f>
        <v>COCI 18-dostavljac</v>
      </c>
      <c r="B1492" s="20" t="s">
        <v>6458</v>
      </c>
      <c r="C1492" s="24">
        <v>6.25</v>
      </c>
      <c r="D1492" s="65" t="str">
        <f>HYPERLINK("https://github.com/luciocf/OI-Problems/blob/master/COCI/COCI%202017-2018/dostavljac.cpp","Sol")</f>
        <v>Sol</v>
      </c>
      <c r="E1492" s="31" t="s">
        <v>6459</v>
      </c>
      <c r="F1492" s="37" t="s">
        <v>139</v>
      </c>
      <c r="G1492" s="67"/>
      <c r="H1492" s="24"/>
    </row>
    <row r="1493" spans="1:8" ht="13.2">
      <c r="A1493" s="65" t="str">
        <f>HYPERLINK("https://infoarena.ro/problema/plimbare3","infoarena plimbare3")</f>
        <v>infoarena plimbare3</v>
      </c>
      <c r="B1493" s="20" t="s">
        <v>7508</v>
      </c>
      <c r="C1493" s="17">
        <v>6</v>
      </c>
      <c r="D1493" s="65" t="str">
        <f>HYPERLINK("https://github.com/mostafa-saad/MyCompetitiveProgramming/blob/master/Olympiad/infoarena/infoarena-plimbare3.txt","Sol")</f>
        <v>Sol</v>
      </c>
      <c r="E1493" s="31" t="s">
        <v>6459</v>
      </c>
      <c r="F1493" s="37" t="s">
        <v>139</v>
      </c>
      <c r="G1493" s="67"/>
      <c r="H1493" s="24"/>
    </row>
    <row r="1494" spans="1:8" ht="13.2">
      <c r="A1494" s="65" t="str">
        <f>HYPERLINK("https://dmoj.ca/problem/coci08c3p6","COCI 08-Najkraci")</f>
        <v>COCI 08-Najkraci</v>
      </c>
      <c r="B1494" s="15" t="s">
        <v>7509</v>
      </c>
      <c r="C1494" s="24">
        <v>6</v>
      </c>
      <c r="D1494" s="65" t="str">
        <f>HYPERLINK("https://github.com/mostafa-saad/MyCompetitiveProgramming/blob/master/Olympiad/COCI/COCI-08-Najkraci.txt","Sol")</f>
        <v>Sol</v>
      </c>
      <c r="E1494" s="31" t="s">
        <v>6459</v>
      </c>
      <c r="F1494" s="37" t="s">
        <v>139</v>
      </c>
      <c r="G1494" s="67"/>
      <c r="H1494" s="24"/>
    </row>
    <row r="1495" spans="1:8" ht="13.2">
      <c r="A1495" s="65" t="str">
        <f>HYPERLINK("https://csacademy.com/contest/balkan-oi-2017-day-2/","Balkan 17-CityAttractions")</f>
        <v>Balkan 17-CityAttractions</v>
      </c>
      <c r="B1495" s="18" t="s">
        <v>7510</v>
      </c>
      <c r="C1495" s="17">
        <v>6</v>
      </c>
      <c r="D1495" s="65" t="str">
        <f>HYPERLINK("https://github.com/mostafa-saad/MyCompetitiveProgramming/blob/master/Olympiad/Balkan/Balkan-17-CityAttractions.txt","Sol")</f>
        <v>Sol</v>
      </c>
      <c r="E1495" s="31" t="s">
        <v>6459</v>
      </c>
      <c r="F1495" s="37" t="s">
        <v>201</v>
      </c>
      <c r="G1495" s="67"/>
      <c r="H1495" s="24"/>
    </row>
    <row r="1496" spans="1:8" ht="13.2">
      <c r="A1496" s="65" t="str">
        <f>HYPERLINK("https://oj.uz/problem/view/IOI12_tournament","IOI 12-tournament")</f>
        <v>IOI 12-tournament</v>
      </c>
      <c r="B1496" s="18" t="s">
        <v>7511</v>
      </c>
      <c r="C1496" s="17">
        <v>6</v>
      </c>
      <c r="D1496" s="65" t="str">
        <f>HYPERLINK("https://github.com/mostafa-saad/MyCompetitiveProgramming/blob/master/Olympiad/IOI/IOI-12-tournament.txt","Sol")</f>
        <v>Sol</v>
      </c>
      <c r="E1496" s="31" t="s">
        <v>6459</v>
      </c>
      <c r="F1496" s="37"/>
      <c r="G1496" s="67"/>
      <c r="H1496" s="24"/>
    </row>
    <row r="1497" spans="1:8" ht="13.2">
      <c r="A1497" s="65" t="str">
        <f>HYPERLINK("http://usaco.org/index.php?page=viewproblem2&amp;cpid=213","USACO 12dec-runaway")</f>
        <v>USACO 12dec-runaway</v>
      </c>
      <c r="B1497" s="20" t="s">
        <v>7512</v>
      </c>
      <c r="C1497" s="21">
        <v>6</v>
      </c>
      <c r="D1497" s="65" t="str">
        <f>HYPERLINK("https://github.com/mostafa-saad/MyCompetitiveProgramming/blob/master/Olympiad/USACO/USACO-12dec-runaway.txt","Sol")</f>
        <v>Sol</v>
      </c>
      <c r="E1497" s="31" t="s">
        <v>6459</v>
      </c>
      <c r="F1497" s="37"/>
      <c r="G1497" s="67"/>
      <c r="H1497" s="24"/>
    </row>
    <row r="1498" spans="1:8" ht="13.2">
      <c r="A1498" s="65" t="str">
        <f>HYPERLINK("https://www.infoarena.ro/problema/arb2","infoarena arb2")</f>
        <v>infoarena arb2</v>
      </c>
      <c r="B1498" s="20" t="s">
        <v>7513</v>
      </c>
      <c r="C1498" s="17">
        <v>6</v>
      </c>
      <c r="D1498" s="65" t="str">
        <f>HYPERLINK("https://github.com/stefdasca/CompetitiveProgramming/blob/master/Infoarena/arb2.cpp","Sol")</f>
        <v>Sol</v>
      </c>
      <c r="E1498" s="31" t="s">
        <v>6459</v>
      </c>
      <c r="F1498" s="37"/>
      <c r="G1498" s="67"/>
      <c r="H1498" s="24"/>
    </row>
    <row r="1499" spans="1:8" ht="13.2">
      <c r="A1499" s="65" t="str">
        <f>HYPERLINK("https://www.infoarena.ro/problema/arbore7","infoarena arbore7")</f>
        <v>infoarena arbore7</v>
      </c>
      <c r="B1499" s="20" t="s">
        <v>6458</v>
      </c>
      <c r="C1499" s="17">
        <v>5.5</v>
      </c>
      <c r="D1499" s="65" t="str">
        <f>HYPERLINK("https://github.com/mostafa-saad/MyCompetitiveProgramming/blob/master/Olympiad/infoarena/infoarena-arbore7.txt","Sol")</f>
        <v>Sol</v>
      </c>
      <c r="E1499" s="31" t="s">
        <v>6459</v>
      </c>
      <c r="F1499" s="37"/>
      <c r="G1499" s="67"/>
      <c r="H1499" s="24"/>
    </row>
    <row r="1500" spans="1:8" ht="13.2">
      <c r="A1500" s="65" t="str">
        <f>HYPERLINK("http://usaco.org/index.php?page=viewproblem2&amp;cpid=195", "USACO 12nov-btree-gold")</f>
        <v>USACO 12nov-btree-gold</v>
      </c>
      <c r="B1500" s="20" t="s">
        <v>6458</v>
      </c>
      <c r="C1500" s="21">
        <v>5.5</v>
      </c>
      <c r="D1500" s="69"/>
      <c r="E1500" s="31" t="s">
        <v>6459</v>
      </c>
      <c r="F1500" s="37"/>
      <c r="G1500" s="67"/>
      <c r="H1500" s="24"/>
    </row>
    <row r="1501" spans="1:8" ht="13.2">
      <c r="A1501" s="65" t="str">
        <f>HYPERLINK("https://infoarena.ro/problema/posta2","infoarena posta2")</f>
        <v>infoarena posta2</v>
      </c>
      <c r="B1501" s="20" t="s">
        <v>6458</v>
      </c>
      <c r="C1501" s="21">
        <v>5</v>
      </c>
      <c r="D1501" s="65" t="str">
        <f>HYPERLINK("https://github.com/stefdasca/CompetitiveProgramming/blob/master/Infoarena/posta2.cpp","Sol")</f>
        <v>Sol</v>
      </c>
      <c r="E1501" s="31" t="s">
        <v>6459</v>
      </c>
      <c r="F1501" s="37"/>
      <c r="G1501" s="67"/>
      <c r="H1501" s="24"/>
    </row>
    <row r="1502" spans="1:8" ht="13.2">
      <c r="A1502" s="65" t="str">
        <f>HYPERLINK("https://szkopul.edu.pl/problemset/problem/1QaUWE_ePAmitZjgAszOVD1U/site/", "POI 16-Parade")</f>
        <v>POI 16-Parade</v>
      </c>
      <c r="B1502" s="25" t="s">
        <v>7514</v>
      </c>
      <c r="C1502" s="24">
        <v>5</v>
      </c>
      <c r="D1502" s="65" t="str">
        <f>HYPERLINK("https://github.com/win11905/submission/blob/master/POI/parade.cpp","Sol")</f>
        <v>Sol</v>
      </c>
      <c r="E1502" s="31" t="s">
        <v>6459</v>
      </c>
      <c r="F1502" s="37"/>
      <c r="G1502" s="67"/>
      <c r="H1502" s="24"/>
    </row>
    <row r="1503" spans="1:8" ht="13.2">
      <c r="A1503" s="65" t="str">
        <f>HYPERLINK("http://usaco.org/index.php?page=viewproblem2&amp;cpid=814","USACO 18feb-dirtraverse-gold")</f>
        <v>USACO 18feb-dirtraverse-gold</v>
      </c>
      <c r="B1503" s="37" t="s">
        <v>7515</v>
      </c>
      <c r="C1503" s="24">
        <v>5</v>
      </c>
      <c r="D1503" s="69"/>
      <c r="E1503" s="31" t="s">
        <v>6459</v>
      </c>
      <c r="F1503" s="37"/>
      <c r="G1503" s="67"/>
      <c r="H1503" s="24"/>
    </row>
    <row r="1504" spans="1:8" ht="13.2">
      <c r="A1504" s="65" t="str">
        <f>HYPERLINK("https://oj.uz/problem/view/COI16_palinilap","COI 16-palinilap")</f>
        <v>COI 16-palinilap</v>
      </c>
      <c r="B1504" s="20" t="s">
        <v>7516</v>
      </c>
      <c r="C1504" s="24">
        <v>7.2</v>
      </c>
      <c r="D1504" s="65" t="str">
        <f>HYPERLINK("https://github.com/mostafa-saad/MyCompetitiveProgramming/blob/master/Olympiad/COI/COI-16-palinilap.txt","Sol")</f>
        <v>Sol</v>
      </c>
      <c r="E1504" s="31" t="s">
        <v>6505</v>
      </c>
      <c r="F1504" s="37" t="s">
        <v>139</v>
      </c>
      <c r="G1504" s="67"/>
      <c r="H1504" s="24"/>
    </row>
    <row r="1505" spans="1:8" ht="13.2">
      <c r="A1505" s="65" t="str">
        <f>HYPERLINK("https://oj.uz/problem/view/BOI19_necklace1","Baltic 19-necklace1")</f>
        <v>Baltic 19-necklace1</v>
      </c>
      <c r="B1505" s="37" t="s">
        <v>7517</v>
      </c>
      <c r="C1505" s="24">
        <v>6.75</v>
      </c>
      <c r="D1505" s="65" t="str">
        <f>HYPERLINK("https://github.com/mostafa-saad/MyCompetitiveProgramming/blob/master/Olympiad/Baltic/Baltic-19-necklace1.txt","Sol")</f>
        <v>Sol</v>
      </c>
      <c r="E1505" s="31" t="s">
        <v>6505</v>
      </c>
      <c r="F1505" s="37"/>
      <c r="G1505" s="67"/>
      <c r="H1505" s="24"/>
    </row>
    <row r="1506" spans="1:8" ht="13.2">
      <c r="A1506" s="65" t="str">
        <f>HYPERLINK("https://oj.uz/problem/view/COCI17_osmosmjerka","COCI 17-osmosmjerka")</f>
        <v>COCI 17-osmosmjerka</v>
      </c>
      <c r="B1506" s="20" t="s">
        <v>7518</v>
      </c>
      <c r="C1506" s="24">
        <v>6.6</v>
      </c>
      <c r="D1506" s="65" t="str">
        <f>HYPERLINK("https://github.com/mostafa-saad/MyCompetitiveProgramming/blob/master/Olympiad/COCI/COCI-17-osmosmjerka.txt","Sol")</f>
        <v>Sol</v>
      </c>
      <c r="E1506" s="31" t="s">
        <v>6505</v>
      </c>
      <c r="F1506" s="37" t="s">
        <v>139</v>
      </c>
      <c r="G1506" s="67"/>
      <c r="H1506" s="24"/>
    </row>
    <row r="1507" spans="1:8" ht="13.2">
      <c r="A1507" s="65" t="str">
        <f>HYPERLINK("https://contest.yandex.ru/ioi/contest/558/problems/B/","IOI 03-code")</f>
        <v>IOI 03-code</v>
      </c>
      <c r="B1507" s="15" t="s">
        <v>7519</v>
      </c>
      <c r="C1507" s="24">
        <v>6.5</v>
      </c>
      <c r="D1507" s="65" t="str">
        <f>HYPERLINK("https://github.com/mostafa-saad/MyCompetitiveProgramming/blob/master/Olympiad/IOI/IOI-03-code.txt","Sol")</f>
        <v>Sol</v>
      </c>
      <c r="E1507" s="31" t="s">
        <v>6505</v>
      </c>
      <c r="F1507" s="37" t="s">
        <v>201</v>
      </c>
      <c r="G1507" s="67"/>
      <c r="H1507" s="24"/>
    </row>
    <row r="1508" spans="1:8" ht="13.2">
      <c r="A1508" s="65" t="str">
        <f>HYPERLINK("https://www.infoarena.ro/problema/sabin","infoarena sabin")</f>
        <v>infoarena sabin</v>
      </c>
      <c r="B1508" s="20" t="s">
        <v>7520</v>
      </c>
      <c r="C1508" s="21">
        <v>6</v>
      </c>
      <c r="D1508" s="65" t="str">
        <f>HYPERLINK("https://github.com/mostafa-saad/MyCompetitiveProgramming/blob/master/Olympiad/infoarena/infoarena_sabin.txt","Sol")</f>
        <v>Sol</v>
      </c>
      <c r="E1508" s="31" t="s">
        <v>6505</v>
      </c>
      <c r="F1508" s="37" t="s">
        <v>139</v>
      </c>
      <c r="G1508" s="67"/>
      <c r="H1508" s="24"/>
    </row>
    <row r="1509" spans="1:8" ht="13.2">
      <c r="A1509" s="65" t="str">
        <f>HYPERLINK("https://dmoj.ca/problem/coci06c1p6","COCI 06-Debug")</f>
        <v>COCI 06-Debug</v>
      </c>
      <c r="B1509" s="15" t="s">
        <v>7521</v>
      </c>
      <c r="C1509" s="24">
        <v>6</v>
      </c>
      <c r="D1509" s="65" t="str">
        <f>HYPERLINK("https://github.com/mostafa-saad/MyCompetitiveProgramming/blob/master/Olympiad/COCI/COCI-06-Debug.txt","Sol")</f>
        <v>Sol</v>
      </c>
      <c r="E1509" s="31" t="s">
        <v>6505</v>
      </c>
      <c r="F1509" s="37" t="s">
        <v>201</v>
      </c>
      <c r="G1509" s="67"/>
      <c r="H1509" s="24"/>
    </row>
    <row r="1510" spans="1:8" ht="13.2">
      <c r="A1510" s="65" t="str">
        <f>HYPERLINK("https://dmoj.ca/problem/coci06c5p6","COCI 06-Dvaput")</f>
        <v>COCI 06-Dvaput</v>
      </c>
      <c r="B1510" s="15" t="s">
        <v>7522</v>
      </c>
      <c r="C1510" s="24">
        <v>5.5</v>
      </c>
      <c r="D1510" s="65" t="str">
        <f>HYPERLINK("https://github.com/mostafa-saad/MyCompetitiveProgramming/blob/master/Olympiad/COCI/COCI-06-Dvaput.txt","Sol")</f>
        <v>Sol</v>
      </c>
      <c r="E1510" s="31" t="s">
        <v>6505</v>
      </c>
      <c r="F1510" s="37" t="s">
        <v>242</v>
      </c>
      <c r="G1510" s="67"/>
      <c r="H1510" s="24"/>
    </row>
    <row r="1511" spans="1:8" ht="13.2">
      <c r="A1511" s="65" t="str">
        <f>HYPERLINK("https://dunjudge.me/analysis/problems/725/","MCO 15-secret")</f>
        <v>MCO 15-secret</v>
      </c>
      <c r="B1511" s="37" t="s">
        <v>7523</v>
      </c>
      <c r="C1511" s="24">
        <v>5</v>
      </c>
      <c r="D1511" s="65" t="str">
        <f>HYPERLINK("https://github.com/mostafa-saad/MyCompetitiveProgramming/tree/master/Olympiad/MCO/official/2015","Sol No Editorial")</f>
        <v>Sol No Editorial</v>
      </c>
      <c r="E1511" s="31" t="s">
        <v>6505</v>
      </c>
      <c r="F1511" s="37"/>
      <c r="G1511" s="67"/>
      <c r="H1511" s="24"/>
    </row>
    <row r="1512" spans="1:8" ht="13.2">
      <c r="A1512" s="65" t="str">
        <f>HYPERLINK("https://szkopul.edu.pl/problemset/problem/9JvSAnyf5d1FlPAEXEdUAtCz/site/", "POI 18-Polynomial")</f>
        <v>POI 18-Polynomial</v>
      </c>
      <c r="B1512" s="37" t="s">
        <v>6515</v>
      </c>
      <c r="C1512" s="24">
        <v>6.25</v>
      </c>
      <c r="D1512" s="65" t="str">
        <f>HYPERLINK("https://github.com/tmwilliamlin168/CompetitiveProgramming/blob/master/POI/25-Polynomial.cpp", "Sol")</f>
        <v>Sol</v>
      </c>
      <c r="E1512" s="31" t="s">
        <v>6511</v>
      </c>
      <c r="F1512" s="37"/>
      <c r="G1512" s="67"/>
      <c r="H1512" s="24"/>
    </row>
    <row r="1513" spans="1:8" ht="13.2">
      <c r="A1513" s="65" t="str">
        <f>HYPERLINK("https://tioj.ck.tp.edu.tw/problems/1750","APIO 11-guessword")</f>
        <v>APIO 11-guessword</v>
      </c>
      <c r="B1513" s="20" t="s">
        <v>7524</v>
      </c>
      <c r="C1513" s="17">
        <v>8</v>
      </c>
      <c r="D1513" s="69"/>
      <c r="E1513" s="31" t="s">
        <v>7525</v>
      </c>
      <c r="F1513" s="37"/>
      <c r="G1513" s="67"/>
      <c r="H1513" s="24"/>
    </row>
    <row r="1514" spans="1:8" ht="13.2">
      <c r="A1514" s="65" t="str">
        <f>HYPERLINK("https://dunjudge.me/analysis/problems/437/","APIO 13-tasksauthor")</f>
        <v>APIO 13-tasksauthor</v>
      </c>
      <c r="B1514" s="20" t="s">
        <v>7526</v>
      </c>
      <c r="C1514" s="81"/>
      <c r="D1514" s="69"/>
      <c r="E1514" s="31" t="s">
        <v>7525</v>
      </c>
      <c r="F1514" s="37"/>
      <c r="G1514" s="67"/>
      <c r="H1514" s="24"/>
    </row>
    <row r="1515" spans="1:8" ht="13.2">
      <c r="A1515" s="65" t="str">
        <f>HYPERLINK("https://www.acmicpc.net/problem/2336","Balkan 04-great_student")</f>
        <v>Balkan 04-great_student</v>
      </c>
      <c r="B1515" s="37" t="s">
        <v>7527</v>
      </c>
      <c r="C1515" s="24"/>
      <c r="D1515" s="69"/>
      <c r="E1515" s="31" t="s">
        <v>7525</v>
      </c>
      <c r="F1515" s="37"/>
      <c r="G1515" s="67"/>
      <c r="H1515" s="24"/>
    </row>
    <row r="1516" spans="1:8" ht="13.2">
      <c r="A1516" s="65" t="str">
        <f>HYPERLINK("https://www.acmicpc.net/problem/2192","Balkan 04-two_sequences")</f>
        <v>Balkan 04-two_sequences</v>
      </c>
      <c r="B1516" s="37" t="s">
        <v>7527</v>
      </c>
      <c r="C1516" s="24"/>
      <c r="D1516" s="69"/>
      <c r="E1516" s="31" t="s">
        <v>7525</v>
      </c>
      <c r="F1516" s="37"/>
      <c r="G1516" s="67"/>
      <c r="H1516" s="24"/>
    </row>
    <row r="1517" spans="1:8" ht="13.2">
      <c r="A1517" s="65" t="str">
        <f>HYPERLINK("https://www.acmicpc.net/problem/7085","Balkan 05-Couples")</f>
        <v>Balkan 05-Couples</v>
      </c>
      <c r="B1517" s="37" t="s">
        <v>7527</v>
      </c>
      <c r="C1517" s="24"/>
      <c r="D1517" s="69"/>
      <c r="E1517" s="31" t="s">
        <v>7525</v>
      </c>
      <c r="F1517" s="37"/>
      <c r="G1517" s="67"/>
      <c r="H1517" s="24"/>
    </row>
    <row r="1518" spans="1:8" ht="13.2">
      <c r="A1518" s="65" t="str">
        <f>HYPERLINK("https://www.acmicpc.net/problem/7083","Balkan 05-CPU")</f>
        <v>Balkan 05-CPU</v>
      </c>
      <c r="B1518" s="37" t="s">
        <v>7527</v>
      </c>
      <c r="C1518" s="24"/>
      <c r="D1518" s="69"/>
      <c r="E1518" s="31" t="s">
        <v>7525</v>
      </c>
      <c r="F1518" s="37"/>
      <c r="G1518" s="67"/>
      <c r="H1518" s="24"/>
    </row>
    <row r="1519" spans="1:8" ht="13.2">
      <c r="A1519" s="65" t="str">
        <f>HYPERLINK("https://www.acmicpc.net/problem/7084","Balkan 05-Requests")</f>
        <v>Balkan 05-Requests</v>
      </c>
      <c r="B1519" s="37" t="s">
        <v>7527</v>
      </c>
      <c r="C1519" s="24"/>
      <c r="D1519" s="69"/>
      <c r="E1519" s="31" t="s">
        <v>7525</v>
      </c>
      <c r="F1519" s="37"/>
      <c r="G1519" s="67"/>
      <c r="H1519" s="24"/>
    </row>
    <row r="1520" spans="1:8" ht="13.2">
      <c r="A1520" s="65" t="str">
        <f>HYPERLINK("https://www.acmicpc.net/problem/7087","Balkan 05-Tickets")</f>
        <v>Balkan 05-Tickets</v>
      </c>
      <c r="B1520" s="37" t="s">
        <v>7527</v>
      </c>
      <c r="C1520" s="24"/>
      <c r="D1520" s="69"/>
      <c r="E1520" s="31" t="s">
        <v>7525</v>
      </c>
      <c r="F1520" s="37"/>
      <c r="G1520" s="67"/>
      <c r="H1520" s="24"/>
    </row>
    <row r="1521" spans="1:8" ht="13.2">
      <c r="A1521" s="65" t="str">
        <f>HYPERLINK("https://www.acmicpc.net/problem/7088","Balkan 05-WordCounting")</f>
        <v>Balkan 05-WordCounting</v>
      </c>
      <c r="B1521" s="37" t="s">
        <v>7527</v>
      </c>
      <c r="C1521" s="24"/>
      <c r="D1521" s="69"/>
      <c r="E1521" s="31" t="s">
        <v>7525</v>
      </c>
      <c r="F1521" s="37"/>
      <c r="G1521" s="67"/>
      <c r="H1521" s="24"/>
    </row>
    <row r="1522" spans="1:8" ht="13.2">
      <c r="A1522" s="65" t="str">
        <f>HYPERLINK("https://www.acmicpc.net/problem/7080","Balkan 09-NewBeginning")</f>
        <v>Balkan 09-NewBeginning</v>
      </c>
      <c r="B1522" s="37" t="s">
        <v>7527</v>
      </c>
      <c r="C1522" s="24"/>
      <c r="D1522" s="69"/>
      <c r="E1522" s="31" t="s">
        <v>7525</v>
      </c>
      <c r="F1522" s="37"/>
      <c r="G1522" s="67"/>
      <c r="H1522" s="24"/>
    </row>
    <row r="1523" spans="1:8" ht="13.2">
      <c r="A1523" s="65" t="str">
        <f>HYPERLINK("https://www.acmicpc.net/problem/7082","Balkan 09-Strip")</f>
        <v>Balkan 09-Strip</v>
      </c>
      <c r="B1523" s="37" t="s">
        <v>7527</v>
      </c>
      <c r="C1523" s="24"/>
      <c r="D1523" s="69"/>
      <c r="E1523" s="31" t="s">
        <v>7525</v>
      </c>
      <c r="F1523" s="37"/>
      <c r="G1523" s="67"/>
      <c r="H1523" s="24"/>
    </row>
    <row r="1524" spans="1:8" ht="13.2">
      <c r="A1524" s="65" t="str">
        <f>HYPERLINK("https://www.acmicpc.net/problem/5249","Balkan 12-BOI_handsome")</f>
        <v>Balkan 12-BOI_handsome</v>
      </c>
      <c r="B1524" s="37" t="s">
        <v>7527</v>
      </c>
      <c r="C1524" s="24"/>
      <c r="D1524" s="69"/>
      <c r="E1524" s="31" t="s">
        <v>7525</v>
      </c>
      <c r="F1524" s="37"/>
      <c r="G1524" s="67"/>
      <c r="H1524" s="24"/>
    </row>
    <row r="1525" spans="1:8" ht="13.2">
      <c r="A1525" s="65" t="str">
        <f>HYPERLINK("https://www.acmicpc.net/problem/11782","Balkan 15-TILING")</f>
        <v>Balkan 15-TILING</v>
      </c>
      <c r="B1525" s="37" t="s">
        <v>7527</v>
      </c>
      <c r="C1525" s="24">
        <v>9</v>
      </c>
      <c r="D1525" s="69"/>
      <c r="E1525" s="31" t="s">
        <v>7525</v>
      </c>
      <c r="F1525" s="37"/>
      <c r="G1525" s="67"/>
      <c r="H1525" s="24"/>
    </row>
    <row r="1526" spans="1:8" ht="13.2">
      <c r="A1526" s="65" t="str">
        <f>HYPERLINK("https://www.hackerrank.com/contests/boi-2016/challenges","Balkan 16-Hacker")</f>
        <v>Balkan 16-Hacker</v>
      </c>
      <c r="B1526" s="37" t="s">
        <v>7527</v>
      </c>
      <c r="C1526" s="24">
        <v>9</v>
      </c>
      <c r="D1526" s="69"/>
      <c r="E1526" s="31" t="s">
        <v>7525</v>
      </c>
      <c r="F1526" s="37"/>
      <c r="G1526" s="67"/>
      <c r="H1526" s="24"/>
    </row>
    <row r="1527" spans="1:8" ht="13.2">
      <c r="A1527" s="65" t="str">
        <f>HYPERLINK("https://cses.fi/110/list/","Baltic 06-City")</f>
        <v>Baltic 06-City</v>
      </c>
      <c r="B1527" s="37" t="s">
        <v>7527</v>
      </c>
      <c r="C1527" s="24"/>
      <c r="D1527" s="69"/>
      <c r="E1527" s="31" t="s">
        <v>7525</v>
      </c>
      <c r="F1527" s="37"/>
      <c r="G1527" s="67"/>
      <c r="H1527" s="24"/>
    </row>
    <row r="1528" spans="1:8" ht="13.2">
      <c r="A1528" s="65" t="str">
        <f>HYPERLINK("https://cses.fi/109/list/","Baltic 06-Coin")</f>
        <v>Baltic 06-Coin</v>
      </c>
      <c r="B1528" s="37" t="s">
        <v>7527</v>
      </c>
      <c r="C1528" s="24"/>
      <c r="D1528" s="69"/>
      <c r="E1528" s="31" t="s">
        <v>7525</v>
      </c>
      <c r="F1528" s="37"/>
      <c r="G1528" s="67"/>
      <c r="H1528" s="24"/>
    </row>
    <row r="1529" spans="1:8" ht="13.2">
      <c r="A1529" s="65" t="str">
        <f>HYPERLINK("https://cses.fi/99/list/","Baltic 12-Tiny")</f>
        <v>Baltic 12-Tiny</v>
      </c>
      <c r="B1529" s="37" t="s">
        <v>7527</v>
      </c>
      <c r="C1529" s="24">
        <v>7.25</v>
      </c>
      <c r="D1529" s="69"/>
      <c r="E1529" s="31" t="s">
        <v>7525</v>
      </c>
      <c r="F1529" s="37"/>
      <c r="G1529" s="67"/>
      <c r="H1529" s="24"/>
    </row>
    <row r="1530" spans="1:8" ht="13.2">
      <c r="A1530" s="65" t="str">
        <f>HYPERLINK("https://open.kattis.com/problem-sources/Baltic%20Olympiad%20in%20Informatics%202017%2C%20Warmup","BalticWarmup 17-BirdRescue")</f>
        <v>BalticWarmup 17-BirdRescue</v>
      </c>
      <c r="B1530" s="15" t="s">
        <v>7527</v>
      </c>
      <c r="C1530" s="24"/>
      <c r="D1530" s="69"/>
      <c r="E1530" s="31" t="s">
        <v>7525</v>
      </c>
      <c r="F1530" s="37"/>
      <c r="G1530" s="67"/>
      <c r="H1530" s="24"/>
    </row>
    <row r="1531" spans="1:8" ht="13.2">
      <c r="A1531" s="65" t="str">
        <f>HYPERLINK("https://open.kattis.com/problem-sources/Baltic%20Olympiad%20in%20Informatics%202017%2C%20Warmup","BalticWarmup 17-PongTournament")</f>
        <v>BalticWarmup 17-PongTournament</v>
      </c>
      <c r="B1531" s="15" t="s">
        <v>7527</v>
      </c>
      <c r="C1531" s="24"/>
      <c r="D1531" s="69"/>
      <c r="E1531" s="31" t="s">
        <v>7525</v>
      </c>
      <c r="F1531" s="37"/>
      <c r="G1531" s="67"/>
      <c r="H1531" s="24"/>
    </row>
    <row r="1532" spans="1:8" ht="13.2">
      <c r="A1532" s="65" t="str">
        <f>HYPERLINK("https://dmoj.ca/problem/cco07p1","CCO 07-Cows")</f>
        <v>CCO 07-Cows</v>
      </c>
      <c r="B1532" s="37" t="s">
        <v>7527</v>
      </c>
      <c r="C1532" s="24">
        <v>5</v>
      </c>
      <c r="D1532" s="69"/>
      <c r="E1532" s="31" t="s">
        <v>7525</v>
      </c>
      <c r="F1532" s="37"/>
      <c r="G1532" s="67"/>
      <c r="H1532" s="24"/>
    </row>
    <row r="1533" spans="1:8" ht="13.2">
      <c r="A1533" s="65" t="str">
        <f>HYPERLINK("https://dmoj.ca/problem/cco08p5","CCO 08-Candy")</f>
        <v>CCO 08-Candy</v>
      </c>
      <c r="B1533" s="37" t="s">
        <v>7527</v>
      </c>
      <c r="C1533" s="24">
        <v>5</v>
      </c>
      <c r="D1533" s="69"/>
      <c r="E1533" s="31" t="s">
        <v>7525</v>
      </c>
      <c r="F1533" s="37" t="s">
        <v>139</v>
      </c>
      <c r="G1533" s="67"/>
      <c r="H1533" s="24"/>
    </row>
    <row r="1534" spans="1:8" ht="13.2">
      <c r="A1534" s="65" t="str">
        <f>HYPERLINK("https://dmoj.ca/contest/cco18d2","CCO 18-FlopSorting")</f>
        <v>CCO 18-FlopSorting</v>
      </c>
      <c r="B1534" s="20" t="s">
        <v>7527</v>
      </c>
      <c r="C1534" s="17">
        <v>7.5</v>
      </c>
      <c r="D1534" s="69"/>
      <c r="E1534" s="31" t="s">
        <v>7525</v>
      </c>
      <c r="F1534" s="37"/>
      <c r="G1534" s="67"/>
      <c r="H1534" s="24"/>
    </row>
    <row r="1535" spans="1:8" ht="13.2">
      <c r="A1535" s="65" t="str">
        <f>HYPERLINK("https://dmoj.ca/contest/cco18d1","CCO 18-FunPalace")</f>
        <v>CCO 18-FunPalace</v>
      </c>
      <c r="B1535" s="20" t="s">
        <v>7527</v>
      </c>
      <c r="C1535" s="17">
        <v>8</v>
      </c>
      <c r="D1535" s="69"/>
      <c r="E1535" s="31" t="s">
        <v>7525</v>
      </c>
      <c r="F1535" s="37"/>
      <c r="G1535" s="67"/>
      <c r="H1535" s="24"/>
    </row>
    <row r="1536" spans="1:8" ht="13.2">
      <c r="A1536" s="65" t="str">
        <f>HYPERLINK("https://www.acmicpc.net/problem/1760","CEOI 02-NRook")</f>
        <v>CEOI 02-NRook</v>
      </c>
      <c r="B1536" s="37" t="s">
        <v>7528</v>
      </c>
      <c r="C1536" s="24">
        <v>5</v>
      </c>
      <c r="D1536" s="69"/>
      <c r="E1536" s="31" t="s">
        <v>7525</v>
      </c>
      <c r="F1536" s="37"/>
      <c r="G1536" s="67"/>
      <c r="H1536" s="24"/>
    </row>
    <row r="1537" spans="1:8" ht="13.2">
      <c r="A1537" s="65" t="str">
        <f>HYPERLINK("https://cses.fi/188/list/","CEOI 07-Airport")</f>
        <v>CEOI 07-Airport</v>
      </c>
      <c r="B1537" s="20" t="s">
        <v>7527</v>
      </c>
      <c r="C1537" s="24">
        <v>6.5</v>
      </c>
      <c r="D1537" s="69"/>
      <c r="E1537" s="31" t="s">
        <v>7525</v>
      </c>
      <c r="F1537" s="37"/>
      <c r="G1537" s="67"/>
      <c r="H1537" s="24"/>
    </row>
    <row r="1538" spans="1:8" ht="13.2">
      <c r="A1538" s="65" t="str">
        <f>HYPERLINK("https://cses.fi/187/list/","CEOI 07-Ministry")</f>
        <v>CEOI 07-Ministry</v>
      </c>
      <c r="B1538" s="20" t="s">
        <v>7527</v>
      </c>
      <c r="C1538" s="24">
        <v>6.25</v>
      </c>
      <c r="D1538" s="69"/>
      <c r="E1538" s="31" t="s">
        <v>7525</v>
      </c>
      <c r="F1538" s="37"/>
      <c r="G1538" s="67"/>
      <c r="H1538" s="24"/>
    </row>
    <row r="1539" spans="1:8" ht="13.2">
      <c r="A1539" s="65" t="str">
        <f>HYPERLINK("https://cses.fi/188/list/","CEOI 07-Necklace")</f>
        <v>CEOI 07-Necklace</v>
      </c>
      <c r="B1539" s="20" t="s">
        <v>7527</v>
      </c>
      <c r="C1539" s="24">
        <v>6.75</v>
      </c>
      <c r="D1539" s="69"/>
      <c r="E1539" s="31" t="s">
        <v>7525</v>
      </c>
      <c r="F1539" s="37"/>
      <c r="G1539" s="67"/>
      <c r="H1539" s="24"/>
    </row>
    <row r="1540" spans="1:8" ht="13.2">
      <c r="A1540" s="65" t="str">
        <f>HYPERLINK("https://cses.fi/187/list/","CEOI 07-Sail")</f>
        <v>CEOI 07-Sail</v>
      </c>
      <c r="B1540" s="20" t="s">
        <v>7527</v>
      </c>
      <c r="C1540" s="24">
        <v>7.75</v>
      </c>
      <c r="D1540" s="69"/>
      <c r="E1540" s="31" t="s">
        <v>7525</v>
      </c>
      <c r="F1540" s="37"/>
      <c r="G1540" s="67"/>
      <c r="H1540" s="24"/>
    </row>
    <row r="1541" spans="1:8" ht="13.2">
      <c r="A1541" s="65" t="str">
        <f>HYPERLINK("https://cses.fi/188/list/","CEOI 07-Treasury")</f>
        <v>CEOI 07-Treasury</v>
      </c>
      <c r="B1541" s="20" t="s">
        <v>7529</v>
      </c>
      <c r="C1541" s="24">
        <v>6.5</v>
      </c>
      <c r="D1541" s="69"/>
      <c r="E1541" s="31" t="s">
        <v>7525</v>
      </c>
      <c r="F1541" s="37"/>
      <c r="G1541" s="67"/>
      <c r="H1541" s="24"/>
    </row>
    <row r="1542" spans="1:8" ht="13.2">
      <c r="A1542" s="65" t="str">
        <f>HYPERLINK("https://szkopul.edu.pl/problemset/problem/4Pgr_vmxb_fPeFSn1NTJPqQa/site/","CEOI 10-Alliances")</f>
        <v>CEOI 10-Alliances</v>
      </c>
      <c r="B1542" s="20" t="s">
        <v>7530</v>
      </c>
      <c r="C1542" s="24">
        <v>6.5</v>
      </c>
      <c r="D1542" s="69"/>
      <c r="E1542" s="31" t="s">
        <v>7525</v>
      </c>
      <c r="F1542" s="37"/>
      <c r="G1542" s="67"/>
      <c r="H1542" s="24"/>
    </row>
    <row r="1543" spans="1:8" ht="13.2">
      <c r="A1543" s="65" t="str">
        <f>HYPERLINK("https://szkopul.edu.pl/problemset/problem/-e02GdqRC4OgV8Hjb852pqQ9/site/","CEOI 10-Arithmetic")</f>
        <v>CEOI 10-Arithmetic</v>
      </c>
      <c r="B1543" s="20" t="s">
        <v>7527</v>
      </c>
      <c r="C1543" s="24">
        <v>7</v>
      </c>
      <c r="D1543" s="69"/>
      <c r="E1543" s="31" t="s">
        <v>7525</v>
      </c>
      <c r="F1543" s="37"/>
      <c r="G1543" s="67"/>
      <c r="H1543" s="24"/>
    </row>
    <row r="1544" spans="1:8" ht="13.2">
      <c r="A1544" s="65" t="str">
        <f>HYPERLINK("https://cses.fi/197/list/","CEOI 10-Bodyguards")</f>
        <v>CEOI 10-Bodyguards</v>
      </c>
      <c r="B1544" s="20" t="s">
        <v>7527</v>
      </c>
      <c r="C1544" s="24">
        <v>7</v>
      </c>
      <c r="D1544" s="69"/>
      <c r="E1544" s="31" t="s">
        <v>7525</v>
      </c>
      <c r="F1544" s="37"/>
      <c r="G1544" s="67"/>
      <c r="H1544" s="24"/>
    </row>
    <row r="1545" spans="1:8" ht="13.2">
      <c r="A1545" s="65" t="str">
        <f>HYPERLINK("https://szkopul.edu.pl/problemset/problem/M09kYLBv3P6homsLzx_fmpgn/site/","CEOI 10-MP3player")</f>
        <v>CEOI 10-MP3player</v>
      </c>
      <c r="B1545" s="20" t="s">
        <v>7527</v>
      </c>
      <c r="C1545" s="24">
        <v>6.5</v>
      </c>
      <c r="D1545" s="69"/>
      <c r="E1545" s="31" t="s">
        <v>7525</v>
      </c>
      <c r="F1545" s="37"/>
      <c r="G1545" s="67"/>
      <c r="H1545" s="24"/>
    </row>
    <row r="1546" spans="1:8" ht="13.2">
      <c r="A1546" s="65" t="str">
        <f>HYPERLINK("https://codeforces.com/contest/1193","CEOI 19-Scissors")</f>
        <v>CEOI 19-Scissors</v>
      </c>
      <c r="B1546" s="37" t="s">
        <v>7527</v>
      </c>
      <c r="C1546" s="24">
        <v>8.5</v>
      </c>
      <c r="D1546" s="65" t="str">
        <f>HYPERLINK("https://codeforces.com/blog/entry/68748","Editorial")</f>
        <v>Editorial</v>
      </c>
      <c r="E1546" s="31" t="s">
        <v>7525</v>
      </c>
      <c r="F1546" s="37"/>
      <c r="G1546" s="67"/>
      <c r="H1546" s="24"/>
    </row>
    <row r="1547" spans="1:8" ht="13.2">
      <c r="A1547" s="65" t="str">
        <f>HYPERLINK("https://wcipeg.com/problem/coci067p1","COCI 06-Bard")</f>
        <v>COCI 06-Bard</v>
      </c>
      <c r="B1547" s="15" t="s">
        <v>7527</v>
      </c>
      <c r="C1547" s="24">
        <v>3</v>
      </c>
      <c r="D1547" s="65" t="str">
        <f>HYPERLINK("https://github.com/mostafa-saad/MyCompetitiveProgramming/tree/master/Olympiad/COCI/official/2007/regional_solutions","Editorial")</f>
        <v>Editorial</v>
      </c>
      <c r="E1547" s="31" t="s">
        <v>7525</v>
      </c>
      <c r="F1547" s="37"/>
      <c r="G1547" s="67"/>
      <c r="H1547" s="24"/>
    </row>
    <row r="1548" spans="1:8" ht="13.2">
      <c r="A1548" s="65" t="str">
        <f>HYPERLINK("https://wcipeg.com/problem/coci065p4","COCI 06-Liga")</f>
        <v>COCI 06-Liga</v>
      </c>
      <c r="B1548" s="15" t="s">
        <v>7527</v>
      </c>
      <c r="C1548" s="24">
        <v>4.5</v>
      </c>
      <c r="D1548" s="65" t="str">
        <f>HYPERLINK("https://github.com/mostafa-saad/MyCompetitiveProgramming/tree/master/Olympiad/COCI/official/2007/contest5_solutions","Editorial")</f>
        <v>Editorial</v>
      </c>
      <c r="E1548" s="31" t="s">
        <v>7525</v>
      </c>
      <c r="F1548" s="37"/>
      <c r="G1548" s="67"/>
      <c r="H1548" s="24"/>
    </row>
    <row r="1549" spans="1:8" ht="13.2">
      <c r="A1549" s="65" t="str">
        <f>HYPERLINK("https://dmoj.ca/problem/coci06c6p3","COCI 06-Maraton")</f>
        <v>COCI 06-Maraton</v>
      </c>
      <c r="B1549" s="15" t="s">
        <v>7527</v>
      </c>
      <c r="C1549" s="24">
        <v>3</v>
      </c>
      <c r="D1549" s="65" t="str">
        <f>HYPERLINK("https://github.com/mostafa-saad/MyCompetitiveProgramming/tree/master/Olympiad/COCI/official/2007/contest6_solutions","Editorial")</f>
        <v>Editorial</v>
      </c>
      <c r="E1549" s="31" t="s">
        <v>7525</v>
      </c>
      <c r="F1549" s="37"/>
      <c r="G1549" s="67"/>
      <c r="H1549" s="24"/>
    </row>
    <row r="1550" spans="1:8" ht="13.2">
      <c r="A1550" s="65" t="str">
        <f>HYPERLINK("https://dmoj.ca/problem/coci06c1p3","COCI 06-Okviri")</f>
        <v>COCI 06-Okviri</v>
      </c>
      <c r="B1550" s="15" t="s">
        <v>7527</v>
      </c>
      <c r="C1550" s="24">
        <v>3</v>
      </c>
      <c r="D1550" s="65" t="str">
        <f>HYPERLINK("https://github.com/mostafa-saad/MyCompetitiveProgramming/tree/master/Olympiad/COCI/official/2007/contest1_solutions","Editorial")</f>
        <v>Editorial</v>
      </c>
      <c r="E1550" s="31" t="s">
        <v>7525</v>
      </c>
      <c r="F1550" s="37"/>
      <c r="G1550" s="67"/>
      <c r="H1550" s="24"/>
    </row>
    <row r="1551" spans="1:8" ht="13.2">
      <c r="A1551" s="65" t="str">
        <f>HYPERLINK("https://dmoj.ca/problem/coci06c3p1","COCI 06-Patuljci")</f>
        <v>COCI 06-Patuljci</v>
      </c>
      <c r="B1551" s="15" t="s">
        <v>7527</v>
      </c>
      <c r="C1551" s="24">
        <v>1</v>
      </c>
      <c r="D1551" s="65" t="str">
        <f>HYPERLINK("https://github.com/mostafa-saad/MyCompetitiveProgramming/tree/master/Olympiad/COCI/official/2007/contest3_solutions","Editorial")</f>
        <v>Editorial</v>
      </c>
      <c r="E1551" s="31" t="s">
        <v>7525</v>
      </c>
      <c r="F1551" s="37"/>
      <c r="G1551" s="67"/>
      <c r="H1551" s="24"/>
    </row>
    <row r="1552" spans="1:8" ht="13.2">
      <c r="A1552" s="65" t="str">
        <f>HYPERLINK("https://dmoj.ca/problem/coci06c6p1","COCI 06-Prase")</f>
        <v>COCI 06-Prase</v>
      </c>
      <c r="B1552" s="15" t="s">
        <v>7527</v>
      </c>
      <c r="C1552" s="24">
        <v>1</v>
      </c>
      <c r="D1552" s="65" t="str">
        <f>HYPERLINK("https://github.com/mostafa-saad/MyCompetitiveProgramming/tree/master/Olympiad/COCI/official/2007/contest6_solutions","Editorial")</f>
        <v>Editorial</v>
      </c>
      <c r="E1552" s="31" t="s">
        <v>7525</v>
      </c>
      <c r="F1552" s="37"/>
      <c r="G1552" s="67"/>
      <c r="H1552" s="24"/>
    </row>
    <row r="1553" spans="1:8" ht="13.2">
      <c r="A1553" s="65" t="str">
        <f>HYPERLINK("https://dmoj.ca/problem/coci06c4p1","COCI 06-Sibice")</f>
        <v>COCI 06-Sibice</v>
      </c>
      <c r="B1553" s="15" t="s">
        <v>7527</v>
      </c>
      <c r="C1553" s="24">
        <v>1</v>
      </c>
      <c r="D1553" s="65" t="str">
        <f>HYPERLINK("https://github.com/mostafa-saad/MyCompetitiveProgramming/tree/master/Olympiad/COCI/official/2007/contest4_solutions","Editorial")</f>
        <v>Editorial</v>
      </c>
      <c r="E1553" s="31" t="s">
        <v>7525</v>
      </c>
      <c r="F1553" s="37"/>
      <c r="G1553" s="67"/>
      <c r="H1553" s="24"/>
    </row>
    <row r="1554" spans="1:8" ht="13.2">
      <c r="A1554" s="65" t="str">
        <f>HYPERLINK("https://dmoj.ca/problem/coci06c2p4","COCI 06-Sjecista")</f>
        <v>COCI 06-Sjecista</v>
      </c>
      <c r="B1554" s="15" t="s">
        <v>7527</v>
      </c>
      <c r="C1554" s="24">
        <v>4</v>
      </c>
      <c r="D1554" s="65" t="str">
        <f>HYPERLINK("https://github.com/mostafa-saad/MyCompetitiveProgramming/tree/master/Olympiad/COCI/official/2007/contest2_solutions","Editorial")</f>
        <v>Editorial</v>
      </c>
      <c r="E1554" s="31" t="s">
        <v>7525</v>
      </c>
      <c r="F1554" s="37"/>
      <c r="G1554" s="67"/>
      <c r="H1554" s="24"/>
    </row>
    <row r="1555" spans="1:8" ht="13.2">
      <c r="A1555" s="65" t="str">
        <f>HYPERLINK("https://dmoj.ca/problem/coci06c5p3","COCI 06-Tenis")</f>
        <v>COCI 06-Tenis</v>
      </c>
      <c r="B1555" s="15" t="s">
        <v>7527</v>
      </c>
      <c r="C1555" s="24">
        <v>4.5</v>
      </c>
      <c r="D1555" s="65" t="str">
        <f t="shared" ref="D1555:D1556" si="21">HYPERLINK("https://github.com/mostafa-saad/MyCompetitiveProgramming/tree/master/Olympiad/COCI/official/2007/contest5_solutions","Editorial")</f>
        <v>Editorial</v>
      </c>
      <c r="E1555" s="31" t="s">
        <v>7525</v>
      </c>
      <c r="F1555" s="37"/>
      <c r="G1555" s="67"/>
      <c r="H1555" s="24"/>
    </row>
    <row r="1556" spans="1:8" ht="13.2">
      <c r="A1556" s="65" t="str">
        <f>HYPERLINK("https://dmoj.ca/problem/coci06c5p1","COCI 06-Trik")</f>
        <v>COCI 06-Trik</v>
      </c>
      <c r="B1556" s="15" t="s">
        <v>7527</v>
      </c>
      <c r="C1556" s="24">
        <v>1</v>
      </c>
      <c r="D1556" s="65" t="str">
        <f t="shared" si="21"/>
        <v>Editorial</v>
      </c>
      <c r="E1556" s="31" t="s">
        <v>7525</v>
      </c>
      <c r="F1556" s="37"/>
      <c r="G1556" s="67"/>
      <c r="H1556" s="24"/>
    </row>
    <row r="1557" spans="1:8" ht="13.2">
      <c r="A1557" s="65" t="str">
        <f>HYPERLINK("https://dmoj.ca/problem/coci07c3p1","COCI 07-Cetiri")</f>
        <v>COCI 07-Cetiri</v>
      </c>
      <c r="B1557" s="15" t="s">
        <v>7527</v>
      </c>
      <c r="C1557" s="24">
        <v>1</v>
      </c>
      <c r="D1557" s="65" t="str">
        <f>HYPERLINK("https://github.com/mostafa-saad/MyCompetitiveProgramming/tree/master/Olympiad/COCI/official/2008/contest3_solutions","Editorial")</f>
        <v>Editorial</v>
      </c>
      <c r="E1557" s="31" t="s">
        <v>7525</v>
      </c>
      <c r="F1557" s="37"/>
      <c r="G1557" s="67"/>
      <c r="H1557" s="24"/>
    </row>
    <row r="1558" spans="1:8" ht="13.2">
      <c r="A1558" s="65" t="str">
        <f>HYPERLINK("https://dmoj.ca/problem/coci07c1p1","COCI 07-Cetvrta")</f>
        <v>COCI 07-Cetvrta</v>
      </c>
      <c r="B1558" s="15" t="s">
        <v>7527</v>
      </c>
      <c r="C1558" s="24">
        <v>1</v>
      </c>
      <c r="D1558" s="65" t="str">
        <f>HYPERLINK("https://github.com/mostafa-saad/MyCompetitiveProgramming/tree/master/Olympiad/COCI/official/2008/contest1_solutions","Editorial")</f>
        <v>Editorial</v>
      </c>
      <c r="E1558" s="31" t="s">
        <v>7525</v>
      </c>
      <c r="F1558" s="37"/>
      <c r="G1558" s="67"/>
      <c r="H1558" s="24"/>
    </row>
    <row r="1559" spans="1:8" ht="13.2">
      <c r="A1559" s="65" t="str">
        <f>HYPERLINK("https://dmoj.ca/problem/coci07c2p2","COCI 07-Crne")</f>
        <v>COCI 07-Crne</v>
      </c>
      <c r="B1559" s="15" t="s">
        <v>7527</v>
      </c>
      <c r="C1559" s="24">
        <v>1</v>
      </c>
      <c r="D1559" s="65" t="str">
        <f>HYPERLINK("https://github.com/mostafa-saad/MyCompetitiveProgramming/tree/master/Olympiad/COCI/official/2008/contest2_solutions","Editorial")</f>
        <v>Editorial</v>
      </c>
      <c r="E1559" s="31" t="s">
        <v>7525</v>
      </c>
      <c r="F1559" s="37"/>
      <c r="G1559" s="67"/>
      <c r="H1559" s="24"/>
    </row>
    <row r="1560" spans="1:8" ht="13.2">
      <c r="A1560" s="65" t="str">
        <f>HYPERLINK("https://dmoj.ca/problem/crci07p2","COCI 07-Nikola")</f>
        <v>COCI 07-Nikola</v>
      </c>
      <c r="B1560" s="15" t="s">
        <v>7527</v>
      </c>
      <c r="C1560" s="24">
        <v>3.5</v>
      </c>
      <c r="D1560" s="65" t="str">
        <f>HYPERLINK("https://github.com/mostafa-saad/MyCompetitiveProgramming/tree/master/Olympiad/COCI/official/2008/regional_solutions","Editorial")</f>
        <v>Editorial</v>
      </c>
      <c r="E1560" s="31" t="s">
        <v>7525</v>
      </c>
      <c r="F1560" s="37"/>
      <c r="G1560" s="67"/>
      <c r="H1560" s="24"/>
    </row>
    <row r="1561" spans="1:8" ht="13.2">
      <c r="A1561" s="65" t="str">
        <f>HYPERLINK("https://dmoj.ca/problem/coci07c3p2","COCI 07-Oktalni")</f>
        <v>COCI 07-Oktalni</v>
      </c>
      <c r="B1561" s="15" t="s">
        <v>7527</v>
      </c>
      <c r="C1561" s="24">
        <v>1</v>
      </c>
      <c r="D1561" s="65" t="str">
        <f>HYPERLINK("https://github.com/mostafa-saad/MyCompetitiveProgramming/tree/master/Olympiad/COCI/official/2008/contest3_solutions","Editorial")</f>
        <v>Editorial</v>
      </c>
      <c r="E1561" s="31" t="s">
        <v>7525</v>
      </c>
      <c r="F1561" s="37"/>
      <c r="G1561" s="67"/>
      <c r="H1561" s="24"/>
    </row>
    <row r="1562" spans="1:8" ht="13.2">
      <c r="A1562" s="65" t="str">
        <f>HYPERLINK("https://dmoj.ca/problem/coci07c5p2","COCI 07-Pascal")</f>
        <v>COCI 07-Pascal</v>
      </c>
      <c r="B1562" s="15" t="s">
        <v>7527</v>
      </c>
      <c r="C1562" s="24">
        <v>1</v>
      </c>
      <c r="D1562" s="65" t="str">
        <f>HYPERLINK("https://github.com/mostafa-saad/MyCompetitiveProgramming/tree/master/Olympiad/COCI/official/2008/contest5_solutions","Editorial")</f>
        <v>Editorial</v>
      </c>
      <c r="E1562" s="31" t="s">
        <v>7525</v>
      </c>
      <c r="F1562" s="37"/>
      <c r="G1562" s="67"/>
      <c r="H1562" s="24"/>
    </row>
    <row r="1563" spans="1:8" ht="13.2">
      <c r="A1563" s="65" t="str">
        <f>HYPERLINK("https://dmoj.ca/problem/coci07c1p3","COCI 07-Prinova")</f>
        <v>COCI 07-Prinova</v>
      </c>
      <c r="B1563" s="15" t="s">
        <v>7527</v>
      </c>
      <c r="C1563" s="24">
        <v>1</v>
      </c>
      <c r="D1563" s="65" t="str">
        <f>HYPERLINK("https://github.com/mostafa-saad/MyCompetitiveProgramming/tree/master/Olympiad/COCI/official/2008/contest1_solutions","Editorial")</f>
        <v>Editorial</v>
      </c>
      <c r="E1563" s="31" t="s">
        <v>7525</v>
      </c>
      <c r="F1563" s="37"/>
      <c r="G1563" s="67"/>
      <c r="H1563" s="24"/>
    </row>
    <row r="1564" spans="1:8" ht="13.2">
      <c r="A1564" s="65" t="str">
        <f>HYPERLINK("https://dmoj.ca/problem/coci08c6p1","COCI 08-Buka")</f>
        <v>COCI 08-Buka</v>
      </c>
      <c r="B1564" s="15" t="s">
        <v>7527</v>
      </c>
      <c r="C1564" s="24">
        <v>1</v>
      </c>
      <c r="D1564" s="65" t="str">
        <f>HYPERLINK("https://github.com/mostafa-saad/MyCompetitiveProgramming/blob/master/Olympiad/COCI/official/2009/contest6_solutions","Editorial")</f>
        <v>Editorial</v>
      </c>
      <c r="E1564" s="31" t="s">
        <v>7525</v>
      </c>
      <c r="F1564" s="37"/>
      <c r="G1564" s="67"/>
      <c r="H1564" s="24"/>
    </row>
    <row r="1565" spans="1:8" ht="13.2">
      <c r="A1565" s="65" t="str">
        <f>HYPERLINK("https://dmoj.ca/problem/coci08c2p6","COCI 08-Cavli")</f>
        <v>COCI 08-Cavli</v>
      </c>
      <c r="B1565" s="15" t="s">
        <v>7531</v>
      </c>
      <c r="C1565" s="24">
        <v>7</v>
      </c>
      <c r="D1565" s="65" t="str">
        <f>HYPERLINK("https://github.com/mostafa-saad/MyCompetitiveProgramming/blob/master/Olympiad/COCI/official/2009/contest2_solutions","Editorial")</f>
        <v>Editorial</v>
      </c>
      <c r="E1565" s="31" t="s">
        <v>7525</v>
      </c>
      <c r="F1565" s="37"/>
      <c r="G1565" s="67"/>
      <c r="H1565" s="24"/>
    </row>
    <row r="1566" spans="1:8" ht="13.2">
      <c r="A1566" s="65" t="str">
        <f>HYPERLINK("https://dmoj.ca/problem/coci08c6p4","COCI 08-Cuskija")</f>
        <v>COCI 08-Cuskija</v>
      </c>
      <c r="B1566" s="15" t="s">
        <v>7527</v>
      </c>
      <c r="C1566" s="24">
        <v>4.5</v>
      </c>
      <c r="D1566" s="65" t="str">
        <f>HYPERLINK("https://github.com/mostafa-saad/MyCompetitiveProgramming/blob/master/Olympiad/COCI/official/2009/contest6_solutions","Editorial")</f>
        <v>Editorial</v>
      </c>
      <c r="E1566" s="31" t="s">
        <v>7525</v>
      </c>
      <c r="F1566" s="37"/>
      <c r="G1566" s="67"/>
      <c r="H1566" s="24"/>
    </row>
    <row r="1567" spans="1:8" ht="13.2">
      <c r="A1567" s="65" t="str">
        <f>HYPERLINK("https://dmoj.ca/problem/coci08c4p2","COCI 08-Datum")</f>
        <v>COCI 08-Datum</v>
      </c>
      <c r="B1567" s="15" t="s">
        <v>7527</v>
      </c>
      <c r="C1567" s="24">
        <v>1</v>
      </c>
      <c r="D1567" s="65" t="str">
        <f>HYPERLINK("https://github.com/mostafa-saad/MyCompetitiveProgramming/blob/master/Olympiad/COCI/official/2009/contest4_solutions","Editorial")</f>
        <v>Editorial</v>
      </c>
      <c r="E1567" s="31" t="s">
        <v>7525</v>
      </c>
      <c r="F1567" s="37"/>
      <c r="G1567" s="67"/>
      <c r="H1567" s="24"/>
    </row>
    <row r="1568" spans="1:8" ht="13.2">
      <c r="A1568" s="65" t="str">
        <f>HYPERLINK("https://dmoj.ca/problem/coci08c1p4","COCI 08-Jez")</f>
        <v>COCI 08-Jez</v>
      </c>
      <c r="B1568" s="15" t="s">
        <v>7527</v>
      </c>
      <c r="C1568" s="24">
        <v>4.5</v>
      </c>
      <c r="D1568" s="65" t="str">
        <f>HYPERLINK("https://github.com/mostafa-saad/MyCompetitiveProgramming/blob/master/Olympiad/COCI/official/2009/contest1_solutions","Editorial")</f>
        <v>Editorial</v>
      </c>
      <c r="E1568" s="31" t="s">
        <v>7525</v>
      </c>
      <c r="F1568" s="37"/>
      <c r="G1568" s="67"/>
      <c r="H1568" s="24"/>
    </row>
    <row r="1569" spans="1:8" ht="13.2">
      <c r="A1569" s="65" t="str">
        <f>HYPERLINK("https://dmoj.ca/problem/coci08c3p2","COCI 08-Kemija")</f>
        <v>COCI 08-Kemija</v>
      </c>
      <c r="B1569" s="15" t="s">
        <v>7527</v>
      </c>
      <c r="C1569" s="24">
        <v>1</v>
      </c>
      <c r="D1569" s="65" t="str">
        <f>HYPERLINK("https://github.com/mostafa-saad/MyCompetitiveProgramming/blob/master/Olympiad/COCI/official/2009/contest3_solutions","Editorial")</f>
        <v>Editorial</v>
      </c>
      <c r="E1569" s="31" t="s">
        <v>7525</v>
      </c>
      <c r="F1569" s="37"/>
      <c r="G1569" s="67"/>
      <c r="H1569" s="24"/>
    </row>
    <row r="1570" spans="1:8" ht="13.2">
      <c r="A1570" s="65" t="str">
        <f>HYPERLINK("https://dmoj.ca/problem/coci08c2p1","COCI 08-Kornislav")</f>
        <v>COCI 08-Kornislav</v>
      </c>
      <c r="B1570" s="15" t="s">
        <v>7527</v>
      </c>
      <c r="C1570" s="24">
        <v>1</v>
      </c>
      <c r="D1570" s="65" t="str">
        <f>HYPERLINK("https://github.com/mostafa-saad/MyCompetitiveProgramming/blob/master/Olympiad/COCI/official/2009/contest2_solutions","Editorial")</f>
        <v>Editorial</v>
      </c>
      <c r="E1570" s="31" t="s">
        <v>7525</v>
      </c>
      <c r="F1570" s="37"/>
      <c r="G1570" s="67"/>
      <c r="H1570" s="24"/>
    </row>
    <row r="1571" spans="1:8" ht="13.2">
      <c r="A1571" s="65" t="str">
        <f>HYPERLINK("https://dmoj.ca/problem/coci08c4p1","COCI 08-Mjehuric")</f>
        <v>COCI 08-Mjehuric</v>
      </c>
      <c r="B1571" s="15" t="s">
        <v>7527</v>
      </c>
      <c r="C1571" s="24">
        <v>1</v>
      </c>
      <c r="D1571" s="65" t="str">
        <f>HYPERLINK("https://github.com/mostafa-saad/MyCompetitiveProgramming/blob/master/Olympiad/COCI/official/2009/contest4_solutions","Editorial")</f>
        <v>Editorial</v>
      </c>
      <c r="E1571" s="31" t="s">
        <v>7525</v>
      </c>
      <c r="F1571" s="37"/>
      <c r="G1571" s="67"/>
      <c r="H1571" s="24"/>
    </row>
    <row r="1572" spans="1:8" ht="13.2">
      <c r="A1572" s="65" t="str">
        <f>HYPERLINK("https://dmoj.ca/problem/coci08c1p3","COCI 08-Mravojed")</f>
        <v>COCI 08-Mravojed</v>
      </c>
      <c r="B1572" s="15" t="s">
        <v>7527</v>
      </c>
      <c r="C1572" s="24">
        <v>3</v>
      </c>
      <c r="D1572" s="65" t="str">
        <f>HYPERLINK("https://github.com/mostafa-saad/MyCompetitiveProgramming/blob/master/Olympiad/COCI/official/2009/contest1_solutions","Editorial")</f>
        <v>Editorial</v>
      </c>
      <c r="E1572" s="31" t="s">
        <v>7525</v>
      </c>
      <c r="F1572" s="37"/>
      <c r="G1572" s="67"/>
      <c r="H1572" s="24"/>
    </row>
    <row r="1573" spans="1:8" ht="13.2">
      <c r="A1573" s="65" t="str">
        <f>HYPERLINK("https://dmoj.ca/problem/coci08c2p3","COCI 08-Perket")</f>
        <v>COCI 08-Perket</v>
      </c>
      <c r="B1573" s="15" t="s">
        <v>7527</v>
      </c>
      <c r="C1573" s="24">
        <v>3</v>
      </c>
      <c r="D1573" s="65" t="str">
        <f>HYPERLINK("https://github.com/mostafa-saad/MyCompetitiveProgramming/blob/master/Olympiad/COCI/official/2009/contest2_solutions","Editorial")</f>
        <v>Editorial</v>
      </c>
      <c r="E1573" s="31" t="s">
        <v>7525</v>
      </c>
      <c r="F1573" s="37"/>
      <c r="G1573" s="67"/>
      <c r="H1573" s="24"/>
    </row>
    <row r="1574" spans="1:8" ht="13.2">
      <c r="A1574" s="65" t="str">
        <f>HYPERLINK("https://dmoj.ca/problem/coci08c1p2","COCI 08-Ptice")</f>
        <v>COCI 08-Ptice</v>
      </c>
      <c r="B1574" s="15" t="s">
        <v>7527</v>
      </c>
      <c r="C1574" s="24">
        <v>1</v>
      </c>
      <c r="D1574" s="65" t="str">
        <f>HYPERLINK("https://github.com/mostafa-saad/MyCompetitiveProgramming/blob/master/Olympiad/COCI/official/2009/contest1_solutions","Editorial")</f>
        <v>Editorial</v>
      </c>
      <c r="E1574" s="31" t="s">
        <v>7525</v>
      </c>
      <c r="F1574" s="37"/>
      <c r="G1574" s="67"/>
      <c r="H1574" s="24"/>
    </row>
    <row r="1575" spans="1:8" ht="13.2">
      <c r="A1575" s="65" t="str">
        <f>HYPERLINK("https://dmoj.ca/problem/coci08c2p2","COCI 08-Reseto")</f>
        <v>COCI 08-Reseto</v>
      </c>
      <c r="B1575" s="15" t="s">
        <v>7527</v>
      </c>
      <c r="C1575" s="24">
        <v>1</v>
      </c>
      <c r="D1575" s="65" t="str">
        <f>HYPERLINK("https://github.com/mostafa-saad/MyCompetitiveProgramming/blob/master/Olympiad/COCI/official/2009/contest2_solutions","Editorial")</f>
        <v>Editorial</v>
      </c>
      <c r="E1575" s="31" t="s">
        <v>7525</v>
      </c>
      <c r="F1575" s="37"/>
      <c r="G1575" s="67"/>
      <c r="H1575" s="24"/>
    </row>
    <row r="1576" spans="1:8" ht="13.2">
      <c r="A1576" s="65" t="str">
        <f>HYPERLINK("https://dmoj.ca/problem/coci08c1p5","COCI 08-Skakavac")</f>
        <v>COCI 08-Skakavac</v>
      </c>
      <c r="B1576" s="15" t="s">
        <v>7527</v>
      </c>
      <c r="C1576" s="24">
        <v>5</v>
      </c>
      <c r="D1576" s="65" t="str">
        <f t="shared" ref="D1576:D1577" si="22">HYPERLINK("https://github.com/mostafa-saad/MyCompetitiveProgramming/blob/master/Olympiad/COCI/official/2009/contest1_solutions","Editorial")</f>
        <v>Editorial</v>
      </c>
      <c r="E1576" s="31" t="s">
        <v>7525</v>
      </c>
      <c r="F1576" s="37"/>
      <c r="G1576" s="67"/>
      <c r="H1576" s="24"/>
    </row>
    <row r="1577" spans="1:8" ht="13.2">
      <c r="A1577" s="65" t="str">
        <f>HYPERLINK("https://dmoj.ca/problem/coci08c1p1","COCI 08-Skocimis")</f>
        <v>COCI 08-Skocimis</v>
      </c>
      <c r="B1577" s="15" t="s">
        <v>7527</v>
      </c>
      <c r="C1577" s="24">
        <v>3</v>
      </c>
      <c r="D1577" s="65" t="str">
        <f t="shared" si="22"/>
        <v>Editorial</v>
      </c>
      <c r="E1577" s="31" t="s">
        <v>7525</v>
      </c>
      <c r="F1577" s="37"/>
      <c r="G1577" s="67"/>
      <c r="H1577" s="24"/>
    </row>
    <row r="1578" spans="1:8" ht="13.2">
      <c r="A1578" s="65" t="str">
        <f>HYPERLINK("https://wcipeg.com/problem/coci094p1","COCI 09-Autori")</f>
        <v>COCI 09-Autori</v>
      </c>
      <c r="B1578" s="15" t="s">
        <v>7527</v>
      </c>
      <c r="C1578" s="24">
        <v>1</v>
      </c>
      <c r="D1578" s="65" t="str">
        <f>HYPERLINK("https://github.com/mostafa-saad/MyCompetitiveProgramming/blob/master/Olympiad/COCI/official/2010/contest4_solutions","Editorial")</f>
        <v>Editorial</v>
      </c>
      <c r="E1578" s="31" t="s">
        <v>7525</v>
      </c>
      <c r="F1578" s="37"/>
      <c r="G1578" s="67"/>
      <c r="H1578" s="24"/>
    </row>
    <row r="1579" spans="1:8" ht="13.2">
      <c r="A1579" s="65" t="str">
        <f>HYPERLINK("https://wcipeg.com/problem/coci097p3","COCI 09-Bakice")</f>
        <v>COCI 09-Bakice</v>
      </c>
      <c r="B1579" s="15" t="s">
        <v>7527</v>
      </c>
      <c r="C1579" s="24">
        <v>5</v>
      </c>
      <c r="D1579" s="65" t="str">
        <f t="shared" ref="D1579:D1580" si="23">HYPERLINK("https://github.com/mostafa-saad/MyCompetitiveProgramming/blob/master/Olympiad/COCI/official/2010/contest7_solutions","Editorial")</f>
        <v>Editorial</v>
      </c>
      <c r="E1579" s="31" t="s">
        <v>7525</v>
      </c>
      <c r="F1579" s="37"/>
      <c r="G1579" s="67"/>
      <c r="H1579" s="24"/>
    </row>
    <row r="1580" spans="1:8" ht="13.2">
      <c r="A1580" s="65" t="str">
        <f>HYPERLINK("https://wcipeg.com/problem/coci097p2","COCI 09-Cokolada")</f>
        <v>COCI 09-Cokolada</v>
      </c>
      <c r="B1580" s="15" t="s">
        <v>7527</v>
      </c>
      <c r="C1580" s="24">
        <v>1</v>
      </c>
      <c r="D1580" s="65" t="str">
        <f t="shared" si="23"/>
        <v>Editorial</v>
      </c>
      <c r="E1580" s="31" t="s">
        <v>7525</v>
      </c>
      <c r="F1580" s="37"/>
      <c r="G1580" s="67"/>
      <c r="H1580" s="24"/>
    </row>
    <row r="1581" spans="1:8" ht="13.2">
      <c r="A1581" s="65" t="str">
        <f>HYPERLINK("https://wcipeg.com/problem/coci095p2","COCI 09-Cudoviste")</f>
        <v>COCI 09-Cudoviste</v>
      </c>
      <c r="B1581" s="15" t="s">
        <v>7527</v>
      </c>
      <c r="C1581" s="24">
        <v>1</v>
      </c>
      <c r="D1581" s="65" t="str">
        <f>HYPERLINK("https://github.com/mostafa-saad/MyCompetitiveProgramming/blob/master/Olympiad/COCI/official/2010/contest5_solutions","Editorial")</f>
        <v>Editorial</v>
      </c>
      <c r="E1581" s="31" t="s">
        <v>7525</v>
      </c>
      <c r="F1581" s="37"/>
      <c r="G1581" s="67"/>
      <c r="H1581" s="24"/>
    </row>
    <row r="1582" spans="1:8" ht="13.2">
      <c r="A1582" s="65" t="str">
        <f>HYPERLINK("https://dmoj.ca/problem/coci09c1p2","COCI 09-Domino")</f>
        <v>COCI 09-Domino</v>
      </c>
      <c r="B1582" s="15" t="s">
        <v>7527</v>
      </c>
      <c r="C1582" s="24">
        <v>1</v>
      </c>
      <c r="D1582" s="65" t="str">
        <f>HYPERLINK("https://github.com/mostafa-saad/MyCompetitiveProgramming/blob/master/Olympiad/COCI/official/2010/contest1_solutions","Editorial")</f>
        <v>Editorial</v>
      </c>
      <c r="E1582" s="31" t="s">
        <v>7525</v>
      </c>
      <c r="F1582" s="37"/>
      <c r="G1582" s="67"/>
      <c r="H1582" s="24"/>
    </row>
    <row r="1583" spans="1:8" ht="13.2">
      <c r="A1583" s="65" t="str">
        <f>HYPERLINK("https://wcipeg.com/problem/coci092p1","COCI 09-Faktor")</f>
        <v>COCI 09-Faktor</v>
      </c>
      <c r="B1583" s="15" t="s">
        <v>7527</v>
      </c>
      <c r="C1583" s="24">
        <v>1</v>
      </c>
      <c r="D1583" s="65" t="str">
        <f>HYPERLINK("https://github.com/mostafa-saad/MyCompetitiveProgramming/blob/master/Olympiad/COCI/official/2010/contest2_solutions","Editorial")</f>
        <v>Editorial</v>
      </c>
      <c r="E1583" s="31" t="s">
        <v>7525</v>
      </c>
      <c r="F1583" s="37"/>
      <c r="G1583" s="67"/>
      <c r="H1583" s="24"/>
    </row>
    <row r="1584" spans="1:8" ht="13.2">
      <c r="A1584" s="65" t="str">
        <f>HYPERLINK("https://wcipeg.com/problem/coci093p1","COCI 09-Filip")</f>
        <v>COCI 09-Filip</v>
      </c>
      <c r="B1584" s="15" t="s">
        <v>7527</v>
      </c>
      <c r="C1584" s="24">
        <v>1</v>
      </c>
      <c r="D1584" s="65" t="str">
        <f>HYPERLINK("https://github.com/mostafa-saad/MyCompetitiveProgramming/blob/master/Olympiad/COCI/official/2010/contest3_solutions","Editorial")</f>
        <v>Editorial</v>
      </c>
      <c r="E1584" s="31" t="s">
        <v>7525</v>
      </c>
      <c r="F1584" s="37"/>
      <c r="G1584" s="67"/>
      <c r="H1584" s="24"/>
    </row>
    <row r="1585" spans="1:8" ht="13.2">
      <c r="A1585" s="65" t="str">
        <f>HYPERLINK("https://wcipeg.com/problem/coci094p3","COCI 09-Iks")</f>
        <v>COCI 09-Iks</v>
      </c>
      <c r="B1585" s="15" t="s">
        <v>7527</v>
      </c>
      <c r="C1585" s="24">
        <v>5</v>
      </c>
      <c r="D1585" s="69"/>
      <c r="E1585" s="31" t="s">
        <v>7525</v>
      </c>
      <c r="F1585" s="37"/>
      <c r="G1585" s="67"/>
      <c r="H1585" s="24"/>
    </row>
    <row r="1586" spans="1:8" ht="13.2">
      <c r="A1586" s="65" t="str">
        <f>HYPERLINK("https://wcipeg.com/problem/coci095p3","COCI 09-Kletva")</f>
        <v>COCI 09-Kletva</v>
      </c>
      <c r="B1586" s="15" t="s">
        <v>7527</v>
      </c>
      <c r="C1586" s="24">
        <v>5</v>
      </c>
      <c r="D1586" s="65" t="str">
        <f>HYPERLINK("https://github.com/mostafa-saad/MyCompetitiveProgramming/blob/master/Olympiad/COCI/official/2010/contest5_solutions","Editorial")</f>
        <v>Editorial</v>
      </c>
      <c r="E1586" s="31" t="s">
        <v>7525</v>
      </c>
      <c r="F1586" s="37"/>
      <c r="G1586" s="67"/>
      <c r="H1586" s="24"/>
    </row>
    <row r="1587" spans="1:8" ht="13.2">
      <c r="A1587" s="65" t="str">
        <f>HYPERLINK("https://wcipeg.com/problem/coci096p2","COCI 09-Natjecanje")</f>
        <v>COCI 09-Natjecanje</v>
      </c>
      <c r="B1587" s="15" t="s">
        <v>7527</v>
      </c>
      <c r="C1587" s="24">
        <v>2</v>
      </c>
      <c r="D1587" s="65" t="str">
        <f>HYPERLINK("https://github.com/mostafa-saad/MyCompetitiveProgramming/blob/master/Olympiad/COCI/official/2010/contest6_solutions","Editorial")</f>
        <v>Editorial</v>
      </c>
      <c r="E1587" s="31" t="s">
        <v>7525</v>
      </c>
      <c r="F1587" s="37"/>
      <c r="G1587" s="67"/>
      <c r="H1587" s="24"/>
    </row>
    <row r="1588" spans="1:8" ht="13.2">
      <c r="A1588" s="65" t="str">
        <f>HYPERLINK("https://dmoj.ca/problem/coci09c1p1","COCI 09-Note")</f>
        <v>COCI 09-Note</v>
      </c>
      <c r="B1588" s="15" t="s">
        <v>7527</v>
      </c>
      <c r="C1588" s="66">
        <v>1</v>
      </c>
      <c r="D1588" s="69"/>
      <c r="E1588" s="31" t="s">
        <v>7525</v>
      </c>
      <c r="F1588" s="37"/>
      <c r="G1588" s="67"/>
      <c r="H1588" s="24"/>
    </row>
    <row r="1589" spans="1:8" ht="13.2">
      <c r="A1589" s="65" t="str">
        <f>HYPERLINK("https://wcipeg.com/problem/coci094p2","COCI 09-Planina")</f>
        <v>COCI 09-Planina</v>
      </c>
      <c r="B1589" s="15" t="s">
        <v>7527</v>
      </c>
      <c r="C1589" s="24">
        <v>1</v>
      </c>
      <c r="D1589" s="65" t="str">
        <f>HYPERLINK("https://github.com/mostafa-saad/MyCompetitiveProgramming/blob/master/Olympiad/COCI/official/2010/contest4_solutions","Editorial")</f>
        <v>Editorial</v>
      </c>
      <c r="E1589" s="31" t="s">
        <v>7525</v>
      </c>
      <c r="F1589" s="37"/>
      <c r="G1589" s="67"/>
      <c r="H1589" s="24"/>
    </row>
    <row r="1590" spans="1:8" ht="13.2">
      <c r="A1590" s="65" t="str">
        <f>HYPERLINK("https://wcipeg.com/problem/coci093p2","COCI 09-Slatkisi")</f>
        <v>COCI 09-Slatkisi</v>
      </c>
      <c r="B1590" s="15" t="s">
        <v>7527</v>
      </c>
      <c r="C1590" s="24">
        <v>1</v>
      </c>
      <c r="D1590" s="65" t="str">
        <f>HYPERLINK("https://github.com/mostafa-saad/MyCompetitiveProgramming/blob/master/Olympiad/COCI/official/2010/contest3_solutions","Editorial")</f>
        <v>Editorial</v>
      </c>
      <c r="E1590" s="31" t="s">
        <v>7525</v>
      </c>
      <c r="F1590" s="37"/>
      <c r="G1590" s="67"/>
      <c r="H1590" s="24"/>
    </row>
    <row r="1591" spans="1:8" ht="13.2">
      <c r="A1591" s="65" t="str">
        <f>HYPERLINK("https://wcipeg.com/problem/coci095p1","COCI 09-Sok")</f>
        <v>COCI 09-Sok</v>
      </c>
      <c r="B1591" s="15" t="s">
        <v>7527</v>
      </c>
      <c r="C1591" s="24">
        <v>1</v>
      </c>
      <c r="D1591" s="65" t="str">
        <f>HYPERLINK("https://github.com/mostafa-saad/MyCompetitiveProgramming/blob/master/Olympiad/COCI/official/2010/contest5_solutions","Editorial")</f>
        <v>Editorial</v>
      </c>
      <c r="E1591" s="31" t="s">
        <v>7525</v>
      </c>
      <c r="F1591" s="37"/>
      <c r="G1591" s="67"/>
      <c r="H1591" s="24"/>
    </row>
    <row r="1592" spans="1:8" ht="13.2">
      <c r="A1592" s="65" t="str">
        <f>HYPERLINK("https://wcipeg.com/problem/coci093p3","COCI 09-Sort")</f>
        <v>COCI 09-Sort</v>
      </c>
      <c r="B1592" s="15" t="s">
        <v>7527</v>
      </c>
      <c r="C1592" s="24">
        <v>1</v>
      </c>
      <c r="D1592" s="65" t="str">
        <f>HYPERLINK("https://github.com/mostafa-saad/MyCompetitiveProgramming/blob/master/Olympiad/COCI/official/2010/contest3_solutions","Editorial")</f>
        <v>Editorial</v>
      </c>
      <c r="E1592" s="31" t="s">
        <v>7525</v>
      </c>
      <c r="F1592" s="37"/>
      <c r="G1592" s="67"/>
      <c r="H1592" s="24"/>
    </row>
    <row r="1593" spans="1:8" ht="13.2">
      <c r="A1593" s="65" t="str">
        <f>HYPERLINK("https://wcipeg.com/problem/coci097p1","COCI 09-Spavanac")</f>
        <v>COCI 09-Spavanac</v>
      </c>
      <c r="B1593" s="15" t="s">
        <v>7527</v>
      </c>
      <c r="C1593" s="24">
        <v>1</v>
      </c>
      <c r="D1593" s="65" t="str">
        <f>HYPERLINK("https://github.com/mostafa-saad/MyCompetitiveProgramming/blob/master/Olympiad/COCI/official/2010/contest7_solutions","Editorial")</f>
        <v>Editorial</v>
      </c>
      <c r="E1593" s="31" t="s">
        <v>7525</v>
      </c>
      <c r="F1593" s="37"/>
      <c r="G1593" s="67"/>
      <c r="H1593" s="24"/>
    </row>
    <row r="1594" spans="1:8" ht="13.2">
      <c r="A1594" s="65" t="str">
        <f>HYPERLINK("https://dmoj.ca/problem/coci14c3p4","COCI 14-Coci")</f>
        <v>COCI 14-Coci</v>
      </c>
      <c r="B1594" s="37" t="s">
        <v>7527</v>
      </c>
      <c r="C1594" s="24">
        <v>3.5</v>
      </c>
      <c r="D1594" s="65" t="str">
        <f>HYPERLINK("https://github.com/mostafa-saad/MyCompetitiveProgramming/blob/master/Olympiad/COCI/official/2015/contest3_solutions","Editorial")</f>
        <v>Editorial</v>
      </c>
      <c r="E1594" s="31" t="s">
        <v>7525</v>
      </c>
      <c r="F1594" s="37"/>
      <c r="G1594" s="67"/>
      <c r="H1594" s="24"/>
    </row>
    <row r="1595" spans="1:8" ht="13.2">
      <c r="A1595" s="65" t="str">
        <f>HYPERLINK("https://dmoj.ca/problem/coci14c7p4","COCI 14-Janje")</f>
        <v>COCI 14-Janje</v>
      </c>
      <c r="B1595" s="37" t="s">
        <v>7527</v>
      </c>
      <c r="C1595" s="24">
        <v>6</v>
      </c>
      <c r="D1595" s="69"/>
      <c r="E1595" s="31" t="s">
        <v>7525</v>
      </c>
      <c r="F1595" s="37"/>
      <c r="G1595" s="67"/>
      <c r="H1595" s="24"/>
    </row>
    <row r="1596" spans="1:8" ht="13.2">
      <c r="A1596" s="65" t="str">
        <f>HYPERLINK("https://dmoj.ca/problem/coci14c6p4","COCI 14-Kratki")</f>
        <v>COCI 14-Kratki</v>
      </c>
      <c r="B1596" s="37" t="s">
        <v>7527</v>
      </c>
      <c r="C1596" s="24">
        <v>3.5</v>
      </c>
      <c r="D1596" s="65" t="str">
        <f t="shared" ref="D1596:D1597" si="24">HYPERLINK("https://github.com/mostafa-saad/MyCompetitiveProgramming/blob/master/Olympiad/COCI/official/2015/contest6_solutions","Editorial")</f>
        <v>Editorial</v>
      </c>
      <c r="E1596" s="31" t="s">
        <v>7525</v>
      </c>
      <c r="F1596" s="37"/>
      <c r="G1596" s="67"/>
      <c r="H1596" s="24"/>
    </row>
    <row r="1597" spans="1:8" ht="13.2">
      <c r="A1597" s="65" t="str">
        <f>HYPERLINK("https://dmoj.ca/problem/coci14c6p3","COCI 14-Meteor")</f>
        <v>COCI 14-Meteor</v>
      </c>
      <c r="B1597" s="37" t="s">
        <v>7527</v>
      </c>
      <c r="C1597" s="24">
        <v>3</v>
      </c>
      <c r="D1597" s="65" t="str">
        <f t="shared" si="24"/>
        <v>Editorial</v>
      </c>
      <c r="E1597" s="31" t="s">
        <v>7525</v>
      </c>
      <c r="F1597" s="37"/>
      <c r="G1597" s="67"/>
      <c r="H1597" s="24"/>
    </row>
    <row r="1598" spans="1:8" ht="13.2">
      <c r="A1598" s="65" t="str">
        <f>HYPERLINK("https://dmoj.ca/problem/coci14c4p3","COCI 14-Pripreme")</f>
        <v>COCI 14-Pripreme</v>
      </c>
      <c r="B1598" s="20" t="s">
        <v>7527</v>
      </c>
      <c r="C1598" s="24">
        <v>2</v>
      </c>
      <c r="D1598" s="65" t="str">
        <f t="shared" ref="D1598:D1599" si="25">HYPERLINK("https://github.com/mostafa-saad/MyCompetitiveProgramming/blob/master/Olympiad/COCI/official/2015/contest4_solutions","Editorial")</f>
        <v>Editorial</v>
      </c>
      <c r="E1598" s="31" t="s">
        <v>7525</v>
      </c>
      <c r="F1598" s="37"/>
      <c r="G1598" s="67"/>
      <c r="H1598" s="24"/>
    </row>
    <row r="1599" spans="1:8" ht="13.2">
      <c r="A1599" s="65" t="str">
        <f>HYPERLINK("https://dmoj.ca/problem/coci14c4p2","COCI 14-Psenica")</f>
        <v>COCI 14-Psenica</v>
      </c>
      <c r="B1599" s="20" t="s">
        <v>7527</v>
      </c>
      <c r="C1599" s="24">
        <v>3</v>
      </c>
      <c r="D1599" s="65" t="str">
        <f t="shared" si="25"/>
        <v>Editorial</v>
      </c>
      <c r="E1599" s="31" t="s">
        <v>7525</v>
      </c>
      <c r="F1599" s="37"/>
      <c r="G1599" s="67"/>
      <c r="H1599" s="24"/>
    </row>
    <row r="1600" spans="1:8" ht="13.2">
      <c r="A1600" s="65" t="str">
        <f>HYPERLINK("https://dmoj.ca/problem/coci14c3p3","COCI 14-Silueta")</f>
        <v>COCI 14-Silueta</v>
      </c>
      <c r="B1600" s="20" t="s">
        <v>7527</v>
      </c>
      <c r="C1600" s="24">
        <v>3.5</v>
      </c>
      <c r="D1600" s="65" t="str">
        <f>HYPERLINK("https://github.com/mostafa-saad/MyCompetitiveProgramming/blob/master/Olympiad/COCI/official/2015/contest3_solutions","Editorial")</f>
        <v>Editorial</v>
      </c>
      <c r="E1600" s="31" t="s">
        <v>7525</v>
      </c>
      <c r="F1600" s="37"/>
      <c r="G1600" s="67"/>
      <c r="H1600" s="24"/>
    </row>
    <row r="1601" spans="1:8" ht="13.2">
      <c r="A1601" s="65" t="str">
        <f>HYPERLINK("https://dmoj.ca/problem/coci14c5p4","COCI 14-Zgodan")</f>
        <v>COCI 14-Zgodan</v>
      </c>
      <c r="B1601" s="15" t="s">
        <v>7527</v>
      </c>
      <c r="C1601" s="24">
        <v>5</v>
      </c>
      <c r="D1601" s="65" t="str">
        <f t="shared" ref="D1601:D1602" si="26">HYPERLINK("https://github.com/mostafa-saad/MyCompetitiveProgramming/blob/master/Olympiad/COCI/official/2015/contest5_solutions","Editorial")</f>
        <v>Editorial</v>
      </c>
      <c r="E1601" s="31" t="s">
        <v>7525</v>
      </c>
      <c r="F1601" s="37"/>
      <c r="G1601" s="67"/>
      <c r="H1601" s="24"/>
    </row>
    <row r="1602" spans="1:8" ht="13.2">
      <c r="A1602" s="65" t="str">
        <f>HYPERLINK("https://dmoj.ca/problem/coci14c5p2","COCI 14-Zmija")</f>
        <v>COCI 14-Zmija</v>
      </c>
      <c r="B1602" s="20" t="s">
        <v>7527</v>
      </c>
      <c r="C1602" s="24">
        <v>2</v>
      </c>
      <c r="D1602" s="65" t="str">
        <f t="shared" si="26"/>
        <v>Editorial</v>
      </c>
      <c r="E1602" s="31" t="s">
        <v>7525</v>
      </c>
      <c r="F1602" s="37"/>
      <c r="G1602" s="67"/>
      <c r="H1602" s="24"/>
    </row>
    <row r="1603" spans="1:8" ht="13.2">
      <c r="A1603" s="65" t="str">
        <f>HYPERLINK("https://dmoj.ca/problem/coci15c3p3","COCI 15-Molekule")</f>
        <v>COCI 15-Molekule</v>
      </c>
      <c r="B1603" s="37" t="s">
        <v>7527</v>
      </c>
      <c r="C1603" s="24">
        <v>2</v>
      </c>
      <c r="D1603" s="65" t="str">
        <f>HYPERLINK("https://github.com/mostafa-saad/MyCompetitiveProgramming/blob/master/Olympiad/COCI/official/2016/contest3_solutions","Editorial")</f>
        <v>Editorial</v>
      </c>
      <c r="E1603" s="31" t="s">
        <v>7525</v>
      </c>
      <c r="F1603" s="37"/>
      <c r="G1603" s="67"/>
      <c r="H1603" s="24"/>
    </row>
    <row r="1604" spans="1:8" ht="13.2">
      <c r="A1604" s="65" t="str">
        <f>HYPERLINK("https://oj.uz/problem/view/COCI17_dojave","COCI 17-dojave")</f>
        <v>COCI 17-dojave</v>
      </c>
      <c r="B1604" s="20" t="s">
        <v>7532</v>
      </c>
      <c r="C1604" s="24">
        <v>7.5</v>
      </c>
      <c r="D1604" s="69"/>
      <c r="E1604" s="31" t="s">
        <v>7525</v>
      </c>
      <c r="F1604" s="37"/>
      <c r="G1604" s="67"/>
      <c r="H1604" s="24"/>
    </row>
    <row r="1605" spans="1:8" ht="13.2">
      <c r="A1605" s="65" t="str">
        <f>HYPERLINK("https://oj.uz/problem/view/COCI18_nlo","COCI 18-nlo")</f>
        <v>COCI 18-nlo</v>
      </c>
      <c r="B1605" s="37" t="s">
        <v>7527</v>
      </c>
      <c r="C1605" s="24"/>
      <c r="D1605" s="69"/>
      <c r="E1605" s="31" t="s">
        <v>7525</v>
      </c>
      <c r="F1605" s="37"/>
      <c r="G1605" s="67"/>
      <c r="H1605" s="24"/>
    </row>
    <row r="1606" spans="1:8" ht="13.2">
      <c r="A1606" s="65" t="str">
        <f>HYPERLINK("https://oj.uz/problem/view/COCI18_prakticni","COCI 18-prakticni")</f>
        <v>COCI 18-prakticni</v>
      </c>
      <c r="B1606" s="37" t="s">
        <v>7527</v>
      </c>
      <c r="C1606" s="24"/>
      <c r="D1606" s="69"/>
      <c r="E1606" s="31" t="s">
        <v>7525</v>
      </c>
      <c r="F1606" s="37"/>
      <c r="G1606" s="67"/>
      <c r="H1606" s="24"/>
    </row>
    <row r="1607" spans="1:8" ht="13.2">
      <c r="A1607" s="65" t="str">
        <f>HYPERLINK("https://oj.uz/problem/view/COCI18_sajam","COCI 18-sajam")</f>
        <v>COCI 18-sajam</v>
      </c>
      <c r="B1607" s="37" t="s">
        <v>7533</v>
      </c>
      <c r="C1607" s="24">
        <v>6</v>
      </c>
      <c r="D1607" s="69"/>
      <c r="E1607" s="31" t="s">
        <v>7525</v>
      </c>
      <c r="F1607" s="37"/>
      <c r="G1607" s="67"/>
      <c r="H1607" s="24"/>
    </row>
    <row r="1608" spans="1:8" ht="13.2">
      <c r="A1608" s="65" t="str">
        <f>HYPERLINK("https://oj.uz/problem/view/COCI19_akvizna","COCI 19-akvizna")</f>
        <v>COCI 19-akvizna</v>
      </c>
      <c r="B1608" s="37" t="s">
        <v>7527</v>
      </c>
      <c r="C1608" s="24"/>
      <c r="D1608" s="69"/>
      <c r="E1608" s="31" t="s">
        <v>7525</v>
      </c>
      <c r="F1608" s="37"/>
      <c r="G1608" s="67"/>
      <c r="H1608" s="24"/>
    </row>
    <row r="1609" spans="1:8" ht="13.2">
      <c r="A1609" s="65" t="str">
        <f>HYPERLINK("https://oj.uz/problem/view/COCI19_jarvis","COCI 19-jarvis")</f>
        <v>COCI 19-jarvis</v>
      </c>
      <c r="B1609" s="37" t="s">
        <v>7527</v>
      </c>
      <c r="C1609" s="24"/>
      <c r="D1609" s="69"/>
      <c r="E1609" s="31" t="s">
        <v>7525</v>
      </c>
      <c r="F1609" s="37"/>
      <c r="G1609" s="67"/>
      <c r="H1609" s="24"/>
    </row>
    <row r="1610" spans="1:8" ht="13.2">
      <c r="A1610" s="65" t="str">
        <f>HYPERLINK("https://oj.uz/problem/view/COCI19_kisik","COCI 19-kisik")</f>
        <v>COCI 19-kisik</v>
      </c>
      <c r="B1610" s="37" t="s">
        <v>7527</v>
      </c>
      <c r="C1610" s="24"/>
      <c r="D1610" s="69"/>
      <c r="E1610" s="31" t="s">
        <v>7525</v>
      </c>
      <c r="F1610" s="37"/>
      <c r="G1610" s="67"/>
      <c r="H1610" s="24"/>
    </row>
    <row r="1611" spans="1:8" ht="13.2">
      <c r="A1611" s="65" t="str">
        <f>HYPERLINK("https://oj.uz/problem/view/COCI19_slagalica","COCI 19-slagalica")</f>
        <v>COCI 19-slagalica</v>
      </c>
      <c r="B1611" s="37" t="s">
        <v>7527</v>
      </c>
      <c r="C1611" s="24"/>
      <c r="D1611" s="69"/>
      <c r="E1611" s="31" t="s">
        <v>7525</v>
      </c>
      <c r="F1611" s="37"/>
      <c r="G1611" s="67"/>
      <c r="H1611" s="24"/>
    </row>
    <row r="1612" spans="1:8" ht="13.2">
      <c r="A1612" s="65" t="str">
        <f>HYPERLINK("https://oj.uz/problem/view/COCI19_titlovi","COCI 19-titlovi")</f>
        <v>COCI 19-titlovi</v>
      </c>
      <c r="B1612" s="37" t="s">
        <v>7527</v>
      </c>
      <c r="C1612" s="24"/>
      <c r="D1612" s="69"/>
      <c r="E1612" s="31" t="s">
        <v>7525</v>
      </c>
      <c r="F1612" s="37"/>
      <c r="G1612" s="67"/>
      <c r="H1612" s="24"/>
    </row>
    <row r="1613" spans="1:8" ht="13.2">
      <c r="A1613" s="65" t="str">
        <f>HYPERLINK("https://oj.uz/problem/view/COCI19_wand","COCI 19-wand")</f>
        <v>COCI 19-wand</v>
      </c>
      <c r="B1613" s="37" t="s">
        <v>7527</v>
      </c>
      <c r="C1613" s="24"/>
      <c r="D1613" s="69"/>
      <c r="E1613" s="31" t="s">
        <v>7525</v>
      </c>
      <c r="F1613" s="37"/>
      <c r="G1613" s="67"/>
      <c r="H1613" s="24"/>
    </row>
    <row r="1614" spans="1:8" ht="13.2">
      <c r="A1614" s="69" t="s">
        <v>7534</v>
      </c>
      <c r="B1614" s="37" t="s">
        <v>7527</v>
      </c>
      <c r="C1614" s="24">
        <v>2</v>
      </c>
      <c r="D1614" s="69"/>
      <c r="E1614" s="31" t="s">
        <v>7525</v>
      </c>
      <c r="F1614" s="37"/>
      <c r="G1614" s="67"/>
      <c r="H1614" s="24"/>
    </row>
    <row r="1615" spans="1:8" ht="13.2">
      <c r="A1615" s="69" t="s">
        <v>7535</v>
      </c>
      <c r="B1615" s="37" t="s">
        <v>7527</v>
      </c>
      <c r="C1615" s="24">
        <v>1</v>
      </c>
      <c r="D1615" s="69"/>
      <c r="E1615" s="31" t="s">
        <v>7525</v>
      </c>
      <c r="F1615" s="37"/>
      <c r="G1615" s="67"/>
      <c r="H1615" s="24"/>
    </row>
    <row r="1616" spans="1:8" ht="13.2">
      <c r="A1616" s="69" t="s">
        <v>7536</v>
      </c>
      <c r="B1616" s="37" t="s">
        <v>7527</v>
      </c>
      <c r="C1616" s="24">
        <v>5</v>
      </c>
      <c r="D1616" s="69"/>
      <c r="E1616" s="31" t="s">
        <v>7525</v>
      </c>
      <c r="F1616" s="37"/>
      <c r="G1616" s="67"/>
      <c r="H1616" s="24"/>
    </row>
    <row r="1617" spans="1:8" ht="13.2">
      <c r="A1617" s="69" t="s">
        <v>7537</v>
      </c>
      <c r="B1617" s="37" t="s">
        <v>7527</v>
      </c>
      <c r="C1617" s="24">
        <v>5</v>
      </c>
      <c r="D1617" s="69"/>
      <c r="E1617" s="31" t="s">
        <v>7525</v>
      </c>
      <c r="F1617" s="37"/>
      <c r="G1617" s="67"/>
      <c r="H1617" s="24"/>
    </row>
    <row r="1618" spans="1:8" ht="13.2">
      <c r="A1618" s="65" t="str">
        <f>HYPERLINK("https://wcipeg.com/problem/coci087p3","COI 08-Cijevi")</f>
        <v>COI 08-Cijevi</v>
      </c>
      <c r="B1618" s="15" t="s">
        <v>7527</v>
      </c>
      <c r="C1618" s="24">
        <v>2</v>
      </c>
      <c r="D1618" s="65" t="str">
        <f t="shared" ref="D1618:D1619" si="27">HYPERLINK("https://github.com/mostafa-saad/MyCompetitiveProgramming/blob/master/Olympiad/COCI/official/2009/regional_solutions","Editorial")</f>
        <v>Editorial</v>
      </c>
      <c r="E1618" s="31" t="s">
        <v>7525</v>
      </c>
      <c r="F1618" s="37"/>
      <c r="G1618" s="67"/>
      <c r="H1618" s="24"/>
    </row>
    <row r="1619" spans="1:8" ht="13.2">
      <c r="A1619" s="65" t="str">
        <f>HYPERLINK("https://wcipeg.com/problem/coci087p4","COI 08-Tablica")</f>
        <v>COI 08-Tablica</v>
      </c>
      <c r="B1619" s="15" t="s">
        <v>7527</v>
      </c>
      <c r="C1619" s="24">
        <v>5</v>
      </c>
      <c r="D1619" s="65" t="str">
        <f t="shared" si="27"/>
        <v>Editorial</v>
      </c>
      <c r="E1619" s="31" t="s">
        <v>7525</v>
      </c>
      <c r="F1619" s="37"/>
      <c r="G1619" s="67"/>
      <c r="H1619" s="24"/>
    </row>
    <row r="1620" spans="1:8" ht="13.2">
      <c r="A1620" s="65" t="str">
        <f>HYPERLINK("https://wcipeg.com/problem/coi09p1","COI 09-Hrastovi")</f>
        <v>COI 09-Hrastovi</v>
      </c>
      <c r="B1620" s="37" t="s">
        <v>7527</v>
      </c>
      <c r="C1620" s="24">
        <v>5</v>
      </c>
      <c r="D1620" s="65" t="str">
        <f>HYPERLINK("https://github.com/mostafa-saad/MyCompetitiveProgramming/blob/master/COI/official/2010","Editorial")</f>
        <v>Editorial</v>
      </c>
      <c r="E1620" s="31" t="s">
        <v>7525</v>
      </c>
      <c r="F1620" s="37"/>
      <c r="G1620" s="67"/>
      <c r="H1620" s="24"/>
    </row>
    <row r="1621" spans="1:8" ht="13.2">
      <c r="A1621" s="65" t="str">
        <f>HYPERLINK("https://oj.uz/problem/view/COI14_nizovi","COI 14-nizovi")</f>
        <v>COI 14-nizovi</v>
      </c>
      <c r="B1621" s="20" t="s">
        <v>7538</v>
      </c>
      <c r="C1621" s="24">
        <v>4</v>
      </c>
      <c r="D1621" s="65" t="str">
        <f>HYPERLINK("https://github.com/mostafa-saad/MyCompetitiveProgramming/tree/master/Olympiad/COI/official/2014","Editorial")</f>
        <v>Editorial</v>
      </c>
      <c r="E1621" s="31" t="s">
        <v>7525</v>
      </c>
      <c r="F1621" s="37"/>
      <c r="G1621" s="67"/>
      <c r="H1621" s="24"/>
    </row>
    <row r="1622" spans="1:8" ht="13.2">
      <c r="A1622" s="65" t="str">
        <f>HYPERLINK("https://oj.uz/problem/view/COI17_raspad","COI 17-raspad")</f>
        <v>COI 17-raspad</v>
      </c>
      <c r="B1622" s="20" t="s">
        <v>7539</v>
      </c>
      <c r="C1622" s="24">
        <v>7</v>
      </c>
      <c r="D1622" s="69"/>
      <c r="E1622" s="31" t="s">
        <v>7525</v>
      </c>
      <c r="F1622" s="37"/>
      <c r="G1622" s="67"/>
      <c r="H1622" s="24"/>
    </row>
    <row r="1623" spans="1:8" ht="13.2">
      <c r="A1623" s="65" t="str">
        <f>HYPERLINK("https://dmoj.ca/problem/gfssoc2s4","Dmoj MostlyTalking")</f>
        <v>Dmoj MostlyTalking</v>
      </c>
      <c r="B1623" s="37" t="s">
        <v>7527</v>
      </c>
      <c r="C1623" s="24">
        <v>5.5</v>
      </c>
      <c r="D1623" s="69"/>
      <c r="E1623" s="31" t="s">
        <v>7525</v>
      </c>
      <c r="F1623" s="37"/>
      <c r="G1623" s="67"/>
      <c r="H1623" s="24"/>
    </row>
    <row r="1624" spans="1:8" ht="13.2">
      <c r="A1624" s="65" t="str">
        <f>HYPERLINK("https://dmoj.ca/problem/bf3","Dmoj NextPrime")</f>
        <v>Dmoj NextPrime</v>
      </c>
      <c r="B1624" s="37" t="s">
        <v>7527</v>
      </c>
      <c r="C1624" s="24"/>
      <c r="D1624" s="69"/>
      <c r="E1624" s="31" t="s">
        <v>7525</v>
      </c>
      <c r="F1624" s="37"/>
      <c r="G1624" s="67"/>
      <c r="H1624" s="24"/>
    </row>
    <row r="1625" spans="1:8" ht="13.2">
      <c r="A1625" s="65" t="str">
        <f>HYPERLINK("https://dmoj.ca/problem/dmopc14c4p6","DMOPC 14-SaveNagato")</f>
        <v>DMOPC 14-SaveNagato</v>
      </c>
      <c r="B1625" s="37" t="s">
        <v>7527</v>
      </c>
      <c r="C1625" s="24">
        <v>5.5</v>
      </c>
      <c r="D1625" s="69"/>
      <c r="E1625" s="31" t="s">
        <v>7525</v>
      </c>
      <c r="F1625" s="37"/>
      <c r="G1625" s="67"/>
      <c r="H1625" s="24"/>
    </row>
    <row r="1626" spans="1:8" ht="13.2">
      <c r="A1626" s="65" t="str">
        <f>HYPERLINK("https://dmoj.ca/problem/dmopc17c5p4","DMOPC 17-IntersectingArcs")</f>
        <v>DMOPC 17-IntersectingArcs</v>
      </c>
      <c r="B1626" s="37" t="s">
        <v>7527</v>
      </c>
      <c r="C1626" s="24">
        <v>5</v>
      </c>
      <c r="D1626" s="69"/>
      <c r="E1626" s="31" t="s">
        <v>7525</v>
      </c>
      <c r="F1626" s="37" t="s">
        <v>139</v>
      </c>
      <c r="G1626" s="67"/>
      <c r="H1626" s="24"/>
    </row>
    <row r="1627" spans="1:8" ht="13.2">
      <c r="A1627" s="65" t="str">
        <f>HYPERLINK("https://dmoj.ca/problem/dmopc17c1p5","DMOPC 17-IntimidatingArrays")</f>
        <v>DMOPC 17-IntimidatingArrays</v>
      </c>
      <c r="B1627" s="37" t="s">
        <v>7527</v>
      </c>
      <c r="C1627" s="24">
        <v>5</v>
      </c>
      <c r="D1627" s="69"/>
      <c r="E1627" s="31" t="s">
        <v>7525</v>
      </c>
      <c r="F1627" s="37" t="s">
        <v>139</v>
      </c>
      <c r="G1627" s="67"/>
      <c r="H1627" s="24"/>
    </row>
    <row r="1628" spans="1:8" ht="13.2">
      <c r="A1628" s="65" t="str">
        <f>HYPERLINK("https://dmoj.ca/problem/dmopc18c2p6","DMOPC 18-StandingOvation")</f>
        <v>DMOPC 18-StandingOvation</v>
      </c>
      <c r="B1628" s="37" t="s">
        <v>7527</v>
      </c>
      <c r="C1628" s="24">
        <v>7</v>
      </c>
      <c r="D1628" s="69"/>
      <c r="E1628" s="31" t="s">
        <v>7525</v>
      </c>
      <c r="F1628" s="37" t="s">
        <v>201</v>
      </c>
      <c r="G1628" s="67"/>
      <c r="H1628" s="24"/>
    </row>
    <row r="1629" spans="1:8" ht="13.2">
      <c r="A1629" s="65" t="str">
        <f>HYPERLINK("https://dmoj.ca/problem/dmpg16s4","DMPG 16-MMORPGII")</f>
        <v>DMPG 16-MMORPGII</v>
      </c>
      <c r="B1629" s="37" t="s">
        <v>7527</v>
      </c>
      <c r="C1629" s="24">
        <v>5.5</v>
      </c>
      <c r="D1629" s="69"/>
      <c r="E1629" s="31" t="s">
        <v>7525</v>
      </c>
      <c r="F1629" s="37"/>
      <c r="G1629" s="67"/>
      <c r="H1629" s="24"/>
    </row>
    <row r="1630" spans="1:8" ht="13.2">
      <c r="A1630" s="65" t="str">
        <f>HYPERLINK("https://dunjudge.me/analysis/problems/1243/","HAOI 07-idealsquare")</f>
        <v>HAOI 07-idealsquare</v>
      </c>
      <c r="B1630" s="20" t="s">
        <v>7527</v>
      </c>
      <c r="C1630" s="24"/>
      <c r="D1630" s="69"/>
      <c r="E1630" s="31" t="s">
        <v>7525</v>
      </c>
      <c r="F1630" s="37"/>
      <c r="G1630" s="67"/>
      <c r="H1630" s="24"/>
    </row>
    <row r="1631" spans="1:8" ht="13.2">
      <c r="A1631" s="65" t="str">
        <f>HYPERLINK("https://oj.uz/problem/view/info1cup17_binary","info1cup 17-binary")</f>
        <v>info1cup 17-binary</v>
      </c>
      <c r="B1631" s="37" t="s">
        <v>7527</v>
      </c>
      <c r="C1631" s="24"/>
      <c r="D1631" s="69"/>
      <c r="E1631" s="31" t="s">
        <v>7525</v>
      </c>
      <c r="F1631" s="37"/>
      <c r="G1631" s="67"/>
      <c r="H1631" s="24"/>
    </row>
    <row r="1632" spans="1:8" ht="13.2">
      <c r="A1632" s="65" t="str">
        <f>HYPERLINK("https://oj.uz/problem/view/info1cup17_eastereggs","info1cup 17-eastereggs")</f>
        <v>info1cup 17-eastereggs</v>
      </c>
      <c r="B1632" s="37" t="s">
        <v>7527</v>
      </c>
      <c r="C1632" s="24"/>
      <c r="D1632" s="69"/>
      <c r="E1632" s="31" t="s">
        <v>7525</v>
      </c>
      <c r="F1632" s="37"/>
      <c r="G1632" s="67"/>
      <c r="H1632" s="24"/>
    </row>
    <row r="1633" spans="1:8" ht="13.2">
      <c r="A1633" s="65" t="str">
        <f>HYPERLINK("https://oj.uz/problem/view/info1cup17_permutation","info1cup 17-permutation")</f>
        <v>info1cup 17-permutation</v>
      </c>
      <c r="B1633" s="37" t="s">
        <v>7527</v>
      </c>
      <c r="C1633" s="24"/>
      <c r="D1633" s="69"/>
      <c r="E1633" s="31" t="s">
        <v>7525</v>
      </c>
      <c r="F1633" s="37"/>
      <c r="G1633" s="67"/>
      <c r="H1633" s="24"/>
    </row>
    <row r="1634" spans="1:8" ht="13.2">
      <c r="A1634" s="65" t="str">
        <f>HYPERLINK("https://oj.uz/problem/view/info1cup17_xorsum","info1cup 17-xorsum")</f>
        <v>info1cup 17-xorsum</v>
      </c>
      <c r="B1634" s="37" t="s">
        <v>7527</v>
      </c>
      <c r="C1634" s="24"/>
      <c r="D1634" s="69"/>
      <c r="E1634" s="31" t="s">
        <v>7525</v>
      </c>
      <c r="F1634" s="37"/>
      <c r="G1634" s="67"/>
      <c r="H1634" s="24"/>
    </row>
    <row r="1635" spans="1:8" ht="13.2">
      <c r="A1635" s="65" t="str">
        <f>HYPERLINK("https://oj.uz/problem/view/info1cup18_balancedtree","info1cup 18-balancedtree")</f>
        <v>info1cup 18-balancedtree</v>
      </c>
      <c r="B1635" s="37" t="s">
        <v>7527</v>
      </c>
      <c r="C1635" s="24"/>
      <c r="D1635" s="69"/>
      <c r="E1635" s="31" t="s">
        <v>7525</v>
      </c>
      <c r="F1635" s="37"/>
      <c r="G1635" s="67"/>
      <c r="H1635" s="24"/>
    </row>
    <row r="1636" spans="1:8" ht="13.2">
      <c r="A1636" s="65" t="str">
        <f>HYPERLINK("https://oj.uz/problem/view/info1cup18_cambridge","info1cup 18-cambridge")</f>
        <v>info1cup 18-cambridge</v>
      </c>
      <c r="B1636" s="37" t="s">
        <v>7527</v>
      </c>
      <c r="C1636" s="24"/>
      <c r="D1636" s="69"/>
      <c r="E1636" s="31" t="s">
        <v>7525</v>
      </c>
      <c r="F1636" s="37"/>
      <c r="G1636" s="67"/>
      <c r="H1636" s="24"/>
    </row>
    <row r="1637" spans="1:8" ht="13.2">
      <c r="A1637" s="65" t="str">
        <f>HYPERLINK("https://oj.uz/problem/view/info1cup18_del13","info1cup 18-del13")</f>
        <v>info1cup 18-del13</v>
      </c>
      <c r="B1637" s="37" t="s">
        <v>7527</v>
      </c>
      <c r="C1637" s="24"/>
      <c r="D1637" s="69"/>
      <c r="E1637" s="31" t="s">
        <v>7525</v>
      </c>
      <c r="F1637" s="37"/>
      <c r="G1637" s="67"/>
      <c r="H1637" s="24"/>
    </row>
    <row r="1638" spans="1:8" ht="13.2">
      <c r="A1638" s="65" t="str">
        <f>HYPERLINK("https://oj.uz/problem/view/info1cup18_norela","info1cup 18-norela")</f>
        <v>info1cup 18-norela</v>
      </c>
      <c r="B1638" s="37" t="s">
        <v>7527</v>
      </c>
      <c r="C1638" s="24"/>
      <c r="D1638" s="69"/>
      <c r="E1638" s="31" t="s">
        <v>7525</v>
      </c>
      <c r="F1638" s="37"/>
      <c r="G1638" s="67"/>
      <c r="H1638" s="24"/>
    </row>
    <row r="1639" spans="1:8" ht="13.2">
      <c r="A1639" s="65" t="str">
        <f>HYPERLINK("https://oj.uz/problem/view/info1cup18_palindromes","info1cup 18-palindromes")</f>
        <v>info1cup 18-palindromes</v>
      </c>
      <c r="B1639" s="37" t="s">
        <v>7527</v>
      </c>
      <c r="C1639" s="24"/>
      <c r="D1639" s="69"/>
      <c r="E1639" s="31" t="s">
        <v>7525</v>
      </c>
      <c r="F1639" s="37"/>
      <c r="G1639" s="67"/>
      <c r="H1639" s="24"/>
    </row>
    <row r="1640" spans="1:8" ht="13.2">
      <c r="A1640" s="65" t="str">
        <f>HYPERLINK("https://oj.uz/problem/view/info1cup18_shell","info1cup 18-shell")</f>
        <v>info1cup 18-shell</v>
      </c>
      <c r="B1640" s="37" t="s">
        <v>7527</v>
      </c>
      <c r="C1640" s="24"/>
      <c r="D1640" s="69"/>
      <c r="E1640" s="31" t="s">
        <v>7525</v>
      </c>
      <c r="F1640" s="37"/>
      <c r="G1640" s="67"/>
      <c r="H1640" s="24"/>
    </row>
    <row r="1641" spans="1:8" ht="13.2">
      <c r="A1641" s="65" t="str">
        <f>HYPERLINK("https://oj.uz/problem/view/info1cup18_thegrade","info1cup 18-thegrade")</f>
        <v>info1cup 18-thegrade</v>
      </c>
      <c r="B1641" s="37" t="s">
        <v>7527</v>
      </c>
      <c r="C1641" s="24"/>
      <c r="D1641" s="69"/>
      <c r="E1641" s="31" t="s">
        <v>7525</v>
      </c>
      <c r="F1641" s="37"/>
      <c r="G1641" s="67"/>
      <c r="H1641" s="24"/>
    </row>
    <row r="1642" spans="1:8" ht="13.2">
      <c r="A1642" s="65" t="str">
        <f>HYPERLINK("https://oj.uz/problem/view/innopolis2018_final_A","innopolis 18-final_A")</f>
        <v>innopolis 18-final_A</v>
      </c>
      <c r="B1642" s="37" t="s">
        <v>7527</v>
      </c>
      <c r="C1642" s="24"/>
      <c r="D1642" s="69"/>
      <c r="E1642" s="31" t="s">
        <v>7525</v>
      </c>
      <c r="F1642" s="37"/>
      <c r="G1642" s="67"/>
      <c r="H1642" s="24"/>
    </row>
    <row r="1643" spans="1:8" ht="13.2">
      <c r="A1643" s="65" t="str">
        <f>HYPERLINK("https://oj.uz/problem/view/innopolis2018_final_B","innopolis 18-final_B")</f>
        <v>innopolis 18-final_B</v>
      </c>
      <c r="B1643" s="37" t="s">
        <v>7527</v>
      </c>
      <c r="C1643" s="24"/>
      <c r="D1643" s="69"/>
      <c r="E1643" s="31" t="s">
        <v>7525</v>
      </c>
      <c r="F1643" s="37"/>
      <c r="G1643" s="67"/>
      <c r="H1643" s="24"/>
    </row>
    <row r="1644" spans="1:8" ht="13.2">
      <c r="A1644" s="65" t="str">
        <f>HYPERLINK("https://oj.uz/problem/view/innopolis2018_final_C","innopolis 18-final_C")</f>
        <v>innopolis 18-final_C</v>
      </c>
      <c r="B1644" s="37" t="s">
        <v>7527</v>
      </c>
      <c r="C1644" s="24"/>
      <c r="D1644" s="69"/>
      <c r="E1644" s="31" t="s">
        <v>7525</v>
      </c>
      <c r="F1644" s="37"/>
      <c r="G1644" s="67"/>
      <c r="H1644" s="24"/>
    </row>
    <row r="1645" spans="1:8" ht="13.2">
      <c r="A1645" s="65" t="str">
        <f>HYPERLINK("https://oj.uz/problem/view/innopolis2018_final_D","innopolis 18-final_D")</f>
        <v>innopolis 18-final_D</v>
      </c>
      <c r="B1645" s="37" t="s">
        <v>7527</v>
      </c>
      <c r="C1645" s="24"/>
      <c r="D1645" s="69"/>
      <c r="E1645" s="31" t="s">
        <v>7525</v>
      </c>
      <c r="F1645" s="37"/>
      <c r="G1645" s="67"/>
      <c r="H1645" s="24"/>
    </row>
    <row r="1646" spans="1:8" ht="13.2">
      <c r="A1646" s="65" t="str">
        <f>HYPERLINK("https://oj.uz/problem/view/innopolis2018_final_E","innopolis 18-final_E")</f>
        <v>innopolis 18-final_E</v>
      </c>
      <c r="B1646" s="37" t="s">
        <v>7527</v>
      </c>
      <c r="C1646" s="24"/>
      <c r="D1646" s="69"/>
      <c r="E1646" s="31" t="s">
        <v>7525</v>
      </c>
      <c r="F1646" s="37"/>
      <c r="G1646" s="67"/>
      <c r="H1646" s="24"/>
    </row>
    <row r="1647" spans="1:8" ht="13.2">
      <c r="A1647" s="65" t="str">
        <f>HYPERLINK("https://codeforces.com/gym/102032/problem/D","Innopolis 19-Q1-D")</f>
        <v>Innopolis 19-Q1-D</v>
      </c>
      <c r="B1647" s="37" t="s">
        <v>7527</v>
      </c>
      <c r="C1647" s="17">
        <v>7.1</v>
      </c>
      <c r="D1647" s="69"/>
      <c r="E1647" s="31" t="s">
        <v>7525</v>
      </c>
      <c r="F1647" s="37" t="s">
        <v>139</v>
      </c>
      <c r="G1647" s="67"/>
      <c r="H1647" s="24"/>
    </row>
    <row r="1648" spans="1:8" ht="13.2">
      <c r="A1648" s="65" t="str">
        <f>HYPERLINK("https://codeforces.com/gym/102436?locale=en","Innopolis 20-Q1-D")</f>
        <v>Innopolis 20-Q1-D</v>
      </c>
      <c r="B1648" s="37" t="s">
        <v>7527</v>
      </c>
      <c r="C1648" s="17">
        <v>7.1</v>
      </c>
      <c r="D1648" s="69"/>
      <c r="E1648" s="31" t="s">
        <v>7525</v>
      </c>
      <c r="F1648" s="37" t="s">
        <v>139</v>
      </c>
      <c r="G1648" s="67"/>
      <c r="H1648" s="24"/>
    </row>
    <row r="1649" spans="1:8" ht="13.2">
      <c r="A1649" s="65" t="str">
        <f>HYPERLINK("https://dunjudge.me/analysis/problems/1233/","INOI 16-brackets_inoi")</f>
        <v>INOI 16-brackets_inoi</v>
      </c>
      <c r="B1649" s="37" t="s">
        <v>7527</v>
      </c>
      <c r="C1649" s="24"/>
      <c r="D1649" s="69"/>
      <c r="E1649" s="31" t="s">
        <v>7525</v>
      </c>
      <c r="F1649" s="37"/>
      <c r="G1649" s="67"/>
      <c r="H1649" s="24"/>
    </row>
    <row r="1650" spans="1:8" ht="13.2">
      <c r="A1650" s="65" t="str">
        <f>HYPERLINK("http://poj.org/problem?id=1147","IOI 01-BinaryCodes")</f>
        <v>IOI 01-BinaryCodes</v>
      </c>
      <c r="B1650" s="20" t="s">
        <v>7540</v>
      </c>
      <c r="C1650" s="24">
        <v>3</v>
      </c>
      <c r="D1650" s="65" t="str">
        <f t="shared" ref="D1650:D1651" si="28">HYPERLINK("https://github.com/mostafa-saad/MyCompetitiveProgramming/blob/master/Olympiad/IOI/official/2001","Editorial")</f>
        <v>Editorial</v>
      </c>
      <c r="E1650" s="31" t="s">
        <v>7525</v>
      </c>
      <c r="F1650" s="37"/>
      <c r="G1650" s="67"/>
      <c r="H1650" s="24"/>
    </row>
    <row r="1651" spans="1:8" ht="13.2">
      <c r="A1651" s="65" t="str">
        <f>HYPERLINK("http://poj.org/problem?id=1196","IOI 01-Twofive")</f>
        <v>IOI 01-Twofive</v>
      </c>
      <c r="B1651" s="20" t="s">
        <v>7527</v>
      </c>
      <c r="C1651" s="24">
        <v>5.25</v>
      </c>
      <c r="D1651" s="65" t="str">
        <f t="shared" si="28"/>
        <v>Editorial</v>
      </c>
      <c r="E1651" s="31" t="s">
        <v>7525</v>
      </c>
      <c r="F1651" s="37"/>
      <c r="G1651" s="67"/>
      <c r="H1651" s="24"/>
    </row>
    <row r="1652" spans="1:8" ht="13.2">
      <c r="A1652" s="65" t="str">
        <f>HYPERLINK("https://oj.uz/problem/view/IOI19_split","IOI 19-split")</f>
        <v>IOI 19-split</v>
      </c>
      <c r="B1652" s="37" t="s">
        <v>7527</v>
      </c>
      <c r="C1652" s="24">
        <v>7.5</v>
      </c>
      <c r="D1652" s="65" t="str">
        <f t="shared" ref="D1652:D1653" si="29">HYPERLINK("https://github.com/mostafa-saad/MyCompetitiveProgramming/tree/master/Olympiad/IOI/official/2019","Official sols")</f>
        <v>Official sols</v>
      </c>
      <c r="E1652" s="31" t="s">
        <v>7525</v>
      </c>
      <c r="F1652" s="37"/>
      <c r="G1652" s="67"/>
      <c r="H1652" s="24"/>
    </row>
    <row r="1653" spans="1:8" ht="13.2">
      <c r="A1653" s="65" t="str">
        <f>HYPERLINK("https://oj.uz/problem/view/IOI19_walk","IOI 19-walk")</f>
        <v>IOI 19-walk</v>
      </c>
      <c r="B1653" s="37" t="s">
        <v>7527</v>
      </c>
      <c r="C1653" s="24">
        <v>8.5</v>
      </c>
      <c r="D1653" s="65" t="str">
        <f t="shared" si="29"/>
        <v>Official sols</v>
      </c>
      <c r="E1653" s="31" t="s">
        <v>7525</v>
      </c>
      <c r="F1653" s="37"/>
      <c r="G1653" s="67"/>
      <c r="H1653" s="24"/>
    </row>
    <row r="1654" spans="1:8" ht="13.2">
      <c r="A1654" s="65" t="str">
        <f>HYPERLINK("https://wcipeg.com/problem/ioi1401","IOIPractice 14-square")</f>
        <v>IOIPractice 14-square</v>
      </c>
      <c r="B1654" s="15" t="s">
        <v>7527</v>
      </c>
      <c r="C1654" s="24"/>
      <c r="D1654" s="69"/>
      <c r="E1654" s="31" t="s">
        <v>7525</v>
      </c>
      <c r="F1654" s="37"/>
      <c r="G1654" s="67"/>
      <c r="H1654" s="24"/>
    </row>
    <row r="1655" spans="1:8" ht="13.2">
      <c r="A1655" s="65" t="str">
        <f>HYPERLINK("https://wcipeg.com/problem/ioi1402","IOIPractice 14-station")</f>
        <v>IOIPractice 14-station</v>
      </c>
      <c r="B1655" s="15" t="s">
        <v>7527</v>
      </c>
      <c r="C1655" s="24"/>
      <c r="D1655" s="69"/>
      <c r="E1655" s="31" t="s">
        <v>7525</v>
      </c>
      <c r="F1655" s="37"/>
      <c r="G1655" s="67"/>
      <c r="H1655" s="24"/>
    </row>
    <row r="1656" spans="1:8" ht="13.2">
      <c r="A1656" s="65" t="str">
        <f>HYPERLINK("https://wcipeg.com/problem/ioi1403","IOIPractice 14-tile")</f>
        <v>IOIPractice 14-tile</v>
      </c>
      <c r="B1656" s="15" t="s">
        <v>7527</v>
      </c>
      <c r="C1656" s="24"/>
      <c r="D1656" s="69"/>
      <c r="E1656" s="31" t="s">
        <v>7525</v>
      </c>
      <c r="F1656" s="37"/>
      <c r="G1656" s="67"/>
      <c r="H1656" s="24"/>
    </row>
    <row r="1657" spans="1:8" ht="13.2">
      <c r="A1657" s="65" t="str">
        <f>HYPERLINK("https://dunjudge.me/analysis/problems/1659/","IOIPractice 17-cup")</f>
        <v>IOIPractice 17-cup</v>
      </c>
      <c r="B1657" s="15" t="s">
        <v>7527</v>
      </c>
      <c r="C1657" s="24">
        <v>7</v>
      </c>
      <c r="D1657" s="69"/>
      <c r="E1657" s="31" t="s">
        <v>7525</v>
      </c>
      <c r="F1657" s="37"/>
      <c r="G1657" s="67"/>
      <c r="H1657" s="24"/>
    </row>
    <row r="1658" spans="1:8" ht="13.2">
      <c r="A1658" s="65" t="str">
        <f>HYPERLINK("https://dunjudge.me/analysis/problems/1660/","IOIPractice 17-mountains")</f>
        <v>IOIPractice 17-mountains</v>
      </c>
      <c r="B1658" s="15" t="s">
        <v>7527</v>
      </c>
      <c r="C1658" s="24">
        <v>7.25</v>
      </c>
      <c r="D1658" s="69"/>
      <c r="E1658" s="31" t="s">
        <v>7525</v>
      </c>
      <c r="F1658" s="37"/>
      <c r="G1658" s="67"/>
      <c r="H1658" s="24"/>
    </row>
    <row r="1659" spans="1:8" ht="13.2">
      <c r="A1659" s="65" t="str">
        <f>HYPERLINK("http://ioi2017.org/contest/practice/","IOIPractice 17-notice")</f>
        <v>IOIPractice 17-notice</v>
      </c>
      <c r="B1659" s="15" t="s">
        <v>7541</v>
      </c>
      <c r="C1659" s="24"/>
      <c r="D1659" s="69"/>
      <c r="E1659" s="31" t="s">
        <v>7525</v>
      </c>
      <c r="F1659" s="37"/>
      <c r="G1659" s="67"/>
      <c r="H1659" s="24"/>
    </row>
    <row r="1660" spans="1:8" ht="13.2">
      <c r="A1660" s="65" t="str">
        <f>HYPERLINK("https://dunjudge.me/analysis/problems/1661/","IOIPractice 17-sudoku_ioi")</f>
        <v>IOIPractice 17-sudoku_ioi</v>
      </c>
      <c r="B1660" s="15" t="s">
        <v>7527</v>
      </c>
      <c r="C1660" s="24">
        <v>7.5</v>
      </c>
      <c r="D1660" s="69"/>
      <c r="E1660" s="31" t="s">
        <v>7525</v>
      </c>
      <c r="F1660" s="37"/>
      <c r="G1660" s="67"/>
      <c r="H1660" s="24"/>
    </row>
    <row r="1661" spans="1:8" ht="13.2">
      <c r="A1661" s="65" t="str">
        <f>HYPERLINK("https://oj.uz/problem/view/IZhO14_ufo","IZhO 14-ufo")</f>
        <v>IZhO 14-ufo</v>
      </c>
      <c r="B1661" s="37" t="s">
        <v>7527</v>
      </c>
      <c r="C1661" s="24"/>
      <c r="D1661" s="69"/>
      <c r="E1661" s="31" t="s">
        <v>7525</v>
      </c>
      <c r="F1661" s="37"/>
      <c r="G1661" s="67"/>
      <c r="H1661" s="24"/>
    </row>
    <row r="1662" spans="1:8" ht="13.2">
      <c r="A1662" s="65" t="str">
        <f>HYPERLINK("https://joi2014ho.contest.atcoder.jp/tasks/joi2014ho5","JOI 14-Cutting")</f>
        <v>JOI 14-Cutting</v>
      </c>
      <c r="B1662" s="20" t="s">
        <v>7542</v>
      </c>
      <c r="C1662" s="17"/>
      <c r="D1662" s="69"/>
      <c r="E1662" s="31" t="s">
        <v>7525</v>
      </c>
      <c r="F1662" s="37"/>
      <c r="G1662" s="67"/>
      <c r="H1662" s="24"/>
    </row>
    <row r="1663" spans="1:8" ht="13.2">
      <c r="A1663" s="65" t="str">
        <f>HYPERLINK("https://joi2015ho.contest.atcoder.jp/tasks/joi2015ho_d","JOI 15-Ball")</f>
        <v>JOI 15-Ball</v>
      </c>
      <c r="B1663" s="20" t="s">
        <v>7543</v>
      </c>
      <c r="C1663" s="17"/>
      <c r="D1663" s="69"/>
      <c r="E1663" s="31" t="s">
        <v>7525</v>
      </c>
      <c r="F1663" s="37"/>
      <c r="G1663" s="67"/>
      <c r="H1663" s="24"/>
    </row>
    <row r="1664" spans="1:8" ht="13.2">
      <c r="A1664" s="65" t="str">
        <f>HYPERLINK("https://joi2015ho.contest.atcoder.jp/tasks/joi2015ho_e","JOI 15-Rampart")</f>
        <v>JOI 15-Rampart</v>
      </c>
      <c r="B1664" s="20" t="s">
        <v>7544</v>
      </c>
      <c r="C1664" s="17"/>
      <c r="D1664" s="69"/>
      <c r="E1664" s="31" t="s">
        <v>7525</v>
      </c>
      <c r="F1664" s="37"/>
      <c r="G1664" s="67"/>
      <c r="H1664" s="24"/>
    </row>
    <row r="1665" spans="1:8" ht="13.2">
      <c r="A1665" s="65" t="str">
        <f>HYPERLINK("https://joi2016ho.contest.atcoder.jp/tasks/joi2016ho_d","JOI 16-Territory")</f>
        <v>JOI 16-Territory</v>
      </c>
      <c r="B1665" s="20" t="s">
        <v>7545</v>
      </c>
      <c r="C1665" s="17"/>
      <c r="D1665" s="69"/>
      <c r="E1665" s="31" t="s">
        <v>7525</v>
      </c>
      <c r="F1665" s="37"/>
      <c r="G1665" s="67"/>
      <c r="H1665" s="24"/>
    </row>
    <row r="1666" spans="1:8" ht="13.2">
      <c r="A1666" s="65" t="str">
        <f>HYPERLINK("https://oj.uz/problem/view/JOI17_rope","JOI 17-rope")</f>
        <v>JOI 17-rope</v>
      </c>
      <c r="B1666" s="20" t="s">
        <v>7527</v>
      </c>
      <c r="C1666" s="17"/>
      <c r="D1666" s="69"/>
      <c r="E1666" s="31" t="s">
        <v>7525</v>
      </c>
      <c r="F1666" s="37"/>
      <c r="G1666" s="67"/>
      <c r="H1666" s="24"/>
    </row>
    <row r="1667" spans="1:8" ht="13.2">
      <c r="A1667" s="65" t="str">
        <f>HYPERLINK("https://oj.uz/problems/source/6","JOIOC 13-disparity")</f>
        <v>JOIOC 13-disparity</v>
      </c>
      <c r="B1667" s="47" t="s">
        <v>7546</v>
      </c>
      <c r="C1667" s="71"/>
      <c r="D1667" s="69"/>
      <c r="E1667" s="31" t="s">
        <v>7525</v>
      </c>
      <c r="F1667" s="37"/>
      <c r="G1667" s="67"/>
      <c r="H1667" s="24"/>
    </row>
    <row r="1668" spans="1:8" ht="13.2">
      <c r="A1668" s="65" t="str">
        <f>HYPERLINK("https://oj.uz/problems/source/56","JOIOC 14-migration")</f>
        <v>JOIOC 14-migration</v>
      </c>
      <c r="B1668" s="15" t="s">
        <v>7527</v>
      </c>
      <c r="C1668" s="17">
        <v>9</v>
      </c>
      <c r="D1668" s="69"/>
      <c r="E1668" s="31" t="s">
        <v>7525</v>
      </c>
      <c r="F1668" s="37"/>
      <c r="G1668" s="67"/>
      <c r="H1668" s="24"/>
    </row>
    <row r="1669" spans="1:8" ht="13.2">
      <c r="A1669" s="65" t="str">
        <f>HYPERLINK("https://oj.uz/problems/source/214","JOIOC 15-coloredTiles")</f>
        <v>JOIOC 15-coloredTiles</v>
      </c>
      <c r="B1669" s="47" t="s">
        <v>7526</v>
      </c>
      <c r="C1669" s="71"/>
      <c r="D1669" s="69"/>
      <c r="E1669" s="31" t="s">
        <v>7525</v>
      </c>
      <c r="F1669" s="37"/>
      <c r="G1669" s="67"/>
      <c r="H1669" s="24"/>
    </row>
    <row r="1670" spans="1:8" ht="13.2">
      <c r="A1670" s="65" t="str">
        <f>HYPERLINK("https://oj.uz/problem/view/JOI15_election_campaign","JOIOC 15-electionCampaign")</f>
        <v>JOIOC 15-electionCampaign</v>
      </c>
      <c r="B1670" s="20" t="s">
        <v>7547</v>
      </c>
      <c r="C1670" s="24">
        <v>6</v>
      </c>
      <c r="D1670" s="69"/>
      <c r="E1670" s="31" t="s">
        <v>7525</v>
      </c>
      <c r="F1670" s="37"/>
      <c r="G1670" s="67"/>
      <c r="H1670" s="24"/>
    </row>
    <row r="1671" spans="1:8" ht="13.2">
      <c r="A1671" s="65" t="str">
        <f>HYPERLINK("https://oj.uz/problems/source/270","JOIOC 17-golf")</f>
        <v>JOIOC 17-golf</v>
      </c>
      <c r="B1671" s="15" t="s">
        <v>7527</v>
      </c>
      <c r="C1671" s="24">
        <v>8</v>
      </c>
      <c r="D1671" s="69"/>
      <c r="E1671" s="31" t="s">
        <v>7525</v>
      </c>
      <c r="F1671" s="37"/>
      <c r="G1671" s="67"/>
      <c r="H1671" s="24"/>
    </row>
    <row r="1672" spans="1:8" ht="13.2">
      <c r="A1672" s="65" t="str">
        <f>HYPERLINK("https://joisc2013-day3.contest.atcoder.jp/tasks/joisc2013_cake","JOISC 13-Cake")</f>
        <v>JOISC 13-Cake</v>
      </c>
      <c r="B1672" s="20" t="s">
        <v>7548</v>
      </c>
      <c r="C1672" s="24">
        <v>7</v>
      </c>
      <c r="D1672" s="69"/>
      <c r="E1672" s="31" t="s">
        <v>7525</v>
      </c>
      <c r="F1672" s="37"/>
      <c r="G1672" s="67"/>
      <c r="H1672" s="24"/>
    </row>
    <row r="1673" spans="1:8" ht="13.2">
      <c r="A1673" s="65" t="str">
        <f>HYPERLINK("https://joisc2014.contest.atcoder.jp/tasks/joisc2014_e","JOISC 14-Bottle")</f>
        <v>JOISC 14-Bottle</v>
      </c>
      <c r="B1673" s="20" t="s">
        <v>7549</v>
      </c>
      <c r="C1673" s="24">
        <v>6</v>
      </c>
      <c r="D1673" s="69"/>
      <c r="E1673" s="31" t="s">
        <v>7525</v>
      </c>
      <c r="F1673" s="37"/>
      <c r="G1673" s="67"/>
      <c r="H1673" s="24"/>
    </row>
    <row r="1674" spans="1:8" ht="13.2">
      <c r="A1674" s="65" t="str">
        <f>HYPERLINK("https://joisc2014.contest.atcoder.jp/tasks/joisc2014_a","JOISC 14-Bus")</f>
        <v>JOISC 14-Bus</v>
      </c>
      <c r="B1674" s="20" t="s">
        <v>7550</v>
      </c>
      <c r="C1674" s="24">
        <v>5</v>
      </c>
      <c r="D1674" s="69"/>
      <c r="E1674" s="31" t="s">
        <v>7525</v>
      </c>
      <c r="F1674" s="37"/>
      <c r="G1674" s="67"/>
      <c r="H1674" s="24"/>
    </row>
    <row r="1675" spans="1:8" ht="13.2">
      <c r="A1675" s="65" t="str">
        <f>HYPERLINK("https://joisc2014.contest.atcoder.jp/tasks/joisc2014_k","JOISC 14-Constella")</f>
        <v>JOISC 14-Constella</v>
      </c>
      <c r="B1675" s="20" t="s">
        <v>7551</v>
      </c>
      <c r="C1675" s="24">
        <v>7.5</v>
      </c>
      <c r="D1675" s="69"/>
      <c r="E1675" s="31" t="s">
        <v>7525</v>
      </c>
      <c r="F1675" s="37"/>
      <c r="G1675" s="67"/>
      <c r="H1675" s="24"/>
    </row>
    <row r="1676" spans="1:8" ht="13.2">
      <c r="A1676" s="65" t="str">
        <f>HYPERLINK("https://joisc2014.contest.atcoder.jp/tasks/joisc2014_f","JOISC 14-Friends")</f>
        <v>JOISC 14-Friends</v>
      </c>
      <c r="B1676" s="20" t="s">
        <v>7552</v>
      </c>
      <c r="C1676" s="24">
        <v>5.5</v>
      </c>
      <c r="D1676" s="69"/>
      <c r="E1676" s="31" t="s">
        <v>7525</v>
      </c>
      <c r="F1676" s="37"/>
      <c r="G1676" s="67"/>
      <c r="H1676" s="24"/>
    </row>
    <row r="1677" spans="1:8" ht="13.2">
      <c r="A1677" s="65" t="str">
        <f>HYPERLINK("https://joisc2014.contest.atcoder.jp/tasks/joisc2014_h","JOISC 14-JOIOJI")</f>
        <v>JOISC 14-JOIOJI</v>
      </c>
      <c r="B1677" s="20" t="s">
        <v>7553</v>
      </c>
      <c r="C1677" s="24">
        <v>4</v>
      </c>
      <c r="D1677" s="69"/>
      <c r="E1677" s="31" t="s">
        <v>7525</v>
      </c>
      <c r="F1677" s="37"/>
      <c r="G1677" s="67"/>
      <c r="H1677" s="24"/>
    </row>
    <row r="1678" spans="1:8" ht="13.2">
      <c r="A1678" s="65" t="str">
        <f>HYPERLINK("https://joisc2014.contest.atcoder.jp/tasks/joisc2014_l","JOISC 14-Kanji")</f>
        <v>JOISC 14-Kanji</v>
      </c>
      <c r="B1678" s="20" t="s">
        <v>7554</v>
      </c>
      <c r="C1678" s="24">
        <v>7</v>
      </c>
      <c r="D1678" s="69"/>
      <c r="E1678" s="31" t="s">
        <v>7525</v>
      </c>
      <c r="F1678" s="37"/>
      <c r="G1678" s="67"/>
      <c r="H1678" s="24"/>
    </row>
    <row r="1679" spans="1:8" ht="13.2">
      <c r="A1679" s="65" t="str">
        <f>HYPERLINK("https://joisc2014.contest.atcoder.jp/tasks/joisc2014_d","JOISC 14-Ramen")</f>
        <v>JOISC 14-Ramen</v>
      </c>
      <c r="B1679" s="20" t="s">
        <v>7555</v>
      </c>
      <c r="C1679" s="24">
        <v>6</v>
      </c>
      <c r="D1679" s="69"/>
      <c r="E1679" s="31" t="s">
        <v>7525</v>
      </c>
      <c r="F1679" s="37"/>
      <c r="G1679" s="67"/>
      <c r="H1679" s="24"/>
    </row>
    <row r="1680" spans="1:8" ht="13.2">
      <c r="A1680" s="65" t="str">
        <f>HYPERLINK("https://joisc2014.contest.atcoder.jp/tasks/joisc2014_i","JOISC 14-Scarecrow")</f>
        <v>JOISC 14-Scarecrow</v>
      </c>
      <c r="B1680" s="20" t="s">
        <v>7556</v>
      </c>
      <c r="C1680" s="24">
        <v>7</v>
      </c>
      <c r="D1680" s="69"/>
      <c r="E1680" s="31" t="s">
        <v>7525</v>
      </c>
      <c r="F1680" s="37"/>
      <c r="G1680" s="67"/>
      <c r="H1680" s="24"/>
    </row>
    <row r="1681" spans="1:8" ht="13.2">
      <c r="A1681" s="65" t="str">
        <f>HYPERLINK("https://joisc2014.contest.atcoder.jp/tasks/joisc2014_g","JOISC 14-Stamps")</f>
        <v>JOISC 14-Stamps</v>
      </c>
      <c r="B1681" s="20" t="s">
        <v>7557</v>
      </c>
      <c r="C1681" s="24">
        <v>6</v>
      </c>
      <c r="D1681" s="69"/>
      <c r="E1681" s="31" t="s">
        <v>7525</v>
      </c>
      <c r="F1681" s="37"/>
      <c r="G1681" s="67"/>
      <c r="H1681" s="24"/>
    </row>
    <row r="1682" spans="1:8" ht="13.2">
      <c r="A1682" s="65" t="str">
        <f>HYPERLINK("https://joisc2014.contest.atcoder.jp/tasks/joisc2014_m","JOISC 14-Straps")</f>
        <v>JOISC 14-Straps</v>
      </c>
      <c r="B1682" s="20" t="s">
        <v>7558</v>
      </c>
      <c r="C1682" s="24">
        <v>5</v>
      </c>
      <c r="D1682" s="69"/>
      <c r="E1682" s="31" t="s">
        <v>7525</v>
      </c>
      <c r="F1682" s="37"/>
      <c r="G1682" s="67"/>
      <c r="H1682" s="24"/>
    </row>
    <row r="1683" spans="1:8" ht="13.2">
      <c r="A1683" s="65" t="str">
        <f>HYPERLINK("https://joisc2014.contest.atcoder.jp/tasks/joisc2014_b","JOISC 14-Vegetable")</f>
        <v>JOISC 14-Vegetable</v>
      </c>
      <c r="B1683" s="20" t="s">
        <v>7559</v>
      </c>
      <c r="C1683" s="24">
        <v>5</v>
      </c>
      <c r="D1683" s="69"/>
      <c r="E1683" s="31" t="s">
        <v>7525</v>
      </c>
      <c r="F1683" s="37"/>
      <c r="G1683" s="67"/>
      <c r="H1683" s="24"/>
    </row>
    <row r="1684" spans="1:8" ht="13.2">
      <c r="A1684" s="65" t="str">
        <f>HYPERLINK("https://joisc2014.contest.atcoder.jp/tasks/joisc2014_j","JOISC 14-Voltage")</f>
        <v>JOISC 14-Voltage</v>
      </c>
      <c r="B1684" s="20" t="s">
        <v>7560</v>
      </c>
      <c r="C1684" s="24">
        <v>6.25</v>
      </c>
      <c r="D1684" s="69"/>
      <c r="E1684" s="31" t="s">
        <v>7525</v>
      </c>
      <c r="F1684" s="37"/>
      <c r="G1684" s="67"/>
      <c r="H1684" s="24"/>
    </row>
    <row r="1685" spans="1:8" ht="13.2">
      <c r="A1685" s="65" t="str">
        <f>HYPERLINK("https://dunjudge.me/analysis/problems/771/","JOISC 15-aaqqz")</f>
        <v>JOISC 15-aaqqz</v>
      </c>
      <c r="B1685" s="20" t="s">
        <v>7527</v>
      </c>
      <c r="C1685" s="24">
        <v>8</v>
      </c>
      <c r="D1685" s="69"/>
      <c r="E1685" s="31" t="s">
        <v>7525</v>
      </c>
      <c r="F1685" s="37"/>
      <c r="G1685" s="67"/>
      <c r="H1685" s="24"/>
    </row>
    <row r="1686" spans="1:8" ht="13.2">
      <c r="A1686" s="65" t="str">
        <f>HYPERLINK("https://joisc2015.contest.atcoder.jp/tasks/joisc2015_e","JOISC 15-Building3")</f>
        <v>JOISC 15-Building3</v>
      </c>
      <c r="B1686" s="20" t="s">
        <v>7561</v>
      </c>
      <c r="C1686" s="24">
        <v>6</v>
      </c>
      <c r="D1686" s="69"/>
      <c r="E1686" s="31" t="s">
        <v>7525</v>
      </c>
      <c r="F1686" s="37"/>
      <c r="G1686" s="67"/>
      <c r="H1686" s="24"/>
    </row>
    <row r="1687" spans="1:8" ht="13.2">
      <c r="A1687" s="65" t="str">
        <f>HYPERLINK("https://joisc2015.contest.atcoder.jp/tasks/joisc2015_i","JOISC 15-CardGame")</f>
        <v>JOISC 15-CardGame</v>
      </c>
      <c r="B1687" s="20" t="s">
        <v>7562</v>
      </c>
      <c r="C1687" s="24">
        <v>6</v>
      </c>
      <c r="D1687" s="69"/>
      <c r="E1687" s="31" t="s">
        <v>7525</v>
      </c>
      <c r="F1687" s="37"/>
      <c r="G1687" s="67"/>
      <c r="H1687" s="24"/>
    </row>
    <row r="1688" spans="1:8" ht="13.2">
      <c r="A1688" s="65" t="str">
        <f>HYPERLINK("https://joisc2015.contest.atcoder.jp/tasks/joisc2015_a","JOISC 15-Copypaste2")</f>
        <v>JOISC 15-Copypaste2</v>
      </c>
      <c r="B1688" s="20" t="s">
        <v>7563</v>
      </c>
      <c r="C1688" s="24">
        <v>5.5</v>
      </c>
      <c r="D1688" s="69"/>
      <c r="E1688" s="31" t="s">
        <v>7525</v>
      </c>
      <c r="F1688" s="37"/>
      <c r="G1688" s="67"/>
      <c r="H1688" s="24"/>
    </row>
    <row r="1689" spans="1:8" ht="13.2">
      <c r="A1689" s="65" t="str">
        <f>HYPERLINK("https://dunjudge.me/analysis/problems/742/","JOISC 15-ioioi_cards")</f>
        <v>JOISC 15-ioioi_cards</v>
      </c>
      <c r="B1689" s="20" t="s">
        <v>7527</v>
      </c>
      <c r="C1689" s="24">
        <v>7.5</v>
      </c>
      <c r="D1689" s="69"/>
      <c r="E1689" s="31" t="s">
        <v>7525</v>
      </c>
      <c r="F1689" s="37"/>
      <c r="G1689" s="67"/>
      <c r="H1689" s="24"/>
    </row>
    <row r="1690" spans="1:8" ht="13.2">
      <c r="A1690" s="65" t="str">
        <f>HYPERLINK("https://dunjudge.me/analysis/problems/751/","JOISC 15-keys")</f>
        <v>JOISC 15-keys</v>
      </c>
      <c r="B1690" s="20" t="s">
        <v>7527</v>
      </c>
      <c r="C1690" s="24">
        <v>8</v>
      </c>
      <c r="D1690" s="69"/>
      <c r="E1690" s="31" t="s">
        <v>7525</v>
      </c>
      <c r="F1690" s="37"/>
      <c r="G1690" s="67"/>
      <c r="H1690" s="24"/>
    </row>
    <row r="1691" spans="1:8" ht="13.2">
      <c r="A1691" s="65" t="str">
        <f>HYPERLINK("https://joisc2015.contest.atcoder.jp/tasks/joisc2015_b","JOISC 15-Logo")</f>
        <v>JOISC 15-Logo</v>
      </c>
      <c r="B1691" s="20" t="s">
        <v>7564</v>
      </c>
      <c r="C1691" s="24">
        <v>5</v>
      </c>
      <c r="D1691" s="69"/>
      <c r="E1691" s="31" t="s">
        <v>7525</v>
      </c>
      <c r="F1691" s="37"/>
      <c r="G1691" s="67"/>
      <c r="H1691" s="24"/>
    </row>
    <row r="1692" spans="1:8" ht="13.2">
      <c r="A1692" s="65" t="str">
        <f>HYPERLINK("https://dunjudge.me/analysis/problems/801/","JOISC 15-memory")</f>
        <v>JOISC 15-memory</v>
      </c>
      <c r="B1692" s="20" t="s">
        <v>7527</v>
      </c>
      <c r="C1692" s="24">
        <v>8</v>
      </c>
      <c r="D1692" s="69"/>
      <c r="E1692" s="31" t="s">
        <v>7525</v>
      </c>
      <c r="F1692" s="37"/>
      <c r="G1692" s="67"/>
      <c r="H1692" s="24"/>
    </row>
    <row r="1693" spans="1:8" ht="13.2">
      <c r="A1693" s="65" t="str">
        <f>HYPERLINK("https://joisc2015.contest.atcoder.jp/tasks/joisc2015_g","JOISC 15-Road")</f>
        <v>JOISC 15-Road</v>
      </c>
      <c r="B1693" s="20" t="s">
        <v>7565</v>
      </c>
      <c r="C1693" s="24">
        <v>5.5</v>
      </c>
      <c r="D1693" s="69"/>
      <c r="E1693" s="31" t="s">
        <v>7525</v>
      </c>
      <c r="F1693" s="37"/>
      <c r="G1693" s="67"/>
      <c r="H1693" s="24"/>
    </row>
    <row r="1694" spans="1:8" ht="13.2">
      <c r="A1694" s="65" t="str">
        <f>HYPERLINK("https://joisc2015.contest.atcoder.jp/tasks/joisc2015_c","JOISC 15-Vegetable2")</f>
        <v>JOISC 15-Vegetable2</v>
      </c>
      <c r="B1694" s="20" t="s">
        <v>7566</v>
      </c>
      <c r="C1694" s="24">
        <v>6</v>
      </c>
      <c r="D1694" s="69"/>
      <c r="E1694" s="31" t="s">
        <v>7525</v>
      </c>
      <c r="F1694" s="37"/>
      <c r="G1694" s="67"/>
      <c r="H1694" s="24"/>
    </row>
    <row r="1695" spans="1:8" ht="13.2">
      <c r="A1695" s="65" t="str">
        <f>HYPERLINK("https://joisc2015.contest.atcoder.jp/tasks/joisc2015_m","JOISC 15-Walls")</f>
        <v>JOISC 15-Walls</v>
      </c>
      <c r="B1695" s="20" t="s">
        <v>7567</v>
      </c>
      <c r="C1695" s="24">
        <v>7</v>
      </c>
      <c r="D1695" s="69"/>
      <c r="E1695" s="31" t="s">
        <v>7525</v>
      </c>
      <c r="F1695" s="37"/>
      <c r="G1695" s="67"/>
      <c r="H1695" s="24"/>
    </row>
    <row r="1696" spans="1:8" ht="13.2">
      <c r="A1696" s="65" t="str">
        <f>HYPERLINK("https://joisc2016.contest.atcoder.jp/tasks/joisc2016_g","JOISC 16-Dungeon2")</f>
        <v>JOISC 16-Dungeon2</v>
      </c>
      <c r="B1696" s="20" t="s">
        <v>7568</v>
      </c>
      <c r="C1696" s="24">
        <v>7.5</v>
      </c>
      <c r="D1696" s="69"/>
      <c r="E1696" s="31" t="s">
        <v>7525</v>
      </c>
      <c r="F1696" s="37"/>
      <c r="G1696" s="67"/>
      <c r="H1696" s="24"/>
    </row>
    <row r="1697" spans="1:8" ht="13.2">
      <c r="A1697" s="65" t="str">
        <f>HYPERLINK("https://joisc2016.contest.atcoder.jp/tasks/joisc2016_d","JOISC 16-Employment")</f>
        <v>JOISC 16-Employment</v>
      </c>
      <c r="B1697" s="20" t="s">
        <v>7569</v>
      </c>
      <c r="C1697" s="24">
        <v>6</v>
      </c>
      <c r="D1697" s="69"/>
      <c r="E1697" s="31" t="s">
        <v>7525</v>
      </c>
      <c r="F1697" s="37"/>
      <c r="G1697" s="67"/>
      <c r="H1697" s="24"/>
    </row>
    <row r="1698" spans="1:8" ht="13.2">
      <c r="A1698" s="65" t="str">
        <f>HYPERLINK("https://joisc2016.contest.atcoder.jp/tasks/joisc2016_a","JOISC 16-Matryoshka")</f>
        <v>JOISC 16-Matryoshka</v>
      </c>
      <c r="B1698" s="20" t="s">
        <v>7570</v>
      </c>
      <c r="C1698" s="24">
        <v>6</v>
      </c>
      <c r="D1698" s="69"/>
      <c r="E1698" s="31" t="s">
        <v>7525</v>
      </c>
      <c r="F1698" s="37"/>
      <c r="G1698" s="67"/>
      <c r="H1698" s="24"/>
    </row>
    <row r="1699" spans="1:8" ht="13.2">
      <c r="A1699" s="65" t="str">
        <f>HYPERLINK("https://joisc2016.contest.atcoder.jp/tasks/joisc2016_b","JOISC 16-Memory2")</f>
        <v>JOISC 16-Memory2</v>
      </c>
      <c r="B1699" s="20" t="s">
        <v>7571</v>
      </c>
      <c r="C1699" s="24">
        <v>7</v>
      </c>
      <c r="D1699" s="69"/>
      <c r="E1699" s="31" t="s">
        <v>7525</v>
      </c>
      <c r="F1699" s="37"/>
      <c r="G1699" s="67"/>
      <c r="H1699" s="24"/>
    </row>
    <row r="1700" spans="1:8" ht="13.2">
      <c r="A1700" s="65" t="str">
        <f>HYPERLINK("https://joisc2016.contest.atcoder.jp/tasks/joisc2016_l","JOISC 16-Reporter2")</f>
        <v>JOISC 16-Reporter2</v>
      </c>
      <c r="B1700" s="20" t="s">
        <v>7572</v>
      </c>
      <c r="C1700" s="24">
        <v>6</v>
      </c>
      <c r="D1700" s="69"/>
      <c r="E1700" s="31" t="s">
        <v>7525</v>
      </c>
      <c r="F1700" s="37"/>
      <c r="G1700" s="67"/>
      <c r="H1700" s="24"/>
    </row>
    <row r="1701" spans="1:8" ht="13.2">
      <c r="A1701" s="65" t="str">
        <f>HYPERLINK("https://joisc2016.contest.atcoder.jp/tasks/joisc2016_e","JOISC 16-Sandwich")</f>
        <v>JOISC 16-Sandwich</v>
      </c>
      <c r="B1701" s="20" t="s">
        <v>7573</v>
      </c>
      <c r="C1701" s="24">
        <v>6.25</v>
      </c>
      <c r="D1701" s="69"/>
      <c r="E1701" s="31" t="s">
        <v>7525</v>
      </c>
      <c r="F1701" s="37"/>
      <c r="G1701" s="67"/>
      <c r="H1701" s="24"/>
    </row>
    <row r="1702" spans="1:8" ht="13.2">
      <c r="A1702" s="65" t="str">
        <f>HYPERLINK("https://joisc2016.contest.atcoder.jp/tasks/joisc2016_j","JOISC 16-Skating")</f>
        <v>JOISC 16-Skating</v>
      </c>
      <c r="B1702" s="20" t="s">
        <v>7574</v>
      </c>
      <c r="C1702" s="24">
        <v>6.25</v>
      </c>
      <c r="D1702" s="69"/>
      <c r="E1702" s="31" t="s">
        <v>7525</v>
      </c>
      <c r="F1702" s="37"/>
      <c r="G1702" s="67"/>
      <c r="H1702" s="24"/>
    </row>
    <row r="1703" spans="1:8" ht="13.2">
      <c r="A1703" s="65" t="str">
        <f>HYPERLINK("https://joisc2016.contest.atcoder.jp/tasks/joisc2016_k","JOISC 16-Snowy")</f>
        <v>JOISC 16-Snowy</v>
      </c>
      <c r="B1703" s="20" t="s">
        <v>7575</v>
      </c>
      <c r="C1703" s="24">
        <v>7.5</v>
      </c>
      <c r="D1703" s="69"/>
      <c r="E1703" s="31" t="s">
        <v>7525</v>
      </c>
      <c r="F1703" s="37"/>
      <c r="G1703" s="67"/>
      <c r="H1703" s="24"/>
    </row>
    <row r="1704" spans="1:8" ht="13.2">
      <c r="A1704" s="65" t="str">
        <f>HYPERLINK("https://joisc2016.contest.atcoder.jp/tasks/joisc2016_c","JOISC 16-Solitaire")</f>
        <v>JOISC 16-Solitaire</v>
      </c>
      <c r="B1704" s="20" t="s">
        <v>7576</v>
      </c>
      <c r="C1704" s="24">
        <v>6.25</v>
      </c>
      <c r="D1704" s="69"/>
      <c r="E1704" s="31" t="s">
        <v>7525</v>
      </c>
      <c r="F1704" s="37"/>
      <c r="G1704" s="67"/>
      <c r="H1704" s="24"/>
    </row>
    <row r="1705" spans="1:8" ht="13.2">
      <c r="A1705" s="65" t="str">
        <f>HYPERLINK("https://joisc2016.contest.atcoder.jp/tasks/joisc2016_h","JOISC 16-Sushi")</f>
        <v>JOISC 16-Sushi</v>
      </c>
      <c r="B1705" s="20" t="s">
        <v>7577</v>
      </c>
      <c r="C1705" s="24">
        <v>6.25</v>
      </c>
      <c r="D1705" s="69"/>
      <c r="E1705" s="31" t="s">
        <v>7525</v>
      </c>
      <c r="F1705" s="37"/>
      <c r="G1705" s="67"/>
      <c r="H1705" s="24"/>
    </row>
    <row r="1706" spans="1:8" ht="13.2">
      <c r="A1706" s="65" t="str">
        <f>HYPERLINK("https://joisc2016.contest.atcoder.jp/tasks/joisc2016_i","JOISC 16-Telegraph")</f>
        <v>JOISC 16-Telegraph</v>
      </c>
      <c r="B1706" s="20" t="s">
        <v>7578</v>
      </c>
      <c r="C1706" s="24">
        <v>6</v>
      </c>
      <c r="D1706" s="69"/>
      <c r="E1706" s="31" t="s">
        <v>7525</v>
      </c>
      <c r="F1706" s="37"/>
      <c r="G1706" s="67"/>
      <c r="H1706" s="24"/>
    </row>
    <row r="1707" spans="1:8" ht="13.2">
      <c r="A1707" s="65" t="str">
        <f>HYPERLINK("https://joisc2016.contest.atcoder.jp/tasks/joisc2016_f","JOISC 16-Toilets")</f>
        <v>JOISC 16-Toilets</v>
      </c>
      <c r="B1707" s="20" t="s">
        <v>7579</v>
      </c>
      <c r="C1707" s="24">
        <v>6.25</v>
      </c>
      <c r="D1707" s="69"/>
      <c r="E1707" s="31" t="s">
        <v>7525</v>
      </c>
      <c r="F1707" s="37"/>
      <c r="G1707" s="67"/>
      <c r="H1707" s="24"/>
    </row>
    <row r="1708" spans="1:8" ht="13.2">
      <c r="A1708" s="65" t="str">
        <f>HYPERLINK("https://dunjudge.me/analysis/problems/551/","MCO 14-passport")</f>
        <v>MCO 14-passport</v>
      </c>
      <c r="B1708" s="37" t="s">
        <v>7527</v>
      </c>
      <c r="C1708" s="24">
        <v>2</v>
      </c>
      <c r="D1708" s="65" t="str">
        <f>HYPERLINK("https://github.com/mostafa-saad/MyCompetitiveProgramming/tree/master/Olympiad/MCO/official/2014","Sol No Editorial")</f>
        <v>Sol No Editorial</v>
      </c>
      <c r="E1708" s="31" t="s">
        <v>7525</v>
      </c>
      <c r="F1708" s="37"/>
      <c r="G1708" s="67"/>
      <c r="H1708" s="24"/>
    </row>
    <row r="1709" spans="1:8" ht="13.2">
      <c r="A1709" s="65" t="str">
        <f>HYPERLINK("https://dunjudge.me/analysis/problems/723/","MCO 15-bitcoin")</f>
        <v>MCO 15-bitcoin</v>
      </c>
      <c r="B1709" s="37" t="s">
        <v>7527</v>
      </c>
      <c r="C1709" s="24">
        <v>5</v>
      </c>
      <c r="D1709" s="65" t="str">
        <f>HYPERLINK("https://github.com/mostafa-saad/MyCompetitiveProgramming/tree/master/Olympiad/MCO/official/2015","Sol No Editorial")</f>
        <v>Sol No Editorial</v>
      </c>
      <c r="E1709" s="31" t="s">
        <v>7525</v>
      </c>
      <c r="F1709" s="37"/>
      <c r="G1709" s="67"/>
      <c r="H1709" s="24"/>
    </row>
    <row r="1710" spans="1:8" ht="13.2">
      <c r="A1710" s="65" t="str">
        <f>HYPERLINK("https://dunjudge.me/analysis/problems/976/","MCO 16-cropharvesting")</f>
        <v>MCO 16-cropharvesting</v>
      </c>
      <c r="B1710" s="37" t="s">
        <v>7527</v>
      </c>
      <c r="C1710" s="24">
        <v>5.5</v>
      </c>
      <c r="D1710" s="69"/>
      <c r="E1710" s="31" t="s">
        <v>7525</v>
      </c>
      <c r="F1710" s="37"/>
      <c r="G1710" s="67"/>
      <c r="H1710" s="24"/>
    </row>
    <row r="1711" spans="1:8" ht="13.2">
      <c r="A1711" s="65" t="str">
        <f>HYPERLINK("https://dmoj.ca/problem/mwc15c2p2","MWC 15-ToweringTowers")</f>
        <v>MWC 15-ToweringTowers</v>
      </c>
      <c r="B1711" s="37" t="s">
        <v>7527</v>
      </c>
      <c r="C1711" s="24"/>
      <c r="D1711" s="69"/>
      <c r="E1711" s="31" t="s">
        <v>7525</v>
      </c>
      <c r="F1711" s="37"/>
      <c r="G1711" s="67"/>
      <c r="H1711" s="24"/>
    </row>
    <row r="1712" spans="1:8" ht="13.2">
      <c r="A1712" s="65" t="str">
        <f>HYPERLINK("https://dunjudge.me/analysis/problems/1497/","NOI 06-ecasino")</f>
        <v>NOI 06-ecasino</v>
      </c>
      <c r="B1712" s="37" t="s">
        <v>7527</v>
      </c>
      <c r="C1712" s="24"/>
      <c r="D1712" s="69"/>
      <c r="E1712" s="31" t="s">
        <v>7525</v>
      </c>
      <c r="F1712" s="37"/>
      <c r="G1712" s="67"/>
      <c r="H1712" s="24"/>
    </row>
    <row r="1713" spans="1:8" ht="13.2">
      <c r="A1713" s="65" t="str">
        <f>HYPERLINK("https://dunjudge.me/analysis/problems/1499/","NOI 06-fludtown")</f>
        <v>NOI 06-fludtown</v>
      </c>
      <c r="B1713" s="37" t="s">
        <v>7527</v>
      </c>
      <c r="C1713" s="24"/>
      <c r="D1713" s="69"/>
      <c r="E1713" s="31" t="s">
        <v>7525</v>
      </c>
      <c r="F1713" s="37"/>
      <c r="G1713" s="67"/>
      <c r="H1713" s="24"/>
    </row>
    <row r="1714" spans="1:8" ht="13.2">
      <c r="A1714" s="65" t="str">
        <f>HYPERLINK("https://dunjudge.me/analysis/problems/1498/","NOI 06-genome")</f>
        <v>NOI 06-genome</v>
      </c>
      <c r="B1714" s="37" t="s">
        <v>7527</v>
      </c>
      <c r="C1714" s="24"/>
      <c r="D1714" s="69"/>
      <c r="E1714" s="31" t="s">
        <v>7525</v>
      </c>
      <c r="F1714" s="37"/>
      <c r="G1714" s="67"/>
      <c r="H1714" s="24"/>
    </row>
    <row r="1715" spans="1:8" ht="13.2">
      <c r="A1715" s="65" t="str">
        <f>HYPERLINK("https://dunjudge.me/analysis/problems/1500/","NOI 06-heng")</f>
        <v>NOI 06-heng</v>
      </c>
      <c r="B1715" s="37" t="s">
        <v>7527</v>
      </c>
      <c r="C1715" s="24"/>
      <c r="D1715" s="69"/>
      <c r="E1715" s="31" t="s">
        <v>7525</v>
      </c>
      <c r="F1715" s="37"/>
      <c r="G1715" s="67"/>
      <c r="H1715" s="24"/>
    </row>
    <row r="1716" spans="1:8" ht="13.2">
      <c r="A1716" s="65" t="str">
        <f>HYPERLINK("https://dunjudge.me/analysis/problems/957/","NOI 16-pandaski")</f>
        <v>NOI 16-pandaski</v>
      </c>
      <c r="B1716" s="37" t="s">
        <v>7527</v>
      </c>
      <c r="C1716" s="24">
        <v>5</v>
      </c>
      <c r="D1716" s="65" t="str">
        <f>HYPERLINK("https://github.com/mostafa-saad/MyCompetitiveProgramming/blob/master/Olympiad/NOI/official","Editorial")</f>
        <v>Editorial</v>
      </c>
      <c r="E1716" s="31" t="s">
        <v>7525</v>
      </c>
      <c r="F1716" s="37"/>
      <c r="G1716" s="67"/>
      <c r="H1716" s="24"/>
    </row>
    <row r="1717" spans="1:8" ht="13.2">
      <c r="A1717" s="65" t="str">
        <f>HYPERLINK("https://dunjudge.me/analysis/problems/1828/","NOI 19-shuffle")</f>
        <v>NOI 19-shuffle</v>
      </c>
      <c r="B1717" s="37" t="s">
        <v>7580</v>
      </c>
      <c r="C1717" s="24">
        <v>8</v>
      </c>
      <c r="D1717" s="69"/>
      <c r="E1717" s="31" t="s">
        <v>7525</v>
      </c>
      <c r="F1717" s="37"/>
      <c r="G1717" s="67"/>
      <c r="H1717" s="24"/>
    </row>
    <row r="1718" spans="1:8" ht="13.2">
      <c r="A1718" s="65" t="str">
        <f>HYPERLINK("https://dunjudge.me/analysis/problems/141/","NOISelection 10-jungle")</f>
        <v>NOISelection 10-jungle</v>
      </c>
      <c r="B1718" s="37" t="s">
        <v>7527</v>
      </c>
      <c r="C1718" s="24"/>
      <c r="D1718" s="69"/>
      <c r="E1718" s="31" t="s">
        <v>7525</v>
      </c>
      <c r="F1718" s="37"/>
      <c r="G1718" s="67"/>
      <c r="H1718" s="24"/>
    </row>
    <row r="1719" spans="1:8" ht="13.2">
      <c r="A1719" s="65" t="str">
        <f>HYPERLINK("https://dunjudge.me/analysis/problems/15/","NOISelection 10-trianglesum")</f>
        <v>NOISelection 10-trianglesum</v>
      </c>
      <c r="B1719" s="37" t="s">
        <v>7527</v>
      </c>
      <c r="C1719" s="24"/>
      <c r="D1719" s="69"/>
      <c r="E1719" s="31" t="s">
        <v>7525</v>
      </c>
      <c r="F1719" s="37"/>
      <c r="G1719" s="67"/>
      <c r="H1719" s="24"/>
    </row>
    <row r="1720" spans="1:8" ht="13.2">
      <c r="A1720" s="65" t="str">
        <f>HYPERLINK("https://dunjudge.me/analysis/problems/86/","NOISelection 11-mantou")</f>
        <v>NOISelection 11-mantou</v>
      </c>
      <c r="B1720" s="37" t="s">
        <v>7527</v>
      </c>
      <c r="C1720" s="24"/>
      <c r="D1720" s="69"/>
      <c r="E1720" s="31" t="s">
        <v>7525</v>
      </c>
      <c r="F1720" s="37"/>
      <c r="G1720" s="67"/>
      <c r="H1720" s="24"/>
    </row>
    <row r="1721" spans="1:8" ht="13.2">
      <c r="A1721" s="65" t="str">
        <f>HYPERLINK("https://dunjudge.me/analysis/problems/42/","NOISelection 11-message")</f>
        <v>NOISelection 11-message</v>
      </c>
      <c r="B1721" s="37" t="s">
        <v>7527</v>
      </c>
      <c r="C1721" s="24"/>
      <c r="D1721" s="69"/>
      <c r="E1721" s="31" t="s">
        <v>7525</v>
      </c>
      <c r="F1721" s="37"/>
      <c r="G1721" s="67"/>
      <c r="H1721" s="24"/>
    </row>
    <row r="1722" spans="1:8" ht="13.2">
      <c r="A1722" s="65" t="str">
        <f>HYPERLINK("https://dunjudge.me/analysis/problems/43/","NOISelection 11-puzzle")</f>
        <v>NOISelection 11-puzzle</v>
      </c>
      <c r="B1722" s="37" t="s">
        <v>7527</v>
      </c>
      <c r="C1722" s="24"/>
      <c r="D1722" s="69"/>
      <c r="E1722" s="31" t="s">
        <v>7525</v>
      </c>
      <c r="F1722" s="37"/>
      <c r="G1722" s="67"/>
      <c r="H1722" s="24"/>
    </row>
    <row r="1723" spans="1:8" ht="13.2">
      <c r="A1723" s="65" t="str">
        <f>HYPERLINK("https://dunjudge.me/analysis/problems/46/","NOISelection 11-repair")</f>
        <v>NOISelection 11-repair</v>
      </c>
      <c r="B1723" s="37" t="s">
        <v>7527</v>
      </c>
      <c r="C1723" s="24"/>
      <c r="D1723" s="69"/>
      <c r="E1723" s="31" t="s">
        <v>7525</v>
      </c>
      <c r="F1723" s="37"/>
      <c r="G1723" s="67"/>
      <c r="H1723" s="24"/>
    </row>
    <row r="1724" spans="1:8" ht="13.2">
      <c r="A1724" s="65" t="str">
        <f>HYPERLINK("https://dunjudge.me/analysis/problems/187/","NOISelection 12-draw")</f>
        <v>NOISelection 12-draw</v>
      </c>
      <c r="B1724" s="37" t="s">
        <v>7527</v>
      </c>
      <c r="C1724" s="24"/>
      <c r="D1724" s="69"/>
      <c r="E1724" s="31" t="s">
        <v>7525</v>
      </c>
      <c r="F1724" s="37"/>
      <c r="G1724" s="24"/>
      <c r="H1724" s="24"/>
    </row>
    <row r="1725" spans="1:8" ht="13.2">
      <c r="A1725" s="65" t="str">
        <f>HYPERLINK("https://dunjudge.me/analysis/problems/189/","NOISelection 12-ice")</f>
        <v>NOISelection 12-ice</v>
      </c>
      <c r="B1725" s="37" t="s">
        <v>7527</v>
      </c>
      <c r="C1725" s="24"/>
      <c r="D1725" s="69"/>
      <c r="E1725" s="31" t="s">
        <v>7525</v>
      </c>
      <c r="F1725" s="37"/>
      <c r="G1725" s="24"/>
      <c r="H1725" s="24"/>
    </row>
    <row r="1726" spans="1:8" ht="13.2">
      <c r="A1726" s="65" t="str">
        <f>HYPERLINK("https://dunjudge.me/analysis/problems/185/","NOISelection 12-ramar")</f>
        <v>NOISelection 12-ramar</v>
      </c>
      <c r="B1726" s="37" t="s">
        <v>7527</v>
      </c>
      <c r="C1726" s="24"/>
      <c r="D1726" s="69"/>
      <c r="E1726" s="31" t="s">
        <v>7525</v>
      </c>
      <c r="F1726" s="37"/>
      <c r="G1726" s="24"/>
      <c r="H1726" s="24"/>
    </row>
    <row r="1727" spans="1:8" ht="13.2">
      <c r="A1727" s="65" t="str">
        <f>HYPERLINK("https://dunjudge.me/analysis/problems/678/","NOISelection 15-lazycat2")</f>
        <v>NOISelection 15-lazycat2</v>
      </c>
      <c r="B1727" s="37" t="s">
        <v>7527</v>
      </c>
      <c r="C1727" s="24"/>
      <c r="D1727" s="69"/>
      <c r="E1727" s="31" t="s">
        <v>7525</v>
      </c>
      <c r="F1727" s="37"/>
      <c r="G1727" s="24"/>
      <c r="H1727" s="24"/>
    </row>
    <row r="1728" spans="1:8" ht="13.2">
      <c r="A1728" s="65" t="str">
        <f>HYPERLINK("https://dunjudge.me/analysis/problems/1189/","NOISelection 17-builderswand")</f>
        <v>NOISelection 17-builderswand</v>
      </c>
      <c r="B1728" s="37" t="s">
        <v>7527</v>
      </c>
      <c r="C1728" s="24"/>
      <c r="D1728" s="69"/>
      <c r="E1728" s="31" t="s">
        <v>7525</v>
      </c>
      <c r="F1728" s="37"/>
      <c r="G1728" s="24"/>
      <c r="H1728" s="24"/>
    </row>
    <row r="1729" spans="1:8" ht="13.2">
      <c r="A1729" s="65" t="str">
        <f>HYPERLINK("https://dunjudge.me/analysis/problems/1171/","NOISelection 17-clipboard")</f>
        <v>NOISelection 17-clipboard</v>
      </c>
      <c r="B1729" s="37" t="s">
        <v>7527</v>
      </c>
      <c r="C1729" s="24"/>
      <c r="D1729" s="69"/>
      <c r="E1729" s="31" t="s">
        <v>7525</v>
      </c>
      <c r="F1729" s="37"/>
      <c r="G1729" s="24"/>
      <c r="H1729" s="24"/>
    </row>
    <row r="1730" spans="1:8" ht="13.2">
      <c r="A1730" s="65" t="str">
        <f>HYPERLINK("https://dunjudge.me/analysis/problems/1174/","NOISelection 17-dinnerbox")</f>
        <v>NOISelection 17-dinnerbox</v>
      </c>
      <c r="B1730" s="37" t="s">
        <v>7527</v>
      </c>
      <c r="C1730" s="24"/>
      <c r="D1730" s="69"/>
      <c r="E1730" s="31" t="s">
        <v>7525</v>
      </c>
      <c r="F1730" s="37"/>
      <c r="G1730" s="24"/>
      <c r="H1730" s="24"/>
    </row>
    <row r="1731" spans="1:8" ht="13.2">
      <c r="A1731" s="65" t="str">
        <f>HYPERLINK("https://dunjudge.me/analysis/problems/1170/","NOISelection 17-lost")</f>
        <v>NOISelection 17-lost</v>
      </c>
      <c r="B1731" s="37" t="s">
        <v>7527</v>
      </c>
      <c r="C1731" s="24"/>
      <c r="D1731" s="69"/>
      <c r="E1731" s="31" t="s">
        <v>7525</v>
      </c>
      <c r="F1731" s="37"/>
      <c r="G1731" s="24"/>
      <c r="H1731" s="24"/>
    </row>
    <row r="1732" spans="1:8" ht="13.2">
      <c r="A1732" s="65" t="str">
        <f>HYPERLINK("https://dunjudge.me/analysis/problems/1187/","NOISelection 17-mooshroomfarm")</f>
        <v>NOISelection 17-mooshroomfarm</v>
      </c>
      <c r="B1732" s="37" t="s">
        <v>7527</v>
      </c>
      <c r="C1732" s="24"/>
      <c r="D1732" s="69"/>
      <c r="E1732" s="31" t="s">
        <v>7525</v>
      </c>
      <c r="F1732" s="37"/>
      <c r="G1732" s="24"/>
      <c r="H1732" s="24"/>
    </row>
    <row r="1733" spans="1:8" ht="13.2">
      <c r="A1733" s="65" t="str">
        <f>HYPERLINK("https://dunjudge.me/analysis/problems/1175/","NOISelection 17-mushroomfarm")</f>
        <v>NOISelection 17-mushroomfarm</v>
      </c>
      <c r="B1733" s="37" t="s">
        <v>7527</v>
      </c>
      <c r="C1733" s="24"/>
      <c r="D1733" s="69"/>
      <c r="E1733" s="31" t="s">
        <v>7525</v>
      </c>
      <c r="F1733" s="37"/>
      <c r="G1733" s="24"/>
      <c r="H1733" s="24"/>
    </row>
    <row r="1734" spans="1:8" ht="13.2">
      <c r="A1734" s="65" t="str">
        <f>HYPERLINK("https://dunjudge.me/analysis/problems/1188/","NOISelection 17-redstonelamps")</f>
        <v>NOISelection 17-redstonelamps</v>
      </c>
      <c r="B1734" s="37" t="s">
        <v>7527</v>
      </c>
      <c r="C1734" s="24"/>
      <c r="D1734" s="69"/>
      <c r="E1734" s="31" t="s">
        <v>7525</v>
      </c>
      <c r="F1734" s="37"/>
      <c r="G1734" s="24"/>
      <c r="H1734" s="24"/>
    </row>
    <row r="1735" spans="1:8" ht="13.2">
      <c r="A1735" s="65" t="str">
        <f>HYPERLINK("https://dunjudge.me/analysis/problems/1173/","NOISelection 17-runway")</f>
        <v>NOISelection 17-runway</v>
      </c>
      <c r="B1735" s="37" t="s">
        <v>7527</v>
      </c>
      <c r="C1735" s="24"/>
      <c r="D1735" s="69"/>
      <c r="E1735" s="31" t="s">
        <v>7525</v>
      </c>
      <c r="F1735" s="37"/>
      <c r="G1735" s="24"/>
      <c r="H1735" s="24"/>
    </row>
    <row r="1736" spans="1:8" ht="13.2">
      <c r="A1736" s="65" t="str">
        <f>HYPERLINK("https://dunjudge.me/analysis/problems/1186/","NOISelection 17-trekking")</f>
        <v>NOISelection 17-trekking</v>
      </c>
      <c r="B1736" s="37" t="s">
        <v>7527</v>
      </c>
      <c r="C1736" s="24"/>
      <c r="D1736" s="69"/>
      <c r="E1736" s="31" t="s">
        <v>7525</v>
      </c>
      <c r="F1736" s="37"/>
      <c r="G1736" s="24"/>
      <c r="H1736" s="24"/>
    </row>
    <row r="1737" spans="1:8" ht="13.2">
      <c r="A1737" s="65" t="str">
        <f>HYPERLINK("https://dunjudge.me/analysis/problems/1190/","NOISelection 17-trianglecraft")</f>
        <v>NOISelection 17-trianglecraft</v>
      </c>
      <c r="B1737" s="37" t="s">
        <v>7527</v>
      </c>
      <c r="C1737" s="24"/>
      <c r="D1737" s="69"/>
      <c r="E1737" s="31" t="s">
        <v>7525</v>
      </c>
      <c r="F1737" s="37"/>
      <c r="G1737" s="24"/>
      <c r="H1737" s="24"/>
    </row>
    <row r="1738" spans="1:8" ht="13.2">
      <c r="A1738" s="65" t="str">
        <f>HYPERLINK("https://dunjudge.me/analysis/problems/1470/","NOISelection 18-crab")</f>
        <v>NOISelection 18-crab</v>
      </c>
      <c r="B1738" s="37" t="s">
        <v>7527</v>
      </c>
      <c r="C1738" s="24"/>
      <c r="D1738" s="69"/>
      <c r="E1738" s="31" t="s">
        <v>7525</v>
      </c>
      <c r="F1738" s="37"/>
      <c r="G1738" s="24"/>
      <c r="H1738" s="24"/>
    </row>
    <row r="1739" spans="1:8" ht="13.2">
      <c r="A1739" s="65" t="str">
        <f>HYPERLINK("https://szkopul.edu.pl/problemset/problem/zQvxlGgoPvqRrAK0TuLeWIRD/site/", "POI 08-Trains")</f>
        <v>POI 08-Trains</v>
      </c>
      <c r="B1739" s="37" t="s">
        <v>7581</v>
      </c>
      <c r="C1739" s="24">
        <v>7</v>
      </c>
      <c r="D1739" s="65" t="str">
        <f t="shared" ref="D1739:D1745" si="30">HYPERLINK("https://github.com/mostafa-saad/MyCompetitiveProgramming/blob/master/Olympiad/POI/official/find_editorial_sols_guidelines.txt","Editorial")</f>
        <v>Editorial</v>
      </c>
      <c r="E1739" s="31" t="s">
        <v>7525</v>
      </c>
      <c r="F1739" s="37"/>
      <c r="G1739" s="24"/>
      <c r="H1739" s="24"/>
    </row>
    <row r="1740" spans="1:8" ht="13.2">
      <c r="A1740" s="65" t="str">
        <f>HYPERLINK("https://szkopul.edu.pl/problemset/problem/qDH9CkBHZKHY4vbKRBlXPrA7/site/", "POI 10-Frog")</f>
        <v>POI 10-Frog</v>
      </c>
      <c r="B1740" s="37" t="s">
        <v>7527</v>
      </c>
      <c r="C1740" s="24">
        <v>5.5</v>
      </c>
      <c r="D1740" s="65" t="str">
        <f t="shared" si="30"/>
        <v>Editorial</v>
      </c>
      <c r="E1740" s="31" t="s">
        <v>7525</v>
      </c>
      <c r="F1740" s="37"/>
      <c r="G1740" s="24"/>
      <c r="H1740" s="24"/>
    </row>
    <row r="1741" spans="1:8" ht="13.2">
      <c r="A1741" s="65" t="str">
        <f>HYPERLINK("https://oj.uz/problem/view/POI11_dyn","POI 11-dyn")</f>
        <v>POI 11-dyn</v>
      </c>
      <c r="B1741" s="20" t="s">
        <v>7527</v>
      </c>
      <c r="C1741" s="17"/>
      <c r="D1741" s="65" t="str">
        <f t="shared" si="30"/>
        <v>Editorial</v>
      </c>
      <c r="E1741" s="31" t="s">
        <v>7525</v>
      </c>
      <c r="F1741" s="37"/>
      <c r="G1741" s="24"/>
      <c r="H1741" s="24"/>
    </row>
    <row r="1742" spans="1:8" ht="13.2">
      <c r="A1742" s="65" t="str">
        <f>HYPERLINK("https://szkopul.edu.pl/problemset/problem/7u_14yXL3mR3mO0seZLusF5U/site/", "POI 12-Letter")</f>
        <v>POI 12-Letter</v>
      </c>
      <c r="B1742" s="37" t="s">
        <v>7527</v>
      </c>
      <c r="C1742" s="24">
        <v>3</v>
      </c>
      <c r="D1742" s="65" t="str">
        <f t="shared" si="30"/>
        <v>Editorial</v>
      </c>
      <c r="E1742" s="31" t="s">
        <v>7525</v>
      </c>
      <c r="F1742" s="37"/>
      <c r="G1742" s="24"/>
      <c r="H1742" s="24"/>
    </row>
    <row r="1743" spans="1:8" ht="13.2">
      <c r="A1743" s="65" t="str">
        <f>HYPERLINK("https://szkopul.edu.pl/problemset/problem/MZTXfOVnJmac175TTH5Lr9Q3/site/", "POI 12-Rendezvous")</f>
        <v>POI 12-Rendezvous</v>
      </c>
      <c r="B1743" s="37" t="s">
        <v>7527</v>
      </c>
      <c r="C1743" s="24">
        <v>4</v>
      </c>
      <c r="D1743" s="65" t="str">
        <f t="shared" si="30"/>
        <v>Editorial</v>
      </c>
      <c r="E1743" s="31" t="s">
        <v>7525</v>
      </c>
      <c r="F1743" s="37"/>
      <c r="G1743" s="24"/>
      <c r="H1743" s="24"/>
    </row>
    <row r="1744" spans="1:8" ht="13.2">
      <c r="A1744" s="65" t="str">
        <f>HYPERLINK("https://szkopul.edu.pl/problemset/problem/xfTByTABS18uZ1lmg4wQkVf2/site/", "POI 12-Vouchers")</f>
        <v>POI 12-Vouchers</v>
      </c>
      <c r="B1744" s="37" t="s">
        <v>7527</v>
      </c>
      <c r="C1744" s="24">
        <v>5</v>
      </c>
      <c r="D1744" s="65" t="str">
        <f t="shared" si="30"/>
        <v>Editorial</v>
      </c>
      <c r="E1744" s="31" t="s">
        <v>7525</v>
      </c>
      <c r="F1744" s="37"/>
      <c r="G1744" s="24"/>
      <c r="H1744" s="24"/>
    </row>
    <row r="1745" spans="1:8" ht="13.2">
      <c r="A1745" s="65" t="str">
        <f>HYPERLINK("https://oj.uz/problem/view/POI13_gob","POI 13-gob")</f>
        <v>POI 13-gob</v>
      </c>
      <c r="B1745" s="37" t="s">
        <v>7582</v>
      </c>
      <c r="C1745" s="24"/>
      <c r="D1745" s="65" t="str">
        <f t="shared" si="30"/>
        <v>Editorial</v>
      </c>
      <c r="E1745" s="31" t="s">
        <v>7525</v>
      </c>
      <c r="F1745" s="37"/>
      <c r="G1745" s="24"/>
      <c r="H1745" s="24"/>
    </row>
    <row r="1746" spans="1:8" ht="13.2">
      <c r="A1746" s="65" t="str">
        <f>HYPERLINK("https://oj.uz/problem/view/POI13_mul","POI 13-mul")</f>
        <v>POI 13-mul</v>
      </c>
      <c r="B1746" s="37" t="s">
        <v>7583</v>
      </c>
      <c r="C1746" s="24">
        <v>6.5</v>
      </c>
      <c r="D1746" s="69"/>
      <c r="E1746" s="31" t="s">
        <v>7525</v>
      </c>
      <c r="F1746" s="37"/>
      <c r="G1746" s="24"/>
      <c r="H1746" s="24"/>
    </row>
    <row r="1747" spans="1:8" ht="13.2">
      <c r="A1747" s="65" t="str">
        <f>HYPERLINK("https://oj.uz/problem/view/POI13_tak","POI 13-Taxis")</f>
        <v>POI 13-Taxis</v>
      </c>
      <c r="B1747" s="37" t="s">
        <v>7584</v>
      </c>
      <c r="C1747" s="17">
        <v>6.25</v>
      </c>
      <c r="D1747" s="69"/>
      <c r="E1747" s="31" t="s">
        <v>7525</v>
      </c>
      <c r="F1747" s="37"/>
      <c r="G1747" s="24"/>
      <c r="H1747" s="24"/>
    </row>
    <row r="1748" spans="1:8" ht="13.2">
      <c r="A1748" s="65" t="str">
        <f>HYPERLINK("https://szkopul.edu.pl/problemset/problem/i5L29vV7ud8D_VU-PXyaA_2L/site/", "POI 14-Freight")</f>
        <v>POI 14-Freight</v>
      </c>
      <c r="B1748" s="37" t="s">
        <v>7527</v>
      </c>
      <c r="C1748" s="24">
        <v>6</v>
      </c>
      <c r="D1748" s="69"/>
      <c r="E1748" s="31" t="s">
        <v>7525</v>
      </c>
      <c r="F1748" s="37"/>
      <c r="G1748" s="24"/>
      <c r="H1748" s="24"/>
    </row>
    <row r="1749" spans="1:8" ht="13.2">
      <c r="A1749" s="65" t="str">
        <f>HYPERLINK("https://szkopul.edu.pl/problemset/problem/2yK6zUTXvAjhxSDfbjE4Zx7k/site/", "POI 14-Lamps")</f>
        <v>POI 14-Lamps</v>
      </c>
      <c r="B1749" s="37" t="s">
        <v>7527</v>
      </c>
      <c r="C1749" s="24">
        <v>6.75</v>
      </c>
      <c r="D1749" s="69"/>
      <c r="E1749" s="31" t="s">
        <v>7525</v>
      </c>
      <c r="F1749" s="37"/>
      <c r="G1749" s="24"/>
      <c r="H1749" s="24"/>
    </row>
    <row r="1750" spans="1:8" ht="13.2">
      <c r="A1750" s="65" t="str">
        <f>HYPERLINK("https://szkopul.edu.pl/problemset/problem/d30xri2XGeuQ45CDrB7DWijK/site/", "POI 14-Salad")</f>
        <v>POI 14-Salad</v>
      </c>
      <c r="B1750" s="37" t="s">
        <v>7527</v>
      </c>
      <c r="C1750" s="24">
        <v>5.5</v>
      </c>
      <c r="D1750" s="65" t="str">
        <f>HYPERLINK("https://github.com/mostafa-saad/MyCompetitiveProgramming/blob/master/Olympiad/POI/official/find_editorial_sols_guidelines.txt","Editorial")</f>
        <v>Editorial</v>
      </c>
      <c r="E1750" s="31" t="s">
        <v>7525</v>
      </c>
      <c r="F1750" s="37"/>
      <c r="G1750" s="24"/>
      <c r="H1750" s="24"/>
    </row>
    <row r="1751" spans="1:8" ht="13.2">
      <c r="A1751" s="65" t="str">
        <f>HYPERLINK("https://szkopul.edu.pl/problemset/problem/3zwfwt3ZGc2f6NndNgzS3Dfu/site/", "POI 14-Snake")</f>
        <v>POI 14-Snake</v>
      </c>
      <c r="B1751" s="37" t="s">
        <v>7527</v>
      </c>
      <c r="C1751" s="24"/>
      <c r="D1751" s="69"/>
      <c r="E1751" s="31" t="s">
        <v>7525</v>
      </c>
      <c r="F1751" s="37"/>
      <c r="G1751" s="24"/>
      <c r="H1751" s="24"/>
    </row>
    <row r="1752" spans="1:8" ht="13.2">
      <c r="A1752" s="65" t="str">
        <f>HYPERLINK("https://szkopul.edu.pl/problemset/problem/3Kqkgeapr-W-MBprNjUDGICL/site/", "POI 16-Club")</f>
        <v>POI 16-Club</v>
      </c>
      <c r="B1752" s="37" t="s">
        <v>7585</v>
      </c>
      <c r="C1752" s="24">
        <v>7.5</v>
      </c>
      <c r="D1752" s="65" t="str">
        <f>HYPERLINK("https://github.com/mostafa-saad/MyCompetitiveProgramming/blob/master/Olympiad/POI/official/find_editorial_sols_guidelines.txt","Editorial")</f>
        <v>Editorial</v>
      </c>
      <c r="E1752" s="31" t="s">
        <v>7525</v>
      </c>
      <c r="F1752" s="37"/>
      <c r="G1752" s="24"/>
      <c r="H1752" s="24"/>
    </row>
    <row r="1753" spans="1:8" ht="13.2">
      <c r="A1753" s="65" t="str">
        <f>HYPERLINK("https://szkopul.edu.pl/problemset/problem/oNnWY6ZuzzhvG-jCmijiXkIk/site/", "POI 17-Containers")</f>
        <v>POI 17-Containers</v>
      </c>
      <c r="B1753" s="37" t="s">
        <v>7527</v>
      </c>
      <c r="C1753" s="24"/>
      <c r="D1753" s="69"/>
      <c r="E1753" s="31" t="s">
        <v>7525</v>
      </c>
      <c r="F1753" s="37"/>
      <c r="G1753" s="24"/>
      <c r="H1753" s="24"/>
    </row>
    <row r="1754" spans="1:8" ht="13.2">
      <c r="A1754" s="65" t="str">
        <f>HYPERLINK("https://szkopul.edu.pl/problemset/problem/9NFtPM59qGWa7wdn570ifuP0/site/", "POI 17-Cook")</f>
        <v>POI 17-Cook</v>
      </c>
      <c r="B1754" s="37" t="s">
        <v>7527</v>
      </c>
      <c r="C1754" s="24"/>
      <c r="D1754" s="69"/>
      <c r="E1754" s="31" t="s">
        <v>7525</v>
      </c>
      <c r="F1754" s="37"/>
      <c r="G1754" s="24"/>
      <c r="H1754" s="24"/>
    </row>
    <row r="1755" spans="1:8" ht="13.2">
      <c r="A1755" s="65" t="str">
        <f>HYPERLINK("https://szkopul.edu.pl/problemset/problem/-7cqC3RrH4e-Ar7DWy4GKzLv/site/", "POI 17-Crossroads")</f>
        <v>POI 17-Crossroads</v>
      </c>
      <c r="B1755" s="37" t="s">
        <v>7527</v>
      </c>
      <c r="C1755" s="24"/>
      <c r="D1755" s="69"/>
      <c r="E1755" s="31" t="s">
        <v>7525</v>
      </c>
      <c r="F1755" s="37"/>
      <c r="G1755" s="24"/>
      <c r="H1755" s="24"/>
    </row>
    <row r="1756" spans="1:8" ht="13.2">
      <c r="A1756" s="65" t="str">
        <f>HYPERLINK("https://szkopul.edu.pl/problemset/problem/WLKPphrG7df9acKBOlEMEKY3/site/", "POI 17-Difference")</f>
        <v>POI 17-Difference</v>
      </c>
      <c r="B1756" s="37" t="s">
        <v>7527</v>
      </c>
      <c r="C1756" s="24"/>
      <c r="D1756" s="69"/>
      <c r="E1756" s="31" t="s">
        <v>7525</v>
      </c>
      <c r="F1756" s="37"/>
      <c r="G1756" s="24"/>
      <c r="H1756" s="24"/>
    </row>
    <row r="1757" spans="1:8" ht="13.2">
      <c r="A1757" s="65" t="str">
        <f>HYPERLINK("https://szkopul.edu.pl/problemset/problem/cSnlafnvkbirhnQrS9CQ9MEw/site/", "POI 17-Divisibility")</f>
        <v>POI 17-Divisibility</v>
      </c>
      <c r="B1757" s="37" t="s">
        <v>7527</v>
      </c>
      <c r="C1757" s="24"/>
      <c r="D1757" s="69"/>
      <c r="E1757" s="31" t="s">
        <v>7525</v>
      </c>
      <c r="F1757" s="37"/>
      <c r="G1757" s="24"/>
      <c r="H1757" s="24"/>
    </row>
    <row r="1758" spans="1:8" ht="13.2">
      <c r="A1758" s="65" t="str">
        <f>HYPERLINK("https://szkopul.edu.pl/problemset/problem/eLy9p2a1VStZ4y9y-LdeB-8f/site/", "POI 17-Flappy_Bird")</f>
        <v>POI 17-Flappy_Bird</v>
      </c>
      <c r="B1758" s="37" t="s">
        <v>7527</v>
      </c>
      <c r="C1758" s="24"/>
      <c r="D1758" s="69"/>
      <c r="E1758" s="31" t="s">
        <v>7525</v>
      </c>
      <c r="F1758" s="37"/>
      <c r="G1758" s="24"/>
      <c r="H1758" s="24"/>
    </row>
    <row r="1759" spans="1:8" ht="13.2">
      <c r="A1759" s="65" t="str">
        <f>HYPERLINK("https://szkopul.edu.pl/problemset/problem/0KG8REkSLNnY5sVkm7Aei_R7/site/", "POI 17-Grades")</f>
        <v>POI 17-Grades</v>
      </c>
      <c r="B1759" s="37" t="s">
        <v>7527</v>
      </c>
      <c r="C1759" s="24"/>
      <c r="D1759" s="69"/>
      <c r="E1759" s="31" t="s">
        <v>7525</v>
      </c>
      <c r="F1759" s="37"/>
      <c r="G1759" s="24"/>
      <c r="H1759" s="24"/>
    </row>
    <row r="1760" spans="1:8" ht="13.2">
      <c r="A1760" s="65" t="str">
        <f>HYPERLINK("https://szkopul.edu.pl/problemset/problem/wrTmzO9-dzEbLtsRUCdMV2_W/site/", "POI 17-Midas")</f>
        <v>POI 17-Midas</v>
      </c>
      <c r="B1760" s="37" t="s">
        <v>7527</v>
      </c>
      <c r="C1760" s="24"/>
      <c r="D1760" s="69"/>
      <c r="E1760" s="31" t="s">
        <v>7525</v>
      </c>
      <c r="F1760" s="37"/>
      <c r="G1760" s="24"/>
      <c r="H1760" s="24"/>
    </row>
    <row r="1761" spans="1:8" ht="13.2">
      <c r="A1761" s="65" t="str">
        <f>HYPERLINK("https://szkopul.edu.pl/problemset/problem/w-dbshXVyRol4LIT9jeP-bNn/site/", "POI 17-Panini")</f>
        <v>POI 17-Panini</v>
      </c>
      <c r="B1761" s="37" t="s">
        <v>7527</v>
      </c>
      <c r="C1761" s="24"/>
      <c r="D1761" s="69"/>
      <c r="E1761" s="31" t="s">
        <v>7525</v>
      </c>
      <c r="F1761" s="37"/>
      <c r="G1761" s="24"/>
      <c r="H1761" s="24"/>
    </row>
    <row r="1762" spans="1:8" ht="13.2">
      <c r="A1762" s="65" t="str">
        <f>HYPERLINK("https://szkopul.edu.pl/problemset/problem/CUjJDGGSEZmO7HvdZU4FKrL6/site/", "POI 17-Sabotage")</f>
        <v>POI 17-Sabotage</v>
      </c>
      <c r="B1762" s="37" t="s">
        <v>7527</v>
      </c>
      <c r="C1762" s="24"/>
      <c r="D1762" s="69"/>
      <c r="E1762" s="31" t="s">
        <v>7525</v>
      </c>
      <c r="F1762" s="37"/>
      <c r="G1762" s="24"/>
      <c r="H1762" s="24"/>
    </row>
    <row r="1763" spans="1:8" ht="13.2">
      <c r="A1763" s="65" t="str">
        <f>HYPERLINK("https://szkopul.edu.pl/problemset/problem/Ng815bt4Fko9lj2-l7eVl3Aw/site/", "POI 17-Sum")</f>
        <v>POI 17-Sum</v>
      </c>
      <c r="B1763" s="37" t="s">
        <v>7527</v>
      </c>
      <c r="C1763" s="24"/>
      <c r="D1763" s="69"/>
      <c r="E1763" s="31" t="s">
        <v>7525</v>
      </c>
      <c r="F1763" s="37"/>
      <c r="G1763" s="24"/>
      <c r="H1763" s="24"/>
    </row>
    <row r="1764" spans="1:8" ht="13.2">
      <c r="A1764" s="65" t="str">
        <f>HYPERLINK("https://szkopul.edu.pl/problemset/problem/kqBM3UKWL-qlFiXIOxPXL35m/site/", "POI 17-Tourist")</f>
        <v>POI 17-Tourist</v>
      </c>
      <c r="B1764" s="37" t="s">
        <v>7527</v>
      </c>
      <c r="C1764" s="24"/>
      <c r="D1764" s="69"/>
      <c r="E1764" s="31" t="s">
        <v>7525</v>
      </c>
      <c r="F1764" s="37"/>
      <c r="G1764" s="24"/>
      <c r="H1764" s="24"/>
    </row>
    <row r="1765" spans="1:8" ht="13.2">
      <c r="A1765" s="65" t="str">
        <f>HYPERLINK("https://szkopul.edu.pl/problemset/problem/aKKSmtjWTtDOEHDqnmQ3-eAA/site/", "POI 18-Bike")</f>
        <v>POI 18-Bike</v>
      </c>
      <c r="B1765" s="37" t="s">
        <v>7527</v>
      </c>
      <c r="C1765" s="24"/>
      <c r="D1765" s="69"/>
      <c r="E1765" s="31" t="s">
        <v>7525</v>
      </c>
      <c r="F1765" s="37"/>
      <c r="G1765" s="24"/>
      <c r="H1765" s="24"/>
    </row>
    <row r="1766" spans="1:8" ht="13.2">
      <c r="A1766" s="65" t="str">
        <f>HYPERLINK("https://szkopul.edu.pl/problemset/problem/Kmofhbw9cTx06gSZg-C5MiBU/site/", "POI 18-Candy")</f>
        <v>POI 18-Candy</v>
      </c>
      <c r="B1766" s="37" t="s">
        <v>7527</v>
      </c>
      <c r="C1766" s="24"/>
      <c r="D1766" s="69"/>
      <c r="E1766" s="31" t="s">
        <v>7525</v>
      </c>
      <c r="F1766" s="37"/>
      <c r="G1766" s="24"/>
      <c r="H1766" s="24"/>
    </row>
    <row r="1767" spans="1:8" ht="13.2">
      <c r="A1767" s="65" t="str">
        <f>HYPERLINK("https://szkopul.edu.pl/problemset/problem/lbADmW7d353d0F0iw4kXTjsl/site/", "POI 18-Conductor")</f>
        <v>POI 18-Conductor</v>
      </c>
      <c r="B1767" s="37" t="s">
        <v>7527</v>
      </c>
      <c r="C1767" s="24"/>
      <c r="D1767" s="69"/>
      <c r="E1767" s="31" t="s">
        <v>7525</v>
      </c>
      <c r="F1767" s="37"/>
      <c r="G1767" s="24"/>
      <c r="H1767" s="24"/>
    </row>
    <row r="1768" spans="1:8" ht="13.2">
      <c r="A1768" s="65" t="str">
        <f>HYPERLINK("https://szkopul.edu.pl/problemset/problem/eHGwrk9xShVF-z_2f7K4Yyb_/site/", "POI 18-Diversity")</f>
        <v>POI 18-Diversity</v>
      </c>
      <c r="B1768" s="37" t="s">
        <v>7527</v>
      </c>
      <c r="C1768" s="24"/>
      <c r="D1768" s="69"/>
      <c r="E1768" s="31" t="s">
        <v>7525</v>
      </c>
      <c r="F1768" s="37"/>
      <c r="G1768" s="24"/>
      <c r="H1768" s="24"/>
    </row>
    <row r="1769" spans="1:8" ht="13.2">
      <c r="A1769" s="65" t="str">
        <f>HYPERLINK("https://szkopul.edu.pl/problemset/problem/guoc36QCEe4q47qruYB7HBV-/site/", "POI 18-Fence")</f>
        <v>POI 18-Fence</v>
      </c>
      <c r="B1769" s="37" t="s">
        <v>7527</v>
      </c>
      <c r="C1769" s="24"/>
      <c r="D1769" s="69"/>
      <c r="E1769" s="31" t="s">
        <v>7525</v>
      </c>
      <c r="F1769" s="37"/>
      <c r="G1769" s="24"/>
      <c r="H1769" s="24"/>
    </row>
    <row r="1770" spans="1:8" ht="13.2">
      <c r="A1770" s="65" t="str">
        <f>HYPERLINK("https://szkopul.edu.pl/problemset/problem/xCiDtZ0ZX70fyac1Sav8d37J/site/", "POI 18-Flood")</f>
        <v>POI 18-Flood</v>
      </c>
      <c r="B1770" s="37" t="s">
        <v>7527</v>
      </c>
      <c r="C1770" s="24"/>
      <c r="D1770" s="69"/>
      <c r="E1770" s="31" t="s">
        <v>7525</v>
      </c>
      <c r="F1770" s="37"/>
      <c r="G1770" s="24"/>
      <c r="H1770" s="24"/>
    </row>
    <row r="1771" spans="1:8" ht="13.2">
      <c r="A1771" s="65" t="str">
        <f>HYPERLINK("https://szkopul.edu.pl/problemset/problem/KkN5UonnNGIG3AuMqoI6xr62/site/", "POI 18-Lawyers")</f>
        <v>POI 18-Lawyers</v>
      </c>
      <c r="B1771" s="37" t="s">
        <v>7527</v>
      </c>
      <c r="C1771" s="24"/>
      <c r="D1771" s="69"/>
      <c r="E1771" s="31" t="s">
        <v>7525</v>
      </c>
      <c r="F1771" s="37"/>
      <c r="G1771" s="24"/>
      <c r="H1771" s="24"/>
    </row>
    <row r="1772" spans="1:8" ht="13.2">
      <c r="A1772" s="65" t="str">
        <f>HYPERLINK("https://szkopul.edu.pl/problemset/problem/GfNdWdsmfgHxoByl0ETuZW9c/site/", "POI 18-Numbers")</f>
        <v>POI 18-Numbers</v>
      </c>
      <c r="B1772" s="37" t="s">
        <v>7527</v>
      </c>
      <c r="C1772" s="24"/>
      <c r="D1772" s="69"/>
      <c r="E1772" s="31" t="s">
        <v>7525</v>
      </c>
      <c r="F1772" s="37"/>
      <c r="G1772" s="24"/>
      <c r="H1772" s="24"/>
    </row>
    <row r="1773" spans="1:8" ht="13.2">
      <c r="A1773" s="65" t="str">
        <f>HYPERLINK("https://szkopul.edu.pl/problemset/problem/Hhip15j-8Ro2dOb_4oB98C-G/site/", "POI 18-Poetry")</f>
        <v>POI 18-Poetry</v>
      </c>
      <c r="B1773" s="37" t="s">
        <v>7527</v>
      </c>
      <c r="C1773" s="24"/>
      <c r="D1773" s="69"/>
      <c r="E1773" s="31" t="s">
        <v>7525</v>
      </c>
      <c r="F1773" s="37"/>
      <c r="G1773" s="24"/>
      <c r="H1773" s="24"/>
    </row>
    <row r="1774" spans="1:8" ht="13.2">
      <c r="A1774" s="65" t="str">
        <f>HYPERLINK("https://szkopul.edu.pl/problemset/problem/NZSCUwz2ACePsBKuVCIVzrRt/site/", "POI 18-Stone")</f>
        <v>POI 18-Stone</v>
      </c>
      <c r="B1774" s="37" t="s">
        <v>7527</v>
      </c>
      <c r="C1774" s="24"/>
      <c r="D1774" s="69"/>
      <c r="E1774" s="31" t="s">
        <v>7525</v>
      </c>
      <c r="F1774" s="37"/>
      <c r="G1774" s="24"/>
      <c r="H1774" s="24"/>
    </row>
    <row r="1775" spans="1:8" ht="13.2">
      <c r="A1775" s="65" t="str">
        <f>HYPERLINK("https://szkopul.edu.pl/problemset/problem/vvd6w7n7EXFVEg3nkqGxEirV/site/", "POI 18-Subway")</f>
        <v>POI 18-Subway</v>
      </c>
      <c r="B1775" s="37" t="s">
        <v>7527</v>
      </c>
      <c r="C1775" s="24"/>
      <c r="D1775" s="69"/>
      <c r="E1775" s="31" t="s">
        <v>7525</v>
      </c>
      <c r="F1775" s="37"/>
      <c r="G1775" s="24"/>
      <c r="H1775" s="24"/>
    </row>
    <row r="1776" spans="1:8" ht="13.2">
      <c r="A1776" s="65" t="str">
        <f>HYPERLINK("https://szkopul.edu.pl/problemset/problem/pxbqUTPy3IuPDul9FdT2_Sth/site/", "POI 18-Taxis")</f>
        <v>POI 18-Taxis</v>
      </c>
      <c r="B1776" s="37" t="s">
        <v>7527</v>
      </c>
      <c r="C1776" s="24"/>
      <c r="D1776" s="69"/>
      <c r="E1776" s="31" t="s">
        <v>7525</v>
      </c>
      <c r="F1776" s="37"/>
      <c r="G1776" s="24"/>
      <c r="H1776" s="24"/>
    </row>
    <row r="1777" spans="1:8" ht="13.2">
      <c r="A1777" s="65" t="str">
        <f>HYPERLINK("https://szkopul.edu.pl/problemset/problem/GmAagCBetbskP0qiKlgVd-6A/site/", "POI 18-Transceivers")</f>
        <v>POI 18-Transceivers</v>
      </c>
      <c r="B1777" s="37" t="s">
        <v>7527</v>
      </c>
      <c r="C1777" s="24"/>
      <c r="D1777" s="69"/>
      <c r="E1777" s="31" t="s">
        <v>7525</v>
      </c>
      <c r="F1777" s="37"/>
      <c r="G1777" s="24"/>
      <c r="H1777" s="24"/>
    </row>
    <row r="1778" spans="1:8" ht="13.2">
      <c r="A1778" s="65" t="str">
        <f>HYPERLINK("https://szkopul.edu.pl/problemset/problem/URPMk7vthz60i1J3MT3XbIIO/site/", "POI 18-Triinformathlon")</f>
        <v>POI 18-Triinformathlon</v>
      </c>
      <c r="B1778" s="37" t="s">
        <v>7527</v>
      </c>
      <c r="C1778" s="24"/>
      <c r="D1778" s="69"/>
      <c r="E1778" s="31" t="s">
        <v>7525</v>
      </c>
      <c r="F1778" s="37"/>
      <c r="G1778" s="24"/>
      <c r="H1778" s="24"/>
    </row>
    <row r="1779" spans="1:8" ht="13.2">
      <c r="A1779" s="65" t="str">
        <f>HYPERLINK("https://csacademy.com/contest/round-80/task/tournament/","ROUSelection 18-tournament")</f>
        <v>ROUSelection 18-tournament</v>
      </c>
      <c r="B1779" s="37" t="s">
        <v>7586</v>
      </c>
      <c r="C1779" s="24">
        <v>8.5</v>
      </c>
      <c r="D1779" s="69"/>
      <c r="E1779" s="31" t="s">
        <v>7525</v>
      </c>
      <c r="F1779" s="37"/>
      <c r="G1779" s="24"/>
      <c r="H1779" s="24"/>
    </row>
    <row r="1780" spans="1:8" ht="13.2">
      <c r="A1780" s="65" t="str">
        <f>HYPERLINK("https://csacademy.com/contest/round-80/task/towns/","ROUSelection 18-towns")</f>
        <v>ROUSelection 18-towns</v>
      </c>
      <c r="B1780" s="37" t="s">
        <v>7587</v>
      </c>
      <c r="C1780" s="24">
        <v>6.5</v>
      </c>
      <c r="D1780" s="69"/>
      <c r="E1780" s="31" t="s">
        <v>7525</v>
      </c>
      <c r="F1780" s="37"/>
      <c r="G1780" s="24"/>
      <c r="H1780" s="24"/>
    </row>
    <row r="1781" spans="1:8" ht="13.2">
      <c r="A1781" s="65" t="str">
        <f>HYPERLINK("https://dmoj.ca/problem/utso18p2","UTSOpen 18-ABCs")</f>
        <v>UTSOpen 18-ABCs</v>
      </c>
      <c r="B1781" s="37" t="s">
        <v>7588</v>
      </c>
      <c r="C1781" s="24">
        <v>5.5</v>
      </c>
      <c r="D1781" s="69"/>
      <c r="E1781" s="31" t="s">
        <v>7525</v>
      </c>
      <c r="F1781" s="37"/>
      <c r="G1781" s="24"/>
      <c r="H1781" s="24"/>
    </row>
    <row r="1782" spans="1:8" ht="13.2">
      <c r="A1782" s="65" t="str">
        <f>HYPERLINK("https://dmoj.ca/problem/utso18p1","UTSOpen 18-LoveTriangle")</f>
        <v>UTSOpen 18-LoveTriangle</v>
      </c>
      <c r="B1782" s="37" t="s">
        <v>7588</v>
      </c>
      <c r="C1782" s="24">
        <v>5.5</v>
      </c>
      <c r="D1782" s="69"/>
      <c r="E1782" s="31" t="s">
        <v>7525</v>
      </c>
      <c r="F1782" s="37"/>
      <c r="G1782" s="24"/>
      <c r="H1782" s="24"/>
    </row>
    <row r="1783" spans="1:8" ht="15.75" customHeight="1">
      <c r="G1783" s="24"/>
      <c r="H1783" s="24"/>
    </row>
    <row r="1784" spans="1:8" ht="15.75" customHeight="1">
      <c r="G1784" s="24"/>
      <c r="H1784" s="24"/>
    </row>
    <row r="1785" spans="1:8" ht="15.75" customHeight="1">
      <c r="G1785" s="24"/>
      <c r="H1785" s="24"/>
    </row>
    <row r="1786" spans="1:8" ht="15.75" customHeight="1">
      <c r="G1786" s="24"/>
      <c r="H1786" s="24"/>
    </row>
    <row r="1787" spans="1:8" ht="15.75" customHeight="1">
      <c r="G1787" s="24"/>
      <c r="H1787" s="24"/>
    </row>
    <row r="1788" spans="1:8" ht="15.75" customHeight="1">
      <c r="G1788" s="24"/>
      <c r="H1788" s="24"/>
    </row>
    <row r="1789" spans="1:8" ht="15.75" customHeight="1">
      <c r="G1789" s="24"/>
      <c r="H1789" s="24"/>
    </row>
    <row r="1790" spans="1:8" ht="15.75" customHeight="1">
      <c r="G1790" s="24"/>
      <c r="H1790" s="24"/>
    </row>
    <row r="1791" spans="1:8" ht="15.75" customHeight="1">
      <c r="G1791" s="24"/>
      <c r="H1791" s="24"/>
    </row>
    <row r="1792" spans="1:8" ht="15.75" customHeight="1">
      <c r="G1792" s="24"/>
      <c r="H1792" s="24"/>
    </row>
    <row r="1793" spans="7:8" ht="15.75" customHeight="1">
      <c r="G1793" s="24"/>
      <c r="H1793" s="24"/>
    </row>
    <row r="1794" spans="7:8" ht="15.75" customHeight="1">
      <c r="G1794" s="24"/>
      <c r="H1794" s="24"/>
    </row>
    <row r="1795" spans="7:8" ht="15.75" customHeight="1">
      <c r="G1795" s="24"/>
      <c r="H1795" s="24"/>
    </row>
    <row r="1796" spans="7:8" ht="15.75" customHeight="1">
      <c r="G1796" s="24"/>
      <c r="H1796" s="24"/>
    </row>
    <row r="1797" spans="7:8" ht="15.75" customHeight="1">
      <c r="G1797" s="24"/>
      <c r="H1797" s="24"/>
    </row>
    <row r="1798" spans="7:8" ht="15.75" customHeight="1">
      <c r="G1798" s="24"/>
      <c r="H1798" s="24"/>
    </row>
    <row r="1799" spans="7:8" ht="15.75" customHeight="1">
      <c r="G1799" s="24"/>
      <c r="H1799" s="24"/>
    </row>
    <row r="1800" spans="7:8" ht="15.75" customHeight="1">
      <c r="G1800" s="24"/>
      <c r="H1800" s="24"/>
    </row>
    <row r="1801" spans="7:8" ht="15.75" customHeight="1">
      <c r="G1801" s="24"/>
      <c r="H1801" s="24"/>
    </row>
    <row r="1802" spans="7:8" ht="15.75" customHeight="1">
      <c r="G1802" s="24"/>
      <c r="H1802" s="24"/>
    </row>
    <row r="1803" spans="7:8" ht="15.75" customHeight="1">
      <c r="G1803" s="24"/>
      <c r="H1803" s="24"/>
    </row>
    <row r="1804" spans="7:8" ht="15.75" customHeight="1">
      <c r="G1804" s="24"/>
      <c r="H1804" s="24"/>
    </row>
    <row r="1805" spans="7:8" ht="15.75" customHeight="1">
      <c r="G1805" s="24"/>
      <c r="H1805" s="24"/>
    </row>
    <row r="1806" spans="7:8" ht="15.75" customHeight="1">
      <c r="G1806" s="24"/>
      <c r="H1806" s="24"/>
    </row>
    <row r="1807" spans="7:8" ht="15.75" customHeight="1">
      <c r="G1807" s="24"/>
      <c r="H1807" s="24"/>
    </row>
    <row r="1808" spans="7:8" ht="15.75" customHeight="1">
      <c r="G1808" s="24"/>
      <c r="H1808" s="24"/>
    </row>
    <row r="1809" spans="7:8" ht="15.75" customHeight="1">
      <c r="G1809" s="24"/>
      <c r="H1809" s="24"/>
    </row>
    <row r="1810" spans="7:8" ht="15.75" customHeight="1">
      <c r="G1810" s="24"/>
      <c r="H1810" s="24"/>
    </row>
    <row r="1811" spans="7:8" ht="15.75" customHeight="1">
      <c r="G1811" s="24"/>
      <c r="H1811" s="24"/>
    </row>
    <row r="1812" spans="7:8" ht="15.75" customHeight="1">
      <c r="G1812" s="24"/>
      <c r="H1812" s="24"/>
    </row>
    <row r="1813" spans="7:8" ht="15.75" customHeight="1">
      <c r="G1813" s="24"/>
      <c r="H1813" s="24"/>
    </row>
    <row r="1814" spans="7:8" ht="15.75" customHeight="1">
      <c r="G1814" s="24"/>
      <c r="H1814" s="24"/>
    </row>
    <row r="1815" spans="7:8" ht="15.75" customHeight="1">
      <c r="G1815" s="24"/>
      <c r="H1815" s="24"/>
    </row>
    <row r="1816" spans="7:8" ht="15.75" customHeight="1">
      <c r="G1816" s="24"/>
      <c r="H1816" s="24"/>
    </row>
    <row r="1817" spans="7:8" ht="15.75" customHeight="1">
      <c r="G1817" s="24"/>
      <c r="H1817" s="24"/>
    </row>
    <row r="1818" spans="7:8" ht="15.75" customHeight="1">
      <c r="G1818" s="24"/>
      <c r="H1818" s="24"/>
    </row>
    <row r="1819" spans="7:8" ht="15.75" customHeight="1">
      <c r="G1819" s="24"/>
      <c r="H1819" s="24"/>
    </row>
    <row r="1820" spans="7:8" ht="15.75" customHeight="1">
      <c r="G1820" s="24"/>
      <c r="H1820" s="24"/>
    </row>
    <row r="1821" spans="7:8" ht="15.75" customHeight="1">
      <c r="G1821" s="24"/>
      <c r="H1821" s="24"/>
    </row>
    <row r="1822" spans="7:8" ht="15.75" customHeight="1">
      <c r="G1822" s="24"/>
      <c r="H1822" s="24"/>
    </row>
    <row r="1823" spans="7:8" ht="15.75" customHeight="1">
      <c r="G1823" s="24"/>
      <c r="H1823" s="24"/>
    </row>
    <row r="1824" spans="7:8" ht="15.75" customHeight="1">
      <c r="G1824" s="24"/>
      <c r="H1824" s="24"/>
    </row>
    <row r="1825" spans="7:8" ht="15.75" customHeight="1">
      <c r="G1825" s="24"/>
      <c r="H1825" s="24"/>
    </row>
    <row r="1826" spans="7:8" ht="15.75" customHeight="1">
      <c r="G1826" s="24"/>
      <c r="H1826" s="24"/>
    </row>
    <row r="1827" spans="7:8" ht="15.75" customHeight="1">
      <c r="G1827" s="24"/>
      <c r="H1827" s="24"/>
    </row>
    <row r="1828" spans="7:8" ht="15.75" customHeight="1">
      <c r="G1828" s="24"/>
      <c r="H1828" s="24"/>
    </row>
    <row r="1829" spans="7:8" ht="15.75" customHeight="1">
      <c r="G1829" s="24"/>
      <c r="H1829" s="24"/>
    </row>
    <row r="1830" spans="7:8" ht="15.75" customHeight="1">
      <c r="G1830" s="24"/>
      <c r="H1830" s="24"/>
    </row>
    <row r="1831" spans="7:8" ht="15.75" customHeight="1">
      <c r="G1831" s="24"/>
      <c r="H1831" s="24"/>
    </row>
    <row r="1832" spans="7:8" ht="15.75" customHeight="1">
      <c r="G1832" s="24"/>
      <c r="H1832" s="24"/>
    </row>
    <row r="1833" spans="7:8" ht="15.75" customHeight="1">
      <c r="G1833" s="24"/>
      <c r="H1833" s="24"/>
    </row>
    <row r="1834" spans="7:8" ht="15.75" customHeight="1">
      <c r="G1834" s="24"/>
      <c r="H1834" s="24"/>
    </row>
    <row r="1835" spans="7:8" ht="15.75" customHeight="1">
      <c r="G1835" s="24"/>
      <c r="H1835" s="24"/>
    </row>
    <row r="1836" spans="7:8" ht="15.75" customHeight="1">
      <c r="G1836" s="24"/>
      <c r="H1836" s="24"/>
    </row>
    <row r="1837" spans="7:8" ht="15.75" customHeight="1">
      <c r="G1837" s="24"/>
      <c r="H1837" s="24"/>
    </row>
    <row r="1838" spans="7:8" ht="15.75" customHeight="1">
      <c r="G1838" s="24"/>
      <c r="H1838" s="24"/>
    </row>
    <row r="1839" spans="7:8" ht="15.75" customHeight="1">
      <c r="G1839" s="24"/>
      <c r="H1839" s="24"/>
    </row>
    <row r="1840" spans="7:8" ht="15.75" customHeight="1">
      <c r="G1840" s="24"/>
      <c r="H1840" s="24"/>
    </row>
    <row r="1841" spans="7:8" ht="15.75" customHeight="1">
      <c r="G1841" s="24"/>
      <c r="H1841" s="24"/>
    </row>
    <row r="1842" spans="7:8" ht="15.75" customHeight="1">
      <c r="G1842" s="24"/>
      <c r="H1842" s="24"/>
    </row>
    <row r="1843" spans="7:8" ht="15.75" customHeight="1">
      <c r="G1843" s="24"/>
      <c r="H1843" s="24"/>
    </row>
    <row r="1844" spans="7:8" ht="15.75" customHeight="1">
      <c r="G1844" s="24"/>
      <c r="H1844" s="24"/>
    </row>
    <row r="1845" spans="7:8" ht="15.75" customHeight="1">
      <c r="G1845" s="24"/>
      <c r="H1845" s="24"/>
    </row>
    <row r="1846" spans="7:8" ht="15.75" customHeight="1">
      <c r="G1846" s="24"/>
      <c r="H1846" s="24"/>
    </row>
    <row r="1847" spans="7:8" ht="15.75" customHeight="1">
      <c r="G1847" s="24"/>
      <c r="H1847" s="24"/>
    </row>
    <row r="1848" spans="7:8" ht="15.75" customHeight="1">
      <c r="G1848" s="24"/>
      <c r="H1848" s="24"/>
    </row>
    <row r="1849" spans="7:8" ht="15.75" customHeight="1">
      <c r="G1849" s="24"/>
      <c r="H1849" s="24"/>
    </row>
    <row r="1850" spans="7:8" ht="15.75" customHeight="1">
      <c r="G1850" s="24"/>
      <c r="H1850" s="24"/>
    </row>
    <row r="1851" spans="7:8" ht="15.75" customHeight="1">
      <c r="G1851" s="24"/>
      <c r="H1851" s="24"/>
    </row>
    <row r="1852" spans="7:8" ht="15.75" customHeight="1">
      <c r="G1852" s="24"/>
      <c r="H1852" s="24"/>
    </row>
    <row r="1853" spans="7:8" ht="15.75" customHeight="1">
      <c r="G1853" s="24"/>
      <c r="H1853" s="24"/>
    </row>
    <row r="1854" spans="7:8" ht="15.75" customHeight="1">
      <c r="G1854" s="24"/>
      <c r="H1854" s="24"/>
    </row>
    <row r="1855" spans="7:8" ht="15.75" customHeight="1">
      <c r="G1855" s="24"/>
      <c r="H1855" s="24"/>
    </row>
    <row r="1856" spans="7:8" ht="15.75" customHeight="1">
      <c r="G1856" s="24"/>
      <c r="H1856" s="24"/>
    </row>
    <row r="1857" spans="7:8" ht="15.75" customHeight="1">
      <c r="G1857" s="24"/>
      <c r="H1857" s="24"/>
    </row>
    <row r="1858" spans="7:8" ht="15.75" customHeight="1">
      <c r="G1858" s="24"/>
      <c r="H1858" s="24"/>
    </row>
    <row r="1859" spans="7:8" ht="15.75" customHeight="1">
      <c r="G1859" s="24"/>
      <c r="H1859" s="24"/>
    </row>
    <row r="1860" spans="7:8" ht="15.75" customHeight="1">
      <c r="G1860" s="24"/>
      <c r="H1860" s="24"/>
    </row>
    <row r="1861" spans="7:8" ht="15.75" customHeight="1">
      <c r="G1861" s="24"/>
      <c r="H1861" s="24"/>
    </row>
    <row r="1862" spans="7:8" ht="15.75" customHeight="1">
      <c r="G1862" s="24"/>
      <c r="H1862" s="24"/>
    </row>
    <row r="1863" spans="7:8" ht="15.75" customHeight="1">
      <c r="G1863" s="24"/>
      <c r="H1863" s="24"/>
    </row>
    <row r="1864" spans="7:8" ht="15.75" customHeight="1">
      <c r="G1864" s="24"/>
      <c r="H1864" s="24"/>
    </row>
    <row r="1865" spans="7:8" ht="15.75" customHeight="1">
      <c r="G1865" s="24"/>
      <c r="H1865" s="24"/>
    </row>
    <row r="1866" spans="7:8" ht="15.75" customHeight="1">
      <c r="G1866" s="24"/>
      <c r="H1866" s="24"/>
    </row>
    <row r="1867" spans="7:8" ht="15.75" customHeight="1">
      <c r="G1867" s="24"/>
      <c r="H1867" s="24"/>
    </row>
    <row r="1868" spans="7:8" ht="15.75" customHeight="1">
      <c r="G1868" s="24"/>
      <c r="H1868" s="24"/>
    </row>
    <row r="1869" spans="7:8" ht="15.75" customHeight="1">
      <c r="G1869" s="24"/>
      <c r="H1869" s="24"/>
    </row>
    <row r="1870" spans="7:8" ht="15.75" customHeight="1">
      <c r="G1870" s="24"/>
      <c r="H1870" s="24"/>
    </row>
    <row r="1871" spans="7:8" ht="15.75" customHeight="1">
      <c r="G1871" s="24"/>
      <c r="H1871" s="24"/>
    </row>
    <row r="1872" spans="7:8" ht="15.75" customHeight="1">
      <c r="G1872" s="24"/>
      <c r="H1872" s="24"/>
    </row>
    <row r="1873" spans="7:8" ht="15.75" customHeight="1">
      <c r="G1873" s="24"/>
      <c r="H1873" s="24"/>
    </row>
    <row r="1874" spans="7:8" ht="15.75" customHeight="1">
      <c r="G1874" s="24"/>
      <c r="H1874" s="24"/>
    </row>
    <row r="1875" spans="7:8" ht="15.75" customHeight="1">
      <c r="G1875" s="24"/>
      <c r="H1875" s="24"/>
    </row>
    <row r="1876" spans="7:8" ht="15.75" customHeight="1">
      <c r="G1876" s="24"/>
      <c r="H1876" s="24"/>
    </row>
    <row r="1877" spans="7:8" ht="15.75" customHeight="1">
      <c r="G1877" s="24"/>
      <c r="H1877" s="24"/>
    </row>
    <row r="1878" spans="7:8" ht="15.75" customHeight="1">
      <c r="G1878" s="24"/>
      <c r="H1878" s="24"/>
    </row>
    <row r="1879" spans="7:8" ht="15.75" customHeight="1">
      <c r="G1879" s="24"/>
      <c r="H1879" s="24"/>
    </row>
    <row r="1880" spans="7:8" ht="15.75" customHeight="1">
      <c r="G1880" s="24"/>
      <c r="H1880" s="24"/>
    </row>
    <row r="1881" spans="7:8" ht="15.75" customHeight="1">
      <c r="G1881" s="24"/>
      <c r="H1881" s="24"/>
    </row>
    <row r="1882" spans="7:8" ht="15.75" customHeight="1">
      <c r="G1882" s="24"/>
      <c r="H1882" s="24"/>
    </row>
    <row r="1883" spans="7:8" ht="15.75" customHeight="1">
      <c r="G1883" s="24"/>
      <c r="H1883" s="24"/>
    </row>
    <row r="1884" spans="7:8" ht="15.75" customHeight="1">
      <c r="G1884" s="24"/>
      <c r="H1884" s="24"/>
    </row>
    <row r="1885" spans="7:8" ht="15.75" customHeight="1">
      <c r="G1885" s="24"/>
      <c r="H1885" s="24"/>
    </row>
    <row r="1886" spans="7:8" ht="15.75" customHeight="1">
      <c r="G1886" s="24"/>
      <c r="H1886" s="24"/>
    </row>
    <row r="1887" spans="7:8" ht="15.75" customHeight="1">
      <c r="G1887" s="24"/>
      <c r="H1887" s="24"/>
    </row>
    <row r="1888" spans="7:8" ht="15.75" customHeight="1">
      <c r="G1888" s="24"/>
      <c r="H1888" s="24"/>
    </row>
    <row r="1889" spans="7:8" ht="15.75" customHeight="1">
      <c r="G1889" s="24"/>
      <c r="H1889" s="24"/>
    </row>
    <row r="1890" spans="7:8" ht="15.75" customHeight="1">
      <c r="G1890" s="24"/>
      <c r="H1890" s="24"/>
    </row>
    <row r="1891" spans="7:8" ht="15.75" customHeight="1">
      <c r="G1891" s="24"/>
      <c r="H1891" s="24"/>
    </row>
    <row r="1892" spans="7:8" ht="15.75" customHeight="1">
      <c r="G1892" s="24"/>
      <c r="H1892" s="24"/>
    </row>
    <row r="1893" spans="7:8" ht="15.75" customHeight="1">
      <c r="G1893" s="24"/>
      <c r="H1893" s="24"/>
    </row>
    <row r="1894" spans="7:8" ht="15.75" customHeight="1">
      <c r="G1894" s="24"/>
      <c r="H1894" s="24"/>
    </row>
    <row r="1895" spans="7:8" ht="15.75" customHeight="1">
      <c r="G1895" s="24"/>
      <c r="H1895" s="24"/>
    </row>
    <row r="1896" spans="7:8" ht="15.75" customHeight="1">
      <c r="G1896" s="24"/>
      <c r="H1896" s="24"/>
    </row>
    <row r="1897" spans="7:8" ht="15.75" customHeight="1">
      <c r="G1897" s="24"/>
      <c r="H1897" s="24"/>
    </row>
    <row r="1898" spans="7:8" ht="15.75" customHeight="1">
      <c r="G1898" s="24"/>
      <c r="H1898" s="24"/>
    </row>
    <row r="1899" spans="7:8" ht="15.75" customHeight="1">
      <c r="G1899" s="24"/>
      <c r="H1899" s="24"/>
    </row>
    <row r="1900" spans="7:8" ht="15.75" customHeight="1">
      <c r="G1900" s="24"/>
      <c r="H1900" s="24"/>
    </row>
    <row r="1901" spans="7:8" ht="15.75" customHeight="1">
      <c r="G1901" s="24"/>
      <c r="H1901" s="24"/>
    </row>
    <row r="1902" spans="7:8" ht="15.75" customHeight="1">
      <c r="G1902" s="24"/>
      <c r="H1902" s="24"/>
    </row>
    <row r="1903" spans="7:8" ht="15.75" customHeight="1">
      <c r="G1903" s="24"/>
      <c r="H1903" s="24"/>
    </row>
    <row r="1904" spans="7:8" ht="15.75" customHeight="1">
      <c r="G1904" s="24"/>
      <c r="H1904" s="24"/>
    </row>
    <row r="1905" spans="7:8" ht="15.75" customHeight="1">
      <c r="G1905" s="24"/>
      <c r="H1905" s="24"/>
    </row>
    <row r="1906" spans="7:8" ht="15.75" customHeight="1">
      <c r="G1906" s="24"/>
      <c r="H1906" s="24"/>
    </row>
    <row r="1907" spans="7:8" ht="15.75" customHeight="1">
      <c r="G1907" s="24"/>
      <c r="H1907" s="24"/>
    </row>
    <row r="1908" spans="7:8" ht="15.75" customHeight="1">
      <c r="G1908" s="24"/>
      <c r="H1908" s="24"/>
    </row>
    <row r="1909" spans="7:8" ht="15.75" customHeight="1">
      <c r="G1909" s="24"/>
      <c r="H1909" s="24"/>
    </row>
    <row r="1910" spans="7:8" ht="15.75" customHeight="1">
      <c r="G1910" s="24"/>
      <c r="H1910" s="24"/>
    </row>
    <row r="1911" spans="7:8" ht="15.75" customHeight="1">
      <c r="G1911" s="24"/>
      <c r="H1911" s="24"/>
    </row>
    <row r="1912" spans="7:8" ht="15.75" customHeight="1">
      <c r="G1912" s="24"/>
      <c r="H1912" s="24"/>
    </row>
    <row r="1913" spans="7:8" ht="15.75" customHeight="1">
      <c r="G1913" s="24"/>
      <c r="H1913" s="24"/>
    </row>
    <row r="1914" spans="7:8" ht="15.75" customHeight="1">
      <c r="G1914" s="24"/>
      <c r="H1914" s="24"/>
    </row>
    <row r="1915" spans="7:8" ht="15.75" customHeight="1">
      <c r="G1915" s="24"/>
      <c r="H1915" s="24"/>
    </row>
    <row r="1916" spans="7:8" ht="15.75" customHeight="1">
      <c r="G1916" s="24"/>
      <c r="H1916" s="24"/>
    </row>
    <row r="1917" spans="7:8" ht="15.75" customHeight="1">
      <c r="G1917" s="24"/>
      <c r="H1917" s="24"/>
    </row>
    <row r="1918" spans="7:8" ht="15.75" customHeight="1">
      <c r="G1918" s="24"/>
      <c r="H1918" s="24"/>
    </row>
    <row r="1919" spans="7:8" ht="15.75" customHeight="1">
      <c r="G1919" s="24"/>
      <c r="H1919" s="24"/>
    </row>
    <row r="1920" spans="7:8" ht="15.75" customHeight="1">
      <c r="G1920" s="24"/>
      <c r="H1920" s="24"/>
    </row>
    <row r="1921" spans="7:8" ht="15.75" customHeight="1">
      <c r="G1921" s="24"/>
      <c r="H1921" s="24"/>
    </row>
    <row r="1922" spans="7:8" ht="15.75" customHeight="1">
      <c r="G1922" s="24"/>
      <c r="H1922" s="24"/>
    </row>
    <row r="1923" spans="7:8" ht="15.75" customHeight="1">
      <c r="G1923" s="24"/>
      <c r="H1923" s="24"/>
    </row>
    <row r="1924" spans="7:8" ht="15.75" customHeight="1">
      <c r="G1924" s="24"/>
      <c r="H1924" s="24"/>
    </row>
    <row r="1925" spans="7:8" ht="15.75" customHeight="1">
      <c r="G1925" s="24"/>
      <c r="H1925" s="24"/>
    </row>
    <row r="1926" spans="7:8" ht="15.75" customHeight="1">
      <c r="G1926" s="24"/>
      <c r="H1926" s="24"/>
    </row>
    <row r="1927" spans="7:8" ht="15.75" customHeight="1">
      <c r="G1927" s="24"/>
      <c r="H1927" s="24"/>
    </row>
    <row r="1928" spans="7:8" ht="15.75" customHeight="1">
      <c r="G1928" s="24"/>
      <c r="H1928" s="24"/>
    </row>
    <row r="1929" spans="7:8" ht="15.75" customHeight="1">
      <c r="G1929" s="24"/>
      <c r="H1929" s="24"/>
    </row>
    <row r="1930" spans="7:8" ht="15.75" customHeight="1">
      <c r="G1930" s="24"/>
      <c r="H1930" s="24"/>
    </row>
    <row r="1931" spans="7:8" ht="15.75" customHeight="1">
      <c r="G1931" s="24"/>
      <c r="H1931" s="24"/>
    </row>
    <row r="1932" spans="7:8" ht="15.75" customHeight="1">
      <c r="G1932" s="24"/>
      <c r="H1932" s="24"/>
    </row>
    <row r="1933" spans="7:8" ht="15.75" customHeight="1">
      <c r="G1933" s="24"/>
      <c r="H1933" s="24"/>
    </row>
    <row r="1934" spans="7:8" ht="15.75" customHeight="1">
      <c r="G1934" s="24"/>
      <c r="H1934" s="24"/>
    </row>
    <row r="1935" spans="7:8" ht="15.75" customHeight="1">
      <c r="G1935" s="24"/>
      <c r="H1935" s="24"/>
    </row>
    <row r="1936" spans="7:8" ht="15.75" customHeight="1">
      <c r="G1936" s="24"/>
      <c r="H1936" s="24"/>
    </row>
    <row r="1937" spans="7:8" ht="15.75" customHeight="1">
      <c r="G1937" s="24"/>
      <c r="H1937" s="24"/>
    </row>
    <row r="1938" spans="7:8" ht="15.75" customHeight="1">
      <c r="G1938" s="24"/>
      <c r="H1938" s="24"/>
    </row>
    <row r="1939" spans="7:8" ht="15.75" customHeight="1">
      <c r="G1939" s="24"/>
      <c r="H1939" s="24"/>
    </row>
    <row r="1940" spans="7:8" ht="15.75" customHeight="1">
      <c r="G1940" s="24"/>
      <c r="H1940" s="24"/>
    </row>
    <row r="1941" spans="7:8" ht="15.75" customHeight="1">
      <c r="G1941" s="24"/>
      <c r="H1941" s="24"/>
    </row>
    <row r="1942" spans="7:8" ht="15.75" customHeight="1">
      <c r="G1942" s="24"/>
      <c r="H1942" s="24"/>
    </row>
    <row r="1943" spans="7:8" ht="15.75" customHeight="1">
      <c r="G1943" s="24"/>
      <c r="H1943" s="24"/>
    </row>
    <row r="1944" spans="7:8" ht="15.75" customHeight="1">
      <c r="G1944" s="24"/>
      <c r="H1944" s="24"/>
    </row>
    <row r="1945" spans="7:8" ht="15.75" customHeight="1">
      <c r="G1945" s="24"/>
      <c r="H1945" s="24"/>
    </row>
    <row r="1946" spans="7:8" ht="15.75" customHeight="1">
      <c r="G1946" s="24"/>
      <c r="H1946" s="24"/>
    </row>
    <row r="1947" spans="7:8" ht="15.75" customHeight="1">
      <c r="G1947" s="24"/>
      <c r="H1947" s="24"/>
    </row>
    <row r="1948" spans="7:8" ht="15.75" customHeight="1">
      <c r="G1948" s="24"/>
      <c r="H1948" s="24"/>
    </row>
    <row r="1949" spans="7:8" ht="15.75" customHeight="1">
      <c r="G1949" s="24"/>
    </row>
    <row r="1950" spans="7:8" ht="15.75" customHeight="1">
      <c r="G1950" s="24"/>
    </row>
    <row r="1951" spans="7:8" ht="15.75" customHeight="1">
      <c r="G1951" s="24"/>
    </row>
    <row r="1952" spans="7:8" ht="15.75" customHeight="1">
      <c r="G1952" s="24"/>
    </row>
    <row r="1953" spans="7:7" ht="15.75" customHeight="1">
      <c r="G1953" s="24"/>
    </row>
    <row r="1954" spans="7:7" ht="15.75" customHeight="1">
      <c r="G1954" s="24"/>
    </row>
    <row r="1955" spans="7:7" ht="15.75" customHeight="1">
      <c r="G1955" s="24"/>
    </row>
    <row r="1956" spans="7:7" ht="15.75" customHeight="1">
      <c r="G1956" s="24"/>
    </row>
    <row r="1957" spans="7:7" ht="15.75" customHeight="1">
      <c r="G1957" s="24"/>
    </row>
    <row r="1958" spans="7:7" ht="15.75" customHeight="1">
      <c r="G1958" s="24"/>
    </row>
    <row r="1959" spans="7:7" ht="15.75" customHeight="1">
      <c r="G1959" s="24"/>
    </row>
    <row r="1960" spans="7:7" ht="15.75" customHeight="1">
      <c r="G1960" s="24"/>
    </row>
    <row r="1961" spans="7:7" ht="15.75" customHeight="1">
      <c r="G1961" s="24"/>
    </row>
    <row r="1962" spans="7:7" ht="15.75" customHeight="1">
      <c r="G1962" s="24"/>
    </row>
    <row r="1963" spans="7:7" ht="15.75" customHeight="1">
      <c r="G1963" s="24"/>
    </row>
    <row r="1964" spans="7:7" ht="15.75" customHeight="1">
      <c r="G1964" s="24"/>
    </row>
    <row r="1965" spans="7:7" ht="15.75" customHeight="1">
      <c r="G1965" s="24"/>
    </row>
    <row r="1966" spans="7:7" ht="15.75" customHeight="1">
      <c r="G1966" s="24"/>
    </row>
    <row r="1967" spans="7:7" ht="15.75" customHeight="1">
      <c r="G1967" s="24"/>
    </row>
    <row r="1968" spans="7:7" ht="15.75" customHeight="1">
      <c r="G1968" s="24"/>
    </row>
    <row r="1969" spans="7:7" ht="15.75" customHeight="1">
      <c r="G1969" s="24"/>
    </row>
    <row r="1970" spans="7:7" ht="15.75" customHeight="1">
      <c r="G1970" s="24"/>
    </row>
    <row r="1971" spans="7:7" ht="15.75" customHeight="1">
      <c r="G1971" s="24"/>
    </row>
    <row r="1972" spans="7:7" ht="15.75" customHeight="1">
      <c r="G1972" s="24"/>
    </row>
    <row r="1973" spans="7:7" ht="15.75" customHeight="1">
      <c r="G1973" s="24"/>
    </row>
    <row r="1974" spans="7:7" ht="15.75" customHeight="1">
      <c r="G1974" s="24"/>
    </row>
    <row r="1975" spans="7:7" ht="15.75" customHeight="1">
      <c r="G1975" s="24"/>
    </row>
    <row r="1976" spans="7:7" ht="15.75" customHeight="1">
      <c r="G1976" s="24"/>
    </row>
    <row r="1977" spans="7:7" ht="15.75" customHeight="1">
      <c r="G1977" s="24"/>
    </row>
    <row r="1978" spans="7:7" ht="15.75" customHeight="1">
      <c r="G1978" s="24"/>
    </row>
    <row r="1979" spans="7:7" ht="15.75" customHeight="1">
      <c r="G1979" s="24"/>
    </row>
    <row r="1980" spans="7:7" ht="15.75" customHeight="1">
      <c r="G1980" s="24"/>
    </row>
    <row r="1981" spans="7:7" ht="15.75" customHeight="1">
      <c r="G1981" s="24"/>
    </row>
    <row r="1982" spans="7:7" ht="15.75" customHeight="1">
      <c r="G1982" s="24"/>
    </row>
    <row r="1983" spans="7:7" ht="15.75" customHeight="1">
      <c r="G1983" s="24"/>
    </row>
    <row r="1984" spans="7:7" ht="15.75" customHeight="1">
      <c r="G1984" s="24"/>
    </row>
    <row r="1985" spans="7:7" ht="15.75" customHeight="1">
      <c r="G1985" s="24"/>
    </row>
    <row r="1986" spans="7:7" ht="15.75" customHeight="1">
      <c r="G1986" s="24"/>
    </row>
    <row r="1987" spans="7:7" ht="15.75" customHeight="1">
      <c r="G1987" s="24"/>
    </row>
    <row r="1988" spans="7:7" ht="15.75" customHeight="1">
      <c r="G1988" s="24"/>
    </row>
    <row r="1989" spans="7:7" ht="15.75" customHeight="1">
      <c r="G1989" s="24"/>
    </row>
    <row r="1990" spans="7:7" ht="15.75" customHeight="1">
      <c r="G1990" s="24"/>
    </row>
    <row r="1991" spans="7:7" ht="15.75" customHeight="1">
      <c r="G1991" s="24"/>
    </row>
    <row r="1992" spans="7:7" ht="15.75" customHeight="1">
      <c r="G1992" s="24"/>
    </row>
    <row r="1993" spans="7:7" ht="15.75" customHeight="1">
      <c r="G1993" s="24"/>
    </row>
    <row r="1994" spans="7:7" ht="15.75" customHeight="1">
      <c r="G1994" s="24"/>
    </row>
    <row r="1995" spans="7:7" ht="15.75" customHeight="1">
      <c r="G1995" s="24"/>
    </row>
    <row r="1996" spans="7:7" ht="15.75" customHeight="1">
      <c r="G1996" s="24"/>
    </row>
    <row r="1997" spans="7:7" ht="15.75" customHeight="1">
      <c r="G1997" s="24"/>
    </row>
    <row r="1998" spans="7:7" ht="15.75" customHeight="1">
      <c r="G1998" s="24"/>
    </row>
  </sheetData>
  <hyperlinks>
    <hyperlink ref="A1" r:id="rId1" xr:uid="{00000000-0004-0000-0300-000000000000}"/>
  </hyperlinks>
  <pageMargins left="0.7" right="0.7" top="0.75" bottom="0.75" header="0.3" footer="0.3"/>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H1804"/>
  <sheetViews>
    <sheetView zoomScale="146" workbookViewId="0">
      <pane xSplit="1" ySplit="1" topLeftCell="B3" activePane="bottomRight" state="frozen"/>
      <selection pane="topRight" activeCell="B1" sqref="B1"/>
      <selection pane="bottomLeft" activeCell="A2" sqref="A2"/>
      <selection pane="bottomRight" activeCell="H6" sqref="H6"/>
    </sheetView>
  </sheetViews>
  <sheetFormatPr defaultColWidth="12.6640625" defaultRowHeight="15.75" customHeight="1"/>
  <cols>
    <col min="1" max="1" width="29.88671875" customWidth="1"/>
    <col min="2" max="2" width="61.44140625" customWidth="1"/>
    <col min="3" max="3" width="6" customWidth="1"/>
    <col min="4" max="4" width="16.21875" customWidth="1"/>
    <col min="5" max="5" width="9.21875" customWidth="1"/>
    <col min="6" max="6" width="10.21875" customWidth="1"/>
    <col min="7" max="7" width="11.44140625" customWidth="1"/>
    <col min="8" max="8" width="11.21875" customWidth="1"/>
  </cols>
  <sheetData>
    <row r="1" spans="1:8" ht="26.4">
      <c r="A1" s="82" t="s">
        <v>7589</v>
      </c>
      <c r="B1" s="14" t="s">
        <v>116</v>
      </c>
      <c r="C1" s="14" t="s">
        <v>6562</v>
      </c>
      <c r="D1" s="14" t="s">
        <v>118</v>
      </c>
      <c r="E1" s="64" t="s">
        <v>119</v>
      </c>
      <c r="F1" s="14" t="s">
        <v>120</v>
      </c>
      <c r="G1" s="14" t="s">
        <v>121</v>
      </c>
      <c r="H1" s="14" t="s">
        <v>122</v>
      </c>
    </row>
    <row r="2" spans="1:8" ht="13.2">
      <c r="A2" s="65" t="str">
        <f>HYPERLINK("https://www.acmicpc.net/problem/11782","Balkan 15-TILING")</f>
        <v>Balkan 15-TILING</v>
      </c>
      <c r="B2" s="37" t="s">
        <v>7527</v>
      </c>
      <c r="C2" s="24">
        <v>9</v>
      </c>
      <c r="D2" s="69"/>
      <c r="E2" s="31" t="s">
        <v>7525</v>
      </c>
      <c r="F2" s="37"/>
      <c r="G2" s="24"/>
      <c r="H2" s="24"/>
    </row>
    <row r="3" spans="1:8" ht="13.2">
      <c r="A3" s="65" t="str">
        <f>HYPERLINK("https://www.hackerrank.com/contests/boi-2016/challenges","Balkan 16-Hacker")</f>
        <v>Balkan 16-Hacker</v>
      </c>
      <c r="B3" s="37" t="s">
        <v>7527</v>
      </c>
      <c r="C3" s="24">
        <v>9</v>
      </c>
      <c r="D3" s="69"/>
      <c r="E3" s="31" t="s">
        <v>7525</v>
      </c>
      <c r="F3" s="37"/>
      <c r="G3" s="24"/>
      <c r="H3" s="24"/>
    </row>
    <row r="4" spans="1:8" ht="13.2">
      <c r="A4" s="65" t="str">
        <f>HYPERLINK("https://oj.uz/problems/source/56","JOIOC 14-migration")</f>
        <v>JOIOC 14-migration</v>
      </c>
      <c r="B4" s="15" t="s">
        <v>7527</v>
      </c>
      <c r="C4" s="17">
        <v>9</v>
      </c>
      <c r="D4" s="69"/>
      <c r="E4" s="31" t="s">
        <v>7525</v>
      </c>
      <c r="F4" s="37"/>
      <c r="G4" s="24"/>
      <c r="H4" s="24"/>
    </row>
    <row r="5" spans="1:8" ht="13.2">
      <c r="A5" s="65" t="str">
        <f>HYPERLINK("https://csacademy.com/contest/balkan-oi-2017-day-1/","Balkan 17-tale")</f>
        <v>Balkan 17-tale</v>
      </c>
      <c r="B5" s="18" t="s">
        <v>2763</v>
      </c>
      <c r="C5" s="17">
        <v>9</v>
      </c>
      <c r="D5" s="69"/>
      <c r="E5" s="31" t="s">
        <v>2510</v>
      </c>
      <c r="F5" s="37"/>
      <c r="G5" s="24"/>
      <c r="H5" s="24"/>
    </row>
    <row r="6" spans="1:8" ht="13.2">
      <c r="A6" s="65" t="str">
        <f>HYPERLINK("https://csacademy.com/contest/ioi-2016-training-round-5/task/tree-square/","IOIPractice 16-tree-square")</f>
        <v>IOIPractice 16-tree-square</v>
      </c>
      <c r="B6" s="37" t="s">
        <v>3256</v>
      </c>
      <c r="C6" s="24">
        <v>9</v>
      </c>
      <c r="D6" s="69"/>
      <c r="E6" s="31" t="s">
        <v>3257</v>
      </c>
      <c r="F6" s="37"/>
      <c r="G6" s="24"/>
      <c r="H6" s="24"/>
    </row>
    <row r="7" spans="1:8" ht="13.2">
      <c r="A7" s="65" t="str">
        <f>HYPERLINK("https://oj.uz/problem/view/JOI14_space_pirate","JOIOC 14-space_pirate")</f>
        <v>JOIOC 14-space_pirate</v>
      </c>
      <c r="B7" s="15" t="s">
        <v>7184</v>
      </c>
      <c r="C7" s="17">
        <v>9</v>
      </c>
      <c r="D7" s="69"/>
      <c r="E7" s="31" t="s">
        <v>3650</v>
      </c>
      <c r="F7" s="37"/>
      <c r="G7" s="24"/>
      <c r="H7" s="24"/>
    </row>
    <row r="8" spans="1:8" ht="13.2">
      <c r="A8" s="65" t="str">
        <f>HYPERLINK("https://csacademy.com/contest/round-78/task/generating-set/","ROUSelection 18-generating_set")</f>
        <v>ROUSelection 18-generating_set</v>
      </c>
      <c r="B8" s="37" t="s">
        <v>7302</v>
      </c>
      <c r="C8" s="24">
        <v>9</v>
      </c>
      <c r="D8" s="69"/>
      <c r="E8" s="31" t="s">
        <v>4531</v>
      </c>
      <c r="F8" s="37"/>
      <c r="G8" s="24"/>
      <c r="H8" s="24"/>
    </row>
    <row r="9" spans="1:8" ht="13.2">
      <c r="A9" s="65" t="str">
        <f>HYPERLINK("https://oj.uz/problem/view/CEOI18_fib","CEOI 18-Fib")</f>
        <v>CEOI 18-Fib</v>
      </c>
      <c r="B9" s="15" t="s">
        <v>6743</v>
      </c>
      <c r="C9" s="21">
        <v>8.5</v>
      </c>
      <c r="D9" s="65" t="str">
        <f>HYPERLINK("https://github.com/mostafa-saad/MyCompetitiveProgramming/tree/master/Olympiad/CEOI/official/2018/day2","Editorial")</f>
        <v>Editorial</v>
      </c>
      <c r="E9" s="31" t="s">
        <v>1018</v>
      </c>
      <c r="F9" s="37"/>
      <c r="G9" s="24"/>
      <c r="H9" s="24"/>
    </row>
    <row r="10" spans="1:8" ht="13.2">
      <c r="A10" s="65" t="str">
        <f>HYPERLINK("https://csacademy.com/contest/round-80/task/sortall/","ROUSelection 18-sortall")</f>
        <v>ROUSelection 18-sortall</v>
      </c>
      <c r="B10" s="37" t="s">
        <v>6801</v>
      </c>
      <c r="C10" s="24">
        <v>8.5</v>
      </c>
      <c r="D10" s="69"/>
      <c r="E10" s="31" t="s">
        <v>1223</v>
      </c>
      <c r="F10" s="37"/>
      <c r="G10" s="24"/>
      <c r="H10" s="24"/>
    </row>
    <row r="11" spans="1:8" ht="13.2">
      <c r="A11" s="65" t="str">
        <f>HYPERLINK("https://codeforces.com/contest/1193","CEOI 19-Scissors")</f>
        <v>CEOI 19-Scissors</v>
      </c>
      <c r="B11" s="37" t="s">
        <v>7527</v>
      </c>
      <c r="C11" s="24">
        <v>8.5</v>
      </c>
      <c r="D11" s="65" t="str">
        <f>HYPERLINK("https://codeforces.com/blog/entry/68748","Editorial")</f>
        <v>Editorial</v>
      </c>
      <c r="E11" s="31" t="s">
        <v>7525</v>
      </c>
      <c r="F11" s="37"/>
      <c r="G11" s="24"/>
      <c r="H11" s="24"/>
    </row>
    <row r="12" spans="1:8" ht="13.2">
      <c r="A12" s="65" t="str">
        <f>HYPERLINK("https://oj.uz/problem/view/IOI19_walk","IOI 19-walk")</f>
        <v>IOI 19-walk</v>
      </c>
      <c r="B12" s="37" t="s">
        <v>7527</v>
      </c>
      <c r="C12" s="24">
        <v>8.5</v>
      </c>
      <c r="D12" s="65" t="str">
        <f>HYPERLINK("https://github.com/mostafa-saad/MyCompetitiveProgramming/tree/master/Olympiad/IOI/official/2019","Official sols")</f>
        <v>Official sols</v>
      </c>
      <c r="E12" s="31" t="s">
        <v>7525</v>
      </c>
      <c r="F12" s="37"/>
      <c r="G12" s="24"/>
      <c r="H12" s="24"/>
    </row>
    <row r="13" spans="1:8" ht="13.2">
      <c r="A13" s="65" t="str">
        <f>HYPERLINK("https://csacademy.com/contest/round-80/task/tournament/","ROUSelection 18-tournament")</f>
        <v>ROUSelection 18-tournament</v>
      </c>
      <c r="B13" s="37" t="s">
        <v>7586</v>
      </c>
      <c r="C13" s="24">
        <v>8.5</v>
      </c>
      <c r="D13" s="69"/>
      <c r="E13" s="31" t="s">
        <v>7525</v>
      </c>
      <c r="F13" s="37"/>
      <c r="G13" s="24"/>
      <c r="H13" s="24"/>
    </row>
    <row r="14" spans="1:8" ht="13.2">
      <c r="A14" s="65" t="str">
        <f>HYPERLINK("https://oj.uz/problems/source/326", "APIO 18-newhome")</f>
        <v>APIO 18-newhome</v>
      </c>
      <c r="B14" s="23" t="s">
        <v>6670</v>
      </c>
      <c r="C14" s="24">
        <v>8.25</v>
      </c>
      <c r="D14" s="65" t="str">
        <f>HYPERLINK("https://github.com/mostafa-saad/MyCompetitiveProgramming/blob/master/Olympiad/APIO/APIO-18-newhome.txt","Sol")</f>
        <v>Sol</v>
      </c>
      <c r="E14" s="31" t="s">
        <v>575</v>
      </c>
      <c r="F14" s="37" t="s">
        <v>173</v>
      </c>
      <c r="G14" s="24"/>
      <c r="H14" s="24"/>
    </row>
    <row r="15" spans="1:8" ht="13.2">
      <c r="A15" s="65" t="str">
        <f>HYPERLINK("https://oj.uz/problem/view/IOI18_meetings","IOI 18-meetings")</f>
        <v>IOI 18-meetings</v>
      </c>
      <c r="B15" s="20" t="s">
        <v>6744</v>
      </c>
      <c r="C15" s="24">
        <v>8.1</v>
      </c>
      <c r="D15" s="65" t="str">
        <f>HYPERLINK("https://github.com/mostafa-saad/MyCompetitiveProgramming/blob/master/Olympiad/IOI/IOI-18-meetings.txt","Sol")</f>
        <v>Sol</v>
      </c>
      <c r="E15" s="31" t="s">
        <v>1018</v>
      </c>
      <c r="F15" s="37" t="s">
        <v>154</v>
      </c>
      <c r="G15" s="24"/>
      <c r="H15" s="24"/>
    </row>
    <row r="16" spans="1:8" ht="13.2">
      <c r="A16" s="65" t="str">
        <f>HYPERLINK("http://usaco.org/index.php?page=viewproblem2&amp;cpid=926", "USACO 19feb-mowing-plat")</f>
        <v>USACO 19feb-mowing-plat</v>
      </c>
      <c r="B16" s="37" t="s">
        <v>7490</v>
      </c>
      <c r="C16" s="21">
        <v>8</v>
      </c>
      <c r="D16" s="65" t="str">
        <f>HYPERLINK("https://github.com/ihdignite/CompetitiveProgramming/blob/master/USACO/1819_3P/Mowing.cpp", "Sol")</f>
        <v>Sol</v>
      </c>
      <c r="E16" s="31" t="s">
        <v>6430</v>
      </c>
      <c r="F16" s="37" t="s">
        <v>139</v>
      </c>
      <c r="G16" s="24"/>
      <c r="H16" s="24"/>
    </row>
    <row r="17" spans="1:8" ht="13.2">
      <c r="A17" s="65" t="str">
        <f>HYPERLINK("https://codeforces.com/contest/1192/problem/A","CEOI 19-Skyscrapers")</f>
        <v>CEOI 19-Skyscrapers</v>
      </c>
      <c r="B17" s="37" t="s">
        <v>7283</v>
      </c>
      <c r="C17" s="24">
        <v>8</v>
      </c>
      <c r="D17" s="65" t="str">
        <f t="shared" ref="D17:D18" si="0">HYPERLINK("https://codeforces.com/blog/entry/68676","Editorial")</f>
        <v>Editorial</v>
      </c>
      <c r="E17" s="31" t="s">
        <v>4423</v>
      </c>
      <c r="F17" s="37" t="s">
        <v>139</v>
      </c>
      <c r="G17" s="24"/>
      <c r="H17" s="24"/>
    </row>
    <row r="18" spans="1:8" ht="13.2">
      <c r="A18" s="65" t="str">
        <f>HYPERLINK("https://codeforces.com/contest/1192/problem/B","CEOI 19-Diameter")</f>
        <v>CEOI 19-Diameter</v>
      </c>
      <c r="B18" s="23" t="s">
        <v>6745</v>
      </c>
      <c r="C18" s="24">
        <v>8</v>
      </c>
      <c r="D18" s="65" t="str">
        <f t="shared" si="0"/>
        <v>Editorial</v>
      </c>
      <c r="E18" s="31" t="s">
        <v>1018</v>
      </c>
      <c r="F18" s="37" t="s">
        <v>201</v>
      </c>
      <c r="G18" s="24"/>
      <c r="H18" s="24"/>
    </row>
    <row r="19" spans="1:8" ht="13.2">
      <c r="A19" s="65" t="str">
        <f>HYPERLINK("https://contest.yandex.ru/ioi/contest/572/enter/","IOI 12-odometer")</f>
        <v>IOI 12-odometer</v>
      </c>
      <c r="B19" s="47" t="s">
        <v>6563</v>
      </c>
      <c r="C19" s="66">
        <v>8</v>
      </c>
      <c r="D19" s="65" t="str">
        <f>HYPERLINK("https://github.com/mostafa-saad/MyCompetitiveProgramming/blob/master/Olympiad/IOI/IOI-12-editorials.txt","Editorial")</f>
        <v>Editorial</v>
      </c>
      <c r="E19" s="31" t="s">
        <v>125</v>
      </c>
      <c r="F19" s="37"/>
      <c r="G19" s="24"/>
      <c r="H19" s="24"/>
    </row>
    <row r="20" spans="1:8" ht="13.2">
      <c r="A20" s="65" t="str">
        <f>HYPERLINK("https://oj.uz/problem/view/IOI10_maze","IOI 10-maze")</f>
        <v>IOI 10-maze</v>
      </c>
      <c r="B20" s="68" t="s">
        <v>6564</v>
      </c>
      <c r="C20" s="66">
        <v>8</v>
      </c>
      <c r="D20" s="65" t="str">
        <f>HYPERLINK("https://github.com/mostafa-saad/MyCompetitiveProgramming/blob/master/Olympiad/IOI/official/2010","Editorial")</f>
        <v>Editorial</v>
      </c>
      <c r="E20" s="31" t="s">
        <v>125</v>
      </c>
      <c r="F20" s="37"/>
      <c r="G20" s="24"/>
      <c r="H20" s="24"/>
    </row>
    <row r="21" spans="1:8" ht="13.2">
      <c r="A21" s="65" t="str">
        <f>HYPERLINK("https://oj.uz/problem/view/CEOI15_nuclearia","CEOI 15-nuclearia")</f>
        <v>CEOI 15-nuclearia</v>
      </c>
      <c r="B21" s="15" t="s">
        <v>6565</v>
      </c>
      <c r="C21" s="24">
        <v>8</v>
      </c>
      <c r="D21" s="65" t="str">
        <f>HYPERLINK("https://github.com/mostafa-saad/MyCompetitiveProgramming/tree/master/Olympiad/CEOI/official/2015/day2","Editorial")</f>
        <v>Editorial</v>
      </c>
      <c r="E21" s="31" t="s">
        <v>125</v>
      </c>
      <c r="F21" s="37"/>
      <c r="G21" s="24"/>
      <c r="H21" s="24"/>
    </row>
    <row r="22" spans="1:8" ht="13.2">
      <c r="A22" s="65" t="str">
        <f>HYPERLINK("https://csacademy.com/contest/balkan-oi-2017-day-1/","Balkan 17-sheets")</f>
        <v>Balkan 17-sheets</v>
      </c>
      <c r="B22" s="18" t="s">
        <v>124</v>
      </c>
      <c r="C22" s="17">
        <v>8</v>
      </c>
      <c r="D22" s="69"/>
      <c r="E22" s="31" t="s">
        <v>125</v>
      </c>
      <c r="F22" s="37"/>
      <c r="G22" s="24"/>
      <c r="H22" s="24"/>
    </row>
    <row r="23" spans="1:8" ht="13.2">
      <c r="A23" s="65" t="str">
        <f>HYPERLINK("https://csacademy.com/contest/balkan-oi-2017-day-1/","Balkan 17-strings")</f>
        <v>Balkan 17-strings</v>
      </c>
      <c r="B23" s="18" t="s">
        <v>5892</v>
      </c>
      <c r="C23" s="17">
        <v>8</v>
      </c>
      <c r="D23" s="69"/>
      <c r="E23" s="31" t="s">
        <v>5874</v>
      </c>
      <c r="F23" s="37"/>
      <c r="G23" s="24"/>
      <c r="H23" s="24"/>
    </row>
    <row r="24" spans="1:8" ht="13.2">
      <c r="A24" s="65" t="str">
        <f>HYPERLINK("https://szkopul.edu.pl/problemset/problem/fuTBSUcQ2U9sVPYJUDI4JwIe/site/", "POI 15-Sorcerer")</f>
        <v>POI 15-Sorcerer</v>
      </c>
      <c r="B24" s="70" t="s">
        <v>7390</v>
      </c>
      <c r="C24" s="66">
        <v>8</v>
      </c>
      <c r="D24" s="65" t="str">
        <f>HYPERLINK("https://github.com/mostafa-saad/MyCompetitiveProgramming/blob/master/Olympiad/POI/official/find_editorial_sols_guidelines.txt","Editorial")</f>
        <v>Editorial</v>
      </c>
      <c r="E24" s="31" t="s">
        <v>5958</v>
      </c>
      <c r="F24" s="37"/>
      <c r="G24" s="24"/>
      <c r="H24" s="24"/>
    </row>
    <row r="25" spans="1:8" ht="13.2">
      <c r="A25" s="65" t="str">
        <f>HYPERLINK("https://www.acmicpc.net/problem/9282","CEOI 13-splot")</f>
        <v>CEOI 13-splot</v>
      </c>
      <c r="B25" s="74" t="s">
        <v>7391</v>
      </c>
      <c r="C25" s="78">
        <v>8</v>
      </c>
      <c r="D25" s="65" t="str">
        <f t="shared" ref="D25:D26" si="1">HYPERLINK("https://github.com/mostafa-saad/MyCompetitiveProgramming/blob/master/Olympiad/CEOI/official/2013","Editorial")</f>
        <v>Editorial</v>
      </c>
      <c r="E25" s="31" t="s">
        <v>5958</v>
      </c>
      <c r="F25" s="37"/>
      <c r="G25" s="24"/>
      <c r="H25" s="24"/>
    </row>
    <row r="26" spans="1:8" ht="13.2">
      <c r="A26" s="65" t="str">
        <f>HYPERLINK("https://dunjudge.me/analysis/problems/802/","CEOI 13-watering")</f>
        <v>CEOI 13-watering</v>
      </c>
      <c r="B26" s="20" t="s">
        <v>7392</v>
      </c>
      <c r="C26" s="79">
        <v>8</v>
      </c>
      <c r="D26" s="65" t="str">
        <f t="shared" si="1"/>
        <v>Editorial</v>
      </c>
      <c r="E26" s="31" t="s">
        <v>5958</v>
      </c>
      <c r="F26" s="37"/>
      <c r="G26" s="24"/>
      <c r="H26" s="24"/>
    </row>
    <row r="27" spans="1:8" ht="13.2">
      <c r="A27" s="65" t="str">
        <f>HYPERLINK("https://csacademy.com/contest/ejoi-2017-day-2/task/camel/","EJOI 17-camel")</f>
        <v>EJOI 17-camel</v>
      </c>
      <c r="B27" s="20" t="s">
        <v>7393</v>
      </c>
      <c r="C27" s="24">
        <v>8</v>
      </c>
      <c r="D27" s="69"/>
      <c r="E27" s="31" t="s">
        <v>5958</v>
      </c>
      <c r="F27" s="37"/>
      <c r="G27" s="24"/>
      <c r="H27" s="24"/>
    </row>
    <row r="28" spans="1:8" ht="13.2">
      <c r="A28" s="65" t="str">
        <f>HYPERLINK("https://dunjudge.me/analysis/problems/974/","MCOCAMP 16-flipbrackets")</f>
        <v>MCOCAMP 16-flipbrackets</v>
      </c>
      <c r="B28" s="37" t="s">
        <v>7444</v>
      </c>
      <c r="C28" s="24">
        <v>8</v>
      </c>
      <c r="D28" s="65" t="str">
        <f>HYPERLINK("https://github.com/fyquah95/ioi-malaysia-2016-training-camp","Sol (no editorial)")</f>
        <v>Sol (no editorial)</v>
      </c>
      <c r="E28" s="31" t="s">
        <v>6311</v>
      </c>
      <c r="F28" s="37"/>
      <c r="G28" s="24"/>
      <c r="H28" s="24"/>
    </row>
    <row r="29" spans="1:8" ht="13.2">
      <c r="A29" s="65" t="str">
        <f>HYPERLINK("https://szkopul.edu.pl/problemset/problem/-MwFkVBU5fdldohfNl-xSjHa/site/", "POI 09-Algorithm_Speedup")</f>
        <v>POI 09-Algorithm_Speedup</v>
      </c>
      <c r="B29" s="37" t="s">
        <v>6822</v>
      </c>
      <c r="C29" s="24">
        <v>8</v>
      </c>
      <c r="D29" s="65" t="str">
        <f>HYPERLINK("https://github.com/mostafa-saad/MyCompetitiveProgramming/blob/master/Olympiad/POI/official/find_editorial_sols_guidelines.txt","Editorial")</f>
        <v>Editorial</v>
      </c>
      <c r="E29" s="31" t="s">
        <v>1337</v>
      </c>
      <c r="F29" s="37"/>
      <c r="G29" s="24"/>
      <c r="H29" s="24"/>
    </row>
    <row r="30" spans="1:8" ht="13.2">
      <c r="A30" s="65" t="str">
        <f>HYPERLINK("https://tioj.ck.tp.edu.tw/problems/1750","APIO 11-guessword")</f>
        <v>APIO 11-guessword</v>
      </c>
      <c r="B30" s="20" t="s">
        <v>7524</v>
      </c>
      <c r="C30" s="17">
        <v>8</v>
      </c>
      <c r="D30" s="69"/>
      <c r="E30" s="31" t="s">
        <v>7525</v>
      </c>
      <c r="F30" s="37"/>
      <c r="G30" s="24"/>
      <c r="H30" s="24"/>
    </row>
    <row r="31" spans="1:8" ht="13.2">
      <c r="A31" s="65" t="str">
        <f>HYPERLINK("https://dmoj.ca/contest/cco18d1","CCO 18-FunPalace")</f>
        <v>CCO 18-FunPalace</v>
      </c>
      <c r="B31" s="20" t="s">
        <v>7527</v>
      </c>
      <c r="C31" s="17">
        <v>8</v>
      </c>
      <c r="D31" s="69"/>
      <c r="E31" s="31" t="s">
        <v>7525</v>
      </c>
      <c r="F31" s="37"/>
      <c r="G31" s="24"/>
      <c r="H31" s="24"/>
    </row>
    <row r="32" spans="1:8" ht="13.2">
      <c r="A32" s="65" t="str">
        <f>HYPERLINK("https://oj.uz/problems/source/270","JOIOC 17-golf")</f>
        <v>JOIOC 17-golf</v>
      </c>
      <c r="B32" s="15" t="s">
        <v>7527</v>
      </c>
      <c r="C32" s="24">
        <v>8</v>
      </c>
      <c r="D32" s="69"/>
      <c r="E32" s="31" t="s">
        <v>7525</v>
      </c>
      <c r="F32" s="37"/>
      <c r="G32" s="24"/>
      <c r="H32" s="24"/>
    </row>
    <row r="33" spans="1:8" ht="13.2">
      <c r="A33" s="65" t="str">
        <f>HYPERLINK("https://dunjudge.me/analysis/problems/771/","JOISC 15-aaqqz")</f>
        <v>JOISC 15-aaqqz</v>
      </c>
      <c r="B33" s="20" t="s">
        <v>7527</v>
      </c>
      <c r="C33" s="24">
        <v>8</v>
      </c>
      <c r="D33" s="69"/>
      <c r="E33" s="31" t="s">
        <v>7525</v>
      </c>
      <c r="F33" s="37"/>
      <c r="G33" s="24"/>
      <c r="H33" s="24"/>
    </row>
    <row r="34" spans="1:8" ht="13.2">
      <c r="A34" s="65" t="str">
        <f>HYPERLINK("https://dunjudge.me/analysis/problems/751/","JOISC 15-keys")</f>
        <v>JOISC 15-keys</v>
      </c>
      <c r="B34" s="20" t="s">
        <v>7527</v>
      </c>
      <c r="C34" s="24">
        <v>8</v>
      </c>
      <c r="D34" s="69"/>
      <c r="E34" s="31" t="s">
        <v>7525</v>
      </c>
      <c r="F34" s="37"/>
      <c r="G34" s="24"/>
      <c r="H34" s="24"/>
    </row>
    <row r="35" spans="1:8" ht="13.2">
      <c r="A35" s="65" t="str">
        <f>HYPERLINK("https://dunjudge.me/analysis/problems/801/","JOISC 15-memory")</f>
        <v>JOISC 15-memory</v>
      </c>
      <c r="B35" s="20" t="s">
        <v>7527</v>
      </c>
      <c r="C35" s="24">
        <v>8</v>
      </c>
      <c r="D35" s="69"/>
      <c r="E35" s="31" t="s">
        <v>7525</v>
      </c>
      <c r="F35" s="37"/>
      <c r="G35" s="24"/>
      <c r="H35" s="24"/>
    </row>
    <row r="36" spans="1:8" ht="13.2">
      <c r="A36" s="65" t="str">
        <f>HYPERLINK("https://dunjudge.me/analysis/problems/1828/","NOI 19-shuffle")</f>
        <v>NOI 19-shuffle</v>
      </c>
      <c r="B36" s="37" t="s">
        <v>7580</v>
      </c>
      <c r="C36" s="24">
        <v>8</v>
      </c>
      <c r="D36" s="69"/>
      <c r="E36" s="31" t="s">
        <v>7525</v>
      </c>
      <c r="F36" s="37"/>
      <c r="G36" s="24"/>
      <c r="H36" s="24"/>
    </row>
    <row r="37" spans="1:8" ht="13.2">
      <c r="A37" s="65" t="str">
        <f>HYPERLINK("https://csacademy.com/contest/junior-challenge-2017-day-2/task/combinatorix","ROJS 17-combinatorix")</f>
        <v>ROJS 17-combinatorix</v>
      </c>
      <c r="B37" s="37" t="s">
        <v>6963</v>
      </c>
      <c r="C37" s="24">
        <v>8</v>
      </c>
      <c r="D37" s="69"/>
      <c r="E37" s="31" t="s">
        <v>1909</v>
      </c>
      <c r="F37" s="37"/>
      <c r="G37" s="24"/>
      <c r="H37" s="24"/>
    </row>
    <row r="38" spans="1:8" ht="13.2">
      <c r="A38" s="65" t="str">
        <f>HYPERLINK("https://dunjudge.me/analysis/problems/697/","NOIMOCK 15-travel")</f>
        <v>NOIMOCK 15-travel</v>
      </c>
      <c r="B38" s="37" t="s">
        <v>3256</v>
      </c>
      <c r="C38" s="24">
        <v>8</v>
      </c>
      <c r="D38" s="69"/>
      <c r="E38" s="31" t="s">
        <v>3257</v>
      </c>
      <c r="F38" s="37"/>
      <c r="G38" s="24"/>
      <c r="H38" s="24"/>
    </row>
    <row r="39" spans="1:8" ht="13.2">
      <c r="A39" s="65" t="str">
        <f>HYPERLINK("https://csacademy.com/contest/ioi-2016-training-round-2/task/cograph_clique/","IOIPractice 16-cograph_clique")</f>
        <v>IOIPractice 16-cograph_clique</v>
      </c>
      <c r="B39" s="37" t="s">
        <v>7111</v>
      </c>
      <c r="C39" s="24">
        <v>8</v>
      </c>
      <c r="D39" s="69"/>
      <c r="E39" s="31" t="s">
        <v>3257</v>
      </c>
      <c r="F39" s="37"/>
      <c r="G39" s="24"/>
      <c r="H39" s="24"/>
    </row>
    <row r="40" spans="1:8" ht="13.2">
      <c r="A40" s="65" t="str">
        <f>HYPERLINK("https://oj.uz/problem/view/JOI19_ho_t5","JOI 19-UniqueCities")</f>
        <v>JOI 19-UniqueCities</v>
      </c>
      <c r="B40" s="37" t="s">
        <v>7112</v>
      </c>
      <c r="C40" s="24">
        <v>8</v>
      </c>
      <c r="D40" s="69"/>
      <c r="E40" s="31" t="s">
        <v>3257</v>
      </c>
      <c r="F40" s="37"/>
      <c r="G40" s="24"/>
      <c r="H40" s="24"/>
    </row>
    <row r="41" spans="1:8" ht="13.2">
      <c r="A41" s="65" t="str">
        <f>HYPERLINK("https://oj.uz/problem/view/BOI17_friends","Baltic 17-Friends")</f>
        <v>Baltic 17-Friends</v>
      </c>
      <c r="B41" s="18" t="s">
        <v>6709</v>
      </c>
      <c r="C41" s="17">
        <v>8</v>
      </c>
      <c r="D41" s="65" t="str">
        <f>HYPERLINK("https://codeforces.com/blog/entry/51740?#comment-356943","hints")</f>
        <v>hints</v>
      </c>
      <c r="E41" s="31" t="s">
        <v>655</v>
      </c>
      <c r="F41" s="37"/>
      <c r="G41" s="24"/>
      <c r="H41" s="24"/>
    </row>
    <row r="42" spans="1:8" ht="13.2">
      <c r="A42" s="65" t="str">
        <f>HYPERLINK("https://csacademy.com/contest/ejoi-2017-day-2/task/experience/","EJOI 17-experience")</f>
        <v>EJOI 17-experience</v>
      </c>
      <c r="B42" s="20" t="s">
        <v>3649</v>
      </c>
      <c r="C42" s="24">
        <v>8</v>
      </c>
      <c r="D42" s="69"/>
      <c r="E42" s="31" t="s">
        <v>3650</v>
      </c>
      <c r="F42" s="37"/>
      <c r="G42" s="24"/>
      <c r="H42" s="24"/>
    </row>
    <row r="43" spans="1:8" ht="13.2">
      <c r="A43" s="65" t="str">
        <f>HYPERLINK("https://oj.uz/problems/source/314","JOISC 18-asceticism")</f>
        <v>JOISC 18-asceticism</v>
      </c>
      <c r="B43" s="18" t="s">
        <v>7303</v>
      </c>
      <c r="C43" s="72">
        <v>8</v>
      </c>
      <c r="D43" s="65" t="str">
        <f>HYPERLINK("https://github.com/tmwilliamlin168/CompetitiveProgramming/blob/master/JOI/18SC-Asceticism.cpp","Sol")</f>
        <v>Sol</v>
      </c>
      <c r="E43" s="31" t="s">
        <v>4531</v>
      </c>
      <c r="F43" s="37"/>
      <c r="G43" s="24"/>
      <c r="H43" s="24"/>
    </row>
    <row r="44" spans="1:8" ht="13.2">
      <c r="A44" s="65" t="str">
        <f>HYPERLINK("https://oj.uz/problem/view/COCI17_gauss","COCI 17-gauss")</f>
        <v>COCI 17-gauss</v>
      </c>
      <c r="B44" s="20" t="s">
        <v>7304</v>
      </c>
      <c r="C44" s="24">
        <v>8</v>
      </c>
      <c r="D44" s="69"/>
      <c r="E44" s="31" t="s">
        <v>4531</v>
      </c>
      <c r="F44" s="37"/>
      <c r="G44" s="24"/>
      <c r="H44" s="24"/>
    </row>
    <row r="45" spans="1:8" ht="13.2">
      <c r="A45" s="65" t="str">
        <f>HYPERLINK("https://dunjudge.me/analysis/problems/975/","MCOCAMP 16-flippermutation")</f>
        <v>MCOCAMP 16-flippermutation</v>
      </c>
      <c r="B45" s="37" t="s">
        <v>7345</v>
      </c>
      <c r="C45" s="24">
        <v>8</v>
      </c>
      <c r="D45" s="65" t="str">
        <f>HYPERLINK("https://github.com/fyquah95/ioi-malaysia-2016-training-camp","Sol (no editorial)")</f>
        <v>Sol (no editorial)</v>
      </c>
      <c r="E45" s="31" t="s">
        <v>5075</v>
      </c>
      <c r="F45" s="37"/>
      <c r="G45" s="24"/>
      <c r="H45" s="24"/>
    </row>
    <row r="46" spans="1:8" ht="13.2">
      <c r="A46" s="65" t="str">
        <f>HYPERLINK("https://oj.uz/problems/source/197", "CEOI 16-match")</f>
        <v>CEOI 16-match</v>
      </c>
      <c r="B46" s="20" t="s">
        <v>6974</v>
      </c>
      <c r="C46" s="24">
        <v>7.75</v>
      </c>
      <c r="D46" s="65" t="str">
        <f>HYPERLINK("https://github.com/mostafa-saad/MyCompetitiveProgramming/blob/master/Olympiad/CEOI/CEOI-16-match.txt", "Sol")</f>
        <v>Sol</v>
      </c>
      <c r="E46" s="31" t="s">
        <v>2113</v>
      </c>
      <c r="F46" s="37" t="s">
        <v>173</v>
      </c>
      <c r="G46" s="24"/>
      <c r="H46" s="24"/>
    </row>
    <row r="47" spans="1:8" ht="13.2">
      <c r="A47" s="65" t="str">
        <f>HYPERLINK("https://oj.uz/problems/source/326", "APIO 18-circleselection")</f>
        <v>APIO 18-circleselection</v>
      </c>
      <c r="B47" s="15" t="s">
        <v>7101</v>
      </c>
      <c r="C47" s="17">
        <v>7.75</v>
      </c>
      <c r="D47" s="65" t="str">
        <f>HYPERLINK("https://github.com/timpostuvan/CompetitiveProgramming/blob/master/Olympiad/APIO/CircleSelection2018.cpp","Sol")</f>
        <v>Sol</v>
      </c>
      <c r="E47" s="31" t="s">
        <v>3140</v>
      </c>
      <c r="F47" s="37" t="s">
        <v>173</v>
      </c>
      <c r="G47" s="24"/>
      <c r="H47" s="24"/>
    </row>
    <row r="48" spans="1:8" ht="13.2">
      <c r="A48" s="65" t="str">
        <f>HYPERLINK("https://oj.uz/problems/source/121", "CEOI 14-wall")</f>
        <v>CEOI 14-wall</v>
      </c>
      <c r="B48" s="20" t="s">
        <v>7204</v>
      </c>
      <c r="C48" s="21">
        <v>7.75</v>
      </c>
      <c r="D48" s="65" t="str">
        <f>HYPERLINK("https://github.com/tmwilliamlin168/CompetitiveProgramming/blob/master/CEOI/14-Wall.cpp", "Sol")</f>
        <v>Sol</v>
      </c>
      <c r="E48" s="31" t="s">
        <v>3784</v>
      </c>
      <c r="F48" s="37" t="s">
        <v>173</v>
      </c>
      <c r="G48" s="24"/>
      <c r="H48" s="24"/>
    </row>
    <row r="49" spans="1:8" ht="13.2">
      <c r="A49" s="65" t="str">
        <f>HYPERLINK("https://cses.fi/179/list/","CEOI 09-Boxes")</f>
        <v>CEOI 09-Boxes</v>
      </c>
      <c r="B49" s="20" t="s">
        <v>7472</v>
      </c>
      <c r="C49" s="24">
        <v>7.75</v>
      </c>
      <c r="D49" s="65" t="str">
        <f>HYPERLINK("https://github.com/mostafa-saad/MyCompetitiveProgramming/blob/master/Olympiad/CEOI/CEOI-09-Boxes.txt","Sol")</f>
        <v>Sol</v>
      </c>
      <c r="E49" s="31" t="s">
        <v>6397</v>
      </c>
      <c r="F49" s="37" t="s">
        <v>154</v>
      </c>
      <c r="G49" s="24"/>
      <c r="H49" s="24"/>
    </row>
    <row r="50" spans="1:8" ht="13.2">
      <c r="A50" s="65" t="str">
        <f>HYPERLINK("https://oj.uz/problem/view/CEOI12_circuit","CEOI 12-circuit")</f>
        <v>CEOI 12-circuit</v>
      </c>
      <c r="B50" s="37" t="s">
        <v>7088</v>
      </c>
      <c r="C50" s="24">
        <v>7.75</v>
      </c>
      <c r="D50" s="65" t="str">
        <f>HYPERLINK("https://github.com/mostafa-saad/MyCompetitiveProgramming/blob/master/Olympiad/CEOI/CEOI-12-circuit.txt","Sol")</f>
        <v>Sol</v>
      </c>
      <c r="E50" s="31" t="s">
        <v>2948</v>
      </c>
      <c r="F50" s="37" t="s">
        <v>154</v>
      </c>
      <c r="G50" s="24"/>
      <c r="H50" s="24"/>
    </row>
    <row r="51" spans="1:8" ht="13.2">
      <c r="A51" s="65" t="str">
        <f>HYPERLINK("https://oj.uz/problem/view/COI14_grad","COI 14-grad")</f>
        <v>COI 14-grad</v>
      </c>
      <c r="B51" s="20" t="s">
        <v>7590</v>
      </c>
      <c r="C51" s="21">
        <v>7.75</v>
      </c>
      <c r="D51" s="65" t="str">
        <f>HYPERLINK("https://github.com/mostafa-saad/MyCompetitiveProgramming/tree/master/Olympiad/COI/official/2014","Editorial")</f>
        <v>Editorial</v>
      </c>
      <c r="E51" s="31" t="s">
        <v>4454</v>
      </c>
      <c r="F51" s="37" t="s">
        <v>154</v>
      </c>
      <c r="G51" s="24"/>
      <c r="H51" s="24"/>
    </row>
    <row r="52" spans="1:8" ht="13.2">
      <c r="A52" s="65" t="str">
        <f>HYPERLINK("https://contest.yandex.ru/ioi/contest/568/enter/","IOI 09-archery")</f>
        <v>IOI 09-archery</v>
      </c>
      <c r="B52" s="23" t="s">
        <v>6746</v>
      </c>
      <c r="C52" s="24">
        <v>7.75</v>
      </c>
      <c r="D52" s="65" t="str">
        <f>HYPERLINK("https://github.com/mostafa-saad/MyCompetitiveProgramming/blob/master/Olympiad/IOI/official/2009","Editorial")</f>
        <v>Editorial</v>
      </c>
      <c r="E52" s="31" t="s">
        <v>1018</v>
      </c>
      <c r="F52" s="37" t="s">
        <v>139</v>
      </c>
      <c r="G52" s="24"/>
      <c r="H52" s="24"/>
    </row>
    <row r="53" spans="1:8" ht="13.2">
      <c r="A53" s="65" t="str">
        <f>HYPERLINK("https://oj.uz/problem/view/IOI17_simurgh","IOI 17-simurgh")</f>
        <v>IOI 17-simurgh</v>
      </c>
      <c r="B53" s="15" t="s">
        <v>7271</v>
      </c>
      <c r="C53" s="17">
        <v>7.75</v>
      </c>
      <c r="D53" s="65" t="str">
        <f>HYPERLINK("https://github.com/mostafa-saad/MyCompetitiveProgramming/blob/master/Olympiad/IOI/IOI-17-simurgh.txt","Sol")</f>
        <v>Sol</v>
      </c>
      <c r="E53" s="31" t="s">
        <v>4344</v>
      </c>
      <c r="F53" s="37" t="s">
        <v>139</v>
      </c>
      <c r="G53" s="24"/>
      <c r="H53" s="24"/>
    </row>
    <row r="54" spans="1:8" ht="13.2">
      <c r="A54" s="65" t="str">
        <f>HYPERLINK("https://oj.uz/problem/view/JOI17_park","JOISC 17-park")</f>
        <v>JOISC 17-park</v>
      </c>
      <c r="B54" s="20" t="s">
        <v>6713</v>
      </c>
      <c r="C54" s="24">
        <v>7.75</v>
      </c>
      <c r="D54" s="65" t="str">
        <f>HYPERLINK("https://github.com/mostafa-saad/MyCompetitiveProgramming/blob/master/Olympiad/JOI/JOISC-17-park.txt","Sol")</f>
        <v>Sol</v>
      </c>
      <c r="E54" s="31" t="s">
        <v>805</v>
      </c>
      <c r="F54" s="37" t="s">
        <v>139</v>
      </c>
      <c r="G54" s="24"/>
      <c r="H54" s="24"/>
    </row>
    <row r="55" spans="1:8" ht="13.2">
      <c r="A55" s="65" t="str">
        <f>HYPERLINK("https://dunjudge.me/analysis/problems/559/","APIO 09-Convention")</f>
        <v>APIO 09-Convention</v>
      </c>
      <c r="B55" s="20" t="s">
        <v>6671</v>
      </c>
      <c r="C55" s="17">
        <v>7.75</v>
      </c>
      <c r="D55" s="65" t="str">
        <f>HYPERLINK("https://github.com/mostafa-saad/MyCompetitiveProgramming/blob/master/Olympiad/APIO/APIO-09-Convention.txt","Sol")</f>
        <v>Sol</v>
      </c>
      <c r="E55" s="31" t="s">
        <v>575</v>
      </c>
      <c r="F55" s="37" t="s">
        <v>201</v>
      </c>
      <c r="G55" s="24"/>
      <c r="H55" s="24"/>
    </row>
    <row r="56" spans="1:8" ht="13.2">
      <c r="A56" s="65" t="str">
        <f>HYPERLINK("https://dmoj.ca/problem/apio12p3", "APIO 12-Kunai")</f>
        <v>APIO 12-Kunai</v>
      </c>
      <c r="B56" s="20" t="s">
        <v>6566</v>
      </c>
      <c r="C56" s="17">
        <v>7.75</v>
      </c>
      <c r="D56" s="65" t="str">
        <f>HYPERLINK("https://github.com/tmwilliamlin168/CompetitiveProgramming/blob/master/APIO/12-Kunai.cpp", "Sol")</f>
        <v>Sol</v>
      </c>
      <c r="E56" s="31" t="s">
        <v>125</v>
      </c>
      <c r="F56" s="37"/>
      <c r="G56" s="24"/>
      <c r="H56" s="24"/>
    </row>
    <row r="57" spans="1:8" ht="13.2">
      <c r="A57" s="65" t="str">
        <f>HYPERLINK("https://www.acmicpc.net/problem/11556","Balkan 15-RADIO")</f>
        <v>Balkan 15-RADIO</v>
      </c>
      <c r="B57" s="37" t="s">
        <v>147</v>
      </c>
      <c r="C57" s="24">
        <v>7.75</v>
      </c>
      <c r="D57" s="65" t="str">
        <f>HYPERLINK("https://github.com/mostafa-saad/MyCompetitiveProgramming/tree/master/Olympiad/Balkan/official/2015","Sol (no editorial)")</f>
        <v>Sol (no editorial)</v>
      </c>
      <c r="E57" s="31" t="s">
        <v>125</v>
      </c>
      <c r="F57" s="37"/>
      <c r="G57" s="24"/>
      <c r="H57" s="24"/>
    </row>
    <row r="58" spans="1:8" ht="13.2">
      <c r="A58" s="65" t="str">
        <f>HYPERLINK("https://dmoj.ca/problem/apio14p1", "APIO 14-Palindrome")</f>
        <v>APIO 14-Palindrome</v>
      </c>
      <c r="B58" s="20" t="s">
        <v>7382</v>
      </c>
      <c r="C58" s="17">
        <v>7.75</v>
      </c>
      <c r="D58" s="65" t="str">
        <f>HYPERLINK("https://github.com/mostafa-saad/MyCompetitiveProgramming/blob/master/Olympiad/APIO/APIO-14-Palindrome.txt","Sol")</f>
        <v>Sol</v>
      </c>
      <c r="E58" s="31" t="s">
        <v>5794</v>
      </c>
      <c r="F58" s="37"/>
      <c r="G58" s="24"/>
      <c r="H58" s="24"/>
    </row>
    <row r="59" spans="1:8" ht="13.2">
      <c r="A59" s="65" t="str">
        <f>HYPERLINK("https://oj.uz/problem/view/COI17_trapezi","COI 17-trapezi")</f>
        <v>COI 17-trapezi</v>
      </c>
      <c r="B59" s="20" t="s">
        <v>6823</v>
      </c>
      <c r="C59" s="24">
        <v>7.75</v>
      </c>
      <c r="D59" s="65" t="str">
        <f>HYPERLINK("https://codeforces.com/blog/entry/51198","Sol by ko_osaga")</f>
        <v>Sol by ko_osaga</v>
      </c>
      <c r="E59" s="31" t="s">
        <v>1337</v>
      </c>
      <c r="F59" s="37"/>
      <c r="G59" s="24"/>
      <c r="H59" s="24"/>
    </row>
    <row r="60" spans="1:8" ht="13.2">
      <c r="A60" s="65" t="str">
        <f>HYPERLINK("https://cses.fi/187/list/","CEOI 07-Sail")</f>
        <v>CEOI 07-Sail</v>
      </c>
      <c r="B60" s="20" t="s">
        <v>7527</v>
      </c>
      <c r="C60" s="24">
        <v>7.75</v>
      </c>
      <c r="D60" s="69"/>
      <c r="E60" s="31" t="s">
        <v>7525</v>
      </c>
      <c r="F60" s="37"/>
      <c r="G60" s="24"/>
      <c r="H60" s="24"/>
    </row>
    <row r="61" spans="1:8" ht="13.2">
      <c r="A61" s="65" t="str">
        <f>HYPERLINK("https://oj.uz/problem/view/APIO13_toll", "APIO 13-Toll")</f>
        <v>APIO 13-Toll</v>
      </c>
      <c r="B61" s="20" t="s">
        <v>4279</v>
      </c>
      <c r="C61" s="17">
        <v>7.75</v>
      </c>
      <c r="D61" s="65" t="str">
        <f>HYPERLINK("https://github.com/tmwilliamlin168/CompetitiveProgramming/blob/master/APIO/13-Toll.cpp","Sol")</f>
        <v>Sol</v>
      </c>
      <c r="E61" s="31" t="s">
        <v>4275</v>
      </c>
      <c r="F61" s="37"/>
      <c r="G61" s="24"/>
      <c r="H61" s="24"/>
    </row>
    <row r="62" spans="1:8" ht="13.2">
      <c r="A62" s="65" t="str">
        <f>HYPERLINK("http://usaco.org/index.php?page=viewproblem2&amp;cpid=793", "USACO 18jan-atlarge-plat")</f>
        <v>USACO 18jan-atlarge-plat</v>
      </c>
      <c r="B62" s="20" t="s">
        <v>7473</v>
      </c>
      <c r="C62" s="21">
        <v>7.5</v>
      </c>
      <c r="D62" s="65" t="str">
        <f>HYPERLINK("https://github.com/gametothepower8/Solutions-to-OI-problems/blob/master/USACO18Janplat-atlarge.cpp","Sol")</f>
        <v>Sol</v>
      </c>
      <c r="E62" s="31" t="s">
        <v>6397</v>
      </c>
      <c r="F62" s="37" t="s">
        <v>173</v>
      </c>
      <c r="G62" s="24"/>
      <c r="H62" s="24"/>
    </row>
    <row r="63" spans="1:8" ht="13.2">
      <c r="A63" s="65" t="str">
        <f>HYPERLINK("https://oj.uz/problem/view/IOI14_holiday","IOI 14-holiday")</f>
        <v>IOI 14-holiday</v>
      </c>
      <c r="B63" s="15" t="s">
        <v>6747</v>
      </c>
      <c r="C63" s="24">
        <v>7.5</v>
      </c>
      <c r="D63" s="65" t="str">
        <f>HYPERLINK("https://github.com/mostafa-saad/MyCompetitiveProgramming/blob/master/Olympiad/IOI/IOI-14-holiday.txt","Sol")</f>
        <v>Sol</v>
      </c>
      <c r="E63" s="31" t="s">
        <v>1018</v>
      </c>
      <c r="F63" s="37" t="s">
        <v>173</v>
      </c>
      <c r="G63" s="24"/>
      <c r="H63" s="24"/>
    </row>
    <row r="64" spans="1:8" ht="13.2">
      <c r="A64" s="65" t="str">
        <f>HYPERLINK("https://oj.uz/problem/view/APIO16_fireworks","APIO 16-fireworks")</f>
        <v>APIO 16-fireworks</v>
      </c>
      <c r="B64" s="15" t="s">
        <v>6824</v>
      </c>
      <c r="C64" s="24">
        <v>7.5</v>
      </c>
      <c r="D64" s="65" t="str">
        <f>HYPERLINK("https://github.com/mostafa-saad/MyCompetitiveProgramming/blob/master/Olympiad/APIO/APIO-16-fireworks.txt","Sol")</f>
        <v>Sol</v>
      </c>
      <c r="E64" s="31" t="s">
        <v>1337</v>
      </c>
      <c r="F64" s="37" t="s">
        <v>173</v>
      </c>
      <c r="G64" s="24"/>
      <c r="H64" s="24"/>
    </row>
    <row r="65" spans="1:8" ht="13.2">
      <c r="A65" s="65" t="str">
        <f>HYPERLINK("https://oj.uz/problem/view/IZhO17_road","IZhO 17-road")</f>
        <v>IZhO 17-road</v>
      </c>
      <c r="B65" s="23" t="s">
        <v>6458</v>
      </c>
      <c r="C65" s="24">
        <v>7.5</v>
      </c>
      <c r="D65" s="65" t="str">
        <f>HYPERLINK("https://github.com/LeTrongDat/CompetitiveProgramming/blob/master/IZhO/IZhO17-road.cpp","Sol")</f>
        <v>Sol</v>
      </c>
      <c r="E65" s="31" t="s">
        <v>6459</v>
      </c>
      <c r="F65" s="37" t="s">
        <v>154</v>
      </c>
      <c r="G65" s="24"/>
      <c r="H65" s="24"/>
    </row>
    <row r="66" spans="1:8" ht="13.2">
      <c r="A66" s="65" t="str">
        <f>HYPERLINK("https://oj.uz/problems/source/6","JOIOC 13-synchronization")</f>
        <v>JOIOC 13-synchronization</v>
      </c>
      <c r="B66" s="15" t="s">
        <v>6802</v>
      </c>
      <c r="C66" s="17">
        <v>7.5</v>
      </c>
      <c r="D66" s="65" t="str">
        <f>HYPERLINK("https://github.com/mostafa-saad/MyCompetitiveProgramming/blob/master/Olympiad/JOI/JOIOC-13-synchronization.txt","Sol")</f>
        <v>Sol</v>
      </c>
      <c r="E66" s="31" t="s">
        <v>1223</v>
      </c>
      <c r="F66" s="37" t="s">
        <v>154</v>
      </c>
      <c r="G66" s="24"/>
      <c r="H66" s="24"/>
    </row>
    <row r="67" spans="1:8" ht="13.2">
      <c r="A67" s="65" t="str">
        <f>HYPERLINK("https://oj.uz/problem/view/BOI13_vim","Baltic 13-vim")</f>
        <v>Baltic 13-vim</v>
      </c>
      <c r="B67" s="20" t="s">
        <v>1348</v>
      </c>
      <c r="C67" s="24">
        <v>7.5</v>
      </c>
      <c r="D67" s="65" t="str">
        <f>HYPERLINK("https://github.com/mostafa-saad/MyCompetitiveProgramming/blob/master/Olympiad/Baltic/Baltic-13-vim.txt","Sol")</f>
        <v>Sol</v>
      </c>
      <c r="E67" s="31" t="s">
        <v>1337</v>
      </c>
      <c r="F67" s="37" t="s">
        <v>154</v>
      </c>
      <c r="G67" s="24"/>
      <c r="H67" s="24"/>
    </row>
    <row r="68" spans="1:8" ht="13.2">
      <c r="A68" s="65" t="str">
        <f>HYPERLINK("https://cses.fi/111/list/","Baltic 07-Sorting")</f>
        <v>Baltic 07-Sorting</v>
      </c>
      <c r="B68" s="37" t="s">
        <v>6825</v>
      </c>
      <c r="C68" s="24">
        <v>7.5</v>
      </c>
      <c r="D68" s="65" t="str">
        <f>HYPERLINK("https://github.com/mostafa-saad/MyCompetitiveProgramming/blob/master/Olympiad/Baltic/official/boi2007_solutions","Editorial")</f>
        <v>Editorial</v>
      </c>
      <c r="E68" s="31" t="s">
        <v>1337</v>
      </c>
      <c r="F68" s="37" t="s">
        <v>154</v>
      </c>
      <c r="G68" s="24"/>
      <c r="H68" s="24"/>
    </row>
    <row r="69" spans="1:8" ht="13.2">
      <c r="A69" s="65" t="str">
        <f>HYPERLINK("https://oj.uz/problem/view/JOI17_city","JOISC 17-city")</f>
        <v>JOISC 17-city</v>
      </c>
      <c r="B69" s="20" t="s">
        <v>7113</v>
      </c>
      <c r="C69" s="24">
        <v>7.5</v>
      </c>
      <c r="D69" s="65" t="str">
        <f>HYPERLINK("https://github.com/mostafa-saad/MyCompetitiveProgramming/blob/master/Olympiad/JOI/JOISC-17-city.txt","Sol")</f>
        <v>Sol</v>
      </c>
      <c r="E69" s="31" t="s">
        <v>3257</v>
      </c>
      <c r="F69" s="37" t="s">
        <v>154</v>
      </c>
      <c r="G69" s="24"/>
      <c r="H69" s="24"/>
    </row>
    <row r="70" spans="1:8" ht="13.2">
      <c r="A70" s="65" t="str">
        <f>HYPERLINK("https://oj.uz/problems/source/326", "APIO 18-duathlon")</f>
        <v>APIO 18-duathlon</v>
      </c>
      <c r="B70" s="15" t="s">
        <v>7284</v>
      </c>
      <c r="C70" s="24">
        <v>7.5</v>
      </c>
      <c r="D70" s="65" t="str">
        <f>HYPERLINK("https://github.com/mostafa-saad/MyCompetitiveProgramming/blob/master/Olympiad/APIO/APIO-18-duathlon.txt","Sol")</f>
        <v>Sol</v>
      </c>
      <c r="E70" s="31" t="s">
        <v>4423</v>
      </c>
      <c r="F70" s="37" t="s">
        <v>154</v>
      </c>
      <c r="G70" s="24"/>
      <c r="H70" s="24"/>
    </row>
    <row r="71" spans="1:8" ht="13.2">
      <c r="A71" s="65" t="str">
        <f>HYPERLINK("https://oj.uz/problem/view/IOI14_rail","IOI 14-rail")</f>
        <v>IOI 14-rail</v>
      </c>
      <c r="B71" s="18" t="s">
        <v>6567</v>
      </c>
      <c r="C71" s="17">
        <v>7.5</v>
      </c>
      <c r="D71" s="65" t="str">
        <f>HYPERLINK("https://github.com/mostafa-saad/MyCompetitiveProgramming/blob/master/Olympiad/IOI/IOI-14-rail.txt","Sol")</f>
        <v>Sol</v>
      </c>
      <c r="E71" s="31" t="s">
        <v>125</v>
      </c>
      <c r="F71" s="37" t="s">
        <v>139</v>
      </c>
      <c r="G71" s="24"/>
      <c r="H71" s="24"/>
    </row>
    <row r="72" spans="1:8" ht="13.2">
      <c r="A72" s="65" t="str">
        <f>HYPERLINK("https://dmoj.ca/problem/coci14c5p6","COCI 14-Divljak")</f>
        <v>COCI 14-Divljak</v>
      </c>
      <c r="B72" s="37" t="s">
        <v>7381</v>
      </c>
      <c r="C72" s="24">
        <v>7.5</v>
      </c>
      <c r="D72" s="65" t="str">
        <f>HYPERLINK("https://github.com/mostafa-saad/MyCompetitiveProgramming/blob/master/Olympiad/COCI/official/2015/contest5_solutions","Editorial")</f>
        <v>Editorial</v>
      </c>
      <c r="E72" s="31" t="s">
        <v>5761</v>
      </c>
      <c r="F72" s="37" t="s">
        <v>139</v>
      </c>
      <c r="G72" s="24"/>
      <c r="H72" s="24"/>
    </row>
    <row r="73" spans="1:8" ht="13.2">
      <c r="A73" s="65" t="str">
        <f>HYPERLINK("http://usaco.org/index.php?page=viewproblem2&amp;cpid=841", "USACO 18mar-trainplat")</f>
        <v>USACO 18mar-trainplat</v>
      </c>
      <c r="B73" s="20" t="s">
        <v>6398</v>
      </c>
      <c r="C73" s="24">
        <v>7.5</v>
      </c>
      <c r="D73" s="69"/>
      <c r="E73" s="31" t="s">
        <v>6397</v>
      </c>
      <c r="F73" s="37" t="s">
        <v>139</v>
      </c>
      <c r="G73" s="24"/>
      <c r="H73" s="24"/>
    </row>
    <row r="74" spans="1:8" ht="13.2">
      <c r="A74" s="65" t="str">
        <f>HYPERLINK("https://oj.uz/problem/view/JOI17_railway_trip","JOISC 17-railway_trip")</f>
        <v>JOISC 17-railway_trip</v>
      </c>
      <c r="B74" s="20" t="s">
        <v>6748</v>
      </c>
      <c r="C74" s="24">
        <v>7.5</v>
      </c>
      <c r="D74" s="65" t="str">
        <f>HYPERLINK("https://github.com/mostafa-saad/MyCompetitiveProgramming/blob/master/Olympiad/JOI/JOISC-17-railway_trip.txt","Sol")</f>
        <v>Sol</v>
      </c>
      <c r="E74" s="31" t="s">
        <v>1018</v>
      </c>
      <c r="F74" s="37" t="s">
        <v>139</v>
      </c>
      <c r="G74" s="24"/>
      <c r="H74" s="24"/>
    </row>
    <row r="75" spans="1:8" ht="13.2">
      <c r="A75" s="65" t="str">
        <f>HYPERLINK("https://oj.uz/problem/view/JOI19_antennas", "JOISC 19-Antennas")</f>
        <v>JOISC 19-Antennas</v>
      </c>
      <c r="B75" s="23" t="s">
        <v>6749</v>
      </c>
      <c r="C75" s="21">
        <v>7.5</v>
      </c>
      <c r="D75" s="65" t="str">
        <f>HYPERLINK("https://github.com/nikolapesic2802/Programming-Practice/blob/master/Two%20Antennas/main.cpp","Sol")</f>
        <v>Sol</v>
      </c>
      <c r="E75" s="31" t="s">
        <v>1018</v>
      </c>
      <c r="F75" s="37" t="s">
        <v>139</v>
      </c>
      <c r="G75" s="24"/>
      <c r="H75" s="24"/>
    </row>
    <row r="76" spans="1:8" ht="13.2">
      <c r="A76" s="65" t="str">
        <f>HYPERLINK("https://oj.uz/problem/view/JOI19_dishes", "JOISC 19-Dishes")</f>
        <v>JOISC 19-Dishes</v>
      </c>
      <c r="B76" s="20" t="s">
        <v>1561</v>
      </c>
      <c r="C76" s="21">
        <v>7.5</v>
      </c>
      <c r="D76" s="69"/>
      <c r="E76" s="31" t="s">
        <v>1337</v>
      </c>
      <c r="F76" s="37" t="s">
        <v>139</v>
      </c>
      <c r="G76" s="24"/>
      <c r="H76" s="24"/>
    </row>
    <row r="77" spans="1:8" ht="13.2">
      <c r="A77" s="65" t="str">
        <f>HYPERLINK("https://codeforces.com/contest/1193","CEOI 19-AmusementPark")</f>
        <v>CEOI 19-AmusementPark</v>
      </c>
      <c r="B77" s="37" t="s">
        <v>6951</v>
      </c>
      <c r="C77" s="24">
        <v>7.5</v>
      </c>
      <c r="D77" s="65" t="str">
        <f>HYPERLINK("https://codeforces.com/blog/entry/68748","Editorial")</f>
        <v>Editorial</v>
      </c>
      <c r="E77" s="31" t="s">
        <v>1819</v>
      </c>
      <c r="F77" s="37" t="s">
        <v>139</v>
      </c>
      <c r="G77" s="24"/>
      <c r="H77" s="24"/>
    </row>
    <row r="78" spans="1:8" ht="13.2">
      <c r="A78" s="65" t="str">
        <f>HYPERLINK("http://www.usaco.org/index.php?page=viewproblem2&amp;cpid=974","USACO 19dec-plat-treedepth")</f>
        <v>USACO 19dec-plat-treedepth</v>
      </c>
      <c r="B78" s="20" t="s">
        <v>6964</v>
      </c>
      <c r="C78" s="17">
        <v>7.5</v>
      </c>
      <c r="D78" s="69"/>
      <c r="E78" s="31" t="s">
        <v>1909</v>
      </c>
      <c r="F78" s="37" t="s">
        <v>139</v>
      </c>
      <c r="G78" s="24"/>
      <c r="H78" s="24"/>
    </row>
    <row r="79" spans="1:8" ht="13.2">
      <c r="A79" s="65" t="str">
        <f>HYPERLINK("https://dmoj.ca/problem/mcco17p3","CCOMock 17-Connection")</f>
        <v>CCOMock 17-Connection</v>
      </c>
      <c r="B79" s="37" t="s">
        <v>6672</v>
      </c>
      <c r="C79" s="24">
        <v>7.5</v>
      </c>
      <c r="D79" s="65" t="str">
        <f>HYPERLINK("https://github.com/mostafa-saad/MyCompetitiveProgramming/blob/master/Olympiad/CCO/CCOMock-17-Connection.txt","Sol")</f>
        <v>Sol</v>
      </c>
      <c r="E79" s="31" t="s">
        <v>575</v>
      </c>
      <c r="F79" s="37" t="s">
        <v>139</v>
      </c>
      <c r="G79" s="24"/>
      <c r="H79" s="24"/>
    </row>
    <row r="80" spans="1:8" ht="13.2">
      <c r="A80" s="65" t="str">
        <f>HYPERLINK("https://oj.uz/problem/view/JOI19_timeleap","JOISC 19-timeleap")</f>
        <v>JOISC 19-timeleap</v>
      </c>
      <c r="B80" s="37" t="s">
        <v>587</v>
      </c>
      <c r="C80" s="21">
        <v>7.5</v>
      </c>
      <c r="D80" s="69"/>
      <c r="E80" s="31" t="s">
        <v>575</v>
      </c>
      <c r="F80" s="37" t="s">
        <v>139</v>
      </c>
      <c r="G80" s="24"/>
      <c r="H80" s="24"/>
    </row>
    <row r="81" spans="1:8" ht="13.2">
      <c r="A81" s="65" t="str">
        <f>HYPERLINK("https://oj.uz/problem/view/JOI19_meetings", "JOISC 19-Meetings")</f>
        <v>JOISC 19-Meetings</v>
      </c>
      <c r="B81" s="37" t="s">
        <v>7114</v>
      </c>
      <c r="C81" s="21">
        <v>7.5</v>
      </c>
      <c r="D81" s="69"/>
      <c r="E81" s="31" t="s">
        <v>3257</v>
      </c>
      <c r="F81" s="37" t="s">
        <v>139</v>
      </c>
      <c r="G81" s="24"/>
      <c r="H81" s="24"/>
    </row>
    <row r="82" spans="1:8" ht="13.2">
      <c r="A82" s="65" t="str">
        <f>HYPERLINK("https://oj.uz/problem/view/JOI19_transportations", "JOISC 19-Transportations")</f>
        <v>JOISC 19-Transportations</v>
      </c>
      <c r="B82" s="20" t="s">
        <v>7205</v>
      </c>
      <c r="C82" s="21">
        <v>7.5</v>
      </c>
      <c r="D82" s="69"/>
      <c r="E82" s="31" t="s">
        <v>3784</v>
      </c>
      <c r="F82" s="37" t="s">
        <v>139</v>
      </c>
      <c r="G82" s="24"/>
      <c r="H82" s="24"/>
    </row>
    <row r="83" spans="1:8" ht="13.2">
      <c r="A83" s="65" t="str">
        <f>HYPERLINK("http://usaco.org/index.php?page=viewproblem2&amp;cpid=745", "USACO 17mar-grass")</f>
        <v>USACO 17mar-grass</v>
      </c>
      <c r="B83" s="37" t="s">
        <v>7260</v>
      </c>
      <c r="C83" s="24">
        <v>7.5</v>
      </c>
      <c r="D83" s="65" t="str">
        <f>HYPERLINK("https://github.com/tmwilliamlin168/CompetitiveProgramming/blob/master/USACO/Contests/1617_4P/grass.cpp", "Sol")</f>
        <v>Sol</v>
      </c>
      <c r="E83" s="31" t="s">
        <v>4275</v>
      </c>
      <c r="F83" s="37" t="s">
        <v>139</v>
      </c>
      <c r="G83" s="24"/>
      <c r="H83" s="24"/>
    </row>
    <row r="84" spans="1:8" ht="13.2">
      <c r="A84" s="65" t="str">
        <f>HYPERLINK("https://oj.uz/problem/view/JOI19_virus","JOIOC 19-Virus")</f>
        <v>JOIOC 19-Virus</v>
      </c>
      <c r="B84" s="20" t="s">
        <v>7272</v>
      </c>
      <c r="C84" s="17">
        <v>7.5</v>
      </c>
      <c r="D84" s="65" t="str">
        <f>HYPERLINK("https://github.com/tmwilliamlin168/CompetitiveProgramming/blob/master/JOI/19O-Virus.cpp", "Sol (no editorial)")</f>
        <v>Sol (no editorial)</v>
      </c>
      <c r="E84" s="31" t="s">
        <v>4344</v>
      </c>
      <c r="F84" s="37" t="s">
        <v>139</v>
      </c>
      <c r="G84" s="24"/>
      <c r="H84" s="24"/>
    </row>
    <row r="85" spans="1:8" ht="13.2">
      <c r="A85" s="65" t="str">
        <f>HYPERLINK("https://oj.uz/problem/view/IZhO17_bomb","IZhO 17-bomb")</f>
        <v>IZhO 17-bomb</v>
      </c>
      <c r="B85" s="20" t="s">
        <v>4530</v>
      </c>
      <c r="C85" s="24">
        <v>7.5</v>
      </c>
      <c r="D85" s="65" t="str">
        <f>HYPERLINK("https://github.com/ihdignite/CompetitiveProgramming/blob/master/IZHO/17-Bomb.cpp", "Sol")</f>
        <v>Sol</v>
      </c>
      <c r="E85" s="31" t="s">
        <v>4531</v>
      </c>
      <c r="F85" s="37" t="s">
        <v>139</v>
      </c>
      <c r="G85" s="24"/>
      <c r="H85" s="24"/>
    </row>
    <row r="86" spans="1:8" ht="13.2">
      <c r="A86" s="65" t="str">
        <f>HYPERLINK("https://cses.fi/193/list/", "CEOI 16-trick")</f>
        <v>CEOI 16-trick</v>
      </c>
      <c r="B86" s="20" t="s">
        <v>4710</v>
      </c>
      <c r="C86" s="24">
        <v>7.5</v>
      </c>
      <c r="D86" s="65" t="str">
        <f>HYPERLINK("https://github.com/mostafa-saad/MyCompetitiveProgramming/blob/master/Olympiad/CEOI/CEOI-16-trick.txt","Sol")</f>
        <v>Sol</v>
      </c>
      <c r="E86" s="31" t="s">
        <v>4531</v>
      </c>
      <c r="F86" s="37" t="s">
        <v>139</v>
      </c>
      <c r="G86" s="24"/>
      <c r="H86" s="24"/>
    </row>
    <row r="87" spans="1:8" ht="13.2">
      <c r="A87" s="65" t="str">
        <f>HYPERLINK("https://szkopul.edu.pl/problemset/problem/CP4mQc-h-Vkg--I1g49xovQj/site/", "POI 09-Words")</f>
        <v>POI 09-Words</v>
      </c>
      <c r="B87" s="37" t="s">
        <v>4776</v>
      </c>
      <c r="C87" s="24">
        <v>7.5</v>
      </c>
      <c r="D87" s="65" t="str">
        <f>HYPERLINK("https://github.com/mostafa-saad/MyCompetitiveProgramming/blob/master/Olympiad/POI/POI-09-Words.txt","Sol")</f>
        <v>Sol</v>
      </c>
      <c r="E87" s="31" t="s">
        <v>4767</v>
      </c>
      <c r="F87" s="37" t="s">
        <v>139</v>
      </c>
      <c r="G87" s="24"/>
      <c r="H87" s="24"/>
    </row>
    <row r="88" spans="1:8" ht="13.2">
      <c r="A88" s="65" t="str">
        <f>HYPERLINK("https://oj.uz/problem/view/JOI19_jumps","JOIOC 19-jumps")</f>
        <v>JOIOC 19-jumps</v>
      </c>
      <c r="B88" s="37" t="s">
        <v>1017</v>
      </c>
      <c r="C88" s="24">
        <v>7.5</v>
      </c>
      <c r="D88" s="65" t="str">
        <f>HYPERLINK("https://github.com/tmwilliamlin168/CompetitiveProgramming/blob/master/JOI/19O-Jumps.cpp", "Sol (no editrial)")</f>
        <v>Sol (no editrial)</v>
      </c>
      <c r="E88" s="31" t="s">
        <v>1018</v>
      </c>
      <c r="F88" s="37" t="s">
        <v>201</v>
      </c>
      <c r="G88" s="24"/>
      <c r="H88" s="24"/>
    </row>
    <row r="89" spans="1:8" ht="13.2">
      <c r="A89" s="65" t="str">
        <f>HYPERLINK("https://dmoj.ca/problem/ccoprep4p3","dmoj ccoprep4p3")</f>
        <v>dmoj ccoprep4p3</v>
      </c>
      <c r="B89" s="23" t="s">
        <v>7261</v>
      </c>
      <c r="C89" s="24">
        <v>7.5</v>
      </c>
      <c r="D89" s="65" t="str">
        <f>HYPERLINK("https://github.com/tsouza0/CompetitiveProgramming/blob/master/Olympiads/Canada/cco/ccoprep4/p3.cpp","Sol")</f>
        <v>Sol</v>
      </c>
      <c r="E89" s="31" t="s">
        <v>4275</v>
      </c>
      <c r="F89" s="37" t="s">
        <v>201</v>
      </c>
      <c r="G89" s="24"/>
      <c r="H89" s="24"/>
    </row>
    <row r="90" spans="1:8" ht="13.2">
      <c r="A90" s="65" t="str">
        <f>HYPERLINK("https://oj.uz/problem/view/IOI11_parrots","IOI 11-parrots")</f>
        <v>IOI 11-parrots</v>
      </c>
      <c r="B90" s="20" t="s">
        <v>6568</v>
      </c>
      <c r="C90" s="24">
        <v>7.5</v>
      </c>
      <c r="D90" s="65" t="str">
        <f>HYPERLINK("http://www.ioi2011.or.th/hsc/tasks/EN/parrots.pdf","Editorial")</f>
        <v>Editorial</v>
      </c>
      <c r="E90" s="31" t="s">
        <v>125</v>
      </c>
      <c r="F90" s="37"/>
      <c r="G90" s="24"/>
      <c r="H90" s="24"/>
    </row>
    <row r="91" spans="1:8" ht="13.2">
      <c r="A91" s="65" t="str">
        <f>HYPERLINK("https://dmoj.ca/problem/apio12p2", "APIO 12-Guard")</f>
        <v>APIO 12-Guard</v>
      </c>
      <c r="B91" s="20" t="s">
        <v>6569</v>
      </c>
      <c r="C91" s="17">
        <v>7.5</v>
      </c>
      <c r="D91" s="69"/>
      <c r="E91" s="31" t="s">
        <v>125</v>
      </c>
      <c r="F91" s="37"/>
      <c r="G91" s="24"/>
      <c r="H91" s="24"/>
    </row>
    <row r="92" spans="1:8" ht="13.2">
      <c r="A92" s="65" t="str">
        <f>HYPERLINK("https://oj.uz/problem/view/IOI19_line","IOI 19-line")</f>
        <v>IOI 19-line</v>
      </c>
      <c r="B92" s="37" t="s">
        <v>147</v>
      </c>
      <c r="C92" s="24">
        <v>7.5</v>
      </c>
      <c r="D92" s="65" t="str">
        <f>HYPERLINK("https://github.com/mostafa-saad/MyCompetitiveProgramming/blob/master/Olympiad/IOI/IOI-19-line.txt","Sol")</f>
        <v>Sol</v>
      </c>
      <c r="E92" s="31" t="s">
        <v>125</v>
      </c>
      <c r="F92" s="37"/>
      <c r="G92" s="24"/>
      <c r="H92" s="24"/>
    </row>
    <row r="93" spans="1:8" ht="13.2">
      <c r="A93" s="65" t="str">
        <f>HYPERLINK("https://oj.uz/problem/view/JOI19_minerals", "JOISC 19-Minerals")</f>
        <v>JOISC 19-Minerals</v>
      </c>
      <c r="B93" s="37" t="s">
        <v>6570</v>
      </c>
      <c r="C93" s="24">
        <v>7.5</v>
      </c>
      <c r="D93" s="69"/>
      <c r="E93" s="31" t="s">
        <v>125</v>
      </c>
      <c r="F93" s="37"/>
      <c r="G93" s="24"/>
      <c r="H93" s="24"/>
    </row>
    <row r="94" spans="1:8" ht="13.2">
      <c r="A94" s="65" t="str">
        <f>HYPERLINK("https://szkopul.edu.pl/problemset/problem/_PLjXEFyR0XMBQ-kZ1k_GgHE/site/", "POI 15-Desert")</f>
        <v>POI 15-Desert</v>
      </c>
      <c r="B94" s="37" t="s">
        <v>7394</v>
      </c>
      <c r="C94" s="24">
        <v>7.5</v>
      </c>
      <c r="D94" s="65" t="str">
        <f>HYPERLINK("https://github.com/mostafa-saad/MyCompetitiveProgramming/blob/master/Olympiad/POI/official/find_editorial_sols_guidelines.txt","Editorial")</f>
        <v>Editorial</v>
      </c>
      <c r="E94" s="31" t="s">
        <v>5958</v>
      </c>
      <c r="F94" s="37"/>
      <c r="G94" s="24"/>
      <c r="H94" s="24"/>
    </row>
    <row r="95" spans="1:8" ht="13.2">
      <c r="A95" s="65" t="str">
        <f>HYPERLINK("https://oj.uz/problems/source/351","JOIOC 18-Collapse")</f>
        <v>JOIOC 18-Collapse</v>
      </c>
      <c r="B95" s="20" t="s">
        <v>6398</v>
      </c>
      <c r="C95" s="21">
        <v>7.5</v>
      </c>
      <c r="D95" s="65" t="str">
        <f>HYPERLINK("https://github.com/mostafa-saad/MyCompetitiveProgramming/tree/master/Olympiad/JOI/official/JOIOC/2018","Editorial")</f>
        <v>Editorial</v>
      </c>
      <c r="E95" s="31" t="s">
        <v>6397</v>
      </c>
      <c r="F95" s="37"/>
      <c r="G95" s="24"/>
      <c r="H95" s="24"/>
    </row>
    <row r="96" spans="1:8" ht="13.2">
      <c r="A96" s="65" t="str">
        <f>HYPERLINK("https://www.hackerrank.com/contests/boi-2016/challenges","Balkan 16-Lefkaritika")</f>
        <v>Balkan 16-Lefkaritika</v>
      </c>
      <c r="B96" s="37" t="s">
        <v>6750</v>
      </c>
      <c r="C96" s="24">
        <v>7.5</v>
      </c>
      <c r="D96" s="65" t="str">
        <f>HYPERLINK("https://github.com/mostafa-saad/MyCompetitiveProgramming/tree/master/Olympiad/Balkan/official/2016","Sol (no editorial)")</f>
        <v>Sol (no editorial)</v>
      </c>
      <c r="E96" s="31" t="s">
        <v>1018</v>
      </c>
      <c r="F96" s="37"/>
      <c r="G96" s="24"/>
      <c r="H96" s="24"/>
    </row>
    <row r="97" spans="1:8" ht="13.2">
      <c r="A97" s="65" t="str">
        <f>HYPERLINK("https://oj.uz/problem/view/IOI08_fish","IOI 08-fish")</f>
        <v>IOI 08-fish</v>
      </c>
      <c r="B97" s="20" t="s">
        <v>1017</v>
      </c>
      <c r="C97" s="24">
        <v>7.5</v>
      </c>
      <c r="D97" s="65" t="str">
        <f>HYPERLINK("https://github.com/mostafa-saad/MyCompetitiveProgramming/blob/master/Olympiad/IOI/official/2008","Editorial")</f>
        <v>Editorial</v>
      </c>
      <c r="E97" s="31" t="s">
        <v>1018</v>
      </c>
      <c r="F97" s="37"/>
      <c r="G97" s="24"/>
      <c r="H97" s="24"/>
    </row>
    <row r="98" spans="1:8" ht="13.2">
      <c r="A98" s="65" t="str">
        <f>HYPERLINK("https://www.hackerrank.com/contests/ioi-2014-practice-contest-2/challenges","IOIPractice 14-grand-noi-icpc-battle-ioi14")</f>
        <v>IOIPractice 14-grand-noi-icpc-battle-ioi14</v>
      </c>
      <c r="B98" s="15" t="s">
        <v>6751</v>
      </c>
      <c r="C98" s="17">
        <v>7.5</v>
      </c>
      <c r="D98" s="69"/>
      <c r="E98" s="31" t="s">
        <v>1018</v>
      </c>
      <c r="F98" s="37"/>
      <c r="G98" s="24"/>
      <c r="H98" s="24"/>
    </row>
    <row r="99" spans="1:8" ht="13.2">
      <c r="A99" s="65" t="str">
        <f>HYPERLINK("https://szkopul.edu.pl/problemset/problem/kYVp05sX8lzHWNwn93xjcYwH/site/", "POI 15-Car")</f>
        <v>POI 15-Car</v>
      </c>
      <c r="B99" s="37" t="s">
        <v>1348</v>
      </c>
      <c r="C99" s="24">
        <v>7.5</v>
      </c>
      <c r="D99" s="65" t="str">
        <f>HYPERLINK("https://github.com/mostafa-saad/MyCompetitiveProgramming/blob/master/Olympiad/POI/official/find_editorial_sols_guidelines.txt","Editorial")</f>
        <v>Editorial</v>
      </c>
      <c r="E99" s="31" t="s">
        <v>1337</v>
      </c>
      <c r="F99" s="37"/>
      <c r="G99" s="24"/>
      <c r="H99" s="24"/>
    </row>
    <row r="100" spans="1:8" ht="13.2">
      <c r="A100" s="65" t="str">
        <f>HYPERLINK("https://oj.uz/problem/view/COCI17_dojave","COCI 17-dojave")</f>
        <v>COCI 17-dojave</v>
      </c>
      <c r="B100" s="20" t="s">
        <v>7532</v>
      </c>
      <c r="C100" s="24">
        <v>7.5</v>
      </c>
      <c r="D100" s="69"/>
      <c r="E100" s="31" t="s">
        <v>7525</v>
      </c>
      <c r="F100" s="37"/>
      <c r="G100" s="24"/>
      <c r="H100" s="24"/>
    </row>
    <row r="101" spans="1:8" ht="13.2">
      <c r="A101" s="65" t="str">
        <f>HYPERLINK("https://oj.uz/problem/view/IOI19_split","IOI 19-split")</f>
        <v>IOI 19-split</v>
      </c>
      <c r="B101" s="37" t="s">
        <v>7527</v>
      </c>
      <c r="C101" s="24">
        <v>7.5</v>
      </c>
      <c r="D101" s="65" t="str">
        <f>HYPERLINK("https://github.com/mostafa-saad/MyCompetitiveProgramming/tree/master/Olympiad/IOI/official/2019","Official sols")</f>
        <v>Official sols</v>
      </c>
      <c r="E101" s="31" t="s">
        <v>7525</v>
      </c>
      <c r="F101" s="37"/>
      <c r="G101" s="24"/>
      <c r="H101" s="24"/>
    </row>
    <row r="102" spans="1:8" ht="13.2">
      <c r="A102" s="65" t="str">
        <f>HYPERLINK("https://szkopul.edu.pl/problemset/problem/3Kqkgeapr-W-MBprNjUDGICL/site/", "POI 16-Club")</f>
        <v>POI 16-Club</v>
      </c>
      <c r="B102" s="37" t="s">
        <v>7585</v>
      </c>
      <c r="C102" s="24">
        <v>7.5</v>
      </c>
      <c r="D102" s="65" t="str">
        <f>HYPERLINK("https://github.com/mostafa-saad/MyCompetitiveProgramming/blob/master/Olympiad/POI/official/find_editorial_sols_guidelines.txt","Editorial")</f>
        <v>Editorial</v>
      </c>
      <c r="E102" s="31" t="s">
        <v>7525</v>
      </c>
      <c r="F102" s="37"/>
      <c r="G102" s="24"/>
      <c r="H102" s="24"/>
    </row>
    <row r="103" spans="1:8" ht="13.2">
      <c r="A103" s="65" t="str">
        <f>HYPERLINK("https://dmoj.ca/contest/cco18d2","CCO 18-FlopSorting")</f>
        <v>CCO 18-FlopSorting</v>
      </c>
      <c r="B103" s="20" t="s">
        <v>7527</v>
      </c>
      <c r="C103" s="17">
        <v>7.5</v>
      </c>
      <c r="D103" s="69"/>
      <c r="E103" s="31" t="s">
        <v>7525</v>
      </c>
      <c r="F103" s="37"/>
      <c r="G103" s="24"/>
      <c r="H103" s="24"/>
    </row>
    <row r="104" spans="1:8" ht="13.2">
      <c r="A104" s="65" t="str">
        <f>HYPERLINK("https://dunjudge.me/analysis/problems/1661/","IOIPractice 17-sudoku_ioi")</f>
        <v>IOIPractice 17-sudoku_ioi</v>
      </c>
      <c r="B104" s="15" t="s">
        <v>7527</v>
      </c>
      <c r="C104" s="24">
        <v>7.5</v>
      </c>
      <c r="D104" s="69"/>
      <c r="E104" s="31" t="s">
        <v>7525</v>
      </c>
      <c r="F104" s="37"/>
      <c r="G104" s="24"/>
      <c r="H104" s="24"/>
    </row>
    <row r="105" spans="1:8" ht="13.2">
      <c r="A105" s="65" t="str">
        <f>HYPERLINK("https://joisc2014.contest.atcoder.jp/tasks/joisc2014_k","JOISC 14-Constella")</f>
        <v>JOISC 14-Constella</v>
      </c>
      <c r="B105" s="20" t="s">
        <v>7591</v>
      </c>
      <c r="C105" s="24">
        <v>7.5</v>
      </c>
      <c r="D105" s="69"/>
      <c r="E105" s="31" t="s">
        <v>7525</v>
      </c>
      <c r="F105" s="37"/>
      <c r="G105" s="24"/>
      <c r="H105" s="24"/>
    </row>
    <row r="106" spans="1:8" ht="13.2">
      <c r="A106" s="65" t="str">
        <f>HYPERLINK("https://dunjudge.me/analysis/problems/742/","JOISC 15-ioioi_cards")</f>
        <v>JOISC 15-ioioi_cards</v>
      </c>
      <c r="B106" s="20" t="s">
        <v>7527</v>
      </c>
      <c r="C106" s="24">
        <v>7.5</v>
      </c>
      <c r="D106" s="69"/>
      <c r="E106" s="31" t="s">
        <v>7525</v>
      </c>
      <c r="F106" s="37"/>
      <c r="G106" s="24"/>
      <c r="H106" s="24"/>
    </row>
    <row r="107" spans="1:8" ht="13.2">
      <c r="A107" s="65" t="str">
        <f>HYPERLINK("https://joisc2016.contest.atcoder.jp/tasks/joisc2016_g","JOISC 16-Dungeon2")</f>
        <v>JOISC 16-Dungeon2</v>
      </c>
      <c r="B107" s="20" t="s">
        <v>7592</v>
      </c>
      <c r="C107" s="24">
        <v>7.5</v>
      </c>
      <c r="D107" s="69"/>
      <c r="E107" s="31" t="s">
        <v>7525</v>
      </c>
      <c r="F107" s="37"/>
      <c r="G107" s="24"/>
      <c r="H107" s="24"/>
    </row>
    <row r="108" spans="1:8" ht="13.2">
      <c r="A108" s="65" t="str">
        <f>HYPERLINK("https://joisc2016.contest.atcoder.jp/tasks/joisc2016_k","JOISC 16-Snowy")</f>
        <v>JOISC 16-Snowy</v>
      </c>
      <c r="B108" s="20" t="s">
        <v>7593</v>
      </c>
      <c r="C108" s="24">
        <v>7.5</v>
      </c>
      <c r="D108" s="69"/>
      <c r="E108" s="31" t="s">
        <v>7525</v>
      </c>
      <c r="F108" s="37"/>
      <c r="G108" s="24"/>
      <c r="H108" s="24"/>
    </row>
    <row r="109" spans="1:8" ht="13.2">
      <c r="A109" s="65" t="str">
        <f>HYPERLINK("https://csacademy.com/contest/ejoi-2017-day-1/task/six/","EJOI 17-six")</f>
        <v>EJOI 17-six</v>
      </c>
      <c r="B109" s="20" t="s">
        <v>6952</v>
      </c>
      <c r="C109" s="24">
        <v>7.5</v>
      </c>
      <c r="D109" s="69"/>
      <c r="E109" s="31" t="s">
        <v>1819</v>
      </c>
      <c r="F109" s="37"/>
      <c r="G109" s="24"/>
      <c r="H109" s="24"/>
    </row>
    <row r="110" spans="1:8" ht="13.2">
      <c r="A110" s="65" t="str">
        <f>HYPERLINK("https://oj.uz/problem/view/BOI16_spiral","Baltic 16-spiral")</f>
        <v>Baltic 16-spiral</v>
      </c>
      <c r="B110" s="20" t="s">
        <v>2763</v>
      </c>
      <c r="C110" s="24">
        <v>7.5</v>
      </c>
      <c r="D110" s="65" t="str">
        <f>HYPERLINK("https://github.com/mostafa-saad/MyCompetitiveProgramming/blob/master/Olympiad/Baltic/official/boi2016_solutions","Sol(Editorial)")</f>
        <v>Sol(Editorial)</v>
      </c>
      <c r="E110" s="31" t="s">
        <v>2510</v>
      </c>
      <c r="F110" s="37"/>
      <c r="G110" s="24"/>
      <c r="H110" s="24"/>
    </row>
    <row r="111" spans="1:8" ht="13.2">
      <c r="A111" s="65" t="str">
        <f>HYPERLINK("https://www.hackerrank.com/contests/ioi-2014-practice-contest-1/challenges","IOIPractice 14-david-copperfailed-ioi14")</f>
        <v>IOIPractice 14-david-copperfailed-ioi14</v>
      </c>
      <c r="B111" s="15" t="s">
        <v>7058</v>
      </c>
      <c r="C111" s="17">
        <v>7.5</v>
      </c>
      <c r="D111" s="69"/>
      <c r="E111" s="31" t="s">
        <v>2510</v>
      </c>
      <c r="F111" s="37"/>
      <c r="G111" s="24"/>
      <c r="H111" s="24"/>
    </row>
    <row r="112" spans="1:8" ht="13.2">
      <c r="A112" s="65" t="str">
        <f>HYPERLINK("https://oj.uz/problem/view/BOI14_demarcation","Baltic 14-demarcation")</f>
        <v>Baltic 14-demarcation</v>
      </c>
      <c r="B112" s="20" t="s">
        <v>7089</v>
      </c>
      <c r="C112" s="24">
        <v>7.5</v>
      </c>
      <c r="D112" s="65" t="str">
        <f>HYPERLINK("https://github.com/mostafa-saad/MyCompetitiveProgramming/blob/master/Olympiad/Baltic/official/boi2014_solutions","Editorial")</f>
        <v>Editorial</v>
      </c>
      <c r="E112" s="31" t="s">
        <v>2948</v>
      </c>
      <c r="F112" s="37"/>
      <c r="G112" s="24"/>
      <c r="H112" s="24"/>
    </row>
    <row r="113" spans="1:8" ht="13.2">
      <c r="A113" s="65" t="str">
        <f>HYPERLINK("https://oj.uz/problem/view/IOI16_shortcut","IOI 16-shortcut")</f>
        <v>IOI 16-shortcut</v>
      </c>
      <c r="B113" s="15" t="s">
        <v>7115</v>
      </c>
      <c r="C113" s="24">
        <v>7.5</v>
      </c>
      <c r="D113" s="65" t="str">
        <f>HYPERLINK("https://github.com/mostafa-saad/MyCompetitiveProgramming/blob/master/Olympiad/IOI/official/2016","Editorial")</f>
        <v>Editorial</v>
      </c>
      <c r="E113" s="31" t="s">
        <v>3257</v>
      </c>
      <c r="F113" s="37"/>
      <c r="G113" s="24"/>
      <c r="H113" s="24"/>
    </row>
    <row r="114" spans="1:8" ht="13.2">
      <c r="A114" s="65" t="str">
        <f>HYPERLINK("https://www.acmicpc.net/problem/12017","Balkan 15-Circus")</f>
        <v>Balkan 15-Circus</v>
      </c>
      <c r="B114" s="18" t="s">
        <v>7116</v>
      </c>
      <c r="C114" s="17">
        <v>7.5</v>
      </c>
      <c r="D114" s="65" t="str">
        <f>HYPERLINK("https://github.com/mostafa-saad/MyCompetitiveProgramming/tree/master/Olympiad/Balkan/official/2015","Sol (no editorial)")</f>
        <v>Sol (no editorial)</v>
      </c>
      <c r="E114" s="31" t="s">
        <v>3257</v>
      </c>
      <c r="F114" s="37"/>
      <c r="G114" s="24"/>
      <c r="H114" s="24"/>
    </row>
    <row r="115" spans="1:8" ht="13.2">
      <c r="A115" s="65" t="str">
        <f>HYPERLINK("https://contest.yandex.ru/ioi/contest/562/problems/C/","IOI 06-forbidden")</f>
        <v>IOI 06-forbidden</v>
      </c>
      <c r="B115" s="15" t="s">
        <v>7117</v>
      </c>
      <c r="C115" s="24">
        <v>7.5</v>
      </c>
      <c r="D115" s="65" t="str">
        <f>HYPERLINK("https://github.com/mostafa-saad/MyCompetitiveProgramming/blob/master/Olympiad/IOI/official/2006/ioi06_forbidden_sol.pdf","Editorial")</f>
        <v>Editorial</v>
      </c>
      <c r="E115" s="31" t="s">
        <v>3257</v>
      </c>
      <c r="F115" s="37"/>
      <c r="G115" s="24"/>
      <c r="H115" s="24"/>
    </row>
    <row r="116" spans="1:8" ht="13.2">
      <c r="A116" s="65" t="str">
        <f>HYPERLINK("https://cses.fi/189/list/","CEOI 08-Information")</f>
        <v>CEOI 08-Information</v>
      </c>
      <c r="B116" s="20" t="s">
        <v>7262</v>
      </c>
      <c r="C116" s="24">
        <v>7.5</v>
      </c>
      <c r="D116" s="65" t="str">
        <f>HYPERLINK("https://github.com/mostafa-saad/MyCompetitiveProgramming/tree/master/Olympiad/CEOI/official/2008","Editorial")</f>
        <v>Editorial</v>
      </c>
      <c r="E116" s="31" t="s">
        <v>4275</v>
      </c>
      <c r="F116" s="37"/>
      <c r="G116" s="24"/>
      <c r="H116" s="24"/>
    </row>
    <row r="117" spans="1:8" ht="13.2">
      <c r="A117" s="65" t="str">
        <f>HYPERLINK("https://www.hackerrank.com/contests/boi-2016/challenges","Balkan 16-PowerTowers")</f>
        <v>Balkan 16-PowerTowers</v>
      </c>
      <c r="B117" s="18" t="s">
        <v>7305</v>
      </c>
      <c r="C117" s="17">
        <v>7.5</v>
      </c>
      <c r="D117" s="65" t="str">
        <f>HYPERLINK("https://bytefreaks.net/cyprus-computer-society/tasks-balkan-olympiad-in-informatics-2016","Editorial")</f>
        <v>Editorial</v>
      </c>
      <c r="E117" s="31" t="s">
        <v>4531</v>
      </c>
      <c r="F117" s="37"/>
      <c r="G117" s="24"/>
      <c r="H117" s="24"/>
    </row>
    <row r="118" spans="1:8" ht="13.2">
      <c r="A118" s="65" t="str">
        <f>HYPERLINK("https://oj.uz/problem/view/IZhO19_xorsum","IZhO 19-xorsum")</f>
        <v>IZhO 19-xorsum</v>
      </c>
      <c r="B118" s="20" t="s">
        <v>7306</v>
      </c>
      <c r="C118" s="24">
        <v>7.5</v>
      </c>
      <c r="D118" s="69"/>
      <c r="E118" s="31" t="s">
        <v>4531</v>
      </c>
      <c r="F118" s="37"/>
      <c r="G118" s="24"/>
      <c r="H118" s="24"/>
    </row>
    <row r="119" spans="1:8" ht="13.2">
      <c r="A119" s="65" t="str">
        <f>HYPERLINK("https://cses.fi/106/list/","Baltic 10-Mines")</f>
        <v>Baltic 10-Mines</v>
      </c>
      <c r="B119" s="37" t="s">
        <v>7338</v>
      </c>
      <c r="C119" s="24">
        <v>7.5</v>
      </c>
      <c r="D119" s="65" t="str">
        <f>HYPERLINK("https://github.com/mostafa-saad/MyCompetitiveProgramming/blob/master/Olympiad/Baltic/official/boi2010_solutions","Editorial")</f>
        <v>Editorial</v>
      </c>
      <c r="E119" s="31" t="s">
        <v>4867</v>
      </c>
      <c r="F119" s="37"/>
      <c r="G119" s="24"/>
      <c r="H119" s="24"/>
    </row>
    <row r="120" spans="1:8" ht="15" customHeight="1">
      <c r="A120" s="65" t="str">
        <f>HYPERLINK("https://oj.uz/problems/source/314","JOISC 18-worstreporter3")</f>
        <v>JOISC 18-worstreporter3</v>
      </c>
      <c r="B120" s="18" t="s">
        <v>814</v>
      </c>
      <c r="C120" s="17">
        <v>7.5</v>
      </c>
      <c r="D120" s="65" t="str">
        <f>HYPERLINK("https://codeforces.com/blog/entry/58433","sol (See reply from tsouza)")</f>
        <v>sol (See reply from tsouza)</v>
      </c>
      <c r="E120" s="31" t="s">
        <v>805</v>
      </c>
      <c r="F120" s="37"/>
      <c r="G120" s="24"/>
      <c r="H120" s="24"/>
    </row>
    <row r="121" spans="1:8" ht="13.2">
      <c r="A121" s="65" t="str">
        <f>HYPERLINK("https://oj.uz/problem/view/APIO17_koala","APIO 17-koala")</f>
        <v>APIO 17-koala</v>
      </c>
      <c r="B121" s="20" t="s">
        <v>6714</v>
      </c>
      <c r="C121" s="24">
        <v>7.5</v>
      </c>
      <c r="D121" s="65" t="str">
        <f>HYPERLINK("https://github.com/mostafa-saad/MyCompetitiveProgramming/blob/master/Olympiad/APIO/official/2017","Sol")</f>
        <v>Sol</v>
      </c>
      <c r="E121" s="31" t="s">
        <v>805</v>
      </c>
      <c r="F121" s="37"/>
      <c r="G121" s="24"/>
      <c r="H121" s="24"/>
    </row>
    <row r="122" spans="1:8" ht="13.2">
      <c r="A122" s="65" t="str">
        <f>HYPERLINK("https://oj.uz/problem/view/IOI10_hottercolder","IOI 10-hottercolder")</f>
        <v>IOI 10-hottercolder</v>
      </c>
      <c r="B122" s="20" t="s">
        <v>6715</v>
      </c>
      <c r="C122" s="24">
        <v>7.5</v>
      </c>
      <c r="D122" s="65" t="str">
        <f>HYPERLINK("https://github.com/mostafa-saad/MyCompetitiveProgramming/blob/master/Olympiad/IOI/official/2010","Editorial")</f>
        <v>Editorial</v>
      </c>
      <c r="E122" s="31" t="s">
        <v>805</v>
      </c>
      <c r="F122" s="37"/>
      <c r="G122" s="24"/>
      <c r="H122" s="24"/>
    </row>
    <row r="123" spans="1:8" ht="13.2">
      <c r="A123" s="65" t="str">
        <f>HYPERLINK("https://oj.uz/problem/view/IZhO18_segments","IZhO 18-segments")</f>
        <v>IZhO 18-segments</v>
      </c>
      <c r="B123" s="23" t="s">
        <v>7474</v>
      </c>
      <c r="C123" s="24">
        <v>7.4</v>
      </c>
      <c r="D123" s="65" t="str">
        <f>HYPERLINK("https://github.com/mostafa-saad/MyCompetitiveProgramming/blob/master/Olympiad/IZhO/IZhO-18-segments.txt","Sol")</f>
        <v>Sol</v>
      </c>
      <c r="E123" s="31" t="s">
        <v>6397</v>
      </c>
      <c r="F123" s="37" t="s">
        <v>201</v>
      </c>
      <c r="G123" s="24"/>
      <c r="H123" s="24"/>
    </row>
    <row r="124" spans="1:8" ht="13.2">
      <c r="A124" s="65" t="str">
        <f>HYPERLINK("https://cses.fi/105/list/","Baltic 10-Bears")</f>
        <v>Baltic 10-Bears</v>
      </c>
      <c r="B124" s="37" t="s">
        <v>7059</v>
      </c>
      <c r="C124" s="24">
        <v>7.3</v>
      </c>
      <c r="D124" s="65" t="str">
        <f>HYPERLINK("https://github.com/mostafa-saad/MyCompetitiveProgramming/blob/master/Olympiad/Baltic/Baltic-10-Bears.txt","Sol")</f>
        <v>Sol</v>
      </c>
      <c r="E124" s="31" t="s">
        <v>2510</v>
      </c>
      <c r="F124" s="37" t="s">
        <v>154</v>
      </c>
      <c r="G124" s="24"/>
      <c r="H124" s="24"/>
    </row>
    <row r="125" spans="1:8" ht="13.2">
      <c r="A125" s="65" t="str">
        <f>HYPERLINK("https://oj.uz/problem/view/IOI16_aliens","IOI 16-aliens")</f>
        <v>IOI 16-aliens</v>
      </c>
      <c r="B125" s="20" t="s">
        <v>7486</v>
      </c>
      <c r="C125" s="17">
        <v>7.25</v>
      </c>
      <c r="D125" s="65" t="str">
        <f>HYPERLINK("https://github.com/mostafa-saad/MyCompetitiveProgramming/blob/master/Olympiad/IOI/IOI-16-aliens.txt","Sol")</f>
        <v>Sol</v>
      </c>
      <c r="E125" s="31" t="s">
        <v>6417</v>
      </c>
      <c r="F125" s="37" t="s">
        <v>173</v>
      </c>
      <c r="G125" s="24"/>
      <c r="H125" s="24"/>
    </row>
    <row r="126" spans="1:8" ht="13.2">
      <c r="A126" s="65" t="str">
        <f>HYPERLINK("https://oj.uz/problems/source/213","JOIOC 16-skyscraper")</f>
        <v>JOIOC 16-skyscraper</v>
      </c>
      <c r="B126" s="18" t="s">
        <v>7491</v>
      </c>
      <c r="C126" s="24">
        <v>7.25</v>
      </c>
      <c r="D126" s="65" t="str">
        <f>HYPERLINK("http://codeforces.com/blog/entry/47764","Sol")</f>
        <v>Sol</v>
      </c>
      <c r="E126" s="31" t="s">
        <v>7492</v>
      </c>
      <c r="F126" s="37" t="s">
        <v>173</v>
      </c>
      <c r="G126" s="24"/>
      <c r="H126" s="24"/>
    </row>
    <row r="127" spans="1:8" ht="13.2">
      <c r="A127" s="65" t="str">
        <f>HYPERLINK("https://oj.uz/problem/view/balkan11_timeismoney","Balkan 11-timeismoney")</f>
        <v>Balkan 11-timeismoney</v>
      </c>
      <c r="B127" s="23" t="s">
        <v>7263</v>
      </c>
      <c r="C127" s="24">
        <v>7.25</v>
      </c>
      <c r="D127" s="65" t="str">
        <f>HYPERLINK("https://github.com/tmwilliamlin168/CompetitiveProgramming/blob/master/BkOI/11-Time_Is_Money.cpp","Sol")</f>
        <v>Sol</v>
      </c>
      <c r="E127" s="31" t="s">
        <v>4275</v>
      </c>
      <c r="F127" s="37" t="s">
        <v>173</v>
      </c>
      <c r="G127" s="24"/>
      <c r="H127" s="24"/>
    </row>
    <row r="128" spans="1:8" ht="13.2">
      <c r="A128" s="65" t="str">
        <f>HYPERLINK("https://szkopul.edu.pl/problemset/problem/DkPj-ES6glaEwxppbuaxbOO6/site/", "POI 12-Prefixuffix")</f>
        <v>POI 12-Prefixuffix</v>
      </c>
      <c r="B128" s="37" t="s">
        <v>7376</v>
      </c>
      <c r="C128" s="24">
        <v>7.25</v>
      </c>
      <c r="D128" s="65" t="str">
        <f>HYPERLINK("https://github.com/mostafa-saad/MyCompetitiveProgramming/blob/master/Olympiad/POI/POI-12-Prefixuffix.txt","Sol")</f>
        <v>Sol</v>
      </c>
      <c r="E128" s="31" t="s">
        <v>5702</v>
      </c>
      <c r="F128" s="37" t="s">
        <v>154</v>
      </c>
      <c r="G128" s="24"/>
      <c r="H128" s="24"/>
    </row>
    <row r="129" spans="1:8" ht="13.2">
      <c r="A129" s="65" t="str">
        <f>HYPERLINK("https://oj.uz/problems/source/313","JOISC 18-construction")</f>
        <v>JOISC 18-construction</v>
      </c>
      <c r="B129" s="15" t="s">
        <v>7445</v>
      </c>
      <c r="C129" s="24">
        <v>7.25</v>
      </c>
      <c r="D129" s="65" t="str">
        <f>HYPERLINK("https://github.com/mostafa-saad/MyCompetitiveProgramming/blob/master/Olympiad/JOI/JOISC-18-construction.txt","Sol")</f>
        <v>Sol</v>
      </c>
      <c r="E129" s="31" t="s">
        <v>6311</v>
      </c>
      <c r="F129" s="37" t="s">
        <v>154</v>
      </c>
      <c r="G129" s="24"/>
      <c r="H129" s="24"/>
    </row>
    <row r="130" spans="1:8" ht="13.2">
      <c r="A130" s="65" t="str">
        <f>HYPERLINK("https://oj.uz/problem/view/JOI17_coach","JOISC 17-coach")</f>
        <v>JOISC 17-coach</v>
      </c>
      <c r="B130" s="20" t="s">
        <v>6361</v>
      </c>
      <c r="C130" s="24">
        <v>7.25</v>
      </c>
      <c r="D130" s="65" t="str">
        <f>HYPERLINK("https://github.com/tmwilliamlin168/CompetitiveProgramming/blob/master/JOI/17SC-Coach.cpp", "Sol")</f>
        <v>Sol</v>
      </c>
      <c r="E130" s="31" t="s">
        <v>6362</v>
      </c>
      <c r="F130" s="37" t="s">
        <v>154</v>
      </c>
      <c r="G130" s="24"/>
      <c r="H130" s="24"/>
    </row>
    <row r="131" spans="1:8" ht="13.2">
      <c r="A131" s="65" t="str">
        <f>HYPERLINK("https://oj.uz/problems/source/315","JOISC 18-bitaro")</f>
        <v>JOISC 18-bitaro</v>
      </c>
      <c r="B131" s="18" t="s">
        <v>6402</v>
      </c>
      <c r="C131" s="17">
        <v>7.25</v>
      </c>
      <c r="D131" s="65" t="str">
        <f>HYPERLINK("https://github.com/mostafa-saad/MyCompetitiveProgramming/blob/master/Olympiad/JOI/JOISC-18-bitaro.txt","Sol")</f>
        <v>Sol</v>
      </c>
      <c r="E131" s="31" t="s">
        <v>6397</v>
      </c>
      <c r="F131" s="37" t="s">
        <v>154</v>
      </c>
      <c r="G131" s="24"/>
      <c r="H131" s="24"/>
    </row>
    <row r="132" spans="1:8" ht="13.2">
      <c r="A132" s="65" t="str">
        <f>HYPERLINK("https://szkopul.edu.pl/problemset/problem/FHsx0TDoMNHN-XrWzXtUzzpi/site/", "POI 13-Price")</f>
        <v>POI 13-Price</v>
      </c>
      <c r="B132" s="37" t="s">
        <v>7475</v>
      </c>
      <c r="C132" s="24">
        <v>7.25</v>
      </c>
      <c r="D132" s="65" t="str">
        <f>HYPERLINK("https://github.com/mostafa-saad/MyCompetitiveProgramming/blob/master/Olympiad/POI/POI-13-Price.txt","Sol")</f>
        <v>Sol</v>
      </c>
      <c r="E132" s="31" t="s">
        <v>6397</v>
      </c>
      <c r="F132" s="37" t="s">
        <v>154</v>
      </c>
      <c r="G132" s="24"/>
      <c r="H132" s="24"/>
    </row>
    <row r="133" spans="1:8" ht="13.2">
      <c r="A133" s="65" t="str">
        <f>HYPERLINK("https://oj.uz/problem/view/IOI08_pyramid_base","IOI 08-pyramid_base")</f>
        <v>IOI 08-pyramid_base</v>
      </c>
      <c r="B133" s="20" t="s">
        <v>6752</v>
      </c>
      <c r="C133" s="24">
        <v>7.25</v>
      </c>
      <c r="D133" s="65" t="str">
        <f>HYPERLINK("https://github.com/mostafa-saad/MyCompetitiveProgramming/blob/master/Olympiad/IOI/IOI-08-pyramid_base.txt","Sol")</f>
        <v>Sol</v>
      </c>
      <c r="E133" s="31" t="s">
        <v>1018</v>
      </c>
      <c r="F133" s="37" t="s">
        <v>154</v>
      </c>
      <c r="G133" s="24"/>
      <c r="H133" s="24"/>
    </row>
    <row r="134" spans="1:8" ht="13.2">
      <c r="A134" s="65" t="str">
        <f>HYPERLINK("http://usaco.org/index.php?page=viewproblem2&amp;cpid=865", "USACO 18dec-itoutplat")</f>
        <v>USACO 18dec-itoutplat</v>
      </c>
      <c r="B134" s="20" t="s">
        <v>6803</v>
      </c>
      <c r="C134" s="21">
        <v>7.25</v>
      </c>
      <c r="D134" s="65" t="str">
        <f>HYPERLINK("https://github.com/tmwilliamlin168/CompetitiveProgramming/blob/master/USACO/Contests/1819_1P/Itout.cpp", "Sol")</f>
        <v>Sol</v>
      </c>
      <c r="E134" s="31" t="s">
        <v>1223</v>
      </c>
      <c r="F134" s="37" t="s">
        <v>154</v>
      </c>
      <c r="G134" s="24"/>
      <c r="H134" s="24"/>
    </row>
    <row r="135" spans="1:8" ht="13.2">
      <c r="A135" s="65" t="str">
        <f>HYPERLINK("https://oj.uz/problem/view/IOI17_train","IOI 17-train")</f>
        <v>IOI 17-train</v>
      </c>
      <c r="B135" s="15" t="s">
        <v>7053</v>
      </c>
      <c r="C135" s="17">
        <v>7.25</v>
      </c>
      <c r="D135" s="65" t="str">
        <f>HYPERLINK("https://github.com/mostafa-saad/MyCompetitiveProgramming/blob/master/Olympiad/IOI/IOI-17-toytrain.txt","Sol")</f>
        <v>Sol</v>
      </c>
      <c r="E135" s="31" t="s">
        <v>2394</v>
      </c>
      <c r="F135" s="37" t="s">
        <v>154</v>
      </c>
      <c r="G135" s="24"/>
      <c r="H135" s="24"/>
    </row>
    <row r="136" spans="1:8" ht="13.2">
      <c r="A136" s="65" t="str">
        <f>HYPERLINK("https://contest.yandex.ru/ioi/contest/562/problems/E/","IOI 06-points")</f>
        <v>IOI 06-points</v>
      </c>
      <c r="B136" s="15" t="s">
        <v>7060</v>
      </c>
      <c r="C136" s="24">
        <v>7.25</v>
      </c>
      <c r="D136" s="65" t="str">
        <f>HYPERLINK("https://github.com/mostafa-saad/MyCompetitiveProgramming/blob/master/Olympiad/IOI/IOI-06-points.txt","Sol")</f>
        <v>Sol</v>
      </c>
      <c r="E136" s="31" t="s">
        <v>2510</v>
      </c>
      <c r="F136" s="37" t="s">
        <v>154</v>
      </c>
      <c r="G136" s="24"/>
      <c r="H136" s="24"/>
    </row>
    <row r="137" spans="1:8" ht="13.2">
      <c r="A137" s="65" t="str">
        <f>HYPERLINK("https://infoarena.ro/problema/nuke","infoarena nuke")</f>
        <v>infoarena nuke</v>
      </c>
      <c r="B137" s="37" t="s">
        <v>7082</v>
      </c>
      <c r="C137" s="24">
        <v>7.25</v>
      </c>
      <c r="D137" s="65" t="str">
        <f>HYPERLINK("https://github.com/stefdasca/CompetitiveProgramming/blob/master/Infoarena/nuke.cpp","Sol")</f>
        <v>Sol</v>
      </c>
      <c r="E137" s="31" t="s">
        <v>2798</v>
      </c>
      <c r="F137" s="37" t="s">
        <v>154</v>
      </c>
      <c r="G137" s="24"/>
      <c r="H137" s="24"/>
    </row>
    <row r="138" spans="1:8" ht="13.2">
      <c r="A138" s="65" t="str">
        <f>HYPERLINK("https://oj.uz/problem/view/IOI17_books","IOI 17-books")</f>
        <v>IOI 17-books</v>
      </c>
      <c r="B138" s="15" t="s">
        <v>7118</v>
      </c>
      <c r="C138" s="24">
        <v>7.25</v>
      </c>
      <c r="D138" s="65" t="str">
        <f>HYPERLINK("https://github.com/mostafa-saad/MyCompetitiveProgramming/blob/master/Olympiad/IOI/official/2017","Editorial")</f>
        <v>Editorial</v>
      </c>
      <c r="E138" s="31" t="s">
        <v>3257</v>
      </c>
      <c r="F138" s="37" t="s">
        <v>154</v>
      </c>
      <c r="G138" s="24"/>
      <c r="H138" s="24"/>
    </row>
    <row r="139" spans="1:8" ht="13.2">
      <c r="A139" s="65" t="str">
        <f>HYPERLINK("https://contest.yandex.ru/ioi/contest/558/enter/","IOI 03-reverse")</f>
        <v>IOI 03-reverse</v>
      </c>
      <c r="B139" s="15" t="s">
        <v>6571</v>
      </c>
      <c r="C139" s="24">
        <v>7.25</v>
      </c>
      <c r="D139" s="65" t="str">
        <f>HYPERLINK("https://github.com/mostafa-saad/MyCompetitiveProgramming/blob/master/Olympiad/IOI/official/2003","Editorial")</f>
        <v>Editorial</v>
      </c>
      <c r="E139" s="31" t="s">
        <v>125</v>
      </c>
      <c r="F139" s="37" t="s">
        <v>139</v>
      </c>
      <c r="G139" s="24"/>
      <c r="H139" s="24"/>
    </row>
    <row r="140" spans="1:8" ht="13.2">
      <c r="A140" s="65" t="str">
        <f>HYPERLINK("https://dunjudge.me/analysis/problems/578/","COCI 10-upit")</f>
        <v>COCI 10-upit</v>
      </c>
      <c r="B140" s="15" t="s">
        <v>5903</v>
      </c>
      <c r="C140" s="24">
        <v>7.25</v>
      </c>
      <c r="D140" s="65" t="str">
        <f>HYPERLINK("https://github.com/mostafa-saad/MyCompetitiveProgramming/blob/master/Olympiad/CEOI/COCI-10-upit.txt","Sol")</f>
        <v>Sol</v>
      </c>
      <c r="E140" s="31" t="s">
        <v>5874</v>
      </c>
      <c r="F140" s="37" t="s">
        <v>139</v>
      </c>
      <c r="G140" s="24"/>
      <c r="H140" s="24"/>
    </row>
    <row r="141" spans="1:8" ht="13.2">
      <c r="A141" s="65" t="str">
        <f>HYPERLINK("https://oj.uz/problem/view/IOI18_seats","IOI 18-seats")</f>
        <v>IOI 18-seats</v>
      </c>
      <c r="B141" s="20" t="s">
        <v>7594</v>
      </c>
      <c r="C141" s="24">
        <v>7.25</v>
      </c>
      <c r="D141" s="65" t="str">
        <f>HYPERLINK("https://github.com/nikolapesic2802/Programming-Practice/blob/master/Seats/IOI%202018%20Seats.txt","Sol")</f>
        <v>Sol</v>
      </c>
      <c r="E141" s="31" t="s">
        <v>1018</v>
      </c>
      <c r="F141" s="37" t="s">
        <v>139</v>
      </c>
      <c r="G141" s="24"/>
      <c r="H141" s="24"/>
    </row>
    <row r="142" spans="1:8" ht="13.2">
      <c r="A142" s="65" t="str">
        <f>HYPERLINK("https://cses.fi/108/list/","Baltic 09-Monument")</f>
        <v>Baltic 09-Monument</v>
      </c>
      <c r="B142" s="37" t="s">
        <v>6826</v>
      </c>
      <c r="C142" s="24">
        <v>7.25</v>
      </c>
      <c r="D142" s="65" t="str">
        <f>HYPERLINK("https://github.com/mostafa-saad/MyCompetitiveProgramming/blob/master/Olympiad/Baltic/Baltic-09-Monument.txt","Sol")</f>
        <v>Sol</v>
      </c>
      <c r="E142" s="31" t="s">
        <v>1337</v>
      </c>
      <c r="F142" s="37" t="s">
        <v>139</v>
      </c>
      <c r="G142" s="24"/>
      <c r="H142" s="24"/>
    </row>
    <row r="143" spans="1:8" ht="13.2">
      <c r="A143" s="65" t="str">
        <f>HYPERLINK("https://wcipeg.com/problem/coi09p3","COI 09-Loza")</f>
        <v>COI 09-Loza</v>
      </c>
      <c r="B143" s="23" t="s">
        <v>6827</v>
      </c>
      <c r="C143" s="24">
        <v>7.25</v>
      </c>
      <c r="D143" s="65" t="str">
        <f>HYPERLINK("https://github.com/mostafa-saad/MyCompetitiveProgramming/blob/master/Olympiad/COI/COI-09-Loza.txt","Sol")</f>
        <v>Sol</v>
      </c>
      <c r="E143" s="31" t="s">
        <v>1337</v>
      </c>
      <c r="F143" s="37" t="s">
        <v>139</v>
      </c>
      <c r="G143" s="24"/>
      <c r="H143" s="24"/>
    </row>
    <row r="144" spans="1:8" ht="13.2">
      <c r="A144" s="65" t="str">
        <f>HYPERLINK("https://oj.uz/problem/view/JOI18_snake_escaping","JOI 18-snakeescaping")</f>
        <v>JOI 18-snakeescaping</v>
      </c>
      <c r="B144" s="15" t="s">
        <v>6953</v>
      </c>
      <c r="C144" s="24">
        <v>7.25</v>
      </c>
      <c r="D144" s="65" t="str">
        <f>HYPERLINK("https://github.com/mostafa-saad/MyCompetitiveProgramming/blob/master/Olympiad/JOI/JOI-18-snakeescaping.txt","Sol")</f>
        <v>Sol</v>
      </c>
      <c r="E144" s="31" t="s">
        <v>1819</v>
      </c>
      <c r="F144" s="37" t="s">
        <v>139</v>
      </c>
      <c r="G144" s="24"/>
      <c r="H144" s="24"/>
    </row>
    <row r="145" spans="1:8" ht="13.2">
      <c r="A145" s="65" t="str">
        <f>HYPERLINK("https://oj.uz/problem/view/NOI18_safety","NOI 18-safety")</f>
        <v>NOI 18-safety</v>
      </c>
      <c r="B145" s="37" t="s">
        <v>6979</v>
      </c>
      <c r="C145" s="24">
        <v>7.25</v>
      </c>
      <c r="D145" s="65" t="str">
        <f>HYPERLINK("https://github.com/mostafa-saad/MyCompetitiveProgramming/blob/master/Olympiad/NOI/official","Editorial")</f>
        <v>Editorial</v>
      </c>
      <c r="E145" s="31" t="s">
        <v>2153</v>
      </c>
      <c r="F145" s="37" t="s">
        <v>139</v>
      </c>
      <c r="G145" s="24"/>
      <c r="H145" s="24"/>
    </row>
    <row r="146" spans="1:8" ht="13.2">
      <c r="A146" s="65" t="str">
        <f>HYPERLINK("https://oj.uz/problem/view/BOI15_edi","Baltic 15-edi")</f>
        <v>Baltic 15-edi</v>
      </c>
      <c r="B146" s="20" t="s">
        <v>6673</v>
      </c>
      <c r="C146" s="24">
        <v>7.25</v>
      </c>
      <c r="D146" s="65" t="str">
        <f>HYPERLINK("https://github.com/mostafa-saad/MyCompetitiveProgramming/blob/master/Olympiad/Baltic/Baltic-15-edi.txt","Sol")</f>
        <v>Sol</v>
      </c>
      <c r="E146" s="31" t="s">
        <v>575</v>
      </c>
      <c r="F146" s="37" t="s">
        <v>139</v>
      </c>
      <c r="G146" s="24"/>
      <c r="H146" s="24"/>
    </row>
    <row r="147" spans="1:8" ht="13.2">
      <c r="A147" s="65" t="str">
        <f>HYPERLINK("https://oj.uz/problem/view/IOI16_railroad","IOI 16-railroad")</f>
        <v>IOI 16-railroad</v>
      </c>
      <c r="B147" s="18" t="s">
        <v>4279</v>
      </c>
      <c r="C147" s="17">
        <v>7.25</v>
      </c>
      <c r="D147" s="65" t="str">
        <f>HYPERLINK("https://github.com/mostafa-saad/MyCompetitiveProgramming/blob/master/Olympiad/IOI/official/2016","Editorial")</f>
        <v>Editorial</v>
      </c>
      <c r="E147" s="31" t="s">
        <v>4275</v>
      </c>
      <c r="F147" s="37" t="s">
        <v>139</v>
      </c>
      <c r="G147" s="24"/>
      <c r="H147" s="24"/>
    </row>
    <row r="148" spans="1:8" ht="13.2">
      <c r="A148" s="65" t="str">
        <f>HYPERLINK("http://usaco.org/index.php?page=viewproblem2&amp;cpid=818", "USACO 18feb-gymnasts-plat")</f>
        <v>USACO 18feb-gymnasts-plat</v>
      </c>
      <c r="B148" s="20" t="s">
        <v>4960</v>
      </c>
      <c r="C148" s="21">
        <v>7.25</v>
      </c>
      <c r="D148" s="69"/>
      <c r="E148" s="31" t="s">
        <v>4958</v>
      </c>
      <c r="F148" s="37" t="s">
        <v>139</v>
      </c>
      <c r="G148" s="24"/>
      <c r="H148" s="24"/>
    </row>
    <row r="149" spans="1:8" ht="13.2">
      <c r="A149" s="65" t="str">
        <f>HYPERLINK("https://szkopul.edu.pl/problemset/problem/W54iZIwStF1TYWRxa1bdVPQo/site/", "POI 12-Leveling")</f>
        <v>POI 12-Leveling</v>
      </c>
      <c r="B149" s="37" t="s">
        <v>5500</v>
      </c>
      <c r="C149" s="24">
        <v>7.25</v>
      </c>
      <c r="D149" s="65" t="str">
        <f>HYPERLINK("https://github.com/mostafa-saad/MyCompetitiveProgramming/blob/master/Olympiad/POI/official/find_editorial_sols_guidelines.txt","Editorial")</f>
        <v>Editorial</v>
      </c>
      <c r="E149" s="31" t="s">
        <v>5501</v>
      </c>
      <c r="F149" s="37" t="s">
        <v>139</v>
      </c>
      <c r="G149" s="24"/>
      <c r="H149" s="24"/>
    </row>
    <row r="150" spans="1:8" ht="13.2">
      <c r="A150" s="65" t="str">
        <f>HYPERLINK("https://szkopul.edu.pl/problemset/problem/y9HM1ctDU8V8xLMRUYACDIRs/site/", "POI 16-Hydro")</f>
        <v>POI 16-Hydro</v>
      </c>
      <c r="B150" s="37" t="s">
        <v>7285</v>
      </c>
      <c r="C150" s="24">
        <v>7.25</v>
      </c>
      <c r="D150" s="65" t="str">
        <f>HYPERLINK("https://github.com/mostafa-saad/MyCompetitiveProgramming/blob/master/Olympiad/POI/POI-16-Hydro.txt","Sol")</f>
        <v>Sol</v>
      </c>
      <c r="E150" s="31" t="s">
        <v>4423</v>
      </c>
      <c r="F150" s="37" t="s">
        <v>201</v>
      </c>
      <c r="G150" s="24"/>
      <c r="H150" s="24"/>
    </row>
    <row r="151" spans="1:8" ht="13.2">
      <c r="A151" s="65" t="str">
        <f>HYPERLINK("https://szkopul.edu.pl/problemset/problem/4roJ2TqCXhLN6ftK2jiWKlO9/site/", "POI 15-Direction")</f>
        <v>POI 15-Direction</v>
      </c>
      <c r="B151" s="37" t="s">
        <v>7395</v>
      </c>
      <c r="C151" s="24">
        <v>7.25</v>
      </c>
      <c r="D151" s="65" t="str">
        <f>HYPERLINK("https://github.com/mostafa-saad/MyCompetitiveProgramming/blob/master/Olympiad/POI/official/find_editorial_sols_guidelines.txt","Editorial")</f>
        <v>Editorial</v>
      </c>
      <c r="E151" s="31" t="s">
        <v>5958</v>
      </c>
      <c r="F151" s="37"/>
      <c r="G151" s="24"/>
      <c r="H151" s="24"/>
    </row>
    <row r="152" spans="1:8" ht="13.2">
      <c r="A152" s="65" t="str">
        <f>HYPERLINK("https://oj.uz/problem/view/COI18_svjetlost","COI 18-svjetlost")</f>
        <v>COI 18-svjetlost</v>
      </c>
      <c r="B152" s="20" t="s">
        <v>6754</v>
      </c>
      <c r="C152" s="24">
        <v>7.25</v>
      </c>
      <c r="D152" s="69"/>
      <c r="E152" s="31" t="s">
        <v>1018</v>
      </c>
      <c r="F152" s="37"/>
      <c r="G152" s="24"/>
      <c r="H152" s="24"/>
    </row>
    <row r="153" spans="1:8" ht="13.2">
      <c r="A153" s="65" t="str">
        <f>HYPERLINK("https://dmoj.ca/problem/coci08c1p6","COCI 08-Krtica")</f>
        <v>COCI 08-Krtica</v>
      </c>
      <c r="B153" s="15" t="s">
        <v>6828</v>
      </c>
      <c r="C153" s="24">
        <v>7.25</v>
      </c>
      <c r="D153" s="65" t="str">
        <f>HYPERLINK("https://github.com/mostafa-saad/MyCompetitiveProgramming/blob/master/Olympiad/COCI/COCI-08-Krtica.txt","Sol")</f>
        <v>Sol</v>
      </c>
      <c r="E153" s="31" t="s">
        <v>1337</v>
      </c>
      <c r="F153" s="37"/>
      <c r="G153" s="24"/>
      <c r="H153" s="24"/>
    </row>
    <row r="154" spans="1:8" ht="13.2">
      <c r="A154" s="65" t="str">
        <f>HYPERLINK("https://oj.uz/problem/view/BOI19_necklace4","Baltic 19-necklace4")</f>
        <v>Baltic 19-necklace4</v>
      </c>
      <c r="B154" s="37" t="s">
        <v>6829</v>
      </c>
      <c r="C154" s="24">
        <v>7.25</v>
      </c>
      <c r="D154" s="65" t="str">
        <f>HYPERLINK("https://github.com/mostafa-saad/MyCompetitiveProgramming/tree/master/Olympiad/Baltic/official/boi2019_solutions","Editorial")</f>
        <v>Editorial</v>
      </c>
      <c r="E154" s="31" t="s">
        <v>1337</v>
      </c>
      <c r="F154" s="37"/>
      <c r="G154" s="24"/>
      <c r="H154" s="24"/>
    </row>
    <row r="155" spans="1:8" ht="13.2">
      <c r="A155" s="65" t="str">
        <f>HYPERLINK("https://cses.fi/99/list/","Baltic 12-Tiny")</f>
        <v>Baltic 12-Tiny</v>
      </c>
      <c r="B155" s="37" t="s">
        <v>7527</v>
      </c>
      <c r="C155" s="24">
        <v>7.25</v>
      </c>
      <c r="D155" s="69"/>
      <c r="E155" s="31" t="s">
        <v>7525</v>
      </c>
      <c r="F155" s="37"/>
      <c r="G155" s="24"/>
      <c r="H155" s="24"/>
    </row>
    <row r="156" spans="1:8" ht="13.2">
      <c r="A156" s="65" t="str">
        <f>HYPERLINK("https://dunjudge.me/analysis/problems/1660/","IOIPractice 17-mountains")</f>
        <v>IOIPractice 17-mountains</v>
      </c>
      <c r="B156" s="15" t="s">
        <v>7527</v>
      </c>
      <c r="C156" s="24">
        <v>7.25</v>
      </c>
      <c r="D156" s="69"/>
      <c r="E156" s="31" t="s">
        <v>7525</v>
      </c>
      <c r="F156" s="37"/>
      <c r="G156" s="24"/>
      <c r="H156" s="24"/>
    </row>
    <row r="157" spans="1:8" ht="13.2">
      <c r="A157" s="65" t="str">
        <f>HYPERLINK("https://oj.uz/problem/view/COCI15_drzava","COCI 15-drzava")</f>
        <v>COCI 15-drzava</v>
      </c>
      <c r="B157" s="15" t="s">
        <v>7061</v>
      </c>
      <c r="C157" s="24">
        <v>7.25</v>
      </c>
      <c r="D157" s="65" t="str">
        <f>HYPERLINK("https://github.com/mostafa-saad/MyCompetitiveProgramming/blob/master/Olympiad/COCI/official/2016/contest2_solutions","Editorial")</f>
        <v>Editorial</v>
      </c>
      <c r="E157" s="31" t="s">
        <v>2510</v>
      </c>
      <c r="F157" s="37"/>
      <c r="G157" s="24"/>
      <c r="H157" s="24"/>
    </row>
    <row r="158" spans="1:8" ht="13.2">
      <c r="A158" s="65" t="str">
        <f>HYPERLINK("https://cses.fi/101/list/","Baltic 11-Polygon")</f>
        <v>Baltic 11-Polygon</v>
      </c>
      <c r="B158" s="37" t="s">
        <v>2947</v>
      </c>
      <c r="C158" s="24">
        <v>7.25</v>
      </c>
      <c r="D158" s="65" t="str">
        <f>HYPERLINK("https://github.com/mostafa-saad/MyCompetitiveProgramming/blob/master/Olympiad/Baltic/official/boi2011_solutions","Editorial")</f>
        <v>Editorial</v>
      </c>
      <c r="E158" s="31" t="s">
        <v>2948</v>
      </c>
      <c r="F158" s="37"/>
      <c r="G158" s="24"/>
      <c r="H158" s="24"/>
    </row>
    <row r="159" spans="1:8" ht="13.2">
      <c r="A159" s="65" t="str">
        <f>HYPERLINK("https://csacademy.com/contest/ioi-2016-training-round-5/task/empty-triangles/","IOIPractice 16-empty-triangles")</f>
        <v>IOIPractice 16-empty-triangles</v>
      </c>
      <c r="B159" s="37" t="s">
        <v>7096</v>
      </c>
      <c r="C159" s="24">
        <v>7.25</v>
      </c>
      <c r="D159" s="69"/>
      <c r="E159" s="31" t="s">
        <v>3065</v>
      </c>
      <c r="F159" s="37"/>
      <c r="G159" s="24"/>
      <c r="H159" s="24"/>
    </row>
    <row r="160" spans="1:8" ht="13.2">
      <c r="A160" s="65" t="str">
        <f>HYPERLINK("https://oj.uz/problem/view/COI18_zagonetka","COI 18-zagonetka")</f>
        <v>COI 18-zagonetka</v>
      </c>
      <c r="B160" s="20" t="s">
        <v>3340</v>
      </c>
      <c r="C160" s="24">
        <v>7.25</v>
      </c>
      <c r="D160" s="69"/>
      <c r="E160" s="31" t="s">
        <v>3257</v>
      </c>
      <c r="F160" s="37"/>
      <c r="G160" s="24"/>
      <c r="H160" s="24"/>
    </row>
    <row r="161" spans="1:8" ht="13.2">
      <c r="A161" s="65" t="str">
        <f>HYPERLINK("https://wcipeg.com/problem/coci092p5","COCI 09-Poslozi")</f>
        <v>COCI 09-Poslozi</v>
      </c>
      <c r="B161" s="15" t="s">
        <v>7171</v>
      </c>
      <c r="C161" s="24">
        <v>7.25</v>
      </c>
      <c r="D161" s="65" t="str">
        <f>HYPERLINK("https://github.com/mostafa-saad/MyCompetitiveProgramming/blob/master/Olympiad/COCI/official/2010/contest2_solutions","Editorial")</f>
        <v>Editorial</v>
      </c>
      <c r="E161" s="31" t="s">
        <v>3467</v>
      </c>
      <c r="F161" s="37"/>
      <c r="G161" s="24"/>
      <c r="H161" s="24"/>
    </row>
    <row r="162" spans="1:8" ht="13.2">
      <c r="A162" s="65" t="str">
        <f>HYPERLINK("https://cses.fi/190/list/","CEOI 08-Order")</f>
        <v>CEOI 08-Order</v>
      </c>
      <c r="B162" s="20" t="s">
        <v>7595</v>
      </c>
      <c r="C162" s="24">
        <v>7.25</v>
      </c>
      <c r="D162" s="65" t="str">
        <f>HYPERLINK("https://github.com/mostafa-saad/MyCompetitiveProgramming/tree/master/Olympiad/CEOI/official/2008","Editorial")</f>
        <v>Editorial</v>
      </c>
      <c r="E162" s="31" t="s">
        <v>4060</v>
      </c>
      <c r="F162" s="37"/>
      <c r="G162" s="24"/>
      <c r="H162" s="24"/>
    </row>
    <row r="163" spans="1:8" ht="13.2">
      <c r="A163" s="65" t="str">
        <f>HYPERLINK("https://szkopul.edu.pl/problemset/problem/DKfNUFPEex9M2RZxld6pPcxT/site/", "POI 05-Mirror")</f>
        <v>POI 05-Mirror</v>
      </c>
      <c r="B163" s="37" t="s">
        <v>7307</v>
      </c>
      <c r="C163" s="24">
        <v>7.25</v>
      </c>
      <c r="D163" s="65" t="str">
        <f>HYPERLINK("https://github.com/mostafa-saad/MyCompetitiveProgramming/blob/master/Olympiad/POI/official/find_editorial_sols_guidelines.txt","Editorial")</f>
        <v>Editorial</v>
      </c>
      <c r="E163" s="31" t="s">
        <v>4531</v>
      </c>
      <c r="F163" s="37"/>
      <c r="G163" s="24"/>
      <c r="H163" s="24"/>
    </row>
    <row r="164" spans="1:8" ht="13.2">
      <c r="A164" s="65" t="str">
        <f>HYPERLINK("https://oj.uz/problem/view/COI16_palinilap","COI 16-palinilap")</f>
        <v>COI 16-palinilap</v>
      </c>
      <c r="B164" s="20" t="s">
        <v>7516</v>
      </c>
      <c r="C164" s="24">
        <v>7.2</v>
      </c>
      <c r="D164" s="65" t="str">
        <f>HYPERLINK("https://github.com/mostafa-saad/MyCompetitiveProgramming/blob/master/Olympiad/COI/COI-16-palinilap.txt","Sol")</f>
        <v>Sol</v>
      </c>
      <c r="E164" s="31" t="s">
        <v>6505</v>
      </c>
      <c r="F164" s="37" t="s">
        <v>139</v>
      </c>
      <c r="G164" s="24"/>
      <c r="H164" s="24"/>
    </row>
    <row r="165" spans="1:8" ht="13.2">
      <c r="A165" s="65" t="str">
        <f>HYPERLINK("https://csacademy.com/contest/balkan-oi-2017-day-2/","Balkan 17-Cats")</f>
        <v>Balkan 17-Cats</v>
      </c>
      <c r="B165" s="18" t="s">
        <v>6830</v>
      </c>
      <c r="C165" s="17">
        <v>7.1</v>
      </c>
      <c r="D165" s="65" t="str">
        <f>HYPERLINK("https://github.com/mostafa-saad/MyCompetitiveProgramming/blob/master/Olympiad/Balkan/Balkan-17-Cats.txt","Sol")</f>
        <v>Sol</v>
      </c>
      <c r="E165" s="31" t="s">
        <v>1337</v>
      </c>
      <c r="F165" s="37" t="s">
        <v>1053</v>
      </c>
      <c r="G165" s="24"/>
      <c r="H165" s="24"/>
    </row>
    <row r="166" spans="1:8" ht="13.2">
      <c r="A166" s="65" t="str">
        <f>HYPERLINK("https://oj.uz/problem/view/COI14_gta","COI 14-gta")</f>
        <v>COI 14-gta</v>
      </c>
      <c r="B166" s="20" t="s">
        <v>6572</v>
      </c>
      <c r="C166" s="24">
        <v>7.1</v>
      </c>
      <c r="D166" s="65" t="str">
        <f>HYPERLINK("https://github.com/mostafa-saad/MyCompetitiveProgramming/blob/master/Olympiad/COI/COI-14-gta.txt","Sol")</f>
        <v>Sol</v>
      </c>
      <c r="E166" s="31" t="s">
        <v>125</v>
      </c>
      <c r="F166" s="37" t="s">
        <v>154</v>
      </c>
      <c r="G166" s="24"/>
      <c r="H166" s="24"/>
    </row>
    <row r="167" spans="1:8" ht="13.2">
      <c r="A167" s="65" t="str">
        <f>HYPERLINK("https://szkopul.edu.pl/problemset/problem/oSpFEpvAxKNk0Il-nOe5L9El/site/", "POI 08-Robinson")</f>
        <v>POI 08-Robinson</v>
      </c>
      <c r="B167" s="37" t="s">
        <v>7457</v>
      </c>
      <c r="C167" s="24">
        <v>7.1</v>
      </c>
      <c r="D167" s="65" t="str">
        <f>HYPERLINK("https://github.com/mostafa-saad/MyCompetitiveProgramming/blob/master/Olympiad/POI/POI-08-Robinson.txt","Sol")</f>
        <v>Sol</v>
      </c>
      <c r="E167" s="31" t="s">
        <v>6362</v>
      </c>
      <c r="F167" s="37" t="s">
        <v>154</v>
      </c>
      <c r="G167" s="24"/>
      <c r="H167" s="24"/>
    </row>
    <row r="168" spans="1:8" ht="13.2">
      <c r="A168" s="65" t="str">
        <f>HYPERLINK("https://oj.uz/problem/view/IOI13_wombats","IOI 13-wombats")</f>
        <v>IOI 13-wombats</v>
      </c>
      <c r="B168" s="37" t="s">
        <v>6755</v>
      </c>
      <c r="C168" s="24">
        <v>7.1</v>
      </c>
      <c r="D168" s="65" t="str">
        <f>HYPERLINK("https://github.com/mostafa-saad/MyCompetitiveProgramming/blob/master/Olympiad/IOI/IOI-13-wombats.txt","Sol")</f>
        <v>Sol</v>
      </c>
      <c r="E168" s="31" t="s">
        <v>1018</v>
      </c>
      <c r="F168" s="37" t="s">
        <v>154</v>
      </c>
      <c r="G168" s="24"/>
      <c r="H168" s="24"/>
    </row>
    <row r="169" spans="1:8" ht="13.2">
      <c r="A169" s="65" t="str">
        <f>HYPERLINK("https://oj.uz/problem/view/APIO17_rainbow","APIO 17-rainbow")</f>
        <v>APIO 17-rainbow</v>
      </c>
      <c r="B169" s="20" t="s">
        <v>6756</v>
      </c>
      <c r="C169" s="24">
        <v>7.1</v>
      </c>
      <c r="D169" s="65" t="str">
        <f>HYPERLINK("https://github.com/mostafa-saad/MyCompetitiveProgramming/blob/master/Olympiad/APIO/APIO-17-rainbow.txt","Sol")</f>
        <v>Sol</v>
      </c>
      <c r="E169" s="31" t="s">
        <v>1018</v>
      </c>
      <c r="F169" s="37" t="s">
        <v>154</v>
      </c>
      <c r="G169" s="24"/>
      <c r="H169" s="24"/>
    </row>
    <row r="170" spans="1:8" ht="13.2">
      <c r="A170" s="65" t="str">
        <f>HYPERLINK("https://oj.uz/problem/view/IOI12_city","IOI 12-city")</f>
        <v>IOI 12-city</v>
      </c>
      <c r="B170" s="15" t="s">
        <v>7498</v>
      </c>
      <c r="C170" s="24">
        <v>7.1</v>
      </c>
      <c r="D170" s="65" t="str">
        <f>HYPERLINK("https://github.com/mostafa-saad/MyCompetitiveProgramming/blob/master/Olympiad/IOI/IOI-12-city.txt","Sol")</f>
        <v>Sol</v>
      </c>
      <c r="E170" s="31" t="s">
        <v>6459</v>
      </c>
      <c r="F170" s="37" t="s">
        <v>154</v>
      </c>
      <c r="G170" s="24"/>
      <c r="H170" s="24"/>
    </row>
    <row r="171" spans="1:8" ht="13.2">
      <c r="A171" s="65" t="str">
        <f>HYPERLINK("https://oj.uz/problem/view/IOI07_training","IOI 07-training")</f>
        <v>IOI 07-training</v>
      </c>
      <c r="B171" s="20" t="s">
        <v>7499</v>
      </c>
      <c r="C171" s="24">
        <v>7.1</v>
      </c>
      <c r="D171" s="65" t="str">
        <f>HYPERLINK("https://github.com/mostafa-saad/MyCompetitiveProgramming/blob/master/Olympiad/IOI/IOI-07-training.txt","Sol")</f>
        <v>Sol</v>
      </c>
      <c r="E171" s="31" t="s">
        <v>6459</v>
      </c>
      <c r="F171" s="37" t="s">
        <v>154</v>
      </c>
      <c r="G171" s="24"/>
      <c r="H171" s="24"/>
    </row>
    <row r="172" spans="1:8" ht="13.2">
      <c r="A172" s="65" t="str">
        <f>HYPERLINK("http://www.spoj.com/problems/BACKUP/", "APIO 07-Backup")</f>
        <v>APIO 07-Backup</v>
      </c>
      <c r="B172" s="18" t="s">
        <v>6980</v>
      </c>
      <c r="C172" s="17">
        <v>7.1</v>
      </c>
      <c r="D172" s="65" t="str">
        <f>HYPERLINK("https://github.com/mostafa-saad/MyCompetitiveProgramming/blob/master/Olympiad/APIO/APIO-07-Backup.txt","Sol")</f>
        <v>Sol</v>
      </c>
      <c r="E172" s="31" t="s">
        <v>2153</v>
      </c>
      <c r="F172" s="37" t="s">
        <v>154</v>
      </c>
      <c r="G172" s="24"/>
      <c r="H172" s="24"/>
    </row>
    <row r="173" spans="1:8" ht="13.2">
      <c r="A173" s="65" t="str">
        <f>HYPERLINK("https://cses.fi/107/list/","Baltic 09-Candy")</f>
        <v>Baltic 09-Candy</v>
      </c>
      <c r="B173" s="20" t="s">
        <v>6981</v>
      </c>
      <c r="C173" s="17">
        <v>7.1</v>
      </c>
      <c r="D173" s="65" t="str">
        <f>HYPERLINK("https://github.com/Szawinis/CompetitiveProgramming/blob/master/Olympiad/Baltic/Baltic09-candy.cpp","Sol")</f>
        <v>Sol</v>
      </c>
      <c r="E173" s="31" t="s">
        <v>2153</v>
      </c>
      <c r="F173" s="37" t="s">
        <v>154</v>
      </c>
      <c r="G173" s="24"/>
      <c r="H173" s="24"/>
    </row>
    <row r="174" spans="1:8" ht="13.2">
      <c r="A174" s="65" t="str">
        <f>HYPERLINK("https://dmoj.ca/problem/coci15c3p6","COCI 15-Domino")</f>
        <v>COCI 15-Domino</v>
      </c>
      <c r="B174" s="37" t="s">
        <v>7119</v>
      </c>
      <c r="C174" s="24">
        <v>7.1</v>
      </c>
      <c r="D174" s="65" t="str">
        <f>HYPERLINK("https://github.com/mostafa-saad/MyCompetitiveProgramming/blob/master/Olympiad/COCI/COCI-15-Domino.txt","Sol")</f>
        <v>Sol</v>
      </c>
      <c r="E174" s="31" t="s">
        <v>3257</v>
      </c>
      <c r="F174" s="37" t="s">
        <v>154</v>
      </c>
      <c r="G174" s="24"/>
      <c r="H174" s="24"/>
    </row>
    <row r="175" spans="1:8" ht="13.2">
      <c r="A175" s="65" t="str">
        <f>HYPERLINK("https://szkopul.edu.pl/problemset/problem/YY6-3ua-C1rt7q-97laWc0UP/site/", "POI 16-Journey")</f>
        <v>POI 16-Journey</v>
      </c>
      <c r="B175" s="37" t="s">
        <v>7286</v>
      </c>
      <c r="C175" s="24">
        <v>7.1</v>
      </c>
      <c r="D175" s="65" t="str">
        <f>HYPERLINK("https://github.com/mostafa-saad/MyCompetitiveProgramming/blob/master/Olympiad/POI/POI-16-Journey.txt","Sol")</f>
        <v>Sol</v>
      </c>
      <c r="E175" s="31" t="s">
        <v>4423</v>
      </c>
      <c r="F175" s="37" t="s">
        <v>154</v>
      </c>
      <c r="G175" s="24"/>
      <c r="H175" s="24"/>
    </row>
    <row r="176" spans="1:8" ht="13.2">
      <c r="A176" s="65" t="str">
        <f>HYPERLINK("https://oj.uz/problem/view/JOI16_joiris","JOIOC 16-joiris")</f>
        <v>JOIOC 16-joiris</v>
      </c>
      <c r="B176" s="23" t="s">
        <v>7339</v>
      </c>
      <c r="C176" s="24">
        <v>7.1</v>
      </c>
      <c r="D176" s="65" t="str">
        <f>HYPERLINK("https://github.com/mostafa-saad/MyCompetitiveProgramming/blob/master/Olympiad/JOI/JOIOC-16-joiris.txt","Sol")</f>
        <v>Sol</v>
      </c>
      <c r="E176" s="31" t="s">
        <v>4867</v>
      </c>
      <c r="F176" s="37" t="s">
        <v>154</v>
      </c>
      <c r="G176" s="24"/>
      <c r="H176" s="24"/>
    </row>
    <row r="177" spans="1:8" ht="13.2">
      <c r="A177" s="65" t="str">
        <f>HYPERLINK("https://oj.uz/problem/view/IOI17_wiring","IOI 17-wiring")</f>
        <v>IOI 17-wiring</v>
      </c>
      <c r="B177" s="15" t="s">
        <v>6831</v>
      </c>
      <c r="C177" s="17">
        <v>7.1</v>
      </c>
      <c r="D177" s="65" t="str">
        <f>HYPERLINK("https://github.com/mostafa-saad/MyCompetitiveProgramming/blob/master/Olympiad/IOI/IOI-17-wiring.txt","Sol")</f>
        <v>Sol</v>
      </c>
      <c r="E177" s="31" t="s">
        <v>1337</v>
      </c>
      <c r="F177" s="37" t="s">
        <v>139</v>
      </c>
      <c r="G177" s="24"/>
      <c r="H177" s="24"/>
    </row>
    <row r="178" spans="1:8" ht="13.2">
      <c r="A178" s="65" t="str">
        <f>HYPERLINK("https://oj.uz/problem/view/APIO16_boat","APIO 16-boat")</f>
        <v>APIO 16-boat</v>
      </c>
      <c r="B178" s="15" t="s">
        <v>6943</v>
      </c>
      <c r="C178" s="24">
        <v>7.1</v>
      </c>
      <c r="D178" s="65" t="str">
        <f>HYPERLINK("https://github.com/mostafa-saad/MyCompetitiveProgramming/blob/master/Olympiad/APIO/APIO-16-boat.txt","Sol")</f>
        <v>Sol</v>
      </c>
      <c r="E178" s="31" t="s">
        <v>1716</v>
      </c>
      <c r="F178" s="37" t="s">
        <v>139</v>
      </c>
      <c r="G178" s="24"/>
      <c r="H178" s="24"/>
    </row>
    <row r="179" spans="1:8" ht="13.2">
      <c r="A179" s="65" t="str">
        <f>HYPERLINK("https://codeforces.com/gym/102032/problem/D","Innopolis 19-Q1-D")</f>
        <v>Innopolis 19-Q1-D</v>
      </c>
      <c r="B179" s="37" t="s">
        <v>7527</v>
      </c>
      <c r="C179" s="17">
        <v>7.1</v>
      </c>
      <c r="D179" s="69"/>
      <c r="E179" s="31" t="s">
        <v>7525</v>
      </c>
      <c r="F179" s="37" t="s">
        <v>139</v>
      </c>
      <c r="G179" s="24"/>
      <c r="H179" s="24"/>
    </row>
    <row r="180" spans="1:8" ht="13.2">
      <c r="A180" s="65" t="str">
        <f>HYPERLINK("https://codeforces.com/gym/102436?locale=en","Innopolis 20-Q1-D")</f>
        <v>Innopolis 20-Q1-D</v>
      </c>
      <c r="B180" s="37" t="s">
        <v>7527</v>
      </c>
      <c r="C180" s="17">
        <v>7.1</v>
      </c>
      <c r="D180" s="69"/>
      <c r="E180" s="31" t="s">
        <v>7525</v>
      </c>
      <c r="F180" s="37" t="s">
        <v>139</v>
      </c>
      <c r="G180" s="24"/>
      <c r="H180" s="24"/>
    </row>
    <row r="181" spans="1:8" ht="13.2">
      <c r="A181" s="65" t="str">
        <f>HYPERLINK("https://oj.uz/problem/view/IOI19_job","IOIPractice 19-Job")</f>
        <v>IOIPractice 19-Job</v>
      </c>
      <c r="B181" s="20" t="s">
        <v>6982</v>
      </c>
      <c r="C181" s="17">
        <v>7.1</v>
      </c>
      <c r="D181" s="65" t="str">
        <f>HYPERLINK("https://github.com/mostafa-saad/MyCompetitiveProgramming/blob/master/Olympiad/IOI/IOIPractice-19-Job.txt","Sol")</f>
        <v>Sol</v>
      </c>
      <c r="E181" s="31" t="s">
        <v>2153</v>
      </c>
      <c r="F181" s="37" t="s">
        <v>139</v>
      </c>
      <c r="G181" s="24"/>
      <c r="H181" s="24"/>
    </row>
    <row r="182" spans="1:8" ht="13.2">
      <c r="A182" s="65" t="str">
        <f>HYPERLINK("https://oj.uz/problem/view/JOI17_dragon2","JOISC 17-dragon2")</f>
        <v>JOISC 17-dragon2</v>
      </c>
      <c r="B182" s="20" t="s">
        <v>7102</v>
      </c>
      <c r="C182" s="24">
        <v>7.1</v>
      </c>
      <c r="D182" s="65" t="str">
        <f>HYPERLINK("https://github.com/mostafa-saad/MyCompetitiveProgramming/blob/master/Olympiad/POI/JOI/JOISC-17-dragon2.txt","Sol")</f>
        <v>Sol</v>
      </c>
      <c r="E182" s="31" t="s">
        <v>3140</v>
      </c>
      <c r="F182" s="37" t="s">
        <v>139</v>
      </c>
      <c r="G182" s="24"/>
      <c r="H182" s="24"/>
    </row>
    <row r="183" spans="1:8" ht="13.2">
      <c r="A183" s="65" t="str">
        <f>HYPERLINK("http://usaco.org/index.php?page=viewproblem2&amp;cpid=901", "USACO 19jan-exercise")</f>
        <v>USACO 19jan-exercise</v>
      </c>
      <c r="B183" s="20" t="s">
        <v>7120</v>
      </c>
      <c r="C183" s="21">
        <v>7.1</v>
      </c>
      <c r="D183" s="69"/>
      <c r="E183" s="31" t="s">
        <v>3257</v>
      </c>
      <c r="F183" s="37" t="s">
        <v>139</v>
      </c>
      <c r="G183" s="24"/>
      <c r="H183" s="24"/>
    </row>
    <row r="184" spans="1:8" ht="13.2">
      <c r="A184" s="65" t="str">
        <f>HYPERLINK("https://szkopul.edu.pl/problemset/problem/e9ycK_efBDBt4aPs-QeqYpwR/site/", "POI 14-Supercomputer")</f>
        <v>POI 14-Supercomputer</v>
      </c>
      <c r="B184" s="37" t="s">
        <v>7121</v>
      </c>
      <c r="C184" s="24">
        <v>7.1</v>
      </c>
      <c r="D184" s="65" t="str">
        <f>HYPERLINK("https://github.com/mostafa-saad/MyCompetitiveProgramming/blob/master/Olympiad/POI/POI-14-Supercomputer.txt","Sol")</f>
        <v>Sol</v>
      </c>
      <c r="E184" s="31" t="s">
        <v>3257</v>
      </c>
      <c r="F184" s="37" t="s">
        <v>139</v>
      </c>
      <c r="G184" s="24"/>
      <c r="H184" s="24"/>
    </row>
    <row r="185" spans="1:8" ht="13.2">
      <c r="A185" s="65" t="str">
        <f>HYPERLINK("https://oj.uz/problem/view/IOI18_werewolf","IOI 18-werewolf")</f>
        <v>IOI 18-werewolf</v>
      </c>
      <c r="B185" s="20" t="s">
        <v>7227</v>
      </c>
      <c r="C185" s="21">
        <v>7.1</v>
      </c>
      <c r="D185" s="65" t="str">
        <f>HYPERLINK("https://github.com/mostafa-saad/MyCompetitiveProgramming/blob/master/Olympiad/IOI/IOI-18-Werewolf.txt","Sol")</f>
        <v>Sol</v>
      </c>
      <c r="E185" s="31" t="s">
        <v>3883</v>
      </c>
      <c r="F185" s="37" t="s">
        <v>139</v>
      </c>
      <c r="G185" s="24"/>
      <c r="H185" s="24"/>
    </row>
    <row r="186" spans="1:8" ht="13.2">
      <c r="A186" s="65" t="str">
        <f>HYPERLINK("https://szkopul.edu.pl/problemset/problem/XNaC6RSk8o9MIJkuaL6O4t0u/site/", "POI 08-Escape")</f>
        <v>POI 08-Escape</v>
      </c>
      <c r="B186" s="37" t="s">
        <v>6944</v>
      </c>
      <c r="C186" s="24">
        <v>7.1</v>
      </c>
      <c r="D186" s="65" t="str">
        <f>HYPERLINK("https://github.com/mostafa-saad/MyCompetitiveProgramming/blob/master/Olympiad/POI/POI-08-Escape.txt","Sol")</f>
        <v>Sol</v>
      </c>
      <c r="E186" s="31" t="s">
        <v>1734</v>
      </c>
      <c r="F186" s="37" t="s">
        <v>201</v>
      </c>
      <c r="G186" s="24"/>
      <c r="H186" s="24"/>
    </row>
    <row r="187" spans="1:8" ht="13.2">
      <c r="A187" s="65" t="str">
        <f>HYPERLINK("https://oj.uz/problem/view/APIO14_beads","APIO 14-Beads")</f>
        <v>APIO 14-Beads</v>
      </c>
      <c r="B187" s="20" t="s">
        <v>7596</v>
      </c>
      <c r="C187" s="17">
        <v>7.1</v>
      </c>
      <c r="D187" s="65" t="str">
        <f>HYPERLINK("https://github.com/tmwilliamlin168/CompetitiveProgramming/blob/master/APIO/14-Beads.cpp", "Sol")</f>
        <v>Sol</v>
      </c>
      <c r="E187" s="31" t="s">
        <v>6151</v>
      </c>
      <c r="F187" s="37"/>
      <c r="G187" s="24"/>
      <c r="H187" s="24"/>
    </row>
    <row r="188" spans="1:8" ht="13.2">
      <c r="A188" s="65" t="str">
        <f>HYPERLINK("https://csacademy.com/contest/junior-challenge-2017-day-1/task/chromatic-number/","ROJS 17-chromatic_number")</f>
        <v>ROJS 17-chromatic_number</v>
      </c>
      <c r="B188" s="37" t="s">
        <v>6832</v>
      </c>
      <c r="C188" s="24">
        <v>7.1</v>
      </c>
      <c r="D188" s="69"/>
      <c r="E188" s="31" t="s">
        <v>1337</v>
      </c>
      <c r="F188" s="37"/>
      <c r="G188" s="24"/>
      <c r="H188" s="24"/>
    </row>
    <row r="189" spans="1:8" ht="13.2">
      <c r="A189" s="65" t="str">
        <f>HYPERLINK("https://szkopul.edu.pl/problemset/problem/ghEjb6qGVGsGk_KgYqdXZNna/site/", "POI 14-Around")</f>
        <v>POI 14-Around</v>
      </c>
      <c r="B189" s="20" t="s">
        <v>2163</v>
      </c>
      <c r="C189" s="24">
        <v>7.1</v>
      </c>
      <c r="D189" s="69"/>
      <c r="E189" s="31" t="s">
        <v>2153</v>
      </c>
      <c r="F189" s="37"/>
      <c r="G189" s="24"/>
      <c r="H189" s="24"/>
    </row>
    <row r="190" spans="1:8" ht="13.2">
      <c r="A190" s="65" t="str">
        <f>HYPERLINK("https://oj.uz/problem/view/IOI18_highway","IOI 18-highway")</f>
        <v>IOI 18-highway</v>
      </c>
      <c r="B190" s="20" t="s">
        <v>7206</v>
      </c>
      <c r="C190" s="24">
        <v>7.1</v>
      </c>
      <c r="D190" s="65" t="str">
        <f>HYPERLINK("https://github.com/mostafa-saad/MyCompetitiveProgramming/blob/master/Olympiad/IOI/official/2018","Editorial")</f>
        <v>Editorial</v>
      </c>
      <c r="E190" s="31" t="s">
        <v>3784</v>
      </c>
      <c r="F190" s="37"/>
      <c r="G190" s="24"/>
      <c r="H190" s="24"/>
    </row>
    <row r="191" spans="1:8" ht="13.2">
      <c r="A191" s="65" t="str">
        <f>HYPERLINK("https://tioj.ck.tp.edu.tw/problems/1748","APIO 11-Color")</f>
        <v>APIO 11-Color</v>
      </c>
      <c r="B191" s="20" t="s">
        <v>7185</v>
      </c>
      <c r="C191" s="17">
        <v>7</v>
      </c>
      <c r="D191" s="65" t="str">
        <f>HYPERLINK("https://github.com/mostafa-saad/MyCompetitiveProgramming/blob/master/Olympiad/APIO/APIO-11-Color.txt","Sol")</f>
        <v>Sol</v>
      </c>
      <c r="E191" s="31" t="s">
        <v>3650</v>
      </c>
      <c r="F191" s="37" t="s">
        <v>173</v>
      </c>
      <c r="G191" s="24"/>
      <c r="H191" s="24"/>
    </row>
    <row r="192" spans="1:8" ht="13.2">
      <c r="A192" s="65" t="str">
        <f>HYPERLINK("https://www.acmicpc.net/problem/5250","Balkan 12-ShortestPaths")</f>
        <v>Balkan 12-ShortestPaths</v>
      </c>
      <c r="B192" s="37" t="s">
        <v>7207</v>
      </c>
      <c r="C192" s="24">
        <v>7</v>
      </c>
      <c r="D192" s="65" t="str">
        <f>HYPERLINK("https://github.com/mostafa-saad/MyCompetitiveProgramming/blob/master/Olympiad/Balkan/Balkan-12-ShortestPaths.txt","Sol")</f>
        <v>Sol</v>
      </c>
      <c r="E192" s="31" t="s">
        <v>3784</v>
      </c>
      <c r="F192" s="37" t="s">
        <v>173</v>
      </c>
      <c r="G192" s="24"/>
      <c r="H192" s="24"/>
    </row>
    <row r="193" spans="1:8" ht="13.2">
      <c r="A193" s="65" t="str">
        <f>HYPERLINK("https://oj.uz/problem/view/IOI16_messy","IOI 16-messy")</f>
        <v>IOI 16-messy</v>
      </c>
      <c r="B193" s="18" t="s">
        <v>6573</v>
      </c>
      <c r="C193" s="17">
        <v>7</v>
      </c>
      <c r="D193" s="65" t="str">
        <f>HYPERLINK("https://github.com/mostafa-saad/MyCompetitiveProgramming/blob/master/Olympiad/IOI/IOI-16-messy.txt","Sol")</f>
        <v>Sol</v>
      </c>
      <c r="E193" s="31" t="s">
        <v>125</v>
      </c>
      <c r="F193" s="37" t="s">
        <v>154</v>
      </c>
      <c r="G193" s="24"/>
      <c r="H193" s="24"/>
    </row>
    <row r="194" spans="1:8" ht="13.2">
      <c r="A194" s="65" t="str">
        <f>HYPERLINK("https://oj.uz/problems/source/315","JOISC 18-airline")</f>
        <v>JOISC 18-airline</v>
      </c>
      <c r="B194" s="18" t="s">
        <v>6574</v>
      </c>
      <c r="C194" s="17">
        <v>7</v>
      </c>
      <c r="D194" s="65" t="str">
        <f>HYPERLINK("https://github.com/mostafa-saad/MyCompetitiveProgramming/blob/master/Olympiad/JOI/JOISC-18-airline.txt","Sol")</f>
        <v>Sol</v>
      </c>
      <c r="E194" s="31" t="s">
        <v>125</v>
      </c>
      <c r="F194" s="37" t="s">
        <v>154</v>
      </c>
      <c r="G194" s="24"/>
      <c r="H194" s="24"/>
    </row>
    <row r="195" spans="1:8" ht="13.2">
      <c r="A195" s="65" t="str">
        <f>HYPERLINK("https://codeforces.com/group/R2SERIff4f/contest/213171/problem/R","MCO 17-MagicalTeleporter")</f>
        <v>MCO 17-MagicalTeleporter</v>
      </c>
      <c r="B195" s="37" t="s">
        <v>7493</v>
      </c>
      <c r="C195" s="24">
        <v>7</v>
      </c>
      <c r="D195" s="65" t="str">
        <f>HYPERLINK("https://github.com/mostafa-saad/MyCompetitiveProgramming/tree/master/Olympiad/MCO/official","Editorial")</f>
        <v>Editorial</v>
      </c>
      <c r="E195" s="31" t="s">
        <v>7492</v>
      </c>
      <c r="F195" s="37" t="s">
        <v>154</v>
      </c>
      <c r="G195" s="24"/>
      <c r="H195" s="24"/>
    </row>
    <row r="196" spans="1:8" ht="13.2">
      <c r="A196" s="65" t="str">
        <f>HYPERLINK("https://dunjudge.me/analysis/problems/1362/","COCI 12-mars")</f>
        <v>COCI 12-mars</v>
      </c>
      <c r="B196" s="20" t="s">
        <v>6975</v>
      </c>
      <c r="C196" s="24">
        <v>7</v>
      </c>
      <c r="D196" s="65" t="str">
        <f>HYPERLINK("https://github.com/mostafa-saad/MyCompetitiveProgramming/blob/master/Olympiad/COCI/COCI-12-mars.txt","Find O(N^2logN). Editorial")</f>
        <v>Find O(N^2logN). Editorial</v>
      </c>
      <c r="E196" s="31" t="s">
        <v>2113</v>
      </c>
      <c r="F196" s="37" t="s">
        <v>154</v>
      </c>
      <c r="G196" s="24"/>
      <c r="H196" s="24"/>
    </row>
    <row r="197" spans="1:8" ht="13.2">
      <c r="A197" s="65" t="str">
        <f>HYPERLINK("https://oj.uz/problems/source/270","JOIOC 17-bulldozer")</f>
        <v>JOIOC 17-bulldozer</v>
      </c>
      <c r="B197" s="23" t="s">
        <v>7062</v>
      </c>
      <c r="C197" s="24">
        <v>7</v>
      </c>
      <c r="D197" s="65" t="str">
        <f>HYPERLINK("https://github.com/mostafa-saad/MyCompetitiveProgramming/blob/master/Olympiad/JOI/JOIOC-17-bulldozer.txt","Sol")</f>
        <v>Sol</v>
      </c>
      <c r="E197" s="31" t="s">
        <v>2510</v>
      </c>
      <c r="F197" s="37" t="s">
        <v>154</v>
      </c>
      <c r="G197" s="24"/>
      <c r="H197" s="24"/>
    </row>
    <row r="198" spans="1:8" ht="13.2">
      <c r="A198" s="65" t="str">
        <f>HYPERLINK("https://oj.uz/problem/view/COI15_cvenk","COI 15-cvenk")</f>
        <v>COI 15-cvenk</v>
      </c>
      <c r="B198" s="20" t="s">
        <v>7122</v>
      </c>
      <c r="C198" s="24">
        <v>7</v>
      </c>
      <c r="D198" s="65" t="str">
        <f>HYPERLINK("https://github.com/mostafa-saad/MyCompetitiveProgramming/blob/master/Olympiad/COI/COI-15-cvenk.txt","Sol")</f>
        <v>Sol</v>
      </c>
      <c r="E198" s="31" t="s">
        <v>3257</v>
      </c>
      <c r="F198" s="37" t="s">
        <v>154</v>
      </c>
      <c r="G198" s="24"/>
      <c r="H198" s="24"/>
    </row>
    <row r="199" spans="1:8" ht="13.2">
      <c r="A199" s="65" t="str">
        <f>HYPERLINK("https://szkopul.edu.pl/problemset/problem/eC-cABL-jWd4JdZDmfWufeeQ/site/", "POI 05-Parties")</f>
        <v>POI 05-Parties</v>
      </c>
      <c r="B199" s="37" t="s">
        <v>7123</v>
      </c>
      <c r="C199" s="24">
        <v>7</v>
      </c>
      <c r="D199" s="65" t="str">
        <f>HYPERLINK("https://github.com/mostafa-saad/MyCompetitiveProgramming/blob/master/Olympiad/POI/POI-05-Parties.txt","Sol")</f>
        <v>Sol</v>
      </c>
      <c r="E199" s="31" t="s">
        <v>3257</v>
      </c>
      <c r="F199" s="37" t="s">
        <v>154</v>
      </c>
      <c r="G199" s="24"/>
      <c r="H199" s="24"/>
    </row>
    <row r="200" spans="1:8" ht="13.2">
      <c r="A200" s="65" t="str">
        <f>HYPERLINK("https://oj.uz/problem/view/BOI14_sequence","Baltic 14-sequence")</f>
        <v>Baltic 14-sequence</v>
      </c>
      <c r="B200" s="20" t="s">
        <v>6710</v>
      </c>
      <c r="C200" s="24">
        <v>7</v>
      </c>
      <c r="D200" s="65" t="str">
        <f>HYPERLINK("https://github.com/mostafa-saad/MyCompetitiveProgramming/blob/master/Olympiad/Baltic/Baltic-14-sequence.txt","Sol")</f>
        <v>Sol</v>
      </c>
      <c r="E200" s="31" t="s">
        <v>655</v>
      </c>
      <c r="F200" s="37" t="s">
        <v>154</v>
      </c>
      <c r="G200" s="24"/>
      <c r="H200" s="24"/>
    </row>
    <row r="201" spans="1:8" ht="13.2">
      <c r="A201" s="65" t="str">
        <f>HYPERLINK("https://szkopul.edu.pl/problemset/problem/gh2Yj6Ckrt4Lo_RojONuljuC/site/", "POI 10-Bridges")</f>
        <v>POI 10-Bridges</v>
      </c>
      <c r="B201" s="37" t="s">
        <v>7255</v>
      </c>
      <c r="C201" s="24">
        <v>7</v>
      </c>
      <c r="D201" s="65" t="str">
        <f>HYPERLINK("https://github.com/mostafa-saad/MyCompetitiveProgramming/blob/master/Olympiad/POI/POI-10-Bridges.txt","Sol")</f>
        <v>Sol</v>
      </c>
      <c r="E201" s="31" t="s">
        <v>4060</v>
      </c>
      <c r="F201" s="37" t="s">
        <v>154</v>
      </c>
      <c r="G201" s="24"/>
      <c r="H201" s="24"/>
    </row>
    <row r="202" spans="1:8" ht="13.2">
      <c r="A202" s="65" t="str">
        <f>HYPERLINK("https://ioi2010.contest.atcoder.jp/tasks/ioi2010_2_4","IOI 10-saveit")</f>
        <v>IOI 10-saveit</v>
      </c>
      <c r="B202" s="20" t="s">
        <v>7264</v>
      </c>
      <c r="C202" s="24">
        <v>7</v>
      </c>
      <c r="D202" s="65" t="str">
        <f>HYPERLINK("https://github.com/mostafa-saad/MyCompetitiveProgramming/blob/master/Olympiad/IOI/IOI-10-saveit.txt","Sol")</f>
        <v>Sol</v>
      </c>
      <c r="E202" s="31" t="s">
        <v>4275</v>
      </c>
      <c r="F202" s="37" t="s">
        <v>154</v>
      </c>
      <c r="G202" s="24"/>
      <c r="H202" s="24"/>
    </row>
    <row r="203" spans="1:8" ht="13.2">
      <c r="A203" s="65" t="str">
        <f>HYPERLINK("https://oj.uz/problem/view/IOI15_towns","IOI 15-towns")</f>
        <v>IOI 15-towns</v>
      </c>
      <c r="B203" s="15" t="s">
        <v>6575</v>
      </c>
      <c r="C203" s="24">
        <v>7</v>
      </c>
      <c r="D203" s="65" t="str">
        <f>HYPERLINK("https://github.com/mostafa-saad/MyCompetitiveProgramming/blob/master/Olympiad/IOI/IOI-15-towns.txt","Sol")</f>
        <v>Sol</v>
      </c>
      <c r="E203" s="31" t="s">
        <v>125</v>
      </c>
      <c r="F203" s="37" t="s">
        <v>139</v>
      </c>
      <c r="G203" s="24"/>
      <c r="H203" s="24"/>
    </row>
    <row r="204" spans="1:8" ht="13.2">
      <c r="A204" s="65" t="str">
        <f>HYPERLINK("https://oj.uz/problems/source/213","JOIOC 16-selling_rna")</f>
        <v>JOIOC 16-selling_rna</v>
      </c>
      <c r="B204" s="15" t="s">
        <v>7368</v>
      </c>
      <c r="C204" s="17">
        <v>7</v>
      </c>
      <c r="D204" s="65" t="str">
        <f>HYPERLINK("https://github.com/mostafa-saad/MyCompetitiveProgramming/blob/master/Olympiad/JOI/JOIOC-16-selling_rna.txt","Sol")</f>
        <v>Sol</v>
      </c>
      <c r="E204" s="31" t="s">
        <v>5643</v>
      </c>
      <c r="F204" s="37" t="s">
        <v>139</v>
      </c>
      <c r="G204" s="24"/>
      <c r="H204" s="24"/>
    </row>
    <row r="205" spans="1:8" ht="13.2">
      <c r="A205" s="65" t="str">
        <f>HYPERLINK("https://www.infoarena.ro/problema/disconnect", "infoarena disconnect")</f>
        <v>infoarena disconnect</v>
      </c>
      <c r="B205" s="20" t="s">
        <v>7446</v>
      </c>
      <c r="C205" s="17">
        <v>7</v>
      </c>
      <c r="D205" s="65" t="str">
        <f>HYPERLINK("https://github.com/mostafa-saad/MyCompetitiveProgramming/blob/master/Olympiad/infoarena/infoarena-disconnect.txt","Sol")</f>
        <v>Sol</v>
      </c>
      <c r="E205" s="31" t="s">
        <v>6311</v>
      </c>
      <c r="F205" s="37" t="s">
        <v>139</v>
      </c>
      <c r="G205" s="24"/>
      <c r="H205" s="24"/>
    </row>
    <row r="206" spans="1:8" ht="13.2">
      <c r="A206" s="65" t="str">
        <f>HYPERLINK("https://codeforces.com/gym/102257/","APIO 19-bridges")</f>
        <v>APIO 19-bridges</v>
      </c>
      <c r="B206" s="23" t="s">
        <v>7476</v>
      </c>
      <c r="C206" s="24">
        <v>7</v>
      </c>
      <c r="D206" s="65" t="str">
        <f>HYPERLINK("https://github.com/mostafa-saad/MyCompetitiveProgramming/blob/master/Olympiad/APIO/APIO-19-bridges.txt","Sol")</f>
        <v>Sol</v>
      </c>
      <c r="E206" s="31" t="s">
        <v>6397</v>
      </c>
      <c r="F206" s="37" t="s">
        <v>139</v>
      </c>
      <c r="G206" s="24"/>
      <c r="H206" s="24"/>
    </row>
    <row r="207" spans="1:8" ht="13.2">
      <c r="A207" s="65" t="str">
        <f>HYPERLINK("https://szkopul.edu.pl/problemset/problem/5Z9PRRPP-R90WhmbSY_qHd-1/site/", "POI 04-Cave")</f>
        <v>POI 04-Cave</v>
      </c>
      <c r="B207" s="37" t="s">
        <v>6458</v>
      </c>
      <c r="C207" s="24">
        <v>7</v>
      </c>
      <c r="D207" s="65" t="str">
        <f>HYPERLINK("https://github.com/mostafa-saad/MyCompetitiveProgramming/blob/master/Olympiad/POI/POI-04-Cave.txt","Sol")</f>
        <v>Sol</v>
      </c>
      <c r="E207" s="31" t="s">
        <v>6459</v>
      </c>
      <c r="F207" s="37" t="s">
        <v>139</v>
      </c>
      <c r="G207" s="24"/>
      <c r="H207" s="24"/>
    </row>
    <row r="208" spans="1:8" ht="13.2">
      <c r="A208" s="65" t="str">
        <f>HYPERLINK("https://oj.uz/problem/view/COCI16_zoltan","COCI 16-zoltan")</f>
        <v>COCI 16-zoltan</v>
      </c>
      <c r="B208" s="20" t="s">
        <v>6804</v>
      </c>
      <c r="C208" s="24">
        <v>7</v>
      </c>
      <c r="D208" s="65" t="str">
        <f>HYPERLINK("https://github.com/mostafa-saad/MyCompetitiveProgramming/blob/master/Olympiad/COCI/COCI-16-zoltan.txt","Sol")</f>
        <v>Sol</v>
      </c>
      <c r="E208" s="31" t="s">
        <v>1223</v>
      </c>
      <c r="F208" s="37" t="s">
        <v>139</v>
      </c>
      <c r="G208" s="24"/>
      <c r="H208" s="24"/>
    </row>
    <row r="209" spans="1:8" ht="13.2">
      <c r="A209" s="65" t="str">
        <f>HYPERLINK("https://cses.fi/180/list/","CEOI 09-Sorting")</f>
        <v>CEOI 09-Sorting</v>
      </c>
      <c r="B209" s="20" t="s">
        <v>1348</v>
      </c>
      <c r="C209" s="24">
        <v>7</v>
      </c>
      <c r="D209" s="65" t="str">
        <f>HYPERLINK("https://github.com/mostafa-saad/MyCompetitiveProgramming/blob/master/Olympiad/CEOI/CEOI-09-Sorting.txt","Sol")</f>
        <v>Sol</v>
      </c>
      <c r="E209" s="31" t="s">
        <v>1337</v>
      </c>
      <c r="F209" s="37" t="s">
        <v>139</v>
      </c>
      <c r="G209" s="24"/>
      <c r="H209" s="24"/>
    </row>
    <row r="210" spans="1:8" ht="13.2">
      <c r="A210" s="65" t="str">
        <f>HYPERLINK("oj.uz/problem/view/LMIO19_bulves", "LMIO 19-bulves")</f>
        <v>LMIO 19-bulves</v>
      </c>
      <c r="B210" s="37" t="s">
        <v>6833</v>
      </c>
      <c r="C210" s="24">
        <v>7</v>
      </c>
      <c r="D210" s="65" t="str">
        <f>HYPERLINK("https://github.com/dolphingarlic/CompetitiveProgramming/blob/master/LMIO/LMIO%2019-bulves.cpp", "Sol")</f>
        <v>Sol</v>
      </c>
      <c r="E210" s="31" t="s">
        <v>1337</v>
      </c>
      <c r="F210" s="37" t="s">
        <v>139</v>
      </c>
      <c r="G210" s="24"/>
      <c r="H210" s="24"/>
    </row>
    <row r="211" spans="1:8" ht="13.2">
      <c r="A211" s="65" t="str">
        <f>HYPERLINK("https://infoarena.ro/problema/sms","infoarena sms")</f>
        <v>infoarena sms</v>
      </c>
      <c r="B211" s="37" t="s">
        <v>2076</v>
      </c>
      <c r="C211" s="24">
        <v>7</v>
      </c>
      <c r="D211" s="65" t="str">
        <f>HYPERLINK("https://github.com/stefdasca/CompetitiveProgramming/blob/master/Infoarena/sms.cpp","Sol")</f>
        <v>Sol</v>
      </c>
      <c r="E211" s="31" t="s">
        <v>2074</v>
      </c>
      <c r="F211" s="37" t="s">
        <v>139</v>
      </c>
      <c r="G211" s="24"/>
      <c r="H211" s="24"/>
    </row>
    <row r="212" spans="1:8" ht="13.2">
      <c r="A212" s="65" t="str">
        <f>HYPERLINK("https://dunjudge.me/analysis/problems/1232/","APIO 11-Path")</f>
        <v>APIO 11-Path</v>
      </c>
      <c r="B212" s="20" t="s">
        <v>7124</v>
      </c>
      <c r="C212" s="17">
        <v>7</v>
      </c>
      <c r="D212" s="65" t="str">
        <f>HYPERLINK("https://github.com/mostafa-saad/MyCompetitiveProgramming/blob/master/Olympiad/APIO/APIO-11-Path.txt","Sol")</f>
        <v>Sol</v>
      </c>
      <c r="E212" s="31" t="s">
        <v>3257</v>
      </c>
      <c r="F212" s="37" t="s">
        <v>139</v>
      </c>
      <c r="G212" s="24"/>
      <c r="H212" s="24"/>
    </row>
    <row r="213" spans="1:8" ht="13.2">
      <c r="A213" s="65" t="str">
        <f>HYPERLINK("https://oj.uz/problem/view/NOI18_citymapping","NOI 18-citymapping")</f>
        <v>NOI 18-citymapping</v>
      </c>
      <c r="B213" s="37" t="s">
        <v>7182</v>
      </c>
      <c r="C213" s="24">
        <v>7</v>
      </c>
      <c r="D213" s="65" t="str">
        <f>HYPERLINK("https://github.com/mostafa-saad/MyCompetitiveProgramming/blob/master/Olympiad/NOI/NOI-18-citymapping.txt","Sol")</f>
        <v>Sol</v>
      </c>
      <c r="E213" s="31" t="s">
        <v>3633</v>
      </c>
      <c r="F213" s="37" t="s">
        <v>139</v>
      </c>
      <c r="G213" s="24"/>
      <c r="H213" s="24"/>
    </row>
    <row r="214" spans="1:8" ht="13.2">
      <c r="A214" s="65" t="str">
        <f>HYPERLINK("https://oj.uz/problem/view/JOI17_soccer","JOI 17-soccer")</f>
        <v>JOI 17-soccer</v>
      </c>
      <c r="B214" s="20" t="s">
        <v>3866</v>
      </c>
      <c r="C214" s="17">
        <v>7</v>
      </c>
      <c r="D214" s="65" t="str">
        <f>HYPERLINK("https://github.com/mostafa-saad/MyCompetitiveProgramming/tree/master/Olympiad/JOI/official/JOI/JOI-17-soccer.txt","Editorial")</f>
        <v>Editorial</v>
      </c>
      <c r="E214" s="31" t="s">
        <v>3784</v>
      </c>
      <c r="F214" s="37" t="s">
        <v>139</v>
      </c>
      <c r="G214" s="24"/>
      <c r="H214" s="24"/>
    </row>
    <row r="215" spans="1:8" ht="13.2">
      <c r="A215" s="65" t="str">
        <f>HYPERLINK("https://oj.uz/problem/view/BOI18_minmaxtree","Balkan 18-minmaxtree")</f>
        <v>Balkan 18-minmaxtree</v>
      </c>
      <c r="B215" s="20" t="s">
        <v>4149</v>
      </c>
      <c r="C215" s="17">
        <v>7</v>
      </c>
      <c r="D215" s="65" t="str">
        <f>HYPERLINK("https://github.com/mostafa-saad/MyCompetitiveProgramming/blob/master/Olympiad/Balkan/Balkan-18-minmaxtree.txt","Sol")</f>
        <v>Sol</v>
      </c>
      <c r="E215" s="31" t="s">
        <v>4144</v>
      </c>
      <c r="F215" s="37" t="s">
        <v>139</v>
      </c>
      <c r="G215" s="24"/>
      <c r="H215" s="24"/>
    </row>
    <row r="216" spans="1:8" ht="16.5" customHeight="1">
      <c r="A216" s="65" t="str">
        <f>HYPERLINK("https://szkopul.edu.pl/problemset/problem/O730xgZEVynTWBmscBinhMbD/site/", "POI 16-Arkanoid")</f>
        <v>POI 16-Arkanoid</v>
      </c>
      <c r="B216" s="23" t="s">
        <v>7308</v>
      </c>
      <c r="C216" s="24">
        <v>7</v>
      </c>
      <c r="D216" s="65" t="str">
        <f>HYPERLINK("https://github.com/mostafa-saad/MyCompetitiveProgramming/blob/master/Olympiad/POI/POI-16-Arkanoid.txt","Sol")</f>
        <v>Sol</v>
      </c>
      <c r="E216" s="31" t="s">
        <v>4531</v>
      </c>
      <c r="F216" s="37" t="s">
        <v>139</v>
      </c>
      <c r="G216" s="24"/>
      <c r="H216" s="24"/>
    </row>
    <row r="217" spans="1:8" ht="13.2">
      <c r="A217" s="65" t="str">
        <f>HYPERLINK("https://www.infoarena.ro/problema/countfefete","infoarena countfefete")</f>
        <v>infoarena countfefete</v>
      </c>
      <c r="B217" s="20" t="s">
        <v>7347</v>
      </c>
      <c r="C217" s="17">
        <v>7</v>
      </c>
      <c r="D217" s="65" t="str">
        <f>HYPERLINK("https://github.com/mostafa-saad/MyCompetitiveProgramming/blob/master/Olympiad/infoarena/infoarena_countfefete.txt","Sol")</f>
        <v>Sol</v>
      </c>
      <c r="E217" s="31" t="s">
        <v>5134</v>
      </c>
      <c r="F217" s="37" t="s">
        <v>139</v>
      </c>
      <c r="G217" s="24"/>
      <c r="H217" s="24"/>
    </row>
    <row r="218" spans="1:8" ht="13.2">
      <c r="A218" s="65" t="str">
        <f>HYPERLINK("https://wcipeg.com/problem/coci096p6","COCI 09-Gremlini")</f>
        <v>COCI 09-Gremlini</v>
      </c>
      <c r="B218" s="15" t="s">
        <v>7352</v>
      </c>
      <c r="C218" s="24">
        <v>7</v>
      </c>
      <c r="D218" s="65" t="str">
        <f>HYPERLINK("https://github.com/mostafa-saad/MyCompetitiveProgramming/blob/master/Olympiad/COCI/COCI-09-Gremlini.txt","Sol")</f>
        <v>Sol</v>
      </c>
      <c r="E218" s="31" t="s">
        <v>5246</v>
      </c>
      <c r="F218" s="37" t="s">
        <v>139</v>
      </c>
      <c r="G218" s="24"/>
      <c r="H218" s="24"/>
    </row>
    <row r="219" spans="1:8" ht="13.2">
      <c r="A219" s="65" t="str">
        <f>HYPERLINK("https://oj.uz/problem/view/CEOI16_icc","CEOI 16-icc")</f>
        <v>CEOI 16-icc</v>
      </c>
      <c r="B219" s="20" t="s">
        <v>6716</v>
      </c>
      <c r="C219" s="17">
        <v>7</v>
      </c>
      <c r="D219" s="65" t="str">
        <f>HYPERLINK("https://github.com/mostafa-saad/MyCompetitiveProgramming/blob/master/Olympiad/CEOI/CEOI-16-icc.txt", "Sol")</f>
        <v>Sol</v>
      </c>
      <c r="E219" s="31" t="s">
        <v>805</v>
      </c>
      <c r="F219" s="37" t="s">
        <v>139</v>
      </c>
      <c r="G219" s="24"/>
      <c r="H219" s="24"/>
    </row>
    <row r="220" spans="1:8" ht="13.2">
      <c r="A220" s="65" t="str">
        <f>HYPERLINK("https://oj.uz/problem/view/IOI13_game","IOI 13-game")</f>
        <v>IOI 13-game</v>
      </c>
      <c r="B220" s="18" t="s">
        <v>7597</v>
      </c>
      <c r="C220" s="17">
        <v>7</v>
      </c>
      <c r="D220" s="65" t="str">
        <f>HYPERLINK("http://blog.brucemerry.org.za/2013/07/","Editorial")</f>
        <v>Editorial</v>
      </c>
      <c r="E220" s="31" t="s">
        <v>1018</v>
      </c>
      <c r="F220" s="37" t="s">
        <v>201</v>
      </c>
      <c r="G220" s="24"/>
      <c r="H220" s="24"/>
    </row>
    <row r="221" spans="1:8" ht="13.2">
      <c r="A221" s="65" t="str">
        <f>HYPERLINK("https://oj.uz/problems/source/316","JOISC 18-wildboar")</f>
        <v>JOISC 18-wildboar</v>
      </c>
      <c r="B221" s="23" t="s">
        <v>6758</v>
      </c>
      <c r="C221" s="24">
        <v>7</v>
      </c>
      <c r="D221" s="65" t="str">
        <f>HYPERLINK("https://github.com/mostafa-saad/MyCompetitiveProgramming/blob/master/Olympiad/JOI/JOISC-18-wildboar.txt","Sol")</f>
        <v>Sol</v>
      </c>
      <c r="E221" s="31" t="s">
        <v>1018</v>
      </c>
      <c r="F221" s="37" t="s">
        <v>201</v>
      </c>
      <c r="G221" s="24"/>
      <c r="H221" s="24"/>
    </row>
    <row r="222" spans="1:8" ht="13.2">
      <c r="A222" s="65" t="str">
        <f>HYPERLINK("https://oj.uz/problem/view/COCI18_suncanje","COCI 19-suncanje")</f>
        <v>COCI 19-suncanje</v>
      </c>
      <c r="B222" s="37" t="s">
        <v>6805</v>
      </c>
      <c r="C222" s="17">
        <v>7</v>
      </c>
      <c r="D222" s="65" t="str">
        <f>HYPERLINK("https://github.com/Szawinis/CompetitiveProgramming/blob/master/Olympiad/COCI/COCI18-suncanje.cpp","Sol")</f>
        <v>Sol</v>
      </c>
      <c r="E222" s="31" t="s">
        <v>1223</v>
      </c>
      <c r="F222" s="37" t="s">
        <v>201</v>
      </c>
      <c r="G222" s="24"/>
      <c r="H222" s="24"/>
    </row>
    <row r="223" spans="1:8" ht="13.2">
      <c r="A223" s="65" t="str">
        <f>HYPERLINK("https://dmoj.ca/problem/dmopc18c2p6","DMOPC 18-StandingOvation")</f>
        <v>DMOPC 18-StandingOvation</v>
      </c>
      <c r="B223" s="37" t="s">
        <v>7527</v>
      </c>
      <c r="C223" s="24">
        <v>7</v>
      </c>
      <c r="D223" s="69"/>
      <c r="E223" s="31" t="s">
        <v>7525</v>
      </c>
      <c r="F223" s="37" t="s">
        <v>201</v>
      </c>
      <c r="G223" s="24"/>
      <c r="H223" s="24"/>
    </row>
    <row r="224" spans="1:8" ht="13.2">
      <c r="A224" s="65" t="str">
        <f>HYPERLINK("https://oj.uz/problem/view/APIO13_robots", "APIO 13-Robots")</f>
        <v>APIO 13-Robots</v>
      </c>
      <c r="B224" s="20" t="s">
        <v>6947</v>
      </c>
      <c r="C224" s="17">
        <v>7</v>
      </c>
      <c r="D224" s="65" t="str">
        <f>HYPERLINK("https://github.com/mostafa-saad/MyCompetitiveProgramming/blob/master/Olympiad/APIO/APIO-13-Robots.txt","Sol")</f>
        <v>Sol</v>
      </c>
      <c r="E224" s="31" t="s">
        <v>1793</v>
      </c>
      <c r="F224" s="37" t="s">
        <v>201</v>
      </c>
      <c r="G224" s="24"/>
      <c r="H224" s="24"/>
    </row>
    <row r="225" spans="1:8" ht="13.2">
      <c r="A225" s="65" t="str">
        <f>HYPERLINK("https://wcipeg.com/problem/coci074p6","COCI 07-Kocke")</f>
        <v>COCI 07-Kocke</v>
      </c>
      <c r="B225" s="15" t="s">
        <v>6669</v>
      </c>
      <c r="C225" s="24">
        <v>7</v>
      </c>
      <c r="D225" s="65" t="str">
        <f>HYPERLINK("https://github.com/mostafa-saad/MyCompetitiveProgramming/blob/master/Olympiad/COCI/COCI-07-Kocke.txt","Sol")</f>
        <v>Sol</v>
      </c>
      <c r="E225" s="31" t="s">
        <v>503</v>
      </c>
      <c r="F225" s="37" t="s">
        <v>201</v>
      </c>
      <c r="G225" s="24"/>
      <c r="H225" s="24"/>
    </row>
    <row r="226" spans="1:8" ht="13.2">
      <c r="A226" s="65" t="str">
        <f>HYPERLINK("https://oj.uz/problem/view/balkan11_2circles","Balkan 11-2circles")</f>
        <v>Balkan 11-2circles</v>
      </c>
      <c r="B226" s="20" t="s">
        <v>7063</v>
      </c>
      <c r="C226" s="24">
        <v>7</v>
      </c>
      <c r="D226" s="65" t="str">
        <f>HYPERLINK("https://github.com/mostafa-saad/MyCompetitiveProgramming/blob/master/Olympiad/Balkan/Balkan-11-2circles.txt","Sol")</f>
        <v>Sol</v>
      </c>
      <c r="E226" s="31" t="s">
        <v>2510</v>
      </c>
      <c r="F226" s="37" t="s">
        <v>201</v>
      </c>
      <c r="G226" s="24"/>
      <c r="H226" s="24"/>
    </row>
    <row r="227" spans="1:8" ht="13.2">
      <c r="A227" s="65" t="str">
        <f>HYPERLINK("https://oj.uz/problem/view/COI15_ogledala","COI 15-ogledala")</f>
        <v>COI 15-ogledala</v>
      </c>
      <c r="B227" s="20" t="s">
        <v>6674</v>
      </c>
      <c r="C227" s="24">
        <v>7</v>
      </c>
      <c r="D227" s="65" t="str">
        <f>HYPERLINK("https://github.com/mostafa-saad/MyCompetitiveProgramming/tree/master/Olympiad/COI/official/2015","Editorial")</f>
        <v>Editorial</v>
      </c>
      <c r="E227" s="31" t="s">
        <v>575</v>
      </c>
      <c r="F227" s="37" t="s">
        <v>201</v>
      </c>
      <c r="G227" s="24"/>
      <c r="H227" s="24"/>
    </row>
    <row r="228" spans="1:8" ht="13.2">
      <c r="A228" s="65" t="str">
        <f>HYPERLINK("https://oj.uz/problem/view/JOI18_fences","JOISC 18-fences")</f>
        <v>JOISC 18-fences</v>
      </c>
      <c r="B228" s="15" t="s">
        <v>7090</v>
      </c>
      <c r="C228" s="24">
        <v>7</v>
      </c>
      <c r="D228" s="65" t="str">
        <f>HYPERLINK("https://github.com/tmwilliamlin168/CompetitiveProgramming/blob/master/JOI/18SC-Fences.cpp", "Sol")</f>
        <v>Sol</v>
      </c>
      <c r="E228" s="31" t="s">
        <v>2948</v>
      </c>
      <c r="F228" s="37" t="s">
        <v>201</v>
      </c>
      <c r="G228" s="24"/>
      <c r="H228" s="24"/>
    </row>
    <row r="229" spans="1:8" ht="13.2">
      <c r="A229" s="65" t="str">
        <f>HYPERLINK("https://cses.fi/101/list/","Baltic 11-Mirroring")</f>
        <v>Baltic 11-Mirroring</v>
      </c>
      <c r="B229" s="37" t="s">
        <v>7125</v>
      </c>
      <c r="C229" s="24">
        <v>7</v>
      </c>
      <c r="D229" s="65" t="str">
        <f>HYPERLINK("https://github.com/mostafa-saad/MyCompetitiveProgramming/blob/master/Olympiad/Baltic/Baltic-11-Mirroring.txt","Sol")</f>
        <v>Sol</v>
      </c>
      <c r="E229" s="31" t="s">
        <v>3257</v>
      </c>
      <c r="F229" s="37" t="s">
        <v>201</v>
      </c>
      <c r="G229" s="24"/>
      <c r="H229" s="24"/>
    </row>
    <row r="230" spans="1:8" ht="13.2">
      <c r="A230" s="65" t="str">
        <f>HYPERLINK("https://dmoj.ca/problem/coi06p2", "COI 06-Policija")</f>
        <v>COI 06-Policija</v>
      </c>
      <c r="B230" s="20" t="s">
        <v>7282</v>
      </c>
      <c r="C230" s="21">
        <v>7</v>
      </c>
      <c r="D230" s="65" t="str">
        <f>HYPERLINK("https://github.com/timpostuvan/CompetitiveProgramming/blob/master/Olympiad/COI/Policija2006.cpp","Sol")</f>
        <v>Sol</v>
      </c>
      <c r="E230" s="31" t="s">
        <v>4411</v>
      </c>
      <c r="F230" s="37" t="s">
        <v>201</v>
      </c>
      <c r="G230" s="24"/>
      <c r="H230" s="24"/>
    </row>
    <row r="231" spans="1:8" ht="13.2">
      <c r="A231" s="65" t="str">
        <f>HYPERLINK("https://oj.uz/problem/view/JOI17_arranging_tickets","JOISC 17-arranging_tickets")</f>
        <v>JOISC 17-arranging_tickets</v>
      </c>
      <c r="B231" s="23" t="s">
        <v>814</v>
      </c>
      <c r="C231" s="24">
        <v>7</v>
      </c>
      <c r="D231" s="65" t="str">
        <f>HYPERLINK("https://github.com/mostafa-saad/MyCompetitiveProgramming/blob/master/Olympiad/JOI/JOISC-17-arranging_tickets.txt","Sol")</f>
        <v>Sol</v>
      </c>
      <c r="E231" s="31" t="s">
        <v>805</v>
      </c>
      <c r="F231" s="37" t="s">
        <v>201</v>
      </c>
      <c r="G231" s="24"/>
      <c r="H231" s="24"/>
    </row>
    <row r="232" spans="1:8" ht="13.2">
      <c r="A232" s="65" t="str">
        <f>HYPERLINK("https://oj.uz/problem/view/balkan11_cmp","Balkan 11-cmp")</f>
        <v>Balkan 11-cmp</v>
      </c>
      <c r="B232" s="20" t="s">
        <v>124</v>
      </c>
      <c r="C232" s="24">
        <v>7</v>
      </c>
      <c r="D232" s="65" t="str">
        <f>HYPERLINK("https://github.com/mostafa-saad/MyCompetitiveProgramming/blob/master/Olympiad/Balkan/official/2011/cmp-sol.pdf","Editorial")</f>
        <v>Editorial</v>
      </c>
      <c r="E232" s="31" t="s">
        <v>125</v>
      </c>
      <c r="F232" s="37"/>
      <c r="G232" s="24"/>
      <c r="H232" s="24"/>
    </row>
    <row r="233" spans="1:8" ht="13.2">
      <c r="A233" s="65" t="str">
        <f>HYPERLINK("https://szkopul.edu.pl/problemset/problem/qQGtOc61vnHgCrs01ORC7iD1/site/", "POI 10-Hamsters")</f>
        <v>POI 10-Hamsters</v>
      </c>
      <c r="B233" s="37" t="s">
        <v>6576</v>
      </c>
      <c r="C233" s="21">
        <v>7</v>
      </c>
      <c r="D233" s="65" t="str">
        <f>HYPERLINK("https://github.com/mostafa-saad/MyCompetitiveProgramming/blob/master/Olympiad/POI/official/find_editorial_sols_guidelines.txt","Editorial")</f>
        <v>Editorial</v>
      </c>
      <c r="E233" s="31" t="s">
        <v>125</v>
      </c>
      <c r="F233" s="37"/>
      <c r="G233" s="24"/>
      <c r="H233" s="24"/>
    </row>
    <row r="234" spans="1:8" ht="13.2">
      <c r="A234" s="65" t="str">
        <f>HYPERLINK("https://oj.uz/problems/source/120", "CEOI 14-questiongrader")</f>
        <v>CEOI 14-questiongrader</v>
      </c>
      <c r="B234" s="20" t="s">
        <v>6577</v>
      </c>
      <c r="C234" s="17">
        <v>7</v>
      </c>
      <c r="D234" s="69"/>
      <c r="E234" s="31" t="s">
        <v>125</v>
      </c>
      <c r="F234" s="37"/>
      <c r="G234" s="24"/>
      <c r="H234" s="24"/>
    </row>
    <row r="235" spans="1:8" ht="13.2">
      <c r="A235" s="65" t="str">
        <f>HYPERLINK("https://oj.uz/problem/view/IZhO18_nicegift","IZhO 18-NiceGift")</f>
        <v>IZhO 18-NiceGift</v>
      </c>
      <c r="B235" s="20" t="s">
        <v>6578</v>
      </c>
      <c r="C235" s="24">
        <v>7</v>
      </c>
      <c r="D235" s="69"/>
      <c r="E235" s="31" t="s">
        <v>125</v>
      </c>
      <c r="F235" s="37"/>
      <c r="G235" s="24"/>
      <c r="H235" s="24"/>
    </row>
    <row r="236" spans="1:8" ht="13.2">
      <c r="A236" s="65" t="str">
        <f>HYPERLINK("https://szkopul.edu.pl/problemset/problem/YbQn6MpKAzvIhTNUXtp_ypXQ/site/", "POI 06-Crystals")</f>
        <v>POI 06-Crystals</v>
      </c>
      <c r="B236" s="37" t="s">
        <v>124</v>
      </c>
      <c r="C236" s="24">
        <v>7</v>
      </c>
      <c r="D236" s="65" t="str">
        <f>HYPERLINK("https://github.com/mostafa-saad/MyCompetitiveProgramming/blob/master/Olympiad/POI/official/find_editorial_sols_guidelines.txt","Editorial")</f>
        <v>Editorial</v>
      </c>
      <c r="E236" s="31" t="s">
        <v>125</v>
      </c>
      <c r="F236" s="37"/>
      <c r="G236" s="24"/>
      <c r="H236" s="24"/>
    </row>
    <row r="237" spans="1:8" ht="13.2">
      <c r="A237" s="65" t="str">
        <f>HYPERLINK("https://contest.yandex.ru/ioi/contest/566/enter/","IOI 05-garden")</f>
        <v>IOI 05-garden</v>
      </c>
      <c r="B237" s="15" t="s">
        <v>6579</v>
      </c>
      <c r="C237" s="24">
        <v>7</v>
      </c>
      <c r="D237" s="65" t="str">
        <f>HYPERLINK("https://www.oi.edu.pl/old/ioi/downloads/ioi2005-tasks-and-solutions-a5.pdf","Editorial")</f>
        <v>Editorial</v>
      </c>
      <c r="E237" s="31" t="s">
        <v>125</v>
      </c>
      <c r="F237" s="37"/>
      <c r="G237" s="24"/>
      <c r="H237" s="24"/>
    </row>
    <row r="238" spans="1:8" ht="13.2">
      <c r="A238" s="65" t="str">
        <f>HYPERLINK("https://csacademy.com/contest/round-80/task/anagram-sort","ROUSelection 18-anagram_sort")</f>
        <v>ROUSelection 18-anagram_sort</v>
      </c>
      <c r="B238" s="37" t="s">
        <v>6580</v>
      </c>
      <c r="C238" s="24">
        <v>7</v>
      </c>
      <c r="D238" s="69"/>
      <c r="E238" s="31" t="s">
        <v>125</v>
      </c>
      <c r="F238" s="37"/>
      <c r="G238" s="24"/>
      <c r="H238" s="24"/>
    </row>
    <row r="239" spans="1:8" ht="13.2">
      <c r="A239" s="65" t="str">
        <f>HYPERLINK("https://contest.yandex.ru/ioi/contest/562/problems/F/","IOI 06-blackbox")</f>
        <v>IOI 06-blackbox</v>
      </c>
      <c r="B239" s="47" t="s">
        <v>6581</v>
      </c>
      <c r="C239" s="66">
        <v>7</v>
      </c>
      <c r="D239" s="65" t="str">
        <f>HYPERLINK("https://github.com/mostafa-saad/MyCompetitiveProgramming/blob/master/Olympiad/IOI/official/2006/ioi06_blackbox_sol.pdf","Editorial")</f>
        <v>Editorial</v>
      </c>
      <c r="E239" s="31" t="s">
        <v>125</v>
      </c>
      <c r="F239" s="37"/>
      <c r="G239" s="24"/>
      <c r="H239" s="24"/>
    </row>
    <row r="240" spans="1:8" ht="13.2">
      <c r="A240" s="65" t="str">
        <f>HYPERLINK("https://oj.uz/problem/view/COCI17_retro","COCI 17-retro")</f>
        <v>COCI 17-retro</v>
      </c>
      <c r="B240" s="20" t="s">
        <v>272</v>
      </c>
      <c r="C240" s="24">
        <v>7</v>
      </c>
      <c r="D240" s="69"/>
      <c r="E240" s="31" t="s">
        <v>125</v>
      </c>
      <c r="F240" s="37"/>
      <c r="G240" s="24"/>
      <c r="H240" s="24"/>
    </row>
    <row r="241" spans="1:8" ht="13.2">
      <c r="A241" s="65" t="str">
        <f>HYPERLINK("https://oj.uz/problem/view/COCI18_kotrljanje","COCI 18-kotrljanje")</f>
        <v>COCI 18-kotrljanje</v>
      </c>
      <c r="B241" s="20" t="s">
        <v>6582</v>
      </c>
      <c r="C241" s="24">
        <v>7</v>
      </c>
      <c r="D241" s="69"/>
      <c r="E241" s="31" t="s">
        <v>125</v>
      </c>
      <c r="F241" s="37"/>
      <c r="G241" s="24"/>
      <c r="H241" s="24"/>
    </row>
    <row r="242" spans="1:8" ht="13.2">
      <c r="A242" s="65" t="str">
        <f>HYPERLINK("https://csacademy.com/contest/ioi-2016-training-round-3/task/telegraph/","IOIPractice 16-telegraph")</f>
        <v>IOIPractice 16-telegraph</v>
      </c>
      <c r="B242" s="37" t="s">
        <v>6583</v>
      </c>
      <c r="C242" s="24">
        <v>7</v>
      </c>
      <c r="D242" s="69"/>
      <c r="E242" s="31" t="s">
        <v>125</v>
      </c>
      <c r="F242" s="37"/>
      <c r="G242" s="24"/>
      <c r="H242" s="24"/>
    </row>
    <row r="243" spans="1:8" ht="13.2">
      <c r="A243" s="65" t="str">
        <f>HYPERLINK("https://oj.uz/problem/view/IZhO12_xor","IZhO 12-xor")</f>
        <v>IZhO 12-xor</v>
      </c>
      <c r="B243" s="20" t="s">
        <v>7369</v>
      </c>
      <c r="C243" s="24">
        <v>7</v>
      </c>
      <c r="D243" s="69"/>
      <c r="E243" s="31" t="s">
        <v>5643</v>
      </c>
      <c r="F243" s="37"/>
      <c r="G243" s="24"/>
      <c r="H243" s="24"/>
    </row>
    <row r="244" spans="1:8" ht="13.2">
      <c r="A244" s="65" t="str">
        <f>HYPERLINK("https://szkopul.edu.pl/problemset/problem/SbvfueoDtZe2DQFHrywTIakc/site/", "POI 15-Necklace")</f>
        <v>POI 15-Necklace</v>
      </c>
      <c r="B244" s="37" t="s">
        <v>7396</v>
      </c>
      <c r="C244" s="24">
        <v>7</v>
      </c>
      <c r="D244" s="65" t="str">
        <f>HYPERLINK("https://github.com/mostafa-saad/MyCompetitiveProgramming/blob/master/Olympiad/POI/official/find_editorial_sols_guidelines.txt","Editorial")</f>
        <v>Editorial</v>
      </c>
      <c r="E244" s="31" t="s">
        <v>5958</v>
      </c>
      <c r="F244" s="37"/>
      <c r="G244" s="24"/>
      <c r="H244" s="24"/>
    </row>
    <row r="245" spans="1:8" ht="13.2">
      <c r="A245" s="65" t="str">
        <f>HYPERLINK("https://oj.uz/problem/view/BOI15_bow","Baltic 15-bow")</f>
        <v>Baltic 15-bow</v>
      </c>
      <c r="B245" s="20" t="s">
        <v>7425</v>
      </c>
      <c r="C245" s="24">
        <v>7</v>
      </c>
      <c r="D245" s="65" t="str">
        <f>HYPERLINK("https://github.com/mostafa-saad/MyCompetitiveProgramming/blob/master/Olympiad/Baltic/Baltic-15-bow.txt","Sol")</f>
        <v>Sol</v>
      </c>
      <c r="E245" s="31" t="s">
        <v>6075</v>
      </c>
      <c r="F245" s="37"/>
      <c r="G245" s="24"/>
      <c r="H245" s="24"/>
    </row>
    <row r="246" spans="1:8" ht="13.2">
      <c r="A246" s="65" t="str">
        <f>HYPERLINK("https://oj.uz/problem/view/IZhO18_sequence","IZhO 18-sequence")</f>
        <v>IZhO 18-sequence</v>
      </c>
      <c r="B246" s="20" t="s">
        <v>6208</v>
      </c>
      <c r="C246" s="24">
        <v>7</v>
      </c>
      <c r="D246" s="69"/>
      <c r="E246" s="31" t="s">
        <v>6205</v>
      </c>
      <c r="F246" s="37"/>
      <c r="G246" s="24"/>
      <c r="H246" s="24"/>
    </row>
    <row r="247" spans="1:8" ht="13.2">
      <c r="A247" s="65" t="str">
        <f>HYPERLINK("https://oj.uz/problem/view/JOI19_designated_cities","JOISC 19-designated-cities")</f>
        <v>JOISC 19-designated-cities</v>
      </c>
      <c r="B247" s="20" t="s">
        <v>7448</v>
      </c>
      <c r="C247" s="21">
        <v>7</v>
      </c>
      <c r="D247" s="69"/>
      <c r="E247" s="31" t="s">
        <v>6345</v>
      </c>
      <c r="F247" s="37"/>
      <c r="G247" s="24"/>
      <c r="H247" s="24"/>
    </row>
    <row r="248" spans="1:8" ht="13.2">
      <c r="A248" s="65" t="str">
        <f>HYPERLINK("https://www.infoarena.ro/problema/bvarcolaci","infoarena bvarcolaci")</f>
        <v>infoarena bvarcolaci</v>
      </c>
      <c r="B248" s="20" t="s">
        <v>7477</v>
      </c>
      <c r="C248" s="17">
        <v>7</v>
      </c>
      <c r="D248" s="65" t="str">
        <f>HYPERLINK("https://github.com/stefdasca/CompetitiveProgramming/blob/master/Infoarena/bvarcolaci.cpp","Sol")</f>
        <v>Sol</v>
      </c>
      <c r="E248" s="31" t="s">
        <v>6397</v>
      </c>
      <c r="F248" s="37"/>
      <c r="G248" s="24"/>
      <c r="H248" s="24"/>
    </row>
    <row r="249" spans="1:8" ht="13.2">
      <c r="A249" s="65" t="str">
        <f>HYPERLINK("https://www.acmicpc.net/problem/11783","Balkan 15-Happiness")</f>
        <v>Balkan 15-Happiness</v>
      </c>
      <c r="B249" s="18" t="s">
        <v>6759</v>
      </c>
      <c r="C249" s="17">
        <v>7</v>
      </c>
      <c r="D249" s="65" t="str">
        <f>HYPERLINK("https://github.com/mostafa-saad/MyCompetitiveProgramming/tree/master/Olympiad/Balkan/official/2015","Sol (no editorial)")</f>
        <v>Sol (no editorial)</v>
      </c>
      <c r="E249" s="31" t="s">
        <v>1018</v>
      </c>
      <c r="F249" s="37"/>
      <c r="G249" s="24"/>
      <c r="H249" s="24"/>
    </row>
    <row r="250" spans="1:8" ht="13.2">
      <c r="A250" s="65" t="str">
        <f>HYPERLINK("https://www.infoarena.ro/problema/kinder","infoarena kinder")</f>
        <v>infoarena kinder</v>
      </c>
      <c r="B250" s="20" t="s">
        <v>6760</v>
      </c>
      <c r="C250" s="21">
        <v>7</v>
      </c>
      <c r="D250" s="65" t="str">
        <f>HYPERLINK("https://github.com/stefdasca/CompetitiveProgramming/blob/master/Infoarena/kinder.cpp","Sol")</f>
        <v>Sol</v>
      </c>
      <c r="E250" s="31" t="s">
        <v>1018</v>
      </c>
      <c r="F250" s="37"/>
      <c r="G250" s="24"/>
      <c r="H250" s="24"/>
    </row>
    <row r="251" spans="1:8" ht="13.2">
      <c r="A251" s="65" t="str">
        <f>HYPERLINK("https://oj.uz/problem/view/IZhO12_apple","IZhO 12-apple")</f>
        <v>IZhO 12-apple</v>
      </c>
      <c r="B251" s="37" t="s">
        <v>6761</v>
      </c>
      <c r="C251" s="24">
        <v>7</v>
      </c>
      <c r="D251" s="69"/>
      <c r="E251" s="31" t="s">
        <v>1018</v>
      </c>
      <c r="F251" s="37"/>
      <c r="G251" s="24"/>
      <c r="H251" s="24"/>
    </row>
    <row r="252" spans="1:8" ht="13.2">
      <c r="A252" s="65" t="str">
        <f>HYPERLINK("http://www.usaco.org/index.php?page=viewproblem2&amp;cpid=1022","USACO 20feb-help")</f>
        <v>USACO 20feb-help</v>
      </c>
      <c r="B252" s="20" t="s">
        <v>1040</v>
      </c>
      <c r="C252" s="17">
        <v>7</v>
      </c>
      <c r="D252" s="69"/>
      <c r="E252" s="31" t="s">
        <v>1018</v>
      </c>
      <c r="F252" s="37"/>
      <c r="G252" s="24"/>
      <c r="H252" s="24"/>
    </row>
    <row r="253" spans="1:8" ht="13.2">
      <c r="A253" s="65" t="str">
        <f>HYPERLINK("https://www.acmicpc.net/problem/5251","Balkan 12-Spiral")</f>
        <v>Balkan 12-Spiral</v>
      </c>
      <c r="B253" s="37" t="s">
        <v>6762</v>
      </c>
      <c r="C253" s="24">
        <v>7</v>
      </c>
      <c r="D253" s="65" t="str">
        <f>HYPERLINK("https://github.com/mostafa-saad/MyCompetitiveProgramming/tree/master/Olympiad/Balkan/official/2012","Sol (no editorial)+English txt")</f>
        <v>Sol (no editorial)+English txt</v>
      </c>
      <c r="E253" s="31" t="s">
        <v>1018</v>
      </c>
      <c r="F253" s="37"/>
      <c r="G253" s="24"/>
      <c r="H253" s="24"/>
    </row>
    <row r="254" spans="1:8" ht="13.2">
      <c r="A254" s="65" t="str">
        <f>HYPERLINK("https://csacademy.com/contest/round-78/task/xor-transform/","ROUSelection 18-xor_transform")</f>
        <v>ROUSelection 18-xor_transform</v>
      </c>
      <c r="B254" s="37" t="s">
        <v>7495</v>
      </c>
      <c r="C254" s="24">
        <v>7</v>
      </c>
      <c r="D254" s="69"/>
      <c r="E254" s="31" t="s">
        <v>6441</v>
      </c>
      <c r="F254" s="37"/>
      <c r="G254" s="24"/>
      <c r="H254" s="24"/>
    </row>
    <row r="255" spans="1:8" ht="13.2">
      <c r="A255" s="65" t="str">
        <f>HYPERLINK("https://oj.uz/problem/view/JOI19_cake3", "JOISC 19-Cake3")</f>
        <v>JOISC 19-Cake3</v>
      </c>
      <c r="B255" s="20" t="s">
        <v>6806</v>
      </c>
      <c r="C255" s="21">
        <v>7</v>
      </c>
      <c r="D255" s="69"/>
      <c r="E255" s="31" t="s">
        <v>1223</v>
      </c>
      <c r="F255" s="37"/>
      <c r="G255" s="24"/>
      <c r="H255" s="24"/>
    </row>
    <row r="256" spans="1:8" ht="13.2">
      <c r="A256" s="65" t="str">
        <f>HYPERLINK("https://oj.uz/problem/view/BOI18_homecoming","Balkan 18-homecoming")</f>
        <v>Balkan 18-homecoming</v>
      </c>
      <c r="B256" s="20" t="s">
        <v>1384</v>
      </c>
      <c r="C256" s="17">
        <v>7</v>
      </c>
      <c r="D256" s="69" t="s">
        <v>7810</v>
      </c>
      <c r="E256" s="31" t="s">
        <v>1337</v>
      </c>
      <c r="F256" s="37"/>
      <c r="G256" s="24"/>
      <c r="H256" s="24"/>
    </row>
    <row r="257" spans="1:8" ht="13.2">
      <c r="A257" s="65" t="str">
        <f>HYPERLINK("https://cses.fi/185/list/","CEOI 06-Walk")</f>
        <v>CEOI 06-Walk</v>
      </c>
      <c r="B257" s="20" t="s">
        <v>6834</v>
      </c>
      <c r="C257" s="24">
        <v>7</v>
      </c>
      <c r="D257" s="65" t="str">
        <f>HYPERLINK("https://github.com/mostafa-saad/MyCompetitiveProgramming/blob/master/Olympiad/CEOI/CEOI-06-Walk.txt","Sol")</f>
        <v>Sol</v>
      </c>
      <c r="E257" s="31" t="s">
        <v>1337</v>
      </c>
      <c r="F257" s="37"/>
      <c r="G257" s="24"/>
      <c r="H257" s="24"/>
    </row>
    <row r="258" spans="1:8" ht="13.2">
      <c r="A258" s="65" t="str">
        <f>HYPERLINK("https://www.infoarena.ro/problema/cladiri","infoarena cladiri")</f>
        <v>infoarena cladiri</v>
      </c>
      <c r="B258" s="20" t="s">
        <v>6835</v>
      </c>
      <c r="C258" s="17">
        <v>7</v>
      </c>
      <c r="D258" s="65" t="str">
        <f>HYPERLINK("https://github.com/stefdasca/CompetitiveProgramming/blob/master/Infoarena/cladiri.cpp","Sol")</f>
        <v>Sol</v>
      </c>
      <c r="E258" s="31" t="s">
        <v>1337</v>
      </c>
      <c r="F258" s="37"/>
      <c r="G258" s="24"/>
      <c r="H258" s="24"/>
    </row>
    <row r="259" spans="1:8" ht="13.2">
      <c r="A259" s="65" t="str">
        <f>HYPERLINK("https://www.infoarena.ro/problema/zuma","infoarena zuma")</f>
        <v>infoarena zuma</v>
      </c>
      <c r="B259" s="20" t="s">
        <v>6836</v>
      </c>
      <c r="C259" s="17">
        <v>7</v>
      </c>
      <c r="D259" s="65" t="str">
        <f>HYPERLINK("https://github.com/stefdasca/CompetitiveProgramming/blob/master/Infoarena/zuma.cpp","Sol")</f>
        <v>Sol</v>
      </c>
      <c r="E259" s="31" t="s">
        <v>1337</v>
      </c>
      <c r="F259" s="37"/>
      <c r="G259" s="24"/>
      <c r="H259" s="24"/>
    </row>
    <row r="260" spans="1:8" ht="13.2">
      <c r="A260" s="65" t="str">
        <f>HYPERLINK("https://dunjudge.me/analysis/problems/543/","COI 10-kamion")</f>
        <v>COI 10-kamion</v>
      </c>
      <c r="B260" s="20" t="s">
        <v>1348</v>
      </c>
      <c r="C260" s="24">
        <v>7</v>
      </c>
      <c r="D260" s="65" t="str">
        <f>HYPERLINK("https://github.com/mostafa-saad/MyCompetitiveProgramming/blob/master/Olympiad/COI/COI-10-kamion.txt","Sol")</f>
        <v>Sol</v>
      </c>
      <c r="E260" s="31" t="s">
        <v>1337</v>
      </c>
      <c r="F260" s="37"/>
      <c r="G260" s="24"/>
      <c r="H260" s="24"/>
    </row>
    <row r="261" spans="1:8" ht="13.2">
      <c r="A261" s="65" t="str">
        <f>HYPERLINK("https://wcipeg.com/problem/ioi0023","IOI 00-Blocks")</f>
        <v>IOI 00-Blocks</v>
      </c>
      <c r="B261" s="20" t="s">
        <v>7598</v>
      </c>
      <c r="C261" s="24">
        <v>7</v>
      </c>
      <c r="D261" s="65" t="str">
        <f>HYPERLINK("https://github.com/mostafa-saad/MyCompetitiveProgramming/blob/master/Olympiad/IOI/IOI-00-Blocks.txt","Sol")</f>
        <v>Sol</v>
      </c>
      <c r="E261" s="31" t="s">
        <v>332</v>
      </c>
      <c r="F261" s="37"/>
      <c r="G261" s="24"/>
      <c r="H261" s="24"/>
    </row>
    <row r="262" spans="1:8" ht="13.2">
      <c r="A262" s="65" t="str">
        <f>HYPERLINK("https://szkopul.edu.pl/problemset/problem/zQvxlGgoPvqRrAK0TuLeWIRD/site/", "POI 08-Trains")</f>
        <v>POI 08-Trains</v>
      </c>
      <c r="B262" s="37" t="s">
        <v>7581</v>
      </c>
      <c r="C262" s="24">
        <v>7</v>
      </c>
      <c r="D262" s="65" t="str">
        <f>HYPERLINK("https://github.com/mostafa-saad/MyCompetitiveProgramming/blob/master/Olympiad/POI/official/find_editorial_sols_guidelines.txt","Editorial")</f>
        <v>Editorial</v>
      </c>
      <c r="E262" s="31" t="s">
        <v>7525</v>
      </c>
      <c r="F262" s="37"/>
      <c r="G262" s="24"/>
      <c r="H262" s="24"/>
    </row>
    <row r="263" spans="1:8" ht="13.2">
      <c r="A263" s="65" t="str">
        <f>HYPERLINK("https://dmoj.ca/problem/coci08c2p6","COCI 08-Cavli")</f>
        <v>COCI 08-Cavli</v>
      </c>
      <c r="B263" s="15" t="s">
        <v>7531</v>
      </c>
      <c r="C263" s="24">
        <v>7</v>
      </c>
      <c r="D263" s="65" t="str">
        <f>HYPERLINK("https://github.com/mostafa-saad/MyCompetitiveProgramming/blob/master/Olympiad/COCI/official/2009/contest2_solutions","Editorial")</f>
        <v>Editorial</v>
      </c>
      <c r="E263" s="31" t="s">
        <v>7525</v>
      </c>
      <c r="F263" s="37"/>
      <c r="G263" s="24"/>
      <c r="H263" s="24"/>
    </row>
    <row r="264" spans="1:8" ht="13.2">
      <c r="A264" s="65" t="str">
        <f>HYPERLINK("https://szkopul.edu.pl/problemset/problem/-e02GdqRC4OgV8Hjb852pqQ9/site/","CEOI 10-Arithmetic")</f>
        <v>CEOI 10-Arithmetic</v>
      </c>
      <c r="B264" s="20" t="s">
        <v>7527</v>
      </c>
      <c r="C264" s="24">
        <v>7</v>
      </c>
      <c r="D264" s="69"/>
      <c r="E264" s="31" t="s">
        <v>7525</v>
      </c>
      <c r="F264" s="37"/>
      <c r="G264" s="24"/>
      <c r="H264" s="24"/>
    </row>
    <row r="265" spans="1:8" ht="13.2">
      <c r="A265" s="65" t="str">
        <f>HYPERLINK("https://cses.fi/197/list/","CEOI 10-Bodyguards")</f>
        <v>CEOI 10-Bodyguards</v>
      </c>
      <c r="B265" s="20" t="s">
        <v>7527</v>
      </c>
      <c r="C265" s="24">
        <v>7</v>
      </c>
      <c r="D265" s="69"/>
      <c r="E265" s="31" t="s">
        <v>7525</v>
      </c>
      <c r="F265" s="37"/>
      <c r="G265" s="24"/>
      <c r="H265" s="24"/>
    </row>
    <row r="266" spans="1:8" ht="13.2">
      <c r="A266" s="65" t="str">
        <f>HYPERLINK("https://oj.uz/problem/view/COI17_raspad","COI 17-raspad")</f>
        <v>COI 17-raspad</v>
      </c>
      <c r="B266" s="20" t="s">
        <v>7539</v>
      </c>
      <c r="C266" s="24">
        <v>7</v>
      </c>
      <c r="D266" s="69"/>
      <c r="E266" s="31" t="s">
        <v>7525</v>
      </c>
      <c r="F266" s="37"/>
      <c r="G266" s="24"/>
      <c r="H266" s="24"/>
    </row>
    <row r="267" spans="1:8" ht="13.2">
      <c r="A267" s="65" t="str">
        <f>HYPERLINK("https://dunjudge.me/analysis/problems/1659/","IOIPractice 17-cup")</f>
        <v>IOIPractice 17-cup</v>
      </c>
      <c r="B267" s="15" t="s">
        <v>7527</v>
      </c>
      <c r="C267" s="24">
        <v>7</v>
      </c>
      <c r="D267" s="69"/>
      <c r="E267" s="31" t="s">
        <v>7525</v>
      </c>
      <c r="F267" s="37"/>
      <c r="G267" s="24"/>
      <c r="H267" s="24"/>
    </row>
    <row r="268" spans="1:8" ht="13.2">
      <c r="A268" s="65" t="str">
        <f>HYPERLINK("https://joisc2013-day3.contest.atcoder.jp/tasks/joisc2013_cake","JOISC 13-Cake")</f>
        <v>JOISC 13-Cake</v>
      </c>
      <c r="B268" s="20" t="s">
        <v>7599</v>
      </c>
      <c r="C268" s="24">
        <v>7</v>
      </c>
      <c r="D268" s="69"/>
      <c r="E268" s="31" t="s">
        <v>7525</v>
      </c>
      <c r="F268" s="37"/>
      <c r="G268" s="24"/>
      <c r="H268" s="24"/>
    </row>
    <row r="269" spans="1:8" ht="13.2">
      <c r="A269" s="65" t="str">
        <f>HYPERLINK("https://joisc2014.contest.atcoder.jp/tasks/joisc2014_l","JOISC 14-Kanji")</f>
        <v>JOISC 14-Kanji</v>
      </c>
      <c r="B269" s="20" t="s">
        <v>7600</v>
      </c>
      <c r="C269" s="24">
        <v>7</v>
      </c>
      <c r="D269" s="69"/>
      <c r="E269" s="31" t="s">
        <v>7525</v>
      </c>
      <c r="F269" s="37"/>
      <c r="G269" s="24"/>
      <c r="H269" s="24"/>
    </row>
    <row r="270" spans="1:8" ht="13.2">
      <c r="A270" s="65" t="str">
        <f>HYPERLINK("https://joisc2014.contest.atcoder.jp/tasks/joisc2014_i","JOISC 14-Scarecrow")</f>
        <v>JOISC 14-Scarecrow</v>
      </c>
      <c r="B270" s="20" t="s">
        <v>7601</v>
      </c>
      <c r="C270" s="24">
        <v>7</v>
      </c>
      <c r="D270" s="69"/>
      <c r="E270" s="31" t="s">
        <v>7525</v>
      </c>
      <c r="F270" s="37"/>
      <c r="G270" s="24"/>
      <c r="H270" s="24"/>
    </row>
    <row r="271" spans="1:8" ht="13.2">
      <c r="A271" s="65" t="str">
        <f>HYPERLINK("https://joisc2015.contest.atcoder.jp/tasks/joisc2015_m","JOISC 15-Walls")</f>
        <v>JOISC 15-Walls</v>
      </c>
      <c r="B271" s="20" t="s">
        <v>7602</v>
      </c>
      <c r="C271" s="24">
        <v>7</v>
      </c>
      <c r="D271" s="69"/>
      <c r="E271" s="31" t="s">
        <v>7525</v>
      </c>
      <c r="F271" s="37"/>
      <c r="G271" s="24"/>
      <c r="H271" s="24"/>
    </row>
    <row r="272" spans="1:8" ht="13.2">
      <c r="A272" s="65" t="str">
        <f>HYPERLINK("https://joisc2016.contest.atcoder.jp/tasks/joisc2016_b","JOISC 16-Memory2")</f>
        <v>JOISC 16-Memory2</v>
      </c>
      <c r="B272" s="20" t="s">
        <v>7603</v>
      </c>
      <c r="C272" s="24">
        <v>7</v>
      </c>
      <c r="D272" s="69"/>
      <c r="E272" s="31" t="s">
        <v>7525</v>
      </c>
      <c r="F272" s="37"/>
      <c r="G272" s="24"/>
      <c r="H272" s="24"/>
    </row>
    <row r="273" spans="1:8" ht="13.2">
      <c r="A273" s="65" t="str">
        <f>HYPERLINK("https://cses.fi/186/list/","CEOI 06-Connect")</f>
        <v>CEOI 06-Connect</v>
      </c>
      <c r="B273" s="20" t="s">
        <v>6954</v>
      </c>
      <c r="C273" s="24">
        <v>7</v>
      </c>
      <c r="D273" s="65" t="str">
        <f>HYPERLINK("https://github.com/mostafa-saad/MyCompetitiveProgramming/blob/master/Olympiad/CEOI/CEOI-06-Connect.txt","Sol")</f>
        <v>Sol</v>
      </c>
      <c r="E273" s="31" t="s">
        <v>1819</v>
      </c>
      <c r="F273" s="37"/>
      <c r="G273" s="24"/>
      <c r="H273" s="24"/>
    </row>
    <row r="274" spans="1:8" ht="13.2">
      <c r="A274" s="65" t="str">
        <f>HYPERLINK("https://www.infoarena.ro/problema/anagrame","infoarena anagrame")</f>
        <v>infoarena anagrame</v>
      </c>
      <c r="B274" s="20" t="s">
        <v>6983</v>
      </c>
      <c r="C274" s="17">
        <v>7</v>
      </c>
      <c r="D274" s="65" t="str">
        <f>HYPERLINK("https://github.com/stefdasca/CompetitiveProgramming/blob/master/Infoarena/anagrame.cpp","Sol")</f>
        <v>Sol</v>
      </c>
      <c r="E274" s="31" t="s">
        <v>2153</v>
      </c>
      <c r="F274" s="37"/>
      <c r="G274" s="24"/>
      <c r="H274" s="24"/>
    </row>
    <row r="275" spans="1:8" ht="13.2">
      <c r="A275" s="65" t="str">
        <f>HYPERLINK("https://szkopul.edu.pl/problemset/problem/qYS15kJB5WGKbGxqJCIEVM1I/site/","CEOI 04-Clouds")</f>
        <v>CEOI 04-Clouds</v>
      </c>
      <c r="B275" s="37" t="s">
        <v>7064</v>
      </c>
      <c r="C275" s="24">
        <v>7</v>
      </c>
      <c r="D275" s="65" t="str">
        <f>HYPERLINK("https://github.com/mostafa-saad/MyCompetitiveProgramming/blob/master/Olympiad/CEOI/CEOI-04-Clouds.txt","Sol")</f>
        <v>Sol</v>
      </c>
      <c r="E275" s="31" t="s">
        <v>2510</v>
      </c>
      <c r="F275" s="37"/>
      <c r="G275" s="24"/>
      <c r="H275" s="24"/>
    </row>
    <row r="276" spans="1:8" ht="13.2">
      <c r="A276" s="65" t="str">
        <f>HYPERLINK("https://oj.uz/problem/view/COCI17_paralelogrami","COCI 17-paralelogrami")</f>
        <v>COCI 17-paralelogrami</v>
      </c>
      <c r="B276" s="15" t="s">
        <v>7065</v>
      </c>
      <c r="C276" s="24">
        <v>7</v>
      </c>
      <c r="D276" s="65" t="str">
        <f>HYPERLINK("https://github.com/mostafa-saad/MyCompetitiveProgramming/blob/master/Olympiad/COCI/official/2017/contest7_solutions","Editorial")</f>
        <v>Editorial</v>
      </c>
      <c r="E276" s="31" t="s">
        <v>2510</v>
      </c>
      <c r="F276" s="37"/>
      <c r="G276" s="24"/>
      <c r="H276" s="24"/>
    </row>
    <row r="277" spans="1:8" ht="13.2">
      <c r="A277" s="65" t="str">
        <f>HYPERLINK("https://oj.uz/problem/view/POI11_wyk","POI 11-wyk")</f>
        <v>POI 11-wyk</v>
      </c>
      <c r="B277" s="25" t="s">
        <v>7066</v>
      </c>
      <c r="C277" s="24">
        <v>7</v>
      </c>
      <c r="D277" s="65" t="str">
        <f>HYPERLINK("https://github.com/mostafa-saad/MyCompetitiveProgramming/blob/master/Olympiad/POI/official/find_editorial_sols_guidelines.txt","Editorial")</f>
        <v>Editorial</v>
      </c>
      <c r="E277" s="31" t="s">
        <v>2510</v>
      </c>
      <c r="F277" s="37"/>
      <c r="G277" s="24"/>
      <c r="H277" s="24"/>
    </row>
    <row r="278" spans="1:8" ht="13.2">
      <c r="A278" s="65" t="str">
        <f>HYPERLINK("https://cses.fi/180/list/","CEOI 09-Tri")</f>
        <v>CEOI 09-Tri</v>
      </c>
      <c r="B278" s="20" t="s">
        <v>2509</v>
      </c>
      <c r="C278" s="24">
        <v>7</v>
      </c>
      <c r="D278" s="65" t="str">
        <f>HYPERLINK("https://github.com/mostafa-saad/MyCompetitiveProgramming/tree/master/Olympiad/CEOI/official/2009","Editorial")</f>
        <v>Editorial</v>
      </c>
      <c r="E278" s="31" t="s">
        <v>2510</v>
      </c>
      <c r="F278" s="37"/>
      <c r="G278" s="24"/>
      <c r="H278" s="24"/>
    </row>
    <row r="279" spans="1:8" ht="13.2">
      <c r="A279" s="65" t="str">
        <f>HYPERLINK("https://oj.uz/problems/source/60", "CEOI 13-adriatic")</f>
        <v>CEOI 13-adriatic</v>
      </c>
      <c r="B279" s="23" t="s">
        <v>6675</v>
      </c>
      <c r="C279" s="17">
        <v>7</v>
      </c>
      <c r="D279" s="65" t="str">
        <f>HYPERLINK("https://github.com/tmwilliamlin168/CompetitiveProgramming/blob/master/CEOI/13-Adriatic.cpp", "Sol")</f>
        <v>Sol</v>
      </c>
      <c r="E279" s="31" t="s">
        <v>575</v>
      </c>
      <c r="F279" s="37"/>
      <c r="G279" s="24"/>
      <c r="H279" s="24"/>
    </row>
    <row r="280" spans="1:8" ht="13.2">
      <c r="A280" s="65" t="str">
        <f>HYPERLINK("https://dmoj.ca/problem/apio10p3", "APIO 10-Signaling")</f>
        <v>APIO 10-Signaling</v>
      </c>
      <c r="B280" s="20" t="s">
        <v>7103</v>
      </c>
      <c r="C280" s="17">
        <v>7</v>
      </c>
      <c r="D280" s="65" t="str">
        <f>HYPERLINK("https://github.com/shanto86/Training/blob/master/Dmoj/APIO%2010-Signaling.cpp","Sol")</f>
        <v>Sol</v>
      </c>
      <c r="E280" s="31" t="s">
        <v>3140</v>
      </c>
      <c r="F280" s="37"/>
      <c r="G280" s="24"/>
      <c r="H280" s="24"/>
    </row>
    <row r="281" spans="1:8" ht="13.2">
      <c r="A281" s="65" t="str">
        <f>HYPERLINK("https://oj.uz/problem/view/JOI17_cultivation","JOISC 17-cultivation")</f>
        <v>JOISC 17-cultivation</v>
      </c>
      <c r="B281" s="20" t="s">
        <v>7104</v>
      </c>
      <c r="C281" s="24">
        <v>7</v>
      </c>
      <c r="D281" s="65" t="str">
        <f>HYPERLINK("https://github.com/mostafa-saad/MyCompetitiveProgramming/blob/master/Olympiad/JOI/official/JOISC/2017/2017.txt","Sol")</f>
        <v>Sol</v>
      </c>
      <c r="E281" s="31" t="s">
        <v>3140</v>
      </c>
      <c r="F281" s="37"/>
      <c r="G281" s="24"/>
      <c r="H281" s="24"/>
    </row>
    <row r="282" spans="1:8" ht="13.2">
      <c r="A282" s="65" t="str">
        <f>HYPERLINK("https://szkopul.edu.pl/problemset/problem/vX48bEW0i5IRszoCOP_f78Dc/site/", "POI 15-Speed")</f>
        <v>POI 15-Speed</v>
      </c>
      <c r="B282" s="37" t="s">
        <v>3139</v>
      </c>
      <c r="C282" s="24">
        <v>7</v>
      </c>
      <c r="D282" s="65" t="str">
        <f>HYPERLINK("https://github.com/mostafa-saad/MyCompetitiveProgramming/blob/master/Olympiad/POI/official/find_editorial_sols_guidelines.txt","Editorial")</f>
        <v>Editorial</v>
      </c>
      <c r="E282" s="31" t="s">
        <v>3140</v>
      </c>
      <c r="F282" s="37"/>
      <c r="G282" s="24"/>
      <c r="H282" s="24"/>
    </row>
    <row r="283" spans="1:8" ht="13.2">
      <c r="A283" s="65" t="str">
        <f>HYPERLINK("https://csacademy.com/contest/ioi-2016-training-round-3/task/network-rumour/","IOIPractice 16-network-rumour")</f>
        <v>IOIPractice 16-network-rumour</v>
      </c>
      <c r="B283" s="37" t="s">
        <v>7604</v>
      </c>
      <c r="C283" s="24">
        <v>7</v>
      </c>
      <c r="D283" s="69"/>
      <c r="E283" s="31" t="s">
        <v>3140</v>
      </c>
      <c r="F283" s="37"/>
      <c r="G283" s="24"/>
      <c r="H283" s="24"/>
    </row>
    <row r="284" spans="1:8" ht="13.2">
      <c r="A284" s="65" t="str">
        <f>HYPERLINK("https://szkopul.edu.pl/problemset/problem/cKsx92et8fGp6MOzI2HTNmQY/site/", "POI 04-Calgae")</f>
        <v>POI 04-Calgae</v>
      </c>
      <c r="B284" s="37" t="s">
        <v>7126</v>
      </c>
      <c r="C284" s="21">
        <v>7</v>
      </c>
      <c r="D284" s="65" t="str">
        <f>HYPERLINK("https://github.com/mostafa-saad/MyCompetitiveProgramming/blob/master/Olympiad/POI/official/find_editorial_sols_guidelines.txt","Editorial")</f>
        <v>Editorial</v>
      </c>
      <c r="E284" s="31" t="s">
        <v>3257</v>
      </c>
      <c r="F284" s="37"/>
      <c r="G284" s="24"/>
      <c r="H284" s="24"/>
    </row>
    <row r="285" spans="1:8" ht="13.2">
      <c r="A285" s="65" t="str">
        <f>HYPERLINK("https://www.hackerrank.com/contests/boi-2016/challenges","Balkan 16-Acrobat")</f>
        <v>Balkan 16-Acrobat</v>
      </c>
      <c r="B285" s="37" t="s">
        <v>7127</v>
      </c>
      <c r="C285" s="24">
        <v>7</v>
      </c>
      <c r="D285" s="65" t="str">
        <f>HYPERLINK("https://github.com/mostafa-saad/MyCompetitiveProgramming/tree/master/Olympiad/Balkan/official/2016","Sol (no editorial)")</f>
        <v>Sol (no editorial)</v>
      </c>
      <c r="E285" s="31" t="s">
        <v>3257</v>
      </c>
      <c r="F285" s="37"/>
      <c r="G285" s="24"/>
      <c r="H285" s="24"/>
    </row>
    <row r="286" spans="1:8" ht="13.2">
      <c r="A286" s="65" t="str">
        <f>HYPERLINK("https://wcipeg.com/problem/coci096p5","COCI 09-Holmes")</f>
        <v>COCI 09-Holmes</v>
      </c>
      <c r="B286" s="73" t="s">
        <v>7128</v>
      </c>
      <c r="C286" s="66">
        <v>7</v>
      </c>
      <c r="D286" s="65" t="str">
        <f>HYPERLINK("https://github.com/mostafa-saad/MyCompetitiveProgramming/blob/master/Olympiad/COCI/official/2010/contest6_solutions","Editorial")</f>
        <v>Editorial</v>
      </c>
      <c r="E286" s="31" t="s">
        <v>3257</v>
      </c>
      <c r="F286" s="37"/>
      <c r="G286" s="24"/>
      <c r="H286" s="24"/>
    </row>
    <row r="287" spans="1:8" ht="13.2">
      <c r="A287" s="65" t="str">
        <f>HYPERLINK("https://szkopul.edu.pl/problemset/problem/z0rincXf7fi157ycO_Sl0bCb/site/", "POI 15-Highway")</f>
        <v>POI 15-Highway</v>
      </c>
      <c r="B287" s="37" t="s">
        <v>3682</v>
      </c>
      <c r="C287" s="24">
        <v>7</v>
      </c>
      <c r="D287" s="65" t="str">
        <f>HYPERLINK("https://github.com/mostafa-saad/MyCompetitiveProgramming/blob/master/Olympiad/POI/official/find_editorial_sols_guidelines.txt","Editorial")</f>
        <v>Editorial</v>
      </c>
      <c r="E287" s="31" t="s">
        <v>3650</v>
      </c>
      <c r="F287" s="37"/>
      <c r="G287" s="24"/>
      <c r="H287" s="24"/>
    </row>
    <row r="288" spans="1:8" ht="13.2">
      <c r="A288" s="65" t="str">
        <f>HYPERLINK("https://dunjudge.me/analysis/problems/706/","NOI 15-sudoku")</f>
        <v>NOI 15-sudoku</v>
      </c>
      <c r="B288" s="37" t="s">
        <v>3791</v>
      </c>
      <c r="C288" s="24">
        <v>7</v>
      </c>
      <c r="D288" s="65" t="str">
        <f>HYPERLINK("https://github.com/mostafa-saad/MyCompetitiveProgramming/blob/master/Olympiad/NOI/official","Editorial")</f>
        <v>Editorial</v>
      </c>
      <c r="E288" s="31" t="s">
        <v>3784</v>
      </c>
      <c r="F288" s="37"/>
      <c r="G288" s="24"/>
      <c r="H288" s="24"/>
    </row>
    <row r="289" spans="1:8" ht="13.2">
      <c r="A289" s="65" t="str">
        <f>HYPERLINK("http://usaco.org/index.php?page=viewproblem2&amp;cpid=950","USACO 19mar-Valleys-plat")</f>
        <v>USACO 19mar-Valleys-plat</v>
      </c>
      <c r="B289" s="37" t="s">
        <v>7228</v>
      </c>
      <c r="C289" s="24">
        <v>7</v>
      </c>
      <c r="D289" s="65" t="str">
        <f>HYPERLINK("https://github.com/Szawinis/CompetitiveProgramming/blob/master/Olympiad/USACO/USACO19mar-valleys-plat.cpp","Sol")</f>
        <v>Sol</v>
      </c>
      <c r="E289" s="31" t="s">
        <v>3883</v>
      </c>
      <c r="F289" s="37"/>
      <c r="G289" s="24"/>
      <c r="H289" s="24"/>
    </row>
    <row r="290" spans="1:8" ht="13.2">
      <c r="A290" s="65" t="str">
        <f>HYPERLINK("https://oj.uz/problem/view/COCI18_teoreticar","COCI 19-teoreticar")</f>
        <v>COCI 19-teoreticar</v>
      </c>
      <c r="B290" s="20" t="s">
        <v>3961</v>
      </c>
      <c r="C290" s="17">
        <v>7</v>
      </c>
      <c r="D290" s="69"/>
      <c r="E290" s="31" t="s">
        <v>3955</v>
      </c>
      <c r="F290" s="37"/>
      <c r="G290" s="24"/>
      <c r="H290" s="24"/>
    </row>
    <row r="291" spans="1:8" ht="13.2">
      <c r="A291" s="65" t="str">
        <f>HYPERLINK("https://github.com/mostafa-saad/MyCompetitiveProgramming/blob/master/Olympiad/infoarena/drumuri5-statement.txt","infoarena drumuri5")</f>
        <v>infoarena drumuri5</v>
      </c>
      <c r="B291" s="20" t="s">
        <v>7273</v>
      </c>
      <c r="C291" s="17">
        <v>7</v>
      </c>
      <c r="D291" s="65" t="str">
        <f>HYPERLINK("https://github.com/stefdasca/CompetitiveProgramming/blob/master/Infoarena/drumuri5.cpp","Sol")</f>
        <v>Sol</v>
      </c>
      <c r="E291" s="31" t="s">
        <v>4344</v>
      </c>
      <c r="F291" s="37"/>
      <c r="G291" s="24"/>
      <c r="H291" s="24"/>
    </row>
    <row r="292" spans="1:8" ht="13.2">
      <c r="A292" s="65" t="str">
        <f>HYPERLINK("https://csacademy.com/contest/ioi-2016-training-round-3/task/tree-nodes-destruction/","IOIPractice 16-tree-nodes-destruction")</f>
        <v>IOIPractice 16-tree-nodes-destruction</v>
      </c>
      <c r="B292" s="37" t="s">
        <v>7605</v>
      </c>
      <c r="C292" s="24">
        <v>7</v>
      </c>
      <c r="D292" s="69"/>
      <c r="E292" s="31" t="s">
        <v>4454</v>
      </c>
      <c r="F292" s="37"/>
      <c r="G292" s="24"/>
      <c r="H292" s="24"/>
    </row>
    <row r="293" spans="1:8" ht="13.2">
      <c r="A293" s="65" t="str">
        <f>HYPERLINK("https://oj.uz/problem/view/COCI17_sazetak","COCI 17-sazetak")</f>
        <v>COCI 17-sazetak</v>
      </c>
      <c r="B293" s="20" t="s">
        <v>7364</v>
      </c>
      <c r="C293" s="24">
        <v>7</v>
      </c>
      <c r="D293" s="69"/>
      <c r="E293" s="31" t="s">
        <v>5524</v>
      </c>
      <c r="F293" s="37"/>
      <c r="G293" s="24"/>
      <c r="H293" s="24"/>
    </row>
    <row r="294" spans="1:8" ht="13.2">
      <c r="A294" s="65" t="str">
        <f>HYPERLINK("https://szkopul.edu.pl/problemset/problem/dq_rM2gOy4-8jYIsE7xgo-9l/site/", "POI 04-Tournament")</f>
        <v>POI 04-Tournament</v>
      </c>
      <c r="B294" s="37" t="s">
        <v>6584</v>
      </c>
      <c r="C294" s="24">
        <v>6.9</v>
      </c>
      <c r="D294" s="65" t="str">
        <f>HYPERLINK("https://github.com/mostafa-saad/MyCompetitiveProgramming/blob/master/Olympiad/POI/POI-04-Tournament.txt","Sol")</f>
        <v>Sol</v>
      </c>
      <c r="E294" s="31" t="s">
        <v>125</v>
      </c>
      <c r="F294" s="37" t="s">
        <v>154</v>
      </c>
      <c r="G294" s="24"/>
      <c r="H294" s="24"/>
    </row>
    <row r="295" spans="1:8" ht="13.2">
      <c r="A295" s="65" t="str">
        <f>HYPERLINK("https://infoarena.ro/problema/xortransform","infoarena xortransform")</f>
        <v>infoarena xortransform</v>
      </c>
      <c r="B295" s="15" t="s">
        <v>7496</v>
      </c>
      <c r="C295" s="24">
        <v>6.9</v>
      </c>
      <c r="D295" s="65" t="str">
        <f>HYPERLINK("https://github.com/mostafa-saad/MyCompetitiveProgramming/blob/master/Olympiad/infoarena/infoarena_xortransform.txt","Sol")</f>
        <v>Sol</v>
      </c>
      <c r="E295" s="31" t="s">
        <v>6441</v>
      </c>
      <c r="F295" s="37" t="s">
        <v>154</v>
      </c>
      <c r="G295" s="24"/>
      <c r="H295" s="24"/>
    </row>
    <row r="296" spans="1:8" ht="13.2">
      <c r="A296" s="65" t="str">
        <f>HYPERLINK("https://oj.uz/problem/view/COCI16_kralj","COCI 16-kralj")</f>
        <v>COCI 16-kralj</v>
      </c>
      <c r="B296" s="20" t="s">
        <v>6984</v>
      </c>
      <c r="C296" s="24">
        <v>6.8</v>
      </c>
      <c r="D296" s="65" t="str">
        <f>HYPERLINK("https://github.com/mostafa-saad/MyCompetitiveProgramming/blob/master/Olympiad/COCI/COCI-16-kralj.txt","Sol")</f>
        <v>Sol</v>
      </c>
      <c r="E296" s="31" t="s">
        <v>2153</v>
      </c>
      <c r="F296" s="37" t="s">
        <v>173</v>
      </c>
      <c r="G296" s="24"/>
      <c r="H296" s="24"/>
    </row>
    <row r="297" spans="1:8" ht="13.2">
      <c r="A297" s="65" t="str">
        <f>HYPERLINK("https://dmoj.ca/problem/apio10p2", "APIO 10-Patrol")</f>
        <v>APIO 10-Patrol</v>
      </c>
      <c r="B297" s="20" t="s">
        <v>7436</v>
      </c>
      <c r="C297" s="17">
        <v>6.8</v>
      </c>
      <c r="D297" s="65" t="str">
        <f>HYPERLINK("https://github.com/mostafa-saad/MyCompetitiveProgramming/blob/master/Olympiad/APIO/APIO-10-Patrol.txt","Sol")</f>
        <v>Sol</v>
      </c>
      <c r="E297" s="31" t="s">
        <v>6151</v>
      </c>
      <c r="F297" s="37" t="s">
        <v>154</v>
      </c>
      <c r="G297" s="24"/>
      <c r="H297" s="24"/>
    </row>
    <row r="298" spans="1:8" ht="13.2">
      <c r="A298" s="65" t="str">
        <f>HYPERLINK("https://oj.uz/problem/view/BOI18_election","Balkan 18-election")</f>
        <v>Balkan 18-election</v>
      </c>
      <c r="B298" s="20" t="s">
        <v>1017</v>
      </c>
      <c r="C298" s="24">
        <v>6.8</v>
      </c>
      <c r="D298" s="65" t="str">
        <f>HYPERLINK("https://github.com/mostafa-saad/MyCompetitiveProgramming/blob/master/Olympiad/Balkan/Balkan-18-election.txt","Sol")</f>
        <v>Sol</v>
      </c>
      <c r="E298" s="31" t="s">
        <v>1018</v>
      </c>
      <c r="F298" s="37" t="s">
        <v>154</v>
      </c>
      <c r="G298" s="24"/>
      <c r="H298" s="24"/>
    </row>
    <row r="299" spans="1:8" ht="13.2">
      <c r="A299" s="65" t="str">
        <f>HYPERLINK("https://joi2013ho.contest.atcoder.jp/tasks/joi2013ho5","JOI 13-BubbleSort")</f>
        <v>JOI 13-BubbleSort</v>
      </c>
      <c r="B299" s="20" t="s">
        <v>6807</v>
      </c>
      <c r="C299" s="24">
        <v>6.8</v>
      </c>
      <c r="D299" s="65" t="str">
        <f>HYPERLINK("https://github.com/mostafa-saad/MyCompetitiveProgramming/blob/master/Olympiad/JOI/JOI-13-BubbleSort.txt","Sol")</f>
        <v>Sol</v>
      </c>
      <c r="E299" s="31" t="s">
        <v>1223</v>
      </c>
      <c r="F299" s="37" t="s">
        <v>154</v>
      </c>
      <c r="G299" s="24"/>
      <c r="H299" s="24"/>
    </row>
    <row r="300" spans="1:8" ht="13.2">
      <c r="A300" s="65" t="str">
        <f>HYPERLINK("https://oj.uz/problem/view/COCI16_burza","COCI 16-burza")</f>
        <v>COCI 16-burza</v>
      </c>
      <c r="B300" s="20" t="s">
        <v>6955</v>
      </c>
      <c r="C300" s="24">
        <v>6.8</v>
      </c>
      <c r="D300" s="65" t="str">
        <f>HYPERLINK("https://github.com/mostafa-saad/MyCompetitiveProgramming/blob/master/Olympiad/COCI/COCI-16-burza.txt","Sol")</f>
        <v>Sol</v>
      </c>
      <c r="E300" s="31" t="s">
        <v>1819</v>
      </c>
      <c r="F300" s="37" t="s">
        <v>154</v>
      </c>
      <c r="G300" s="24"/>
      <c r="H300" s="24"/>
    </row>
    <row r="301" spans="1:8" ht="13.2">
      <c r="A301" s="65" t="str">
        <f>HYPERLINK("https://szkopul.edu.pl/problemset/problem/M5CruI5eCu8elnNFHuiXBrvV/site/", "POI 16-Not_Nim")</f>
        <v>POI 16-Not_Nim</v>
      </c>
      <c r="B301" s="37" t="s">
        <v>7054</v>
      </c>
      <c r="C301" s="24">
        <v>6.8</v>
      </c>
      <c r="D301" s="65" t="str">
        <f>HYPERLINK("https://github.com/mostafa-saad/MyCompetitiveProgramming/blob/master/Olympiad/POI/POI-16-Not_Nim.txt","Sol")</f>
        <v>Sol</v>
      </c>
      <c r="E301" s="31" t="s">
        <v>2394</v>
      </c>
      <c r="F301" s="37" t="s">
        <v>154</v>
      </c>
      <c r="G301" s="24"/>
      <c r="H301" s="24"/>
    </row>
    <row r="302" spans="1:8" ht="13.2">
      <c r="A302" s="65" t="str">
        <f>HYPERLINK("https://szkopul.edu.pl/problemset/problem/F_PC7j8VzjiPwlNqg9Jr_tFg/site/", "POI 09-Walk")</f>
        <v>POI 09-Walk</v>
      </c>
      <c r="B302" s="37" t="s">
        <v>7172</v>
      </c>
      <c r="C302" s="24">
        <v>6.8</v>
      </c>
      <c r="D302" s="65" t="str">
        <f>HYPERLINK("https://github.com/mostafa-saad/MyCompetitiveProgramming/blob/master/Olympiad/POI/POI-09-Walk.txt","Sol")</f>
        <v>Sol</v>
      </c>
      <c r="E302" s="31" t="s">
        <v>3467</v>
      </c>
      <c r="F302" s="37" t="s">
        <v>154</v>
      </c>
      <c r="G302" s="24"/>
      <c r="H302" s="24"/>
    </row>
    <row r="303" spans="1:8" ht="13.2">
      <c r="A303" s="65" t="str">
        <f>HYPERLINK("https://dunjudge.me/analysis/problems/762/","JOISC 15-navigation")</f>
        <v>JOISC 15-navigation</v>
      </c>
      <c r="B303" s="37" t="s">
        <v>7186</v>
      </c>
      <c r="C303" s="24">
        <v>6.8</v>
      </c>
      <c r="D303" s="65" t="str">
        <f>HYPERLINK("https://ivaniscoding.wordpress.com/2018/08/25/communication-2-navigation/","Sol")</f>
        <v>Sol</v>
      </c>
      <c r="E303" s="31" t="s">
        <v>3650</v>
      </c>
      <c r="F303" s="37" t="s">
        <v>154</v>
      </c>
      <c r="G303" s="24"/>
      <c r="H303" s="24"/>
    </row>
    <row r="304" spans="1:8" ht="13.2">
      <c r="A304" s="65" t="str">
        <f>HYPERLINK("https://oj.uz/problem/view/COI15_zarulje","COI 15-zarulje")</f>
        <v>COI 15-zarulje</v>
      </c>
      <c r="B304" s="20" t="s">
        <v>7365</v>
      </c>
      <c r="C304" s="24">
        <v>6.8</v>
      </c>
      <c r="D304" s="65" t="str">
        <f>HYPERLINK("https://github.com/mostafa-saad/MyCompetitiveProgramming/blob/master/Olympiad/COI/COI-15-zarulje.txt","Sol")</f>
        <v>Sol</v>
      </c>
      <c r="E304" s="31" t="s">
        <v>5524</v>
      </c>
      <c r="F304" s="37" t="s">
        <v>154</v>
      </c>
      <c r="G304" s="24"/>
      <c r="H304" s="24"/>
    </row>
    <row r="305" spans="1:8" ht="13.2">
      <c r="A305" s="65" t="str">
        <f>HYPERLINK("https://oj.uz/problem/view/IOI09_salesman","IOI 09-salesman")</f>
        <v>IOI 09-salesman</v>
      </c>
      <c r="B305" s="37" t="s">
        <v>7458</v>
      </c>
      <c r="C305" s="24">
        <v>6.8</v>
      </c>
      <c r="D305" s="65" t="str">
        <f>HYPERLINK("https://github.com/mostafa-saad/MyCompetitiveProgramming/blob/master/Olympiad/IOI/IOI-09-salesman.txt","Sol")</f>
        <v>Sol</v>
      </c>
      <c r="E305" s="31" t="s">
        <v>6362</v>
      </c>
      <c r="F305" s="37" t="s">
        <v>139</v>
      </c>
      <c r="G305" s="24"/>
      <c r="H305" s="24"/>
    </row>
    <row r="306" spans="1:8" ht="13.2">
      <c r="A306" s="65" t="str">
        <f>HYPERLINK("https://szkopul.edu.pl/problemset/problem/X_XFcxCm1xIAk2alKtQLN79O/site/", "POI 09-Island")</f>
        <v>POI 09-Island</v>
      </c>
      <c r="B306" s="37" t="s">
        <v>7459</v>
      </c>
      <c r="C306" s="24">
        <v>6.8</v>
      </c>
      <c r="D306" s="65" t="str">
        <f>HYPERLINK("https://github.com/mostafa-saad/MyCompetitiveProgramming/blob/master/Olympiad/POI/POI-09-Island.txt","Sol")</f>
        <v>Sol</v>
      </c>
      <c r="E306" s="31" t="s">
        <v>6362</v>
      </c>
      <c r="F306" s="37" t="s">
        <v>139</v>
      </c>
      <c r="G306" s="24"/>
      <c r="H306" s="24"/>
    </row>
    <row r="307" spans="1:8" ht="13.2">
      <c r="A307" s="65" t="str">
        <f>HYPERLINK("http://usaco.org/index.php?page=viewproblem2&amp;cpid=840", "USACO 18mar-sortplat")</f>
        <v>USACO 18mar-sortplat</v>
      </c>
      <c r="B307" s="20" t="s">
        <v>6808</v>
      </c>
      <c r="C307" s="24">
        <v>6.8</v>
      </c>
      <c r="D307" s="69"/>
      <c r="E307" s="31" t="s">
        <v>1223</v>
      </c>
      <c r="F307" s="37" t="s">
        <v>139</v>
      </c>
      <c r="G307" s="24"/>
      <c r="H307" s="24"/>
    </row>
    <row r="308" spans="1:8" ht="13.2">
      <c r="A308" s="65" t="str">
        <f>HYPERLINK("https://oj.uz/problem/view/BOI15_tug","Baltic 15-tug")</f>
        <v>Baltic 15-tug</v>
      </c>
      <c r="B308" s="23" t="s">
        <v>6837</v>
      </c>
      <c r="C308" s="24">
        <v>6.8</v>
      </c>
      <c r="D308" s="65" t="str">
        <f>HYPERLINK("https://github.com/mostafa-saad/MyCompetitiveProgramming/blob/master/Olympiad/Baltic/Baltic-15-tug.txt","Sol")</f>
        <v>Sol</v>
      </c>
      <c r="E308" s="31" t="s">
        <v>1337</v>
      </c>
      <c r="F308" s="37" t="s">
        <v>139</v>
      </c>
      <c r="G308" s="24"/>
      <c r="H308" s="24"/>
    </row>
    <row r="309" spans="1:8" ht="13.2">
      <c r="A309" s="65" t="str">
        <f>HYPERLINK("https://wcipeg.com/problem/coi08p1","COI 08-Izbori")</f>
        <v>COI 08-Izbori</v>
      </c>
      <c r="B309" s="37" t="s">
        <v>1374</v>
      </c>
      <c r="C309" s="24">
        <v>6.8</v>
      </c>
      <c r="D309" s="65" t="str">
        <f>HYPERLINK("https://github.com/mostafa-saad/MyCompetitiveProgramming/blob/master/Olympiad/COI/COI-08-Izbori.txt","Sol")</f>
        <v>Sol</v>
      </c>
      <c r="E309" s="31" t="s">
        <v>1337</v>
      </c>
      <c r="F309" s="37" t="s">
        <v>139</v>
      </c>
      <c r="G309" s="24"/>
      <c r="H309" s="24"/>
    </row>
    <row r="310" spans="1:8" ht="13.2">
      <c r="A310" s="65" t="str">
        <f>HYPERLINK("https://szkopul.edu.pl/problemset/problem/X6IwPa2H9FSd3Ly6bYp5t8Vu/site/", "POI 16-Nim")</f>
        <v>POI 16-Nim</v>
      </c>
      <c r="B310" s="37" t="s">
        <v>6965</v>
      </c>
      <c r="C310" s="24">
        <v>6.8</v>
      </c>
      <c r="D310" s="65" t="str">
        <f>HYPERLINK("https://github.com/mostafa-saad/MyCompetitiveProgramming/blob/master/Olympiad/POI/POI-16-Nim.txt","Sol")</f>
        <v>Sol</v>
      </c>
      <c r="E310" s="31" t="s">
        <v>1909</v>
      </c>
      <c r="F310" s="37" t="s">
        <v>139</v>
      </c>
      <c r="G310" s="24"/>
      <c r="H310" s="24"/>
    </row>
    <row r="311" spans="1:8" ht="13.2">
      <c r="A311" s="65" t="str">
        <f>HYPERLINK("https://oj.uz/problem/view/IOI19_rect","IOI 19-rect")</f>
        <v>IOI 19-rect</v>
      </c>
      <c r="B311" s="37" t="s">
        <v>6676</v>
      </c>
      <c r="C311" s="24">
        <v>6.8</v>
      </c>
      <c r="D311" s="65" t="str">
        <f>HYPERLINK("https://github.com/mostafa-saad/MyCompetitiveProgramming/blob/master/Olympiad/IOI/IOI-19-rect.txt","Sol")</f>
        <v>Sol</v>
      </c>
      <c r="E311" s="31" t="s">
        <v>575</v>
      </c>
      <c r="F311" s="37" t="s">
        <v>139</v>
      </c>
      <c r="G311" s="24"/>
      <c r="H311" s="24"/>
    </row>
    <row r="312" spans="1:8" ht="13.2">
      <c r="A312" s="65" t="str">
        <f>HYPERLINK("https://www.infoarena.ro/problema/ssdj","infoarena ssdj")</f>
        <v>infoarena ssdj</v>
      </c>
      <c r="B312" s="20" t="s">
        <v>6677</v>
      </c>
      <c r="C312" s="21">
        <v>6.8</v>
      </c>
      <c r="D312" s="65" t="str">
        <f>HYPERLINK("https://github.com/mostafa-saad/MyCompetitiveProgramming/blob/master/Olympiad/infoarena/infoarena-ssdj.txt","Sol")</f>
        <v>Sol</v>
      </c>
      <c r="E312" s="31" t="s">
        <v>575</v>
      </c>
      <c r="F312" s="37" t="s">
        <v>139</v>
      </c>
      <c r="G312" s="24"/>
      <c r="H312" s="24"/>
    </row>
    <row r="313" spans="1:8" ht="13.2">
      <c r="A313" s="65" t="str">
        <f>HYPERLINK("https://oj.uz/problem/view/COI19_izlet","COI 19-izlet")</f>
        <v>COI 19-izlet</v>
      </c>
      <c r="B313" s="37" t="s">
        <v>7129</v>
      </c>
      <c r="C313" s="24">
        <v>6.8</v>
      </c>
      <c r="D313" s="65" t="str">
        <f>HYPERLINK("https://codeforces.com/blog/entry/66506","Editorial")</f>
        <v>Editorial</v>
      </c>
      <c r="E313" s="31" t="s">
        <v>3257</v>
      </c>
      <c r="F313" s="37" t="s">
        <v>139</v>
      </c>
      <c r="G313" s="24"/>
      <c r="H313" s="24"/>
    </row>
    <row r="314" spans="1:8" ht="13.2">
      <c r="A314" s="65" t="str">
        <f>HYPERLINK("https://szkopul.edu.pl/problemset/problem/pBkLSmvYN2S1-4G9s8UqOB7s/site/", "POI 09-Code")</f>
        <v>POI 09-Code</v>
      </c>
      <c r="B314" s="37" t="s">
        <v>3725</v>
      </c>
      <c r="C314" s="24">
        <v>6.8</v>
      </c>
      <c r="D314" s="65" t="str">
        <f>HYPERLINK("https://github.com/mostafa-saad/MyCompetitiveProgramming/blob/master/Olympiad/POI/POI-09-Code.txt","Sol")</f>
        <v>Sol</v>
      </c>
      <c r="E314" s="31" t="s">
        <v>3650</v>
      </c>
      <c r="F314" s="37" t="s">
        <v>139</v>
      </c>
      <c r="G314" s="24"/>
      <c r="H314" s="24"/>
    </row>
    <row r="315" spans="1:8" ht="13.2">
      <c r="A315" s="65" t="str">
        <f>HYPERLINK("https://oj.uz/problem/view/COCI17_sirni","COCI 17-sirni")</f>
        <v>COCI 17-sirni</v>
      </c>
      <c r="B315" s="20" t="s">
        <v>7606</v>
      </c>
      <c r="C315" s="24">
        <v>6.8</v>
      </c>
      <c r="D315" s="65" t="str">
        <f>HYPERLINK("https://github.com/mostafa-saad/MyCompetitiveProgramming/blob/master/Olympiad/COCI/COCI-17-sirni.txt","Sol")</f>
        <v>Sol</v>
      </c>
      <c r="E315" s="31" t="s">
        <v>4275</v>
      </c>
      <c r="F315" s="37" t="s">
        <v>139</v>
      </c>
      <c r="G315" s="24"/>
      <c r="H315" s="24"/>
    </row>
    <row r="316" spans="1:8" ht="13.2">
      <c r="A316" s="65" t="str">
        <f>HYPERLINK("infoarena.ro/problema/engineer","infoarena engineer")</f>
        <v>infoarena engineer</v>
      </c>
      <c r="B316" s="20" t="s">
        <v>6717</v>
      </c>
      <c r="C316" s="17">
        <v>6.8</v>
      </c>
      <c r="D316" s="65" t="str">
        <f>HYPERLINK("https://github.com/stefdasca/CompetitiveProgramming/blob/master/Infoarena/engineer.cpp","Sol")</f>
        <v>Sol</v>
      </c>
      <c r="E316" s="31" t="s">
        <v>805</v>
      </c>
      <c r="F316" s="37" t="s">
        <v>139</v>
      </c>
      <c r="G316" s="24"/>
      <c r="H316" s="24"/>
    </row>
    <row r="317" spans="1:8" ht="13.2">
      <c r="A317" s="65" t="str">
        <f>HYPERLINK("https://szkopul.edu.pl/problemset/problem/0EGjXu64CRLc5S2-EQOZ0eR1/site/", "POI 08-Kingdom")</f>
        <v>POI 08-Kingdom</v>
      </c>
      <c r="B317" s="37" t="s">
        <v>7607</v>
      </c>
      <c r="C317" s="24">
        <v>6.8</v>
      </c>
      <c r="D317" s="65" t="str">
        <f>HYPERLINK("https://github.com/mostafa-saad/MyCompetitiveProgramming/blob/master/Olympiad/POI/official/find_editorial_sols_guidelines.txt","Editorial")</f>
        <v>Editorial</v>
      </c>
      <c r="E317" s="31" t="s">
        <v>332</v>
      </c>
      <c r="F317" s="37" t="s">
        <v>201</v>
      </c>
      <c r="G317" s="24"/>
      <c r="H317" s="24"/>
    </row>
    <row r="318" spans="1:8" ht="13.2">
      <c r="A318" s="65" t="str">
        <f>HYPERLINK("https://szkopul.edu.pl/problemset/problem/ci05UTAWBFeYYWnidnK1zzQl/site/", "POI 08-Triangles")</f>
        <v>POI 08-Triangles</v>
      </c>
      <c r="B318" s="37" t="s">
        <v>2533</v>
      </c>
      <c r="C318" s="24">
        <v>6.8</v>
      </c>
      <c r="D318" s="65" t="str">
        <f>HYPERLINK("https://github.com/mostafa-saad/MyCompetitiveProgramming/blob/master/Olympiad/POI/POI-08-Triangles.txt","Sol")</f>
        <v>Sol</v>
      </c>
      <c r="E318" s="31" t="s">
        <v>2510</v>
      </c>
      <c r="F318" s="37" t="s">
        <v>201</v>
      </c>
      <c r="G318" s="24"/>
      <c r="H318" s="24"/>
    </row>
    <row r="319" spans="1:8" ht="13.2">
      <c r="A319" s="65" t="str">
        <f>HYPERLINK("https://oj.uz/problem/view/IOI18_doll","IOI 18-doll")</f>
        <v>IOI 18-doll</v>
      </c>
      <c r="B319" s="20" t="s">
        <v>6763</v>
      </c>
      <c r="C319" s="21">
        <v>6.75</v>
      </c>
      <c r="D319" s="65" t="str">
        <f>HYPERLINK("https://github.com/mostafa-saad/MyCompetitiveProgramming/blob/master/Olympiad/IOI/IOI-18-Doll.txt","Sol")</f>
        <v>Sol</v>
      </c>
      <c r="E319" s="31" t="s">
        <v>1018</v>
      </c>
      <c r="F319" s="37" t="s">
        <v>173</v>
      </c>
      <c r="G319" s="24"/>
      <c r="H319" s="24"/>
    </row>
    <row r="320" spans="1:8" ht="13.2">
      <c r="A320" s="65" t="str">
        <f>HYPERLINK("https://szkopul.edu.pl/problemset/problem/OQjANSOOD_-c38gh8p6g3Gxp/site/", "POI 06-Tetris_3D")</f>
        <v>POI 06-Tetris_3D</v>
      </c>
      <c r="B320" s="37" t="s">
        <v>6764</v>
      </c>
      <c r="C320" s="24">
        <v>6.75</v>
      </c>
      <c r="D320" s="65" t="str">
        <f>HYPERLINK("https://github.com/mostafa-saad/MyCompetitiveProgramming/blob/master/Olympiad/POI/POI-06-Tetris_3D.txt","Sol")</f>
        <v>Sol</v>
      </c>
      <c r="E320" s="31" t="s">
        <v>1018</v>
      </c>
      <c r="F320" s="37" t="s">
        <v>173</v>
      </c>
      <c r="G320" s="24"/>
      <c r="H320" s="24"/>
    </row>
    <row r="321" spans="1:8" ht="13.2">
      <c r="A321" s="65" t="str">
        <f>HYPERLINK("https://wcipeg.com/problem/coi07p4","COI 07-Umnozak")</f>
        <v>COI 07-Umnozak</v>
      </c>
      <c r="B321" s="37" t="s">
        <v>6122</v>
      </c>
      <c r="C321" s="24">
        <v>6.75</v>
      </c>
      <c r="D321" s="65" t="str">
        <f>HYPERLINK("https://github.com/mostafa-saad/MyCompetitiveProgramming/blob/master/Olympiad/COI/COI-07-Umnozak.txt","Sol")</f>
        <v>Sol</v>
      </c>
      <c r="E321" s="31" t="s">
        <v>6118</v>
      </c>
      <c r="F321" s="37" t="s">
        <v>154</v>
      </c>
      <c r="G321" s="24"/>
      <c r="H321" s="24"/>
    </row>
    <row r="322" spans="1:8" ht="13.2">
      <c r="A322" s="65" t="str">
        <f>HYPERLINK("https://dmoj.ca/problem/coci08c4p6","COCI 08-Periodni")</f>
        <v>COCI 08-Periodni</v>
      </c>
      <c r="B322" s="15" t="s">
        <v>6966</v>
      </c>
      <c r="C322" s="24">
        <v>6.75</v>
      </c>
      <c r="D322" s="65" t="str">
        <f>HYPERLINK("https://github.com/mostafa-saad/MyCompetitiveProgramming/blob/master/Olympiad/COCI/COCI-08-Periodni.txt","Sol")</f>
        <v>Sol</v>
      </c>
      <c r="E322" s="31" t="s">
        <v>1909</v>
      </c>
      <c r="F322" s="37" t="s">
        <v>154</v>
      </c>
      <c r="G322" s="24"/>
      <c r="H322" s="24"/>
    </row>
    <row r="323" spans="1:8" ht="13.2">
      <c r="A323" s="65" t="str">
        <f>HYPERLINK("https://szkopul.edu.pl/problemset/problem/6YiP6JA5U15hY94pLwuHoYPg/site/", "POI 06-Ploughing")</f>
        <v>POI 06-Ploughing</v>
      </c>
      <c r="B323" s="37" t="s">
        <v>6985</v>
      </c>
      <c r="C323" s="24">
        <v>6.75</v>
      </c>
      <c r="D323" s="65" t="str">
        <f>HYPERLINK("https://github.com/mostafa-saad/MyCompetitiveProgramming/blob/master/Olympiad/POI/POI-06-Ploughing.txt","Sol")</f>
        <v>Sol</v>
      </c>
      <c r="E323" s="31" t="s">
        <v>2153</v>
      </c>
      <c r="F323" s="37" t="s">
        <v>154</v>
      </c>
      <c r="G323" s="24"/>
      <c r="H323" s="24"/>
    </row>
    <row r="324" spans="1:8" ht="13.2">
      <c r="A324" s="65" t="str">
        <f>HYPERLINK("https://csacademy.com/contest/romanian-ioi-2017-selection-1/task/rooms/","ROUSelection 17-1-rooms")</f>
        <v>ROUSelection 17-1-rooms</v>
      </c>
      <c r="B324" s="37" t="s">
        <v>7608</v>
      </c>
      <c r="C324" s="24">
        <v>6.75</v>
      </c>
      <c r="D324" s="65" t="str">
        <f>HYPERLINK("https://github.com/dolphingarlic/CompetitiveProgramming/blob/master/infoarena/ROUSelection%2017-rooms.cpp", "Sol")</f>
        <v>Sol</v>
      </c>
      <c r="E324" s="31" t="s">
        <v>2153</v>
      </c>
      <c r="F324" s="37" t="s">
        <v>154</v>
      </c>
      <c r="G324" s="24"/>
      <c r="H324" s="24"/>
    </row>
    <row r="325" spans="1:8" ht="13.2">
      <c r="A325" s="65" t="str">
        <f>HYPERLINK("https://dmoj.ca/problem/coci06c6p6","COCI 06-Prostor")</f>
        <v>COCI 06-Prostor</v>
      </c>
      <c r="B325" s="15" t="s">
        <v>7106</v>
      </c>
      <c r="C325" s="24">
        <v>6.75</v>
      </c>
      <c r="D325" s="65" t="str">
        <f>HYPERLINK("https://github.com/mostafa-saad/MyCompetitiveProgramming/blob/master/Olympiad/COCI/COCI-06-Prostor.txt","Sol")</f>
        <v>Sol</v>
      </c>
      <c r="E325" s="31" t="s">
        <v>3140</v>
      </c>
      <c r="F325" s="37" t="s">
        <v>154</v>
      </c>
      <c r="G325" s="24"/>
      <c r="H325" s="24"/>
    </row>
    <row r="326" spans="1:8" ht="13.2">
      <c r="A326" s="65" t="str">
        <f>HYPERLINK("https://szkopul.edu.pl/problemset/problem/_qn633f6DVAHRkv0OX3LQaph/site/", "POI 12-Salaries")</f>
        <v>POI 12-Salaries</v>
      </c>
      <c r="B326" s="37" t="s">
        <v>3284</v>
      </c>
      <c r="C326" s="24">
        <v>6.75</v>
      </c>
      <c r="D326" s="65" t="str">
        <f>HYPERLINK("https://github.com/mostafa-saad/MyCompetitiveProgramming/blob/master/Olympiad/POI/POI-12-Salaries.txt","Sol")</f>
        <v>Sol</v>
      </c>
      <c r="E326" s="31" t="s">
        <v>3257</v>
      </c>
      <c r="F326" s="37" t="s">
        <v>154</v>
      </c>
      <c r="G326" s="24"/>
      <c r="H326" s="24"/>
    </row>
    <row r="327" spans="1:8" ht="13.2">
      <c r="A327" s="65" t="str">
        <f>HYPERLINK("https://szkopul.edu.pl/problemset/problem/HH7LQVRVHom1g8YRe9423d1P/site/", "POI 06-Frogs")</f>
        <v>POI 06-Frogs</v>
      </c>
      <c r="B327" s="37" t="s">
        <v>7208</v>
      </c>
      <c r="C327" s="24">
        <v>6.75</v>
      </c>
      <c r="D327" s="65" t="str">
        <f>HYPERLINK("https://github.com/mostafa-saad/MyCompetitiveProgramming/blob/master/Olympiad/POI/POI-06-Frogs.txt","Sol")</f>
        <v>Sol</v>
      </c>
      <c r="E327" s="31" t="s">
        <v>3784</v>
      </c>
      <c r="F327" s="37" t="s">
        <v>154</v>
      </c>
      <c r="G327" s="24"/>
      <c r="H327" s="24"/>
    </row>
    <row r="328" spans="1:8" ht="13.2">
      <c r="A328" s="65" t="str">
        <f>HYPERLINK("https://oj.uz/problem/view/JOI17_port_facility","JOISC 17-PortFacility")</f>
        <v>JOISC 17-PortFacility</v>
      </c>
      <c r="B328" s="20" t="s">
        <v>6765</v>
      </c>
      <c r="C328" s="21">
        <v>6.75</v>
      </c>
      <c r="D328" s="65" t="str">
        <f>HYPERLINK("https://github.com/mostafa-saad/MyCompetitiveProgramming/blob/master/Olympiad/JOI/JOISC-17-PortFacility.txt","Sol")</f>
        <v>Sol</v>
      </c>
      <c r="E328" s="31" t="s">
        <v>1018</v>
      </c>
      <c r="F328" s="37" t="s">
        <v>196</v>
      </c>
      <c r="G328" s="24"/>
      <c r="H328" s="24"/>
    </row>
    <row r="329" spans="1:8" ht="13.2">
      <c r="A329" s="65" t="str">
        <f>HYPERLINK("https://oj.uz/problem/view/IZhO19_segments","IZhO 19-segments")</f>
        <v>IZhO 19-segments</v>
      </c>
      <c r="B329" s="20" t="s">
        <v>6838</v>
      </c>
      <c r="C329" s="24">
        <v>6.75</v>
      </c>
      <c r="D329" s="65" t="str">
        <f>HYPERLINK("https://github.com/stefdasca/CompetitiveProgramming/blob/master/IZhO/IZhO%2019-segments.cpp","Sol. See Solution E notes in codeforces")</f>
        <v>Sol. See Solution E notes in codeforces</v>
      </c>
      <c r="E329" s="31" t="s">
        <v>1337</v>
      </c>
      <c r="F329" s="37" t="s">
        <v>196</v>
      </c>
      <c r="G329" s="24"/>
      <c r="H329" s="24"/>
    </row>
    <row r="330" spans="1:8" ht="13.2">
      <c r="A330" s="65" t="str">
        <f>HYPERLINK("https://oj.uz/problem/view/APIO15_bridge","APIO 15-bridge")</f>
        <v>APIO 15-bridge</v>
      </c>
      <c r="B330" s="15" t="s">
        <v>7609</v>
      </c>
      <c r="C330" s="17">
        <v>6.75</v>
      </c>
      <c r="D330" s="65" t="str">
        <f>HYPERLINK("https://github.com/mostafa-saad/MyCompetitiveProgramming/blob/master/Olympiad/APIO/APIO-15-bridge.txt","Sol")</f>
        <v>Sol</v>
      </c>
      <c r="E330" s="31" t="s">
        <v>575</v>
      </c>
      <c r="F330" s="37" t="s">
        <v>1112</v>
      </c>
      <c r="G330" s="24"/>
      <c r="H330" s="24"/>
    </row>
    <row r="331" spans="1:8" ht="13.2">
      <c r="A331" s="65" t="str">
        <f>HYPERLINK("https://oj.uz/problems/source/184", "APIO 16-gap")</f>
        <v>APIO 16-gap</v>
      </c>
      <c r="B331" s="15" t="s">
        <v>6585</v>
      </c>
      <c r="C331" s="17">
        <v>6.75</v>
      </c>
      <c r="D331" s="65" t="str">
        <f>HYPERLINK("https://github.com/mostafa-saad/MyCompetitiveProgramming/blob/master/Olympiad/APIO/APIO-16-gap.txt","Sol")</f>
        <v>Sol</v>
      </c>
      <c r="E331" s="31" t="s">
        <v>125</v>
      </c>
      <c r="F331" s="37" t="s">
        <v>139</v>
      </c>
      <c r="G331" s="24"/>
      <c r="H331" s="24"/>
    </row>
    <row r="332" spans="1:8" ht="13.2">
      <c r="A332" s="65" t="str">
        <f>HYPERLINK("https://oj.uz/problem/view/IZhO19_xoractive","IZhO 19-Xoractive")</f>
        <v>IZhO 19-Xoractive</v>
      </c>
      <c r="B332" s="37" t="s">
        <v>6586</v>
      </c>
      <c r="C332" s="24">
        <v>6.75</v>
      </c>
      <c r="D332" s="65" t="str">
        <f>HYPERLINK("https://github.com/stefdasca/CompetitiveProgramming/blob/master/IZhO/IZhO%2019-xoractive.cpp","Sol")</f>
        <v>Sol</v>
      </c>
      <c r="E332" s="31" t="s">
        <v>125</v>
      </c>
      <c r="F332" s="37" t="s">
        <v>139</v>
      </c>
      <c r="G332" s="24"/>
      <c r="H332" s="24"/>
    </row>
    <row r="333" spans="1:8" ht="13.2">
      <c r="A333" s="65" t="str">
        <f>HYPERLINK("https://oj.uz/problem/view/IOI12_supper","IOI 12-supper")</f>
        <v>IOI 12-supper</v>
      </c>
      <c r="B333" s="23" t="s">
        <v>6587</v>
      </c>
      <c r="C333" s="17">
        <v>6.75</v>
      </c>
      <c r="D333" s="65" t="str">
        <f>HYPERLINK("https://github.com/mostafa-saad/MyCompetitiveProgramming/blob/master/Olympiad/IOI/IOI-12-editorials.txt","Editorial")</f>
        <v>Editorial</v>
      </c>
      <c r="E333" s="31" t="s">
        <v>125</v>
      </c>
      <c r="F333" s="37" t="s">
        <v>139</v>
      </c>
      <c r="G333" s="24"/>
      <c r="H333" s="24"/>
    </row>
    <row r="334" spans="1:8" ht="13.2">
      <c r="A334" s="65" t="str">
        <f>HYPERLINK("https://oj.uz/problem/view/info1cup18_hidden", "Info1Cup 18-Hidden")</f>
        <v>Info1Cup 18-Hidden</v>
      </c>
      <c r="B334" s="37" t="s">
        <v>6588</v>
      </c>
      <c r="C334" s="24">
        <v>6.75</v>
      </c>
      <c r="D334" s="65" t="str">
        <f>HYPERLINK("https://github.com/mostafa-saad/MyCompetitiveProgramming/blob/master/Olympiad/Info1Cup/Info1Cup_18-Hidden.txt","Sol")</f>
        <v>Sol</v>
      </c>
      <c r="E334" s="31" t="s">
        <v>125</v>
      </c>
      <c r="F334" s="37" t="s">
        <v>139</v>
      </c>
      <c r="G334" s="24"/>
      <c r="H334" s="24"/>
    </row>
    <row r="335" spans="1:8" ht="13.2">
      <c r="A335" s="65" t="str">
        <f>HYPERLINK("https://oj.uz/problem/view/COI15_nafta","COI 15-nafta")</f>
        <v>COI 15-nafta</v>
      </c>
      <c r="B335" s="20" t="s">
        <v>6100</v>
      </c>
      <c r="C335" s="24">
        <v>6.75</v>
      </c>
      <c r="D335" s="65" t="str">
        <f>HYPERLINK("https://github.com/mostafa-saad/MyCompetitiveProgramming/blob/master/Olympiad/COI/COI-15-nafta.txt","Sol")</f>
        <v>Sol</v>
      </c>
      <c r="E335" s="31" t="s">
        <v>6098</v>
      </c>
      <c r="F335" s="37" t="s">
        <v>139</v>
      </c>
      <c r="G335" s="24"/>
      <c r="H335" s="24"/>
    </row>
    <row r="336" spans="1:8" ht="13.2">
      <c r="A336" s="65" t="str">
        <f>HYPERLINK("https://contest.yandex.ru/roiarchive/contest/3926/problems/8/","RusOI-reg 13-capitals")</f>
        <v>RusOI-reg 13-capitals</v>
      </c>
      <c r="B336" s="20" t="s">
        <v>7449</v>
      </c>
      <c r="C336" s="21">
        <v>6.75</v>
      </c>
      <c r="D336" s="65" t="str">
        <f>HYPERLINK("https://github.com/SpeedOfMagic/CompetitiveProgramming/blob/master/RusOI-reg/13-capitals.cpp","Sol")</f>
        <v>Sol</v>
      </c>
      <c r="E336" s="31" t="s">
        <v>6345</v>
      </c>
      <c r="F336" s="37" t="s">
        <v>139</v>
      </c>
      <c r="G336" s="24"/>
      <c r="H336" s="24"/>
    </row>
    <row r="337" spans="1:8" ht="13.2">
      <c r="A337" s="65" t="str">
        <f>HYPERLINK("https://szkopul.edu.pl/problemset/problem/cSa80AKpjHR8FlWE4BCpLGT3/site/?key=statement","POI 16-Christmas")</f>
        <v>POI 16-Christmas</v>
      </c>
      <c r="B337" s="37" t="s">
        <v>7478</v>
      </c>
      <c r="C337" s="24">
        <v>6.75</v>
      </c>
      <c r="D337" s="65" t="str">
        <f>HYPERLINK("https://github.com/mostafa-saad/MyCompetitiveProgramming/blob/master/Olympiad/POI/POI-16-Christmas.txt","Sol")</f>
        <v>Sol</v>
      </c>
      <c r="E337" s="31" t="s">
        <v>6397</v>
      </c>
      <c r="F337" s="37" t="s">
        <v>139</v>
      </c>
      <c r="G337" s="24"/>
      <c r="H337" s="24"/>
    </row>
    <row r="338" spans="1:8" ht="13.2">
      <c r="A338" s="65" t="str">
        <f>HYPERLINK("https://dunjudge.me/analysis/problems/1826/","NOI 19-feast")</f>
        <v>NOI 19-feast</v>
      </c>
      <c r="B338" s="20" t="s">
        <v>7487</v>
      </c>
      <c r="C338" s="17">
        <v>6.75</v>
      </c>
      <c r="D338" s="65" t="str">
        <f>HYPERLINK("https://github.com/mostafa-saad/MyCompetitiveProgramming/blob/master/Olympiad/NOI/NOI-19-feast.txt","Sol")</f>
        <v>Sol</v>
      </c>
      <c r="E338" s="31" t="s">
        <v>6417</v>
      </c>
      <c r="F338" s="37" t="s">
        <v>139</v>
      </c>
      <c r="G338" s="24"/>
      <c r="H338" s="24"/>
    </row>
    <row r="339" spans="1:8" ht="13.2">
      <c r="A339" s="65" t="str">
        <f>HYPERLINK("https://dunjudge.me/analysis/problems/803/","COCI 14-norma")</f>
        <v>COCI 14-norma</v>
      </c>
      <c r="B339" s="20" t="s">
        <v>7610</v>
      </c>
      <c r="C339" s="24">
        <v>6.75</v>
      </c>
      <c r="D339" s="65" t="str">
        <f>HYPERLINK("https://github.com/mostafa-saad/MyCompetitiveProgramming/blob/master/Olympiad/COCI/COCI-14-norma.txt","Sol")</f>
        <v>Sol</v>
      </c>
      <c r="E339" s="31" t="s">
        <v>1018</v>
      </c>
      <c r="F339" s="37" t="s">
        <v>139</v>
      </c>
      <c r="G339" s="24"/>
      <c r="H339" s="24"/>
    </row>
    <row r="340" spans="1:8" ht="13.2">
      <c r="A340" s="65" t="str">
        <f>HYPERLINK("https://www.infoarena.ro/problema/fft2d","infoarena fft2d")</f>
        <v>infoarena fft2d</v>
      </c>
      <c r="B340" s="20" t="s">
        <v>6839</v>
      </c>
      <c r="C340" s="21">
        <v>6.75</v>
      </c>
      <c r="D340" s="65" t="str">
        <f>HYPERLINK("https://github.com/mostafa-saad/MyCompetitiveProgramming/blob/master/Olympiad/infoarena/infoarena_fft2d.txt","Sol")</f>
        <v>Sol</v>
      </c>
      <c r="E340" s="31" t="s">
        <v>1337</v>
      </c>
      <c r="F340" s="37" t="s">
        <v>139</v>
      </c>
      <c r="G340" s="24"/>
      <c r="H340" s="24"/>
    </row>
    <row r="341" spans="1:8" ht="13.2">
      <c r="A341" s="65" t="str">
        <f>HYPERLINK("https://www.infoarena.ro/problema/turnuri","infoarena turnuri")</f>
        <v>infoarena turnuri</v>
      </c>
      <c r="B341" s="20" t="s">
        <v>6840</v>
      </c>
      <c r="C341" s="24">
        <v>6.75</v>
      </c>
      <c r="D341" s="65" t="str">
        <f>HYPERLINK("https://github.com/mostafa-saad/MyCompetitiveProgramming/blob/master/Olympiad/infoarena/infoarena_turnuri.txt","Sol")</f>
        <v>Sol</v>
      </c>
      <c r="E341" s="31" t="s">
        <v>1337</v>
      </c>
      <c r="F341" s="37" t="s">
        <v>139</v>
      </c>
      <c r="G341" s="24"/>
      <c r="H341" s="24"/>
    </row>
    <row r="342" spans="1:8" ht="13.2">
      <c r="A342" s="65" t="str">
        <f>HYPERLINK("https://oj.uz/problem/view/JOI17_abduction2","JOISC 17-abduction2")</f>
        <v>JOISC 17-abduction2</v>
      </c>
      <c r="B342" s="20" t="s">
        <v>6841</v>
      </c>
      <c r="C342" s="24">
        <v>6.75</v>
      </c>
      <c r="D342" s="65" t="str">
        <f>HYPERLINK("https://github.com/mostafa-saad/MyCompetitiveProgramming/blob/master/Olympiad/JOI/JOISC-17-abduction2.txt","Sol")</f>
        <v>Sol</v>
      </c>
      <c r="E342" s="31" t="s">
        <v>1337</v>
      </c>
      <c r="F342" s="37" t="s">
        <v>139</v>
      </c>
      <c r="G342" s="24"/>
      <c r="H342" s="24"/>
    </row>
    <row r="343" spans="1:8" ht="13.2">
      <c r="A343" s="65" t="str">
        <f>HYPERLINK("https://www.infoarena.ro/problema/matcnt", "infoarena matcnt")</f>
        <v>infoarena matcnt</v>
      </c>
      <c r="B343" s="20" t="s">
        <v>1406</v>
      </c>
      <c r="C343" s="17">
        <v>6.75</v>
      </c>
      <c r="D343" s="65" t="str">
        <f>HYPERLINK("https://github.com/mostafa-saad/MyCompetitiveProgramming/blob/master/Olympiad/infoarena/infoarena_matcnt.txt","Sol")</f>
        <v>Sol</v>
      </c>
      <c r="E343" s="31" t="s">
        <v>1337</v>
      </c>
      <c r="F343" s="37" t="s">
        <v>139</v>
      </c>
      <c r="G343" s="24"/>
      <c r="H343" s="24"/>
    </row>
    <row r="344" spans="1:8" ht="13.2">
      <c r="A344" s="65" t="str">
        <f>HYPERLINK("https://oj.uz/problem/view/CEOI12_race","CEOI 12-race")</f>
        <v>CEOI 12-race</v>
      </c>
      <c r="B344" s="20" t="s">
        <v>6976</v>
      </c>
      <c r="C344" s="24">
        <v>6.75</v>
      </c>
      <c r="D344" s="65" t="str">
        <f>HYPERLINK("https://github.com/mostafa-saad/MyCompetitiveProgramming/blob/master/Olympiad/CEOI/CEOI-12-race.txt","Sol")</f>
        <v>Sol</v>
      </c>
      <c r="E344" s="31" t="s">
        <v>2113</v>
      </c>
      <c r="F344" s="37" t="s">
        <v>139</v>
      </c>
      <c r="G344" s="24"/>
      <c r="H344" s="24"/>
    </row>
    <row r="345" spans="1:8" ht="13.2">
      <c r="A345" s="65" t="str">
        <f>HYPERLINK("https://oj.uz/problem/view/BOI18_popa","Balkan 18-popa")</f>
        <v>Balkan 18-popa</v>
      </c>
      <c r="B345" s="20" t="s">
        <v>6987</v>
      </c>
      <c r="C345" s="17">
        <v>6.75</v>
      </c>
      <c r="D345" s="65" t="str">
        <f>HYPERLINK("https://github.com/mostafa-saad/MyCompetitiveProgramming/blob/master/Olympiad/Balkan/Balkan-18-popa.txt","Sol")</f>
        <v>Sol</v>
      </c>
      <c r="E345" s="31" t="s">
        <v>2153</v>
      </c>
      <c r="F345" s="37" t="s">
        <v>139</v>
      </c>
      <c r="G345" s="24"/>
      <c r="H345" s="24"/>
    </row>
    <row r="346" spans="1:8" ht="13.2">
      <c r="A346" s="65" t="str">
        <f>HYPERLINK("https://cses.fi/190/list/","CEOI 08-Fence")</f>
        <v>CEOI 08-Fence</v>
      </c>
      <c r="B346" s="20" t="s">
        <v>7097</v>
      </c>
      <c r="C346" s="24">
        <v>6.75</v>
      </c>
      <c r="D346" s="65" t="str">
        <f>HYPERLINK("https://github.com/mostafa-saad/MyCompetitiveProgramming/blob/master/Olympiad/CEOI/CEOI-08-Fence.txt","Sol")</f>
        <v>Sol</v>
      </c>
      <c r="E346" s="31" t="s">
        <v>3065</v>
      </c>
      <c r="F346" s="37" t="s">
        <v>139</v>
      </c>
      <c r="G346" s="24"/>
      <c r="H346" s="24"/>
    </row>
    <row r="347" spans="1:8" ht="13.2">
      <c r="A347" s="65" t="str">
        <f>HYPERLINK("https://www.infoarena.ro/problema/shgraf","infoarena shgraf")</f>
        <v>infoarena shgraf</v>
      </c>
      <c r="B347" s="37" t="s">
        <v>7130</v>
      </c>
      <c r="C347" s="24">
        <v>6.75</v>
      </c>
      <c r="D347" s="65" t="str">
        <f>HYPERLINK("https://github.com/mostafa-saad/MyCompetitiveProgramming/blob/master/Olympiad/infoarena/infoarena_shgraf.txt","Sol")</f>
        <v>Sol</v>
      </c>
      <c r="E347" s="31" t="s">
        <v>3257</v>
      </c>
      <c r="F347" s="37" t="s">
        <v>139</v>
      </c>
      <c r="G347" s="24"/>
      <c r="H347" s="24"/>
    </row>
    <row r="348" spans="1:8" ht="13.2">
      <c r="A348" s="65" t="str">
        <f>HYPERLINK("https://oj.uz/problem/view/COCI16_zamjene","COCI 16-zamjene")</f>
        <v>COCI 16-zamjene</v>
      </c>
      <c r="B348" s="20" t="s">
        <v>7229</v>
      </c>
      <c r="C348" s="24">
        <v>6.75</v>
      </c>
      <c r="D348" s="65" t="str">
        <f>HYPERLINK("https://github.com/mostafa-saad/MyCompetitiveProgramming/blob/master/Olympiad/COCI/COCI-16-zamjene.txt","Sol")</f>
        <v>Sol</v>
      </c>
      <c r="E348" s="31" t="s">
        <v>3883</v>
      </c>
      <c r="F348" s="37" t="s">
        <v>139</v>
      </c>
      <c r="G348" s="24"/>
      <c r="H348" s="24"/>
    </row>
    <row r="349" spans="1:8" ht="13.2">
      <c r="A349" s="65" t="str">
        <f>HYPERLINK("https://www.infoarena.ro/problema/unique","infoarena unique")</f>
        <v>infoarena unique</v>
      </c>
      <c r="B349" s="20" t="s">
        <v>7230</v>
      </c>
      <c r="C349" s="17">
        <v>6.75</v>
      </c>
      <c r="D349" s="65" t="str">
        <f>HYPERLINK("https://github.com/mostafa-saad/MyCompetitiveProgramming/blob/master/Olympiad/infoarena/infoarena_unique.txt","Sol")</f>
        <v>Sol</v>
      </c>
      <c r="E349" s="31" t="s">
        <v>3883</v>
      </c>
      <c r="F349" s="37" t="s">
        <v>139</v>
      </c>
      <c r="G349" s="24"/>
      <c r="H349" s="24"/>
    </row>
    <row r="350" spans="1:8" ht="13.2">
      <c r="A350" s="65" t="str">
        <f>HYPERLINK("https://dunjudge.me/analysis/problems/1827/","NOI 19-riggedroads")</f>
        <v>NOI 19-riggedroads</v>
      </c>
      <c r="B350" s="20" t="s">
        <v>7231</v>
      </c>
      <c r="C350" s="17">
        <v>6.75</v>
      </c>
      <c r="D350" s="65" t="str">
        <f>HYPERLINK("https://github.com/mostafa-saad/MyCompetitiveProgramming/blob/master/Olympiad/NOI/NOI-19-riggedroads.txt","Sol")</f>
        <v>Sol</v>
      </c>
      <c r="E350" s="31" t="s">
        <v>3883</v>
      </c>
      <c r="F350" s="37" t="s">
        <v>139</v>
      </c>
      <c r="G350" s="24"/>
      <c r="H350" s="24"/>
    </row>
    <row r="351" spans="1:8" ht="13.2">
      <c r="A351" s="65" t="str">
        <f>HYPERLINK("https://szkopul.edu.pl/problemset/problem/vQpjG0o3j0x3BQDNXpuciN3n/site/","CEOI 04-Sweets")</f>
        <v>CEOI 04-Sweets</v>
      </c>
      <c r="B351" s="37" t="s">
        <v>7309</v>
      </c>
      <c r="C351" s="24">
        <v>6.75</v>
      </c>
      <c r="D351" s="65" t="str">
        <f>HYPERLINK("https://github.com/mostafa-saad/MyCompetitiveProgramming/blob/master/Olympiad/CEOI/CEOI-04-Sweets.txt","Sol")</f>
        <v>Sol</v>
      </c>
      <c r="E351" s="31" t="s">
        <v>4531</v>
      </c>
      <c r="F351" s="37" t="s">
        <v>139</v>
      </c>
      <c r="G351" s="24"/>
      <c r="H351" s="24"/>
    </row>
    <row r="352" spans="1:8" ht="13.2">
      <c r="A352" s="65" t="str">
        <f>HYPERLINK("https://oj.uz/problem/view/POI11_sej","POI 11-sej")</f>
        <v>POI 11-sej</v>
      </c>
      <c r="B352" s="20" t="s">
        <v>7346</v>
      </c>
      <c r="C352" s="17">
        <v>6.75</v>
      </c>
      <c r="D352" s="65" t="str">
        <f>HYPERLINK("https://github.com/mostafa-saad/MyCompetitiveProgramming/blob/master/Olympiad/POI/POI-11-sej.txt","Sol")</f>
        <v>Sol</v>
      </c>
      <c r="E352" s="31" t="s">
        <v>5075</v>
      </c>
      <c r="F352" s="37" t="s">
        <v>139</v>
      </c>
      <c r="G352" s="24"/>
      <c r="H352" s="24"/>
    </row>
    <row r="353" spans="1:8" ht="13.2">
      <c r="A353" s="65" t="str">
        <f>HYPERLINK("https://cses.fi/110/list/","Baltic 06-RLE")</f>
        <v>Baltic 06-RLE</v>
      </c>
      <c r="B353" s="37" t="s">
        <v>7397</v>
      </c>
      <c r="C353" s="24">
        <v>6.75</v>
      </c>
      <c r="D353" s="65" t="str">
        <f>HYPERLINK("https://github.com/mostafa-saad/MyCompetitiveProgramming/blob/master/Olympiad/Baltic/Baltic-06-RLE.txt","Sol")</f>
        <v>Sol</v>
      </c>
      <c r="E353" s="31" t="s">
        <v>5958</v>
      </c>
      <c r="F353" s="37" t="s">
        <v>201</v>
      </c>
      <c r="G353" s="24"/>
      <c r="H353" s="24"/>
    </row>
    <row r="354" spans="1:8" ht="13.2">
      <c r="A354" s="65" t="str">
        <f>HYPERLINK("https://www.acmicpc.net/problem/5252","Balkan 12-BestTeams")</f>
        <v>Balkan 12-BestTeams</v>
      </c>
      <c r="B354" s="37" t="s">
        <v>1207</v>
      </c>
      <c r="C354" s="24">
        <v>6.75</v>
      </c>
      <c r="D354" s="65" t="str">
        <f>HYPERLINK("https://github.com/mostafa-saad/MyCompetitiveProgramming/blob/master/Olympiad/Balkan/Balkan-12-BestTeams.txt","Sol")</f>
        <v>Sol</v>
      </c>
      <c r="E354" s="31" t="s">
        <v>1018</v>
      </c>
      <c r="F354" s="37" t="s">
        <v>201</v>
      </c>
      <c r="G354" s="24"/>
      <c r="H354" s="24"/>
    </row>
    <row r="355" spans="1:8" ht="13.2">
      <c r="A355" s="65" t="str">
        <f>HYPERLINK("https://wcipeg.com/problem/coci091p6","COCI 09-Aladin")</f>
        <v>COCI 09-Aladin</v>
      </c>
      <c r="B355" s="15" t="s">
        <v>6767</v>
      </c>
      <c r="C355" s="24">
        <v>6.75</v>
      </c>
      <c r="D355" s="65" t="str">
        <f>HYPERLINK("https://github.com/mostafa-saad/MyCompetitiveProgramming/blob/master/Olympiad/COCI/COCI-09-Aladin.txt","Sol")</f>
        <v>Sol</v>
      </c>
      <c r="E355" s="31" t="s">
        <v>1018</v>
      </c>
      <c r="F355" s="37" t="s">
        <v>201</v>
      </c>
      <c r="G355" s="24"/>
      <c r="H355" s="24"/>
    </row>
    <row r="356" spans="1:8" ht="13.2">
      <c r="A356" s="65" t="str">
        <f>HYPERLINK("https://dmoj.ca/problem/coci14c3p6","COCI 14-Kamioni")</f>
        <v>COCI 14-Kamioni</v>
      </c>
      <c r="B356" s="37" t="s">
        <v>7107</v>
      </c>
      <c r="C356" s="24">
        <v>6.75</v>
      </c>
      <c r="D356" s="65" t="str">
        <f>HYPERLINK("https://github.com/mostafa-saad/MyCompetitiveProgramming/blob/master/Olympiad/COCI/COCI-14-Kamioni.txt","Sol")</f>
        <v>Sol</v>
      </c>
      <c r="E356" s="31" t="s">
        <v>3140</v>
      </c>
      <c r="F356" s="37" t="s">
        <v>201</v>
      </c>
      <c r="G356" s="24"/>
      <c r="H356" s="24"/>
    </row>
    <row r="357" spans="1:8" ht="13.2">
      <c r="A357" s="65" t="str">
        <f>HYPERLINK("https://szkopul.edu.pl/problemset/problem/7Tut6VBMo0evZZ34EhdNuuOm/site/", "POI 06-Sophie")</f>
        <v>POI 06-Sophie</v>
      </c>
      <c r="B357" s="37" t="s">
        <v>7131</v>
      </c>
      <c r="C357" s="24">
        <v>6.75</v>
      </c>
      <c r="D357" s="65" t="str">
        <f>HYPERLINK("https://github.com/mostafa-saad/MyCompetitiveProgramming/blob/master/Olympiad/POI/POI-06-Sophie.txt","Sol")</f>
        <v>Sol</v>
      </c>
      <c r="E357" s="31" t="s">
        <v>3257</v>
      </c>
      <c r="F357" s="37" t="s">
        <v>201</v>
      </c>
      <c r="G357" s="24"/>
      <c r="H357" s="24"/>
    </row>
    <row r="358" spans="1:8" ht="13.2">
      <c r="A358" s="65" t="str">
        <f>HYPERLINK("https://oj.uz/problem/view/IOI15_scales","IOI 15-scales")</f>
        <v>IOI 15-scales</v>
      </c>
      <c r="B358" s="23" t="s">
        <v>7611</v>
      </c>
      <c r="C358" s="24">
        <v>6.75</v>
      </c>
      <c r="D358" s="65" t="str">
        <f>HYPERLINK("https://github.com/mostafa-saad/MyCompetitiveProgramming/blob/master/Olympiad/IOI/official/2015","Editorial")</f>
        <v>Editorial</v>
      </c>
      <c r="E358" s="31" t="s">
        <v>655</v>
      </c>
      <c r="F358" s="37" t="s">
        <v>201</v>
      </c>
      <c r="G358" s="24"/>
      <c r="H358" s="24"/>
    </row>
    <row r="359" spans="1:8" ht="13.2">
      <c r="A359" s="65" t="str">
        <f>HYPERLINK("https://oj.uz/problem/view/IOI11_elephants","IOI 11-elephants")</f>
        <v>IOI 11-elephants</v>
      </c>
      <c r="B359" s="20" t="s">
        <v>7479</v>
      </c>
      <c r="C359" s="24">
        <v>6.75</v>
      </c>
      <c r="D359" s="65" t="str">
        <f>HYPERLINK("https://github.com/mostafa-saad/MyCompetitiveProgramming/blob/master/Olympiad/IOI/IOI-11-elephants.txt","Sol")</f>
        <v>Sol</v>
      </c>
      <c r="E359" s="31" t="s">
        <v>6397</v>
      </c>
      <c r="F359" s="37" t="s">
        <v>242</v>
      </c>
      <c r="G359" s="24"/>
      <c r="H359" s="24"/>
    </row>
    <row r="360" spans="1:8" ht="13.2">
      <c r="A360" s="65" t="str">
        <f>HYPERLINK("https://oj.uz/problem/view/IOI15_teams","IOI 15-teams")</f>
        <v>IOI 15-teams</v>
      </c>
      <c r="B360" s="23" t="s">
        <v>6768</v>
      </c>
      <c r="C360" s="24">
        <v>6.75</v>
      </c>
      <c r="D360" s="65" t="str">
        <f>HYPERLINK("https://github.com/mostafa-saad/MyCompetitiveProgramming/blob/master/Olympiad/IOI/official/2015","Editorial")</f>
        <v>Editorial</v>
      </c>
      <c r="E360" s="31" t="s">
        <v>1018</v>
      </c>
      <c r="F360" s="37" t="s">
        <v>242</v>
      </c>
      <c r="G360" s="24"/>
      <c r="H360" s="24"/>
    </row>
    <row r="361" spans="1:8" ht="13.2">
      <c r="A361" s="65" t="str">
        <f>HYPERLINK("https://oj.uz/problem/view/IZhO14_marriage","IZhO 14-marriage")</f>
        <v>IZhO 14-marriage</v>
      </c>
      <c r="B361" s="37" t="s">
        <v>7256</v>
      </c>
      <c r="C361" s="24">
        <v>6.75</v>
      </c>
      <c r="D361" s="65" t="str">
        <f>HYPERLINK("https://github.com/LeTrongDat/CompetitiveProgramming/blob/master/IZhO/IZhO14-marriage.cpp","Sol")</f>
        <v>Sol</v>
      </c>
      <c r="E361" s="31" t="s">
        <v>4144</v>
      </c>
      <c r="F361" s="37" t="s">
        <v>242</v>
      </c>
      <c r="G361" s="24"/>
      <c r="H361" s="24"/>
    </row>
    <row r="362" spans="1:8" ht="13.2">
      <c r="A362" s="65" t="str">
        <f>HYPERLINK("https://szkopul.edu.pl/problemset/problem/ttMOxHYN1BPMG8oXYiIzIXB9/site/", "POI 10-Ones")</f>
        <v>POI 10-Ones</v>
      </c>
      <c r="B362" s="70" t="s">
        <v>6589</v>
      </c>
      <c r="C362" s="66">
        <v>6.75</v>
      </c>
      <c r="D362" s="65" t="str">
        <f>HYPERLINK("https://github.com/mostafa-saad/MyCompetitiveProgramming/blob/master/Olympiad/POI/official/find_editorial_sols_guidelines.txt","Editorial")</f>
        <v>Editorial</v>
      </c>
      <c r="E362" s="31" t="s">
        <v>125</v>
      </c>
      <c r="F362" s="37"/>
      <c r="G362" s="24"/>
      <c r="H362" s="24"/>
    </row>
    <row r="363" spans="1:8" ht="13.2">
      <c r="A363" s="65" t="str">
        <f>HYPERLINK("https://oj.uz/problem/view/COCI17_klavir","COCI 17-klavir")</f>
        <v>COCI 17-klavir</v>
      </c>
      <c r="B363" s="20" t="s">
        <v>7377</v>
      </c>
      <c r="C363" s="24">
        <v>6.75</v>
      </c>
      <c r="D363" s="65" t="str">
        <f>HYPERLINK("https://github.com/mostafa-saad/MyCompetitiveProgramming/blob/master/Olympiad/CEOI/COCI-17-klavir.txt","Sol")</f>
        <v>Sol</v>
      </c>
      <c r="E363" s="31" t="s">
        <v>5702</v>
      </c>
      <c r="F363" s="37"/>
      <c r="G363" s="24"/>
      <c r="H363" s="24"/>
    </row>
    <row r="364" spans="1:8" ht="13.2">
      <c r="A364" s="65" t="str">
        <f>HYPERLINK("https://oj.uz/problem/view/POI11_okr","POI 11-okr")</f>
        <v>POI 11-okr</v>
      </c>
      <c r="B364" s="25" t="s">
        <v>7378</v>
      </c>
      <c r="C364" s="24">
        <v>6.75</v>
      </c>
      <c r="D364" s="65" t="str">
        <f>HYPERLINK("https://github.com/mostafa-saad/MyCompetitiveProgramming/blob/master/Olympiad/POI/POI-11-okr.txt","Sol")</f>
        <v>Sol</v>
      </c>
      <c r="E364" s="31" t="s">
        <v>5702</v>
      </c>
      <c r="F364" s="37"/>
      <c r="G364" s="24"/>
      <c r="H364" s="24"/>
    </row>
    <row r="365" spans="1:8" ht="13.2">
      <c r="A365" s="65" t="str">
        <f>HYPERLINK("https://cses.fi/113/list/","Baltic 08-Magical")</f>
        <v>Baltic 08-Magical</v>
      </c>
      <c r="B365" s="37" t="s">
        <v>7612</v>
      </c>
      <c r="C365" s="24">
        <v>6.75</v>
      </c>
      <c r="D365" s="65" t="str">
        <f>HYPERLINK("https://github.com/mostafa-saad/MyCompetitiveProgramming/blob/master/Olympiad/Baltic/Baltic-08-Magical.txt","Sol")</f>
        <v>Sol</v>
      </c>
      <c r="E365" s="31" t="s">
        <v>6118</v>
      </c>
      <c r="F365" s="37"/>
      <c r="G365" s="24"/>
      <c r="H365" s="24"/>
    </row>
    <row r="366" spans="1:8" ht="13.2">
      <c r="A366" s="65" t="str">
        <f>HYPERLINK("https://oj.uz/problem/view/IOI14_wall","IOI 14-wall")</f>
        <v>IOI 14-wall</v>
      </c>
      <c r="B366" s="18" t="s">
        <v>1043</v>
      </c>
      <c r="C366" s="17">
        <v>6.75</v>
      </c>
      <c r="D366" s="65" t="str">
        <f>HYPERLINK("http://blog.brucemerry.org.za/2014/07/","Editorial")</f>
        <v>Editorial</v>
      </c>
      <c r="E366" s="31" t="s">
        <v>1018</v>
      </c>
      <c r="F366" s="37"/>
      <c r="G366" s="24"/>
      <c r="H366" s="24"/>
    </row>
    <row r="367" spans="1:8" ht="13.2">
      <c r="A367" s="65" t="str">
        <f>HYPERLINK("https://oj.uz/problems/source/351","JOIOC 18-CatsorDogs")</f>
        <v>JOIOC 18-CatsorDogs</v>
      </c>
      <c r="B367" s="20" t="s">
        <v>7500</v>
      </c>
      <c r="C367" s="21">
        <v>6.75</v>
      </c>
      <c r="D367" s="65" t="str">
        <f>HYPERLINK("https://github.com/mostafa-saad/MyCompetitiveProgramming/tree/master/Olympiad/JOI/official/JOIOC/2018","Editorial")</f>
        <v>Editorial</v>
      </c>
      <c r="E367" s="31" t="s">
        <v>6459</v>
      </c>
      <c r="F367" s="37"/>
      <c r="G367" s="24"/>
      <c r="H367" s="24"/>
    </row>
    <row r="368" spans="1:8" ht="13.2">
      <c r="A368" s="65" t="str">
        <f>HYPERLINK("https://oj.uz/problem/view/BOI19_necklace1","Baltic 19-necklace1")</f>
        <v>Baltic 19-necklace1</v>
      </c>
      <c r="B368" s="37" t="s">
        <v>7517</v>
      </c>
      <c r="C368" s="24">
        <v>6.75</v>
      </c>
      <c r="D368" s="65" t="str">
        <f>HYPERLINK("https://github.com/mostafa-saad/MyCompetitiveProgramming/blob/master/Olympiad/Baltic/Baltic-19-necklace1.txt","Sol")</f>
        <v>Sol</v>
      </c>
      <c r="E368" s="31" t="s">
        <v>6505</v>
      </c>
      <c r="F368" s="37"/>
      <c r="G368" s="24"/>
      <c r="H368" s="24"/>
    </row>
    <row r="369" spans="1:8" ht="13.2">
      <c r="A369" s="65" t="str">
        <f>HYPERLINK("https://oj.uz/problems/source/313","JOISC 18-tents")</f>
        <v>JOISC 18-tents</v>
      </c>
      <c r="B369" s="18" t="s">
        <v>6842</v>
      </c>
      <c r="C369" s="17">
        <v>6.75</v>
      </c>
      <c r="D369" s="65" t="str">
        <f>HYPERLINK("https://codeforces.com/blog/entry/58433","sol (See reality420 reply on problem C)")</f>
        <v>sol (See reality420 reply on problem C)</v>
      </c>
      <c r="E369" s="31" t="s">
        <v>1337</v>
      </c>
      <c r="F369" s="37"/>
      <c r="G369" s="24"/>
      <c r="H369" s="24"/>
    </row>
    <row r="370" spans="1:8" ht="13.2">
      <c r="A370" s="65" t="str">
        <f>HYPERLINK("https://szkopul.edu.pl/problemset/problem/5UgslCU-C5vsermqgJGm_C5A/site/", "POI 07-Quaternary")</f>
        <v>POI 07-Quaternary</v>
      </c>
      <c r="B370" s="37" t="s">
        <v>6843</v>
      </c>
      <c r="C370" s="24">
        <v>6.75</v>
      </c>
      <c r="D370" s="65" t="str">
        <f>HYPERLINK("https://github.com/mostafa-saad/MyCompetitiveProgramming/blob/master/Olympiad/POI/POI-07-Quaternary.txt","Sol")</f>
        <v>Sol</v>
      </c>
      <c r="E370" s="31" t="s">
        <v>1337</v>
      </c>
      <c r="F370" s="37"/>
      <c r="G370" s="24"/>
      <c r="H370" s="24"/>
    </row>
    <row r="371" spans="1:8" ht="13.2">
      <c r="A371" s="65" t="str">
        <f>HYPERLINK("https://dmoj.ca/problem/cco12p6","CCO 12-WindsOfWar")</f>
        <v>CCO 12-WindsOfWar</v>
      </c>
      <c r="B371" s="37" t="s">
        <v>6844</v>
      </c>
      <c r="C371" s="24">
        <v>6.75</v>
      </c>
      <c r="D371" s="69"/>
      <c r="E371" s="31" t="s">
        <v>1337</v>
      </c>
      <c r="F371" s="37"/>
      <c r="G371" s="24"/>
      <c r="H371" s="24"/>
    </row>
    <row r="372" spans="1:8" ht="13.2">
      <c r="A372" s="65" t="str">
        <f>HYPERLINK("https://oj.uz/problem/view/JOI18_security_gate","JOISC 18-security_gate")</f>
        <v>JOISC 18-security_gate</v>
      </c>
      <c r="B372" s="15" t="s">
        <v>1354</v>
      </c>
      <c r="C372" s="24">
        <v>6.75</v>
      </c>
      <c r="D372" s="69"/>
      <c r="E372" s="31" t="s">
        <v>1337</v>
      </c>
      <c r="F372" s="37"/>
      <c r="G372" s="24"/>
      <c r="H372" s="24"/>
    </row>
    <row r="373" spans="1:8" ht="13.2">
      <c r="A373" s="65" t="str">
        <f>HYPERLINK("https://cses.fi/188/list/","CEOI 07-Necklace")</f>
        <v>CEOI 07-Necklace</v>
      </c>
      <c r="B373" s="20" t="s">
        <v>7527</v>
      </c>
      <c r="C373" s="24">
        <v>6.75</v>
      </c>
      <c r="D373" s="69"/>
      <c r="E373" s="31" t="s">
        <v>7525</v>
      </c>
      <c r="F373" s="37"/>
      <c r="G373" s="24"/>
      <c r="H373" s="24"/>
    </row>
    <row r="374" spans="1:8" ht="13.2">
      <c r="A374" s="65" t="str">
        <f>HYPERLINK("https://szkopul.edu.pl/problemset/problem/2yK6zUTXvAjhxSDfbjE4Zx7k/site/", "POI 14-Lamps")</f>
        <v>POI 14-Lamps</v>
      </c>
      <c r="B374" s="37" t="s">
        <v>7527</v>
      </c>
      <c r="C374" s="24">
        <v>6.75</v>
      </c>
      <c r="D374" s="69"/>
      <c r="E374" s="31" t="s">
        <v>7525</v>
      </c>
      <c r="F374" s="37"/>
      <c r="G374" s="24"/>
      <c r="H374" s="24"/>
    </row>
    <row r="375" spans="1:8" ht="13.2">
      <c r="A375" s="65" t="str">
        <f>HYPERLINK("https://oj.uz/problem/view/CEOI12_highway","CEOI 12-highway")</f>
        <v>CEOI 12-highway</v>
      </c>
      <c r="B375" s="23" t="s">
        <v>6988</v>
      </c>
      <c r="C375" s="24">
        <v>6.75</v>
      </c>
      <c r="D375" s="65" t="str">
        <f>HYPERLINK("https://github.com/tmwilliamlin168/CompetitiveProgramming/blob/master/CEOI/12-Highway.cpp", "Sol")</f>
        <v>Sol</v>
      </c>
      <c r="E375" s="31" t="s">
        <v>2153</v>
      </c>
      <c r="F375" s="37"/>
      <c r="G375" s="24"/>
      <c r="H375" s="24"/>
    </row>
    <row r="376" spans="1:8" ht="13.2">
      <c r="A376" s="65" t="str">
        <f>HYPERLINK("https://szkopul.edu.pl/problemset/problem/kxK8IowlpnNmHqkDDoK-hIeZ/site/", "POI 05-Camel")</f>
        <v>POI 05-Camel</v>
      </c>
      <c r="B376" s="37" t="s">
        <v>2763</v>
      </c>
      <c r="C376" s="24">
        <v>6.75</v>
      </c>
      <c r="D376" s="65" t="str">
        <f t="shared" ref="D376:D378" si="2">HYPERLINK("https://github.com/mostafa-saad/MyCompetitiveProgramming/blob/master/Olympiad/POI/official/find_editorial_sols_guidelines.txt","Editorial")</f>
        <v>Editorial</v>
      </c>
      <c r="E376" s="31" t="s">
        <v>2510</v>
      </c>
      <c r="F376" s="37"/>
      <c r="G376" s="24"/>
      <c r="H376" s="24"/>
    </row>
    <row r="377" spans="1:8" ht="13.2">
      <c r="A377" s="65" t="str">
        <f>HYPERLINK("https://szkopul.edu.pl/problemset/problem/hwbyoUkNFPXQLOPcw3x5huTR/site/", "POI 08-Plot")</f>
        <v>POI 08-Plot</v>
      </c>
      <c r="B377" s="37" t="s">
        <v>2509</v>
      </c>
      <c r="C377" s="24">
        <v>6.75</v>
      </c>
      <c r="D377" s="65" t="str">
        <f t="shared" si="2"/>
        <v>Editorial</v>
      </c>
      <c r="E377" s="31" t="s">
        <v>2510</v>
      </c>
      <c r="F377" s="37"/>
      <c r="G377" s="24"/>
      <c r="H377" s="24"/>
    </row>
    <row r="378" spans="1:8" ht="13.2">
      <c r="A378" s="65" t="str">
        <f>HYPERLINK("https://szkopul.edu.pl/problemset/problem/WXVRycanis3d1h5p63YZqYKs/site/", "POI 10-Lamp")</f>
        <v>POI 10-Lamp</v>
      </c>
      <c r="B378" s="37" t="s">
        <v>7067</v>
      </c>
      <c r="C378" s="24">
        <v>6.75</v>
      </c>
      <c r="D378" s="65" t="str">
        <f t="shared" si="2"/>
        <v>Editorial</v>
      </c>
      <c r="E378" s="31" t="s">
        <v>2510</v>
      </c>
      <c r="F378" s="37"/>
      <c r="G378" s="24"/>
      <c r="H378" s="24"/>
    </row>
    <row r="379" spans="1:8" ht="13.2">
      <c r="A379" s="65" t="str">
        <f>HYPERLINK("https://oj.uz/problem/view/CEOI18_tri","CEOI 18-Tri")</f>
        <v>CEOI 18-Tri</v>
      </c>
      <c r="B379" s="15" t="s">
        <v>7098</v>
      </c>
      <c r="C379" s="21">
        <v>6.75</v>
      </c>
      <c r="D379" s="69"/>
      <c r="E379" s="31" t="s">
        <v>3065</v>
      </c>
      <c r="F379" s="37"/>
      <c r="G379" s="24"/>
      <c r="H379" s="24"/>
    </row>
    <row r="380" spans="1:8" ht="13.2">
      <c r="A380" s="65" t="str">
        <f>HYPERLINK("https://szkopul.edu.pl/problemset/problem/J5f8YHtUsaMdtOdfx0QoHKe0/site/?key=statement","POI 14-AntColony_Mro")</f>
        <v>POI 14-AntColony_Mro</v>
      </c>
      <c r="B380" s="76" t="s">
        <v>7132</v>
      </c>
      <c r="C380" s="77">
        <v>6.75</v>
      </c>
      <c r="D380" s="69"/>
      <c r="E380" s="31" t="s">
        <v>3257</v>
      </c>
      <c r="F380" s="37"/>
      <c r="G380" s="24"/>
      <c r="H380" s="24"/>
    </row>
    <row r="381" spans="1:8" ht="13.2">
      <c r="A381" s="65" t="str">
        <f>HYPERLINK("https://oj.uz/problem/view/BOI15_fil","Baltic 15-fil")</f>
        <v>Baltic 15-fil</v>
      </c>
      <c r="B381" s="20" t="s">
        <v>3660</v>
      </c>
      <c r="C381" s="24">
        <v>6.75</v>
      </c>
      <c r="D381" s="65" t="str">
        <f>HYPERLINK("https://github.com/mostafa-saad/MyCompetitiveProgramming/blob/master/Olympiad/Baltic/Baltic-15-fil.txt","Sol")</f>
        <v>Sol</v>
      </c>
      <c r="E381" s="31" t="s">
        <v>3650</v>
      </c>
      <c r="F381" s="37"/>
      <c r="G381" s="24"/>
      <c r="H381" s="24"/>
    </row>
    <row r="382" spans="1:8" ht="13.2">
      <c r="A382" s="65" t="str">
        <f>HYPERLINK("https://dmoj.ca/problem/coi06p3", "COI 06-Sabor")</f>
        <v>COI 06-Sabor</v>
      </c>
      <c r="B382" s="20" t="s">
        <v>3675</v>
      </c>
      <c r="C382" s="21">
        <v>6.75</v>
      </c>
      <c r="D382" s="65" t="str">
        <f>HYPERLINK("https://github.com/mostafa-saad/MyCompetitiveProgramming/tree/master/Olympiad/COCI/official/2007/olympiad_solutions","Editorial")</f>
        <v>Editorial</v>
      </c>
      <c r="E382" s="31" t="s">
        <v>3650</v>
      </c>
      <c r="F382" s="37"/>
      <c r="G382" s="24"/>
      <c r="H382" s="24"/>
    </row>
    <row r="383" spans="1:8" ht="13.2">
      <c r="A383" s="65" t="str">
        <f>HYPERLINK("https://oj.uz/problem/view/IOI15_sorting","IOI 15-sorting")</f>
        <v>IOI 15-sorting</v>
      </c>
      <c r="B383" s="18" t="s">
        <v>814</v>
      </c>
      <c r="C383" s="17">
        <v>6.75</v>
      </c>
      <c r="D383" s="65" t="str">
        <f>HYPERLINK("https://github.com/mostafa-saad/MyCompetitiveProgramming/blob/master/Olympiad/IOI/IOI-15-sorting.txt","Sol")</f>
        <v>Sol</v>
      </c>
      <c r="E383" s="31" t="s">
        <v>805</v>
      </c>
      <c r="F383" s="37"/>
      <c r="G383" s="24"/>
      <c r="H383" s="24"/>
    </row>
    <row r="384" spans="1:8" ht="13.2">
      <c r="A384" s="65" t="str">
        <f>HYPERLINK("http://www.usaco.org/index.php?page=viewproblem2&amp;cpid=1020","USACO 20feb-deleg")</f>
        <v>USACO 20feb-deleg</v>
      </c>
      <c r="B384" s="20" t="s">
        <v>814</v>
      </c>
      <c r="C384" s="17">
        <v>6.75</v>
      </c>
      <c r="D384" s="69"/>
      <c r="E384" s="31" t="s">
        <v>805</v>
      </c>
      <c r="F384" s="37"/>
      <c r="G384" s="24"/>
      <c r="H384" s="24"/>
    </row>
    <row r="385" spans="1:8" ht="13.2">
      <c r="A385" s="65" t="str">
        <f>HYPERLINK("https://oj.uz/problem/view/IOI19_vision","IOI 19-vision")</f>
        <v>IOI 19-vision</v>
      </c>
      <c r="B385" s="37" t="s">
        <v>6590</v>
      </c>
      <c r="C385" s="24">
        <v>6.7</v>
      </c>
      <c r="D385" s="65" t="str">
        <f>HYPERLINK("https://github.com/mostafa-saad/MyCompetitiveProgramming/blob/master/Olympiad/IOI/IOI-19-vision.txt","Sol")</f>
        <v>Sol</v>
      </c>
      <c r="E385" s="31" t="s">
        <v>125</v>
      </c>
      <c r="F385" s="37" t="s">
        <v>173</v>
      </c>
      <c r="G385" s="24"/>
      <c r="H385" s="24"/>
    </row>
    <row r="386" spans="1:8" ht="13.2">
      <c r="A386" s="65" t="str">
        <f>HYPERLINK("https://oj.uz/problem/view/COI19_tenis","COI 19-tenis")</f>
        <v>COI 19-tenis</v>
      </c>
      <c r="B386" s="37" t="s">
        <v>6769</v>
      </c>
      <c r="C386" s="24">
        <v>6.7</v>
      </c>
      <c r="D386" s="65" t="str">
        <f>HYPERLINK("https://github.com/mostafa-saad/MyCompetitiveProgramming/blob/master/Olympiad/COI/COI-19-tenis.txt","Sol")</f>
        <v>Sol</v>
      </c>
      <c r="E386" s="31" t="s">
        <v>1018</v>
      </c>
      <c r="F386" s="37" t="s">
        <v>154</v>
      </c>
      <c r="G386" s="24"/>
      <c r="H386" s="24"/>
    </row>
    <row r="387" spans="1:8" ht="13.2">
      <c r="A387" s="65" t="str">
        <f>HYPERLINK("https://oj.uz/problem/view/COI15_ruka","COI 15-ruka")</f>
        <v>COI 15-ruka</v>
      </c>
      <c r="B387" s="20" t="s">
        <v>7613</v>
      </c>
      <c r="C387" s="17">
        <v>6.7</v>
      </c>
      <c r="D387" s="65" t="str">
        <f>HYPERLINK("https://github.com/mostafa-saad/MyCompetitiveProgramming/blob/master/Olympiad/COI/COI-15-ruka.txt","Sol")</f>
        <v>Sol</v>
      </c>
      <c r="E387" s="31" t="s">
        <v>1223</v>
      </c>
      <c r="F387" s="37" t="s">
        <v>154</v>
      </c>
      <c r="G387" s="24"/>
      <c r="H387" s="24"/>
    </row>
    <row r="388" spans="1:8" ht="13.2">
      <c r="A388" s="65" t="str">
        <f>HYPERLINK("https://codeforces.com/contest/1193","CEOI 19-MagicTree")</f>
        <v>CEOI 19-MagicTree</v>
      </c>
      <c r="B388" s="37" t="s">
        <v>6845</v>
      </c>
      <c r="C388" s="24">
        <v>6.7</v>
      </c>
      <c r="D388" s="65" t="str">
        <f>HYPERLINK("https://github.com/mostafa-saad/MyCompetitiveProgramming/blob/master/Olympiad/CEOI/CEOI-19-MagicTree.txt","Sol")</f>
        <v>Sol</v>
      </c>
      <c r="E388" s="31" t="s">
        <v>1337</v>
      </c>
      <c r="F388" s="37" t="s">
        <v>154</v>
      </c>
      <c r="G388" s="24"/>
      <c r="H388" s="24"/>
    </row>
    <row r="389" spans="1:8" ht="13.2">
      <c r="A389" s="65" t="str">
        <f>HYPERLINK("https://szkopul.edu.pl/problemset/problem/RLQLNV4gL3Y22K9B2GgEMQIj/site/", "POI 06-Aesthetics")</f>
        <v>POI 06-Aesthetics</v>
      </c>
      <c r="B389" s="37" t="s">
        <v>6846</v>
      </c>
      <c r="C389" s="24">
        <v>6.7</v>
      </c>
      <c r="D389" s="65" t="str">
        <f>HYPERLINK("https://github.com/mostafa-saad/MyCompetitiveProgramming/blob/master/Olympiad/POI/POI-06-Aesthetics.txt","Sol")</f>
        <v>Sol</v>
      </c>
      <c r="E389" s="31" t="s">
        <v>1337</v>
      </c>
      <c r="F389" s="37" t="s">
        <v>154</v>
      </c>
      <c r="G389" s="24"/>
      <c r="H389" s="24"/>
    </row>
    <row r="390" spans="1:8" ht="13.2">
      <c r="A390" s="65" t="str">
        <f>HYPERLINK("https://oj.uz/problem/view/APIO17_merchant","APIO 17-merchant")</f>
        <v>APIO 17-merchant</v>
      </c>
      <c r="B390" s="23" t="s">
        <v>4030</v>
      </c>
      <c r="C390" s="24">
        <v>6.7</v>
      </c>
      <c r="D390" s="65" t="str">
        <f>HYPERLINK("https://github.com/mostafa-saad/MyCompetitiveProgramming/blob/master/Olympiad/APIO/APIO-17-merchant.txt","Sol")</f>
        <v>Sol</v>
      </c>
      <c r="E390" s="31" t="s">
        <v>3998</v>
      </c>
      <c r="F390" s="37" t="s">
        <v>154</v>
      </c>
      <c r="G390" s="24"/>
      <c r="H390" s="24"/>
    </row>
    <row r="391" spans="1:8" ht="13.2">
      <c r="A391" s="65" t="str">
        <f>HYPERLINK("https://wcipeg.com/problem/coci094p6","COCI 09-Palacinke")</f>
        <v>COCI 09-Palacinke</v>
      </c>
      <c r="B391" s="15" t="s">
        <v>7353</v>
      </c>
      <c r="C391" s="24">
        <v>6.7</v>
      </c>
      <c r="D391" s="65" t="str">
        <f>HYPERLINK("https://github.com/mostafa-saad/MyCompetitiveProgramming/blob/master/Olympiad/COCI/COCI-09-Palacinke.txt","Sol")</f>
        <v>Sol</v>
      </c>
      <c r="E391" s="31" t="s">
        <v>5246</v>
      </c>
      <c r="F391" s="37" t="s">
        <v>154</v>
      </c>
      <c r="G391" s="24"/>
      <c r="H391" s="24"/>
    </row>
    <row r="392" spans="1:8" ht="13.2">
      <c r="A392" s="65" t="str">
        <f>HYPERLINK("http://usaco.org/index.php?page=viewproblem2&amp;cpid=674", "USACO 16dec-roboherd-plat")</f>
        <v>USACO 16dec-roboherd-plat</v>
      </c>
      <c r="B392" s="20" t="s">
        <v>811</v>
      </c>
      <c r="C392" s="21">
        <v>6.7</v>
      </c>
      <c r="D392" s="69"/>
      <c r="E392" s="31" t="s">
        <v>805</v>
      </c>
      <c r="F392" s="37" t="s">
        <v>154</v>
      </c>
      <c r="G392" s="24"/>
      <c r="H392" s="24"/>
    </row>
    <row r="393" spans="1:8" ht="13.2">
      <c r="A393" s="65" t="str">
        <f>HYPERLINK("https://csacademy.com/contest/ioi-2016-training-round-4/task/k-consecutive/","IOIPractice 16-k-consecutive")</f>
        <v>IOIPractice 16-k-consecutive</v>
      </c>
      <c r="B393" s="37" t="s">
        <v>6847</v>
      </c>
      <c r="C393" s="24">
        <v>6.7</v>
      </c>
      <c r="D393" s="65" t="str">
        <f>HYPERLINK("https://github.com/mostafa-saad/MyCompetitiveProgramming/blob/master/Olympiad/IOI/IOIPractice-16-k-consecutive.txt","Sol")</f>
        <v>Sol</v>
      </c>
      <c r="E393" s="31" t="s">
        <v>1337</v>
      </c>
      <c r="F393" s="37" t="s">
        <v>139</v>
      </c>
      <c r="G393" s="24"/>
      <c r="H393" s="24"/>
    </row>
    <row r="394" spans="1:8" ht="13.2">
      <c r="A394" s="65" t="str">
        <f>HYPERLINK("https://infoarena.ro/problema/xreverse","infoarena xreverse")</f>
        <v>infoarena xreverse</v>
      </c>
      <c r="B394" s="37" t="s">
        <v>6848</v>
      </c>
      <c r="C394" s="24">
        <v>6.7</v>
      </c>
      <c r="D394" s="65" t="str">
        <f>HYPERLINK("https://github.com/mostafa-saad/MyCompetitiveProgramming/blob/master/Olympiad/infoarena/infoarena_xreverse.txt","Sol")</f>
        <v>Sol</v>
      </c>
      <c r="E394" s="31" t="s">
        <v>1337</v>
      </c>
      <c r="F394" s="37" t="s">
        <v>139</v>
      </c>
      <c r="G394" s="24"/>
      <c r="H394" s="24"/>
    </row>
    <row r="395" spans="1:8" ht="13.2">
      <c r="A395" s="65" t="str">
        <f>HYPERLINK("https://szkopul.edu.pl/problemset/problem/lGqKS9urITMjTXhpdaHqyoEL/site/", "POI 04-Maximal")</f>
        <v>POI 04-Maximal</v>
      </c>
      <c r="B395" s="37" t="s">
        <v>6849</v>
      </c>
      <c r="C395" s="24">
        <v>6.7</v>
      </c>
      <c r="D395" s="65" t="str">
        <f>HYPERLINK("https://github.com/mostafa-saad/MyCompetitiveProgramming/blob/master/Olympiad/POI/POI-04-Maximal.txt","Sol")</f>
        <v>Sol</v>
      </c>
      <c r="E395" s="31" t="s">
        <v>1337</v>
      </c>
      <c r="F395" s="37" t="s">
        <v>139</v>
      </c>
      <c r="G395" s="24"/>
      <c r="H395" s="24"/>
    </row>
    <row r="396" spans="1:8" ht="13.2">
      <c r="A396" s="65" t="str">
        <f>HYPERLINK("https://cses.fi/109/list/","Baltic 06-Bitwise")</f>
        <v>Baltic 06-Bitwise</v>
      </c>
      <c r="B396" s="37" t="s">
        <v>6989</v>
      </c>
      <c r="C396" s="24">
        <v>6.7</v>
      </c>
      <c r="D396" s="65" t="str">
        <f>HYPERLINK("https://github.com/mostafa-saad/MyCompetitiveProgramming/blob/master/Olympiad/Baltic/Baltic-06-Bitwise.txt","Sol")</f>
        <v>Sol</v>
      </c>
      <c r="E396" s="31" t="s">
        <v>2153</v>
      </c>
      <c r="F396" s="37" t="s">
        <v>139</v>
      </c>
      <c r="G396" s="24"/>
      <c r="H396" s="24"/>
    </row>
    <row r="397" spans="1:8" ht="13.2">
      <c r="A397" s="65" t="str">
        <f>HYPERLINK("https://szkopul.edu.pl/problemset/problem/Grfouq9u3g_TYktFXO2sNjCU/site/", "POI 15-Three")</f>
        <v>POI 15-Three</v>
      </c>
      <c r="B397" s="37" t="s">
        <v>6591</v>
      </c>
      <c r="C397" s="24">
        <v>6.7</v>
      </c>
      <c r="D397" s="65" t="str">
        <f>HYPERLINK("https://github.com/mostafa-saad/MyCompetitiveProgramming/blob/master/Olympiad/POI/POI-15-Three.txt","Sol")</f>
        <v>Sol</v>
      </c>
      <c r="E397" s="31" t="s">
        <v>125</v>
      </c>
      <c r="F397" s="37" t="s">
        <v>201</v>
      </c>
      <c r="G397" s="24"/>
      <c r="H397" s="24"/>
    </row>
    <row r="398" spans="1:8" ht="13.2">
      <c r="A398" s="65" t="str">
        <f>HYPERLINK("https://infoarena.ro/problema/deletegcd","infoarena deletegcd")</f>
        <v>infoarena deletegcd</v>
      </c>
      <c r="B398" s="37" t="s">
        <v>7356</v>
      </c>
      <c r="C398" s="24">
        <v>6.7</v>
      </c>
      <c r="D398" s="65" t="str">
        <f>HYPERLINK("https://github.com/mostafa-saad/MyCompetitiveProgramming/blob/master/Olympiad/infoarena/infoarena_deletegcd.txt","Sol")</f>
        <v>Sol</v>
      </c>
      <c r="E398" s="31" t="s">
        <v>5414</v>
      </c>
      <c r="F398" s="37" t="s">
        <v>201</v>
      </c>
      <c r="G398" s="24"/>
      <c r="H398" s="24"/>
    </row>
    <row r="399" spans="1:8" ht="13.2">
      <c r="A399" s="65" t="str">
        <f>HYPERLINK("https://oj.uz/problem/view/NOI14_obelisk","NOI 14-obelisk")</f>
        <v>NOI 14-obelisk</v>
      </c>
      <c r="B399" s="37" t="s">
        <v>7251</v>
      </c>
      <c r="C399" s="17">
        <v>6.7</v>
      </c>
      <c r="D399" s="65" t="str">
        <f>HYPERLINK("https://github.com/mostafa-saad/MyCompetitiveProgramming/blob/master/Olympiad/NOI/NOI-14-obelisk.txt","Sol")</f>
        <v>Sol</v>
      </c>
      <c r="E399" s="31" t="s">
        <v>3998</v>
      </c>
      <c r="F399" s="37"/>
      <c r="G399" s="24"/>
      <c r="H399" s="24"/>
    </row>
    <row r="400" spans="1:8" ht="13.2">
      <c r="A400" s="65" t="str">
        <f>HYPERLINK("https://oj.uz/problem/view/IOI07_sails","IOI 07-sails")</f>
        <v>IOI 07-sails</v>
      </c>
      <c r="B400" s="20" t="s">
        <v>6770</v>
      </c>
      <c r="C400" s="24">
        <v>6.6</v>
      </c>
      <c r="D400" s="65" t="str">
        <f>HYPERLINK("https://github.com/mostafa-saad/MyCompetitiveProgramming/blob/master/Olympiad/IOI/IOI-07-sails.txt","Sol")</f>
        <v>Sol</v>
      </c>
      <c r="E400" s="31" t="s">
        <v>1018</v>
      </c>
      <c r="F400" s="37" t="s">
        <v>154</v>
      </c>
      <c r="G400" s="24"/>
      <c r="H400" s="24"/>
    </row>
    <row r="401" spans="1:8" ht="13.2">
      <c r="A401" s="65" t="str">
        <f>HYPERLINK("https://oj.uz/problem/view/IZhO17_subsequence","IZhO 17-subsequence")</f>
        <v>IZhO 17-subsequence</v>
      </c>
      <c r="B401" s="20" t="s">
        <v>6956</v>
      </c>
      <c r="C401" s="24">
        <v>6.6</v>
      </c>
      <c r="D401" s="65" t="str">
        <f>HYPERLINK("https://github.com/mostafa-saad/MyCompetitiveProgramming/blob/master/Olympiad/IZhO/IZhO-17-subsequence.txt","Sol")</f>
        <v>Sol</v>
      </c>
      <c r="E401" s="31" t="s">
        <v>1819</v>
      </c>
      <c r="F401" s="37" t="s">
        <v>154</v>
      </c>
      <c r="G401" s="24"/>
      <c r="H401" s="24"/>
    </row>
    <row r="402" spans="1:8" ht="13.2">
      <c r="A402" s="65" t="str">
        <f>HYPERLINK("https://szkopul.edu.pl/problemset/problem/L_1w_HVIsvm4fBksvCo7fYJT/site/", "POI 04-Gates")</f>
        <v>POI 04-Gates</v>
      </c>
      <c r="B402" s="37" t="s">
        <v>6990</v>
      </c>
      <c r="C402" s="24">
        <v>6.6</v>
      </c>
      <c r="D402" s="65" t="str">
        <f>HYPERLINK("https://github.com/mostafa-saad/MyCompetitiveProgramming/blob/master/Olympiad/POI/POI-04-Gates.txt","Sol")</f>
        <v>Sol</v>
      </c>
      <c r="E402" s="31" t="s">
        <v>2153</v>
      </c>
      <c r="F402" s="37" t="s">
        <v>154</v>
      </c>
      <c r="G402" s="24"/>
      <c r="H402" s="24"/>
    </row>
    <row r="403" spans="1:8" ht="13.2">
      <c r="A403" s="65" t="str">
        <f>HYPERLINK("https://infoarena.ro/problema/ratway","infoarena ratway")</f>
        <v>infoarena ratway</v>
      </c>
      <c r="B403" s="20" t="s">
        <v>3961</v>
      </c>
      <c r="C403" s="17">
        <v>6.6</v>
      </c>
      <c r="D403" s="65" t="str">
        <f>HYPERLINK("https://github.com/mostafa-saad/MyCompetitiveProgramming/blob/master/Olympiad/infoarena/infoarena_ratway.txt","Sol")</f>
        <v>Sol</v>
      </c>
      <c r="E403" s="31" t="s">
        <v>3955</v>
      </c>
      <c r="F403" s="37" t="s">
        <v>154</v>
      </c>
      <c r="G403" s="24"/>
      <c r="H403" s="24"/>
    </row>
    <row r="404" spans="1:8" ht="13.2">
      <c r="A404" s="65" t="str">
        <f>HYPERLINK("https://szkopul.edu.pl/problemset/problem/98e_K-Vvcg5TnMG4-hXTNsFG/site/", "POI 05-Fibonacci")</f>
        <v>POI 05-Fibonacci</v>
      </c>
      <c r="B404" s="37" t="s">
        <v>6991</v>
      </c>
      <c r="C404" s="24">
        <v>6.6</v>
      </c>
      <c r="D404" s="65" t="str">
        <f>HYPERLINK("https://github.com/mostafa-saad/MyCompetitiveProgramming/blob/master/Olympiad/POI/POI-05-Fibonacci.txt","Sol")</f>
        <v>Sol</v>
      </c>
      <c r="E404" s="31" t="s">
        <v>2153</v>
      </c>
      <c r="F404" s="37" t="s">
        <v>1164</v>
      </c>
      <c r="G404" s="24"/>
      <c r="H404" s="24"/>
    </row>
    <row r="405" spans="1:8" ht="13.2">
      <c r="A405" s="65" t="str">
        <f>HYPERLINK("https://contest.yandex.ru/ioi/contest/560/enter/","IOI 04-empodia")</f>
        <v>IOI 04-empodia</v>
      </c>
      <c r="B405" s="15" t="s">
        <v>6592</v>
      </c>
      <c r="C405" s="24">
        <v>6.6</v>
      </c>
      <c r="D405" s="65" t="str">
        <f>HYPERLINK("https://github.com/mostafa-saad/MyCompetitiveProgramming/blob/master/Olympiad/IOI/IOI-04-empodia.txt","Sol")</f>
        <v>Sol</v>
      </c>
      <c r="E405" s="31" t="s">
        <v>125</v>
      </c>
      <c r="F405" s="37" t="s">
        <v>196</v>
      </c>
      <c r="G405" s="24"/>
      <c r="H405" s="24"/>
    </row>
    <row r="406" spans="1:8" ht="13.2">
      <c r="A406" s="65" t="str">
        <f>HYPERLINK("https://oj.uz/problem/view/COCI15_uzastopni","COCI 15-uzastopni")</f>
        <v>COCI 15-uzastopni</v>
      </c>
      <c r="B406" s="20" t="s">
        <v>7501</v>
      </c>
      <c r="C406" s="24">
        <v>6.6</v>
      </c>
      <c r="D406" s="65" t="str">
        <f>HYPERLINK("https://github.com/mostafa-saad/MyCompetitiveProgramming/blob/master/Olympiad/COCI/COCI-15-uzastopni.txt","Sol")</f>
        <v>Sol</v>
      </c>
      <c r="E406" s="31" t="s">
        <v>6459</v>
      </c>
      <c r="F406" s="37" t="s">
        <v>196</v>
      </c>
      <c r="G406" s="24"/>
      <c r="H406" s="24"/>
    </row>
    <row r="407" spans="1:8" ht="13.2">
      <c r="A407" s="65" t="str">
        <f>HYPERLINK("https://oj.uz/problem/view/COCI17_osmosmjerka","COCI 17-osmosmjerka")</f>
        <v>COCI 17-osmosmjerka</v>
      </c>
      <c r="B407" s="20" t="s">
        <v>7518</v>
      </c>
      <c r="C407" s="24">
        <v>6.6</v>
      </c>
      <c r="D407" s="65" t="str">
        <f>HYPERLINK("https://github.com/mostafa-saad/MyCompetitiveProgramming/blob/master/Olympiad/COCI/COCI-17-osmosmjerka.txt","Sol")</f>
        <v>Sol</v>
      </c>
      <c r="E407" s="31" t="s">
        <v>6505</v>
      </c>
      <c r="F407" s="37" t="s">
        <v>139</v>
      </c>
      <c r="G407" s="24"/>
      <c r="H407" s="24"/>
    </row>
    <row r="408" spans="1:8" ht="13.2">
      <c r="A408" s="65" t="str">
        <f>HYPERLINK("https://dmoj.ca/problem/coci14c4p6","COCI 14-Stanovi")</f>
        <v>COCI 14-Stanovi</v>
      </c>
      <c r="B408" s="20" t="s">
        <v>6945</v>
      </c>
      <c r="C408" s="24">
        <v>6.6</v>
      </c>
      <c r="D408" s="65" t="str">
        <f>HYPERLINK("https://github.com/mostafa-saad/MyCompetitiveProgramming/blob/master/Olympiad/COCI/COCI-14-Stanovi.txt","Sol")</f>
        <v>Sol</v>
      </c>
      <c r="E408" s="31" t="s">
        <v>1734</v>
      </c>
      <c r="F408" s="37" t="s">
        <v>139</v>
      </c>
      <c r="G408" s="24"/>
      <c r="H408" s="24"/>
    </row>
    <row r="409" spans="1:8" ht="13.2">
      <c r="A409" s="65" t="str">
        <f>HYPERLINK("https://open.kattis.com/problem-sources/Baltic%20Olympiad%20in%20Informatics%202017%2C%20Day%201","Baltic 17-PoliticalDevelopment")</f>
        <v>Baltic 17-PoliticalDevelopment</v>
      </c>
      <c r="B409" s="18" t="s">
        <v>7133</v>
      </c>
      <c r="C409" s="17">
        <v>6.6</v>
      </c>
      <c r="D409" s="65" t="str">
        <f>HYPERLINK("https://github.com/mostafa-saad/MyCompetitiveProgramming/blob/master/Olympiad/Baltic/Baltic-17-PoliticalDevelopment.txt","Sol")</f>
        <v>Sol</v>
      </c>
      <c r="E409" s="31" t="s">
        <v>3257</v>
      </c>
      <c r="F409" s="37" t="s">
        <v>139</v>
      </c>
      <c r="G409" s="24"/>
      <c r="H409" s="24"/>
    </row>
    <row r="410" spans="1:8" ht="13.2">
      <c r="A410" s="65" t="str">
        <f>HYPERLINK("https://dmoj.ca/problem/coci14c7p6","COCI 14-Police")</f>
        <v>COCI 14-Police</v>
      </c>
      <c r="B410" s="20" t="s">
        <v>7187</v>
      </c>
      <c r="C410" s="24">
        <v>6.6</v>
      </c>
      <c r="D410" s="65" t="str">
        <f>HYPERLINK("https://github.com/mostafa-saad/MyCompetitiveProgramming/blob/master/Olympiad/COCI/COCI-14-Police.txt","Sol")</f>
        <v>Sol</v>
      </c>
      <c r="E410" s="31" t="s">
        <v>3650</v>
      </c>
      <c r="F410" s="37" t="s">
        <v>139</v>
      </c>
      <c r="G410" s="24"/>
      <c r="H410" s="24"/>
    </row>
    <row r="411" spans="1:8" ht="13.2">
      <c r="A411" s="65" t="str">
        <f>HYPERLINK("https://oj.uz/problem/view/POI11_pro","POI 11-Contest")</f>
        <v>POI 11-Contest</v>
      </c>
      <c r="B411" s="25" t="s">
        <v>7257</v>
      </c>
      <c r="C411" s="24">
        <v>6.6</v>
      </c>
      <c r="D411" s="65" t="str">
        <f>HYPERLINK("https://github.com/mostafa-saad/MyCompetitiveProgramming/blob/master/Olympiad/POI/POI-11-Contest.txt","Sol")</f>
        <v>Sol</v>
      </c>
      <c r="E411" s="31" t="s">
        <v>4144</v>
      </c>
      <c r="F411" s="37" t="s">
        <v>139</v>
      </c>
      <c r="G411" s="24"/>
      <c r="H411" s="24"/>
    </row>
    <row r="412" spans="1:8" ht="13.2">
      <c r="A412" s="65" t="str">
        <f>HYPERLINK("https://dunjudge.me/analysis/problems/734/","IOI 01-depot")</f>
        <v>IOI 01-depot</v>
      </c>
      <c r="B412" s="20" t="s">
        <v>6655</v>
      </c>
      <c r="C412" s="24">
        <v>6.6</v>
      </c>
      <c r="D412" s="65" t="str">
        <f>HYPERLINK("https://github.com/mostafa-saad/MyCompetitiveProgramming/blob/master/Olympiad/IOI/IOI-01-depot.txt","Sol")</f>
        <v>Sol</v>
      </c>
      <c r="E412" s="31" t="s">
        <v>332</v>
      </c>
      <c r="F412" s="37" t="s">
        <v>201</v>
      </c>
      <c r="G412" s="24"/>
      <c r="H412" s="24"/>
    </row>
    <row r="413" spans="1:8" ht="13.2">
      <c r="A413" s="65" t="str">
        <f>HYPERLINK("https://cses.fi/190/list/","CEOI 08-Snake")</f>
        <v>CEOI 08-Snake</v>
      </c>
      <c r="B413" s="20" t="s">
        <v>6718</v>
      </c>
      <c r="C413" s="24">
        <v>6.6</v>
      </c>
      <c r="D413" s="65" t="str">
        <f>HYPERLINK("https://github.com/mostafa-saad/MyCompetitiveProgramming/blob/master/Olympiad/CEOI/CEOI-08-Snake.txt","Sol")</f>
        <v>Sol</v>
      </c>
      <c r="E413" s="31" t="s">
        <v>805</v>
      </c>
      <c r="F413" s="37" t="s">
        <v>201</v>
      </c>
      <c r="G413" s="24"/>
      <c r="H413" s="24"/>
    </row>
    <row r="414" spans="1:8" ht="13.2">
      <c r="A414" s="65" t="str">
        <f>HYPERLINK("https://oj.uz/problem/view/CEOI11_tea","CEOI 11-Teams")</f>
        <v>CEOI 11-Teams</v>
      </c>
      <c r="B414" s="20" t="s">
        <v>6679</v>
      </c>
      <c r="C414" s="24">
        <v>6.6</v>
      </c>
      <c r="D414" s="65" t="str">
        <f>HYPERLINK("https://github.com/mostafa-saad/MyCompetitiveProgramming/blob/master/Olympiad/CEOI/CEOI-11-Teams.txt","Sol. Find O(N)")</f>
        <v>Sol. Find O(N)</v>
      </c>
      <c r="E414" s="31" t="s">
        <v>575</v>
      </c>
      <c r="F414" s="37"/>
      <c r="G414" s="24"/>
      <c r="H414" s="24"/>
    </row>
    <row r="415" spans="1:8" ht="13.2">
      <c r="A415" s="65" t="str">
        <f>HYPERLINK("https://oj.uz/problem/view/BOI16_cities","Baltic 16-cities")</f>
        <v>Baltic 16-cities</v>
      </c>
      <c r="B415" s="20" t="s">
        <v>7209</v>
      </c>
      <c r="C415" s="24">
        <v>6.5</v>
      </c>
      <c r="D415" s="65" t="str">
        <f>HYPERLINK("https://github.com/tmwilliamlin168/CompetitiveProgramming/blob/master/BtOI/16-Cities.cpp", "Sol")</f>
        <v>Sol</v>
      </c>
      <c r="E415" s="31" t="s">
        <v>3784</v>
      </c>
      <c r="F415" s="37" t="s">
        <v>229</v>
      </c>
      <c r="G415" s="24"/>
      <c r="H415" s="24"/>
    </row>
    <row r="416" spans="1:8" ht="13.2">
      <c r="A416" s="65" t="str">
        <f>HYPERLINK("https://oj.uz/problem/view/BOI14_coprobber","Baltic 14-coprobber")</f>
        <v>Baltic 14-coprobber</v>
      </c>
      <c r="B416" s="20" t="s">
        <v>7438</v>
      </c>
      <c r="C416" s="24">
        <v>6.5</v>
      </c>
      <c r="D416" s="65" t="str">
        <f>HYPERLINK("https://github.com/mostafa-saad/MyCompetitiveProgramming/blob/master/Olympiad/Baltic/Baltic-14-coprobber.txt","Sol")</f>
        <v>Sol</v>
      </c>
      <c r="E416" s="31" t="s">
        <v>6205</v>
      </c>
      <c r="F416" s="37" t="s">
        <v>1053</v>
      </c>
      <c r="G416" s="24"/>
      <c r="H416" s="24"/>
    </row>
    <row r="417" spans="1:8" ht="13.2">
      <c r="A417" s="65" t="str">
        <f>HYPERLINK("http://usaco.org/index.php?page=viewproblem2&amp;cpid=837", "USACO 18mar-sortgold")</f>
        <v>USACO 18mar-sortgold</v>
      </c>
      <c r="B417" s="20" t="s">
        <v>6680</v>
      </c>
      <c r="C417" s="24">
        <v>6.5</v>
      </c>
      <c r="D417" s="65" t="str">
        <f>HYPERLINK("https://github.com/dolphingarlic/CompetitiveProgramming/blob/master/USACO/USACO%2018-out_of_sorts_gold.cpp","Sol")</f>
        <v>Sol</v>
      </c>
      <c r="E417" s="31" t="s">
        <v>575</v>
      </c>
      <c r="F417" s="37" t="s">
        <v>1053</v>
      </c>
      <c r="G417" s="24"/>
      <c r="H417" s="24"/>
    </row>
    <row r="418" spans="1:8" ht="13.2">
      <c r="A418" s="65" t="str">
        <f>HYPERLINK("http://poj.org/problem?id=1148","IOI 02-Utopia")</f>
        <v>IOI 02-Utopia</v>
      </c>
      <c r="B418" s="20" t="s">
        <v>6593</v>
      </c>
      <c r="C418" s="24">
        <v>6.5</v>
      </c>
      <c r="D418" s="65" t="str">
        <f>HYPERLINK("https://github.com/mostafa-saad/MyCompetitiveProgramming/blob/master/Olympiad/IOI/IOI-02-Utopia.txt","Sol")</f>
        <v>Sol</v>
      </c>
      <c r="E418" s="31" t="s">
        <v>125</v>
      </c>
      <c r="F418" s="37" t="s">
        <v>154</v>
      </c>
      <c r="G418" s="24"/>
      <c r="H418" s="24"/>
    </row>
    <row r="419" spans="1:8" ht="13.2">
      <c r="A419" s="65" t="str">
        <f>HYPERLINK("https://szkopul.edu.pl/problemset/problem/PT4yHRX9Mmz85ndhNPGCi_WB/site/", "POI 05-Template")</f>
        <v>POI 05-Template</v>
      </c>
      <c r="B419" s="37" t="s">
        <v>7379</v>
      </c>
      <c r="C419" s="24">
        <v>6.5</v>
      </c>
      <c r="D419" s="65" t="str">
        <f>HYPERLINK("https://github.com/mostafa-saad/MyCompetitiveProgramming/blob/master/Olympiad/POI/POI-05-Template.txt","Sol")</f>
        <v>Sol</v>
      </c>
      <c r="E419" s="31" t="s">
        <v>5702</v>
      </c>
      <c r="F419" s="37" t="s">
        <v>154</v>
      </c>
      <c r="G419" s="24"/>
      <c r="H419" s="24"/>
    </row>
    <row r="420" spans="1:8" ht="13.2">
      <c r="A420" s="65" t="str">
        <f>HYPERLINK("https://oj.uz/problem/view/CEOI16_kangaroo","CEOI 16-Kangaroo")</f>
        <v>CEOI 16-Kangaroo</v>
      </c>
      <c r="B420" s="18" t="s">
        <v>7494</v>
      </c>
      <c r="C420" s="17">
        <v>6.5</v>
      </c>
      <c r="D420" s="65" t="str">
        <f>HYPERLINK("https://github.com/mostafa-saad/MyCompetitiveProgramming/blob/master/Olympiad/CEOI/CEOI-16-Kangaroo.txt","Sol")</f>
        <v>Sol</v>
      </c>
      <c r="E420" s="31" t="s">
        <v>7492</v>
      </c>
      <c r="F420" s="37" t="s">
        <v>154</v>
      </c>
      <c r="G420" s="24"/>
      <c r="H420" s="24"/>
    </row>
    <row r="421" spans="1:8" ht="13.2">
      <c r="A421" s="65" t="str">
        <f>HYPERLINK("https://contest.yandex.ru/ioi/contest/566/enter/","IOI 05-rivers")</f>
        <v>IOI 05-rivers</v>
      </c>
      <c r="B421" s="15" t="s">
        <v>7502</v>
      </c>
      <c r="C421" s="24">
        <v>6.5</v>
      </c>
      <c r="D421" s="65" t="str">
        <f>HYPERLINK("https://github.com/mostafa-saad/MyCompetitiveProgramming/blob/master/Olympiad/IOI/IOI-05-rivers.txt","Sol")</f>
        <v>Sol</v>
      </c>
      <c r="E421" s="31" t="s">
        <v>6459</v>
      </c>
      <c r="F421" s="37" t="s">
        <v>154</v>
      </c>
      <c r="G421" s="24"/>
      <c r="H421" s="24"/>
    </row>
    <row r="422" spans="1:8" ht="13.2">
      <c r="A422" s="65" t="str">
        <f>HYPERLINK("https://cses.fi/106/list/","Baltic 10-Candies")</f>
        <v>Baltic 10-Candies</v>
      </c>
      <c r="B422" s="37" t="s">
        <v>6850</v>
      </c>
      <c r="C422" s="24">
        <v>6.5</v>
      </c>
      <c r="D422" s="65" t="str">
        <f>HYPERLINK("https://github.com/mostafa-saad/MyCompetitiveProgramming/blob/master/Olympiad/Baltic/Baltic-10-Candies.txt","Sol")</f>
        <v>Sol</v>
      </c>
      <c r="E422" s="31" t="s">
        <v>1337</v>
      </c>
      <c r="F422" s="37" t="s">
        <v>154</v>
      </c>
      <c r="G422" s="24"/>
      <c r="H422" s="24"/>
    </row>
    <row r="423" spans="1:8" ht="13.2">
      <c r="A423" s="65" t="str">
        <f>HYPERLINK("http://usaco.org/index.php?page=viewproblem2&amp;cpid=194", "USACO 12nov-cbs-gold")</f>
        <v>USACO 12nov-cbs-gold</v>
      </c>
      <c r="B423" s="20" t="s">
        <v>6681</v>
      </c>
      <c r="C423" s="21">
        <v>6.5</v>
      </c>
      <c r="D423" s="69"/>
      <c r="E423" s="31" t="s">
        <v>575</v>
      </c>
      <c r="F423" s="37" t="s">
        <v>154</v>
      </c>
      <c r="G423" s="24"/>
      <c r="H423" s="24"/>
    </row>
    <row r="424" spans="1:8" ht="13.2">
      <c r="A424" s="65" t="str">
        <f>HYPERLINK("https://csacademy.com/contest/ceoi-2017-day-1/tasks/","CEOI 17-OneWay")</f>
        <v>CEOI 17-OneWay</v>
      </c>
      <c r="B424" s="18" t="s">
        <v>7274</v>
      </c>
      <c r="C424" s="17">
        <v>6.5</v>
      </c>
      <c r="D424" s="65" t="str">
        <f>HYPERLINK("https://github.com/mostafa-saad/MyCompetitiveProgramming/blob/master/Olympiad/CEOI/CEOI-17-OneWay.txt","Sol")</f>
        <v>Sol</v>
      </c>
      <c r="E424" s="31" t="s">
        <v>4344</v>
      </c>
      <c r="F424" s="37" t="s">
        <v>154</v>
      </c>
      <c r="G424" s="24"/>
      <c r="H424" s="24"/>
    </row>
    <row r="425" spans="1:8" ht="13.2">
      <c r="A425" s="65" t="str">
        <f>HYPERLINK("https://oj.uz/problem/view/IOI07_flood","IOI 07-flood")</f>
        <v>IOI 07-flood</v>
      </c>
      <c r="B425" s="20" t="s">
        <v>7173</v>
      </c>
      <c r="C425" s="24">
        <v>6.5</v>
      </c>
      <c r="D425" s="65" t="str">
        <f>HYPERLINK("https://github.com/mostafa-saad/MyCompetitiveProgramming/blob/master/Olympiad/IOI/IOI-07-flood.txt","Sol")</f>
        <v>Sol</v>
      </c>
      <c r="E425" s="31" t="s">
        <v>3467</v>
      </c>
      <c r="F425" s="37" t="s">
        <v>196</v>
      </c>
      <c r="G425" s="24"/>
      <c r="H425" s="24"/>
    </row>
    <row r="426" spans="1:8" ht="13.2">
      <c r="A426" s="65" t="str">
        <f>HYPERLINK("https://training.ia-toki.org/problemsets/53/problems/255/","OSN 16-1B")</f>
        <v>OSN 16-1B</v>
      </c>
      <c r="B426" s="37" t="s">
        <v>6594</v>
      </c>
      <c r="C426" s="24">
        <v>6.5</v>
      </c>
      <c r="D426" s="65" t="str">
        <f>HYPERLINK("https://github.com/mostafa-saad/MyCompetitiveProgramming/blob/master/Olympiad/OSN/OSN_16-1B.txt","Sol")</f>
        <v>Sol</v>
      </c>
      <c r="E426" s="31" t="s">
        <v>125</v>
      </c>
      <c r="F426" s="37" t="s">
        <v>139</v>
      </c>
      <c r="G426" s="24"/>
      <c r="H426" s="24"/>
    </row>
    <row r="427" spans="1:8" ht="13.2">
      <c r="A427" s="65" t="str">
        <f>HYPERLINK("https://codeforces.com/group/R2SERIff4f/contest/213171","MCO 17-LargeCity")</f>
        <v>MCO 17-LargeCity</v>
      </c>
      <c r="B427" s="37" t="s">
        <v>6595</v>
      </c>
      <c r="C427" s="24">
        <v>6.5</v>
      </c>
      <c r="D427" s="65" t="str">
        <f>HYPERLINK("https://github.com/mostafa-saad/MyCompetitiveProgramming/tree/master/Olympiad/MCO/official","Editorial")</f>
        <v>Editorial</v>
      </c>
      <c r="E427" s="31" t="s">
        <v>125</v>
      </c>
      <c r="F427" s="37" t="s">
        <v>139</v>
      </c>
      <c r="G427" s="24"/>
      <c r="H427" s="24"/>
    </row>
    <row r="428" spans="1:8" ht="13.2">
      <c r="A428" s="65" t="str">
        <f>HYPERLINK("https://dunjudge.me/analysis/problems/728/","IOI 00-median")</f>
        <v>IOI 00-median</v>
      </c>
      <c r="B428" s="20" t="s">
        <v>6596</v>
      </c>
      <c r="C428" s="24">
        <v>6.5</v>
      </c>
      <c r="D428" s="65" t="str">
        <f>HYPERLINK("https://github.com/mostafa-saad/MyCompetitiveProgramming/blob/master/Olympiad/IOI/IOI-00-median.txt","Sol")</f>
        <v>Sol</v>
      </c>
      <c r="E428" s="31" t="s">
        <v>125</v>
      </c>
      <c r="F428" s="37" t="s">
        <v>139</v>
      </c>
      <c r="G428" s="24"/>
      <c r="H428" s="24"/>
    </row>
    <row r="429" spans="1:8" ht="13.2">
      <c r="A429" s="65" t="str">
        <f>HYPERLINK("https://szkopul.edu.pl/problemset/problem/w_-1ZgA1RSQ0IpPqx_1BXb6M/site/", "POI 05-Points")</f>
        <v>POI 05-Points</v>
      </c>
      <c r="B429" s="37" t="s">
        <v>6597</v>
      </c>
      <c r="C429" s="24">
        <v>6.5</v>
      </c>
      <c r="D429" s="65" t="str">
        <f>HYPERLINK("https://github.com/mostafa-saad/MyCompetitiveProgramming/blob/master/Olympiad/POI/POI-05-Points.txt","Sol")</f>
        <v>Sol</v>
      </c>
      <c r="E429" s="31" t="s">
        <v>125</v>
      </c>
      <c r="F429" s="37" t="s">
        <v>139</v>
      </c>
      <c r="G429" s="24"/>
      <c r="H429" s="24"/>
    </row>
    <row r="430" spans="1:8" ht="13.2">
      <c r="A430" s="65" t="str">
        <f>HYPERLINK("https://oj.uz/problem/view/COCI19_simfonija","COCI 19-simfonija")</f>
        <v>COCI 19-simfonija</v>
      </c>
      <c r="B430" s="20" t="s">
        <v>7614</v>
      </c>
      <c r="C430" s="21">
        <v>6.5</v>
      </c>
      <c r="D430" s="65" t="str">
        <f>HYPERLINK("https://github.com/Szawinis/CompetitiveProgramming/blob/master/Olympiad/COCI/COCI19-simfonija.cpp","Sol")</f>
        <v>Sol</v>
      </c>
      <c r="E430" s="31" t="s">
        <v>125</v>
      </c>
      <c r="F430" s="37" t="s">
        <v>139</v>
      </c>
      <c r="G430" s="24"/>
      <c r="H430" s="24"/>
    </row>
    <row r="431" spans="1:8" ht="13.2">
      <c r="A431" s="65" t="str">
        <f>HYPERLINK("https://wcipeg.com/problem/coi08p2","COI 08-Otoci")</f>
        <v>COI 08-Otoci</v>
      </c>
      <c r="B431" s="15" t="s">
        <v>7615</v>
      </c>
      <c r="C431" s="24">
        <v>6.5</v>
      </c>
      <c r="D431" s="65" t="str">
        <f>HYPERLINK("https://github.com/mostafa-saad/MyCompetitiveProgramming/blob/master/Olympiad/COI/COI-08-Otoci.txt","Sol")</f>
        <v>Sol</v>
      </c>
      <c r="E431" s="31" t="s">
        <v>6311</v>
      </c>
      <c r="F431" s="37" t="s">
        <v>139</v>
      </c>
      <c r="G431" s="24"/>
      <c r="H431" s="24"/>
    </row>
    <row r="432" spans="1:8" ht="13.2">
      <c r="A432" s="65" t="str">
        <f>HYPERLINK("https://oj.uz/problems/source/56","JOIOC 14-pinball")</f>
        <v>JOIOC 14-pinball</v>
      </c>
      <c r="B432" s="15" t="s">
        <v>1040</v>
      </c>
      <c r="C432" s="17">
        <v>6.5</v>
      </c>
      <c r="D432" s="65" t="str">
        <f>HYPERLINK("https://github.com/SpeedOfMagic/CompetitiveProgramming/blob/master/JOIOC/14-pinball.cpp","Sol")</f>
        <v>Sol</v>
      </c>
      <c r="E432" s="31" t="s">
        <v>1018</v>
      </c>
      <c r="F432" s="37" t="s">
        <v>139</v>
      </c>
      <c r="G432" s="24"/>
      <c r="H432" s="24"/>
    </row>
    <row r="433" spans="1:8" ht="13.2">
      <c r="A433" s="65" t="str">
        <f>HYPERLINK("https://szkopul.edu.pl/problemset/problem/EwpbJWZPly_zZ5i4ytg_8fDE/site/", "POI 09-Ice_Skates")</f>
        <v>POI 09-Ice_Skates</v>
      </c>
      <c r="B433" s="37" t="s">
        <v>6771</v>
      </c>
      <c r="C433" s="24">
        <v>6.5</v>
      </c>
      <c r="D433" s="65" t="str">
        <f>HYPERLINK("https://github.com/mostafa-saad/MyCompetitiveProgramming/blob/master/Olympiad/POI/POI-09-Ice_Skates.txt","Sol")</f>
        <v>Sol</v>
      </c>
      <c r="E433" s="31" t="s">
        <v>1018</v>
      </c>
      <c r="F433" s="37" t="s">
        <v>139</v>
      </c>
      <c r="G433" s="24"/>
      <c r="H433" s="24"/>
    </row>
    <row r="434" spans="1:8" ht="13.2">
      <c r="A434" s="65" t="str">
        <f>HYPERLINK("https://dmoj.ca/problem/coci15c3p5","COCI 15-Nekameleoni")</f>
        <v>COCI 15-Nekameleoni</v>
      </c>
      <c r="B434" s="37" t="s">
        <v>6772</v>
      </c>
      <c r="C434" s="24">
        <v>6.5</v>
      </c>
      <c r="D434" s="65" t="str">
        <f>HYPERLINK("https://github.com/mostafa-saad/MyCompetitiveProgramming/blob/master/Olympiad/COCI/COCI-15-Nekameleoni.txt","Sol")</f>
        <v>Sol</v>
      </c>
      <c r="E434" s="31" t="s">
        <v>1018</v>
      </c>
      <c r="F434" s="37" t="s">
        <v>139</v>
      </c>
      <c r="G434" s="24"/>
      <c r="H434" s="24"/>
    </row>
    <row r="435" spans="1:8" ht="13.2">
      <c r="A435" s="65" t="str">
        <f>HYPERLINK(" https://www.infoarena.ro/problema/tricolor","Infoarena tricolor")</f>
        <v>Infoarena tricolor</v>
      </c>
      <c r="B435" s="37" t="s">
        <v>7503</v>
      </c>
      <c r="C435" s="24">
        <v>6.5</v>
      </c>
      <c r="D435" s="65" t="str">
        <f>HYPERLINK("https://github.com/mostafa-saad/MyCompetitiveProgramming/blob/master/Olympiad/infoarena/Infoarena_tricolor.txt","Sol")</f>
        <v>Sol</v>
      </c>
      <c r="E435" s="31" t="s">
        <v>6459</v>
      </c>
      <c r="F435" s="37" t="s">
        <v>139</v>
      </c>
      <c r="G435" s="24"/>
      <c r="H435" s="24"/>
    </row>
    <row r="436" spans="1:8" ht="13.2">
      <c r="A436" s="65" t="str">
        <f>HYPERLINK("https://infoarena.ro/problema/radare","infoarena radare")</f>
        <v>infoarena radare</v>
      </c>
      <c r="B436" s="20" t="s">
        <v>7504</v>
      </c>
      <c r="C436" s="24">
        <v>6.5</v>
      </c>
      <c r="D436" s="65" t="str">
        <f>HYPERLINK("https://github.com/mostafa-saad/MyCompetitiveProgramming/blob/master/Olympiad/infoarena/infoarena-radare.txt","Sol")</f>
        <v>Sol</v>
      </c>
      <c r="E436" s="31" t="s">
        <v>6459</v>
      </c>
      <c r="F436" s="37" t="s">
        <v>139</v>
      </c>
      <c r="G436" s="24"/>
      <c r="H436" s="24"/>
    </row>
    <row r="437" spans="1:8" ht="13.2">
      <c r="A437" s="65" t="str">
        <f>HYPERLINK("https://oj.uz/problem/view/BOI16_swap","Baltic 16-swap")</f>
        <v>Baltic 16-swap</v>
      </c>
      <c r="B437" s="20" t="s">
        <v>6851</v>
      </c>
      <c r="C437" s="24">
        <v>6.5</v>
      </c>
      <c r="D437" s="65" t="str">
        <f>HYPERLINK("https://github.com/mostafa-saad/MyCompetitiveProgramming/blob/master/Olympiad/Baltic/Baltic-16-swap.txt","Sol")</f>
        <v>Sol</v>
      </c>
      <c r="E437" s="31" t="s">
        <v>1337</v>
      </c>
      <c r="F437" s="37" t="s">
        <v>139</v>
      </c>
      <c r="G437" s="24"/>
      <c r="H437" s="24"/>
    </row>
    <row r="438" spans="1:8" ht="13.2">
      <c r="A438" s="65" t="str">
        <f>HYPERLINK("https://cses.fi/179/list/","CEOI 09-Photo")</f>
        <v>CEOI 09-Photo</v>
      </c>
      <c r="B438" s="20" t="s">
        <v>6852</v>
      </c>
      <c r="C438" s="24">
        <v>6.5</v>
      </c>
      <c r="D438" s="65" t="str">
        <f>HYPERLINK("https://github.com/mostafa-saad/MyCompetitiveProgramming/blob/master/Olympiad/CEOI/CEOI-09-Photo.txt","Sol")</f>
        <v>Sol</v>
      </c>
      <c r="E438" s="31" t="s">
        <v>1337</v>
      </c>
      <c r="F438" s="37" t="s">
        <v>139</v>
      </c>
      <c r="G438" s="24"/>
      <c r="H438" s="24"/>
    </row>
    <row r="439" spans="1:8" ht="13.2">
      <c r="A439" s="65" t="str">
        <f>HYPERLINK("https://dmoj.ca/problem/coci08c6p5","COCI 08-Dostava")</f>
        <v>COCI 08-Dostava</v>
      </c>
      <c r="B439" s="15" t="s">
        <v>6853</v>
      </c>
      <c r="C439" s="24">
        <v>6.5</v>
      </c>
      <c r="D439" s="65" t="str">
        <f>HYPERLINK("https://github.com/mostafa-saad/MyCompetitiveProgramming/blob/master/Olympiad/COCI/COCI-08-Dostava.txt","Sol")</f>
        <v>Sol</v>
      </c>
      <c r="E439" s="31" t="s">
        <v>1337</v>
      </c>
      <c r="F439" s="37" t="s">
        <v>139</v>
      </c>
      <c r="G439" s="24"/>
      <c r="H439" s="24"/>
    </row>
    <row r="440" spans="1:8" ht="13.2">
      <c r="A440" s="65" t="str">
        <f>HYPERLINK("https://szkopul.edu.pl/problemset/problem/Mk-9GNDtSal6h_8T4n9Ezq9M/site/", "POI 16-Messenger")</f>
        <v>POI 16-Messenger</v>
      </c>
      <c r="B440" s="37" t="s">
        <v>6854</v>
      </c>
      <c r="C440" s="24">
        <v>6.5</v>
      </c>
      <c r="D440" s="65" t="str">
        <f>HYPERLINK("https://github.com/mostafa-saad/MyCompetitiveProgramming/blob/master/Olympiad/POI/POI-16-Messenger.txt","Sol")</f>
        <v>Sol</v>
      </c>
      <c r="E440" s="31" t="s">
        <v>1337</v>
      </c>
      <c r="F440" s="37" t="s">
        <v>139</v>
      </c>
      <c r="G440" s="24"/>
      <c r="H440" s="24"/>
    </row>
    <row r="441" spans="1:8" ht="13.2">
      <c r="A441" s="65" t="str">
        <f>HYPERLINK("https://szkopul.edu.pl/problemset/problem/3bBT-3VuSu78UsxTQSwaJzVo/site/", "POI 13-Polarization")</f>
        <v>POI 13-Polarization</v>
      </c>
      <c r="B441" s="37" t="s">
        <v>6855</v>
      </c>
      <c r="C441" s="24">
        <v>6.5</v>
      </c>
      <c r="D441" s="65" t="str">
        <f>HYPERLINK("https://github.com/mostafa-saad/MyCompetitiveProgramming/blob/master/Olympiad/POI/POI-13-Polarization.txt","Sol")</f>
        <v>Sol</v>
      </c>
      <c r="E441" s="31" t="s">
        <v>1337</v>
      </c>
      <c r="F441" s="37" t="s">
        <v>139</v>
      </c>
      <c r="G441" s="24"/>
      <c r="H441" s="24"/>
    </row>
    <row r="442" spans="1:8" ht="13.2">
      <c r="A442" s="65" t="str">
        <f>HYPERLINK("http://usaco.org/index.php?page=viewproblem2&amp;cpid=211","USACO 12dec-gangs")</f>
        <v>USACO 12dec-gangs</v>
      </c>
      <c r="B442" s="20" t="s">
        <v>6656</v>
      </c>
      <c r="C442" s="17">
        <v>6.5</v>
      </c>
      <c r="D442" s="65" t="str">
        <f>HYPERLINK("https://github.com/updown2/OI-Practice/blob/master/USACO/2012-2013/December/Gold/Gangs.cpp","Sol")</f>
        <v>Sol</v>
      </c>
      <c r="E442" s="31" t="s">
        <v>332</v>
      </c>
      <c r="F442" s="37" t="s">
        <v>139</v>
      </c>
      <c r="G442" s="24"/>
      <c r="H442" s="24"/>
    </row>
    <row r="443" spans="1:8" ht="13.2">
      <c r="A443" s="65" t="str">
        <f>HYPERLINK("https://cses.fi/113/list/","Baltic 08-Game")</f>
        <v>Baltic 08-Game</v>
      </c>
      <c r="B443" s="37" t="s">
        <v>6973</v>
      </c>
      <c r="C443" s="24">
        <v>6.5</v>
      </c>
      <c r="D443" s="65" t="str">
        <f>HYPERLINK("https://github.com/mostafa-saad/MyCompetitiveProgramming/blob/master/Olympiad/Baltic/Baltic-08-Game.txt","Sol")</f>
        <v>Sol</v>
      </c>
      <c r="E443" s="31" t="s">
        <v>1989</v>
      </c>
      <c r="F443" s="37" t="s">
        <v>139</v>
      </c>
      <c r="G443" s="24"/>
      <c r="H443" s="24"/>
    </row>
    <row r="444" spans="1:8" ht="13.2">
      <c r="A444" s="65" t="str">
        <f>HYPERLINK("https://csacademy.com/contest/ioi-2016-training-round-5/task/balanced-string/","IOIPractice 16-balanced-string")</f>
        <v>IOIPractice 16-balanced-string</v>
      </c>
      <c r="B444" s="37" t="s">
        <v>6992</v>
      </c>
      <c r="C444" s="24">
        <v>6.5</v>
      </c>
      <c r="D444" s="65" t="str">
        <f>HYPERLINK("https://github.com/arvindr9/CompetitiveProgramming/blob/master/CSAcademy/IOI%20Training%20Rounds/IOIPractice%2016-balanced-string.cpp","Sol")</f>
        <v>Sol</v>
      </c>
      <c r="E444" s="31" t="s">
        <v>2153</v>
      </c>
      <c r="F444" s="37" t="s">
        <v>139</v>
      </c>
      <c r="G444" s="24"/>
      <c r="H444" s="24"/>
    </row>
    <row r="445" spans="1:8" ht="13.2">
      <c r="A445" s="65" t="str">
        <f>HYPERLINK("https://dmoj.ca/problem/coci15c4p6","COCI 15-Endor")</f>
        <v>COCI 15-Endor</v>
      </c>
      <c r="B445" s="37" t="s">
        <v>2232</v>
      </c>
      <c r="C445" s="24">
        <v>6.5</v>
      </c>
      <c r="D445" s="65" t="str">
        <f>HYPERLINK("https://github.com/mostafa-saad/MyCompetitiveProgramming/blob/master/Olympiad/COCI/COCI-15-Endor.txt","Sol")</f>
        <v>Sol</v>
      </c>
      <c r="E445" s="31" t="s">
        <v>2153</v>
      </c>
      <c r="F445" s="37" t="s">
        <v>139</v>
      </c>
      <c r="G445" s="24"/>
      <c r="H445" s="24"/>
    </row>
    <row r="446" spans="1:8" ht="13.2">
      <c r="A446" s="65" t="str">
        <f>HYPERLINK("https://szkopul.edu.pl/problemset/problem/JIRgi7mvHIkqfldzgqILaMqr/site/", "POI 04-Game")</f>
        <v>POI 04-Game</v>
      </c>
      <c r="B446" s="28" t="s">
        <v>2452</v>
      </c>
      <c r="C446" s="24">
        <v>6.5</v>
      </c>
      <c r="D446" s="65" t="str">
        <f>HYPERLINK("https://github.com/mostafa-saad/MyCompetitiveProgramming/blob/master/Olympiad/POI/POI-04-Game.txt","Sol")</f>
        <v>Sol</v>
      </c>
      <c r="E446" s="31" t="s">
        <v>2442</v>
      </c>
      <c r="F446" s="37" t="s">
        <v>139</v>
      </c>
      <c r="G446" s="24"/>
      <c r="H446" s="24"/>
    </row>
    <row r="447" spans="1:8" ht="13.2">
      <c r="A447" s="65" t="str">
        <f>HYPERLINK("https://cses.fi/192/list/","CEOI 05-Fence")</f>
        <v>CEOI 05-Fence</v>
      </c>
      <c r="B447" s="37" t="s">
        <v>7068</v>
      </c>
      <c r="C447" s="24">
        <v>6.5</v>
      </c>
      <c r="D447" s="65" t="str">
        <f>HYPERLINK("https://github.com/mostafa-saad/MyCompetitiveProgramming/blob/master/Olympiad/CEOI/CEOI-05-Fence.txt","Sol")</f>
        <v>Sol</v>
      </c>
      <c r="E447" s="31" t="s">
        <v>2510</v>
      </c>
      <c r="F447" s="37" t="s">
        <v>139</v>
      </c>
      <c r="G447" s="24"/>
      <c r="H447" s="24"/>
    </row>
    <row r="448" spans="1:8" ht="13.2">
      <c r="A448" s="65" t="str">
        <f>HYPERLINK("https://dunjudge.me/analysis/problems/752/","COCI 11-traka")</f>
        <v>COCI 11-traka</v>
      </c>
      <c r="B448" s="20" t="s">
        <v>7069</v>
      </c>
      <c r="C448" s="24">
        <v>6.5</v>
      </c>
      <c r="D448" s="65" t="str">
        <f>HYPERLINK("https://github.com/mostafa-saad/MyCompetitiveProgramming/blob/master/Olympiad/COCI/official/2012/contest3_solutions","Editorial")</f>
        <v>Editorial</v>
      </c>
      <c r="E448" s="31" t="s">
        <v>2510</v>
      </c>
      <c r="F448" s="37" t="s">
        <v>139</v>
      </c>
      <c r="G448" s="24"/>
      <c r="H448" s="24"/>
    </row>
    <row r="449" spans="1:8" ht="13.2">
      <c r="A449" s="65" t="str">
        <f>HYPERLINK("http://usaco.org/index.php?page=viewproblem2&amp;cpid=672", "USACO 16dec-triangles-plat")</f>
        <v>USACO 16dec-triangles-plat</v>
      </c>
      <c r="B449" s="20" t="s">
        <v>2509</v>
      </c>
      <c r="C449" s="21">
        <v>6.5</v>
      </c>
      <c r="D449" s="69"/>
      <c r="E449" s="31" t="s">
        <v>2510</v>
      </c>
      <c r="F449" s="37" t="s">
        <v>139</v>
      </c>
      <c r="G449" s="24"/>
      <c r="H449" s="24"/>
    </row>
    <row r="450" spans="1:8" ht="13.2">
      <c r="A450" s="65" t="str">
        <f>HYPERLINK("https://dmoj.ca/problem/coci06c2p6","COCI 06-Straza")</f>
        <v>COCI 06-Straza</v>
      </c>
      <c r="B450" s="15" t="s">
        <v>2891</v>
      </c>
      <c r="C450" s="24">
        <v>6.5</v>
      </c>
      <c r="D450" s="65" t="str">
        <f>HYPERLINK("https://github.com/mostafa-saad/MyCompetitiveProgramming/blob/master/Olympiad/COCI/COCI-06-Straza.txt","Sol")</f>
        <v>Sol</v>
      </c>
      <c r="E450" s="31" t="s">
        <v>2865</v>
      </c>
      <c r="F450" s="37" t="s">
        <v>139</v>
      </c>
      <c r="G450" s="24"/>
      <c r="H450" s="24"/>
    </row>
    <row r="451" spans="1:8" ht="13.2">
      <c r="A451" s="65" t="str">
        <f>HYPERLINK("http://usaco.org/index.php?page=viewproblem2&amp;cpid=864", "USACO 18dec-balanceplat")</f>
        <v>USACO 18dec-balanceplat</v>
      </c>
      <c r="B451" s="20" t="s">
        <v>7099</v>
      </c>
      <c r="C451" s="21">
        <v>6.5</v>
      </c>
      <c r="D451" s="65" t="str">
        <f>HYPERLINK("https://github.com/updown2/OI-Practice/blob/master/USACO/2018-2019/1.%20December%20%5BDONE%5D/Balance%20Beam.cpp","Sol")</f>
        <v>Sol</v>
      </c>
      <c r="E451" s="31" t="s">
        <v>3065</v>
      </c>
      <c r="F451" s="37" t="s">
        <v>139</v>
      </c>
      <c r="G451" s="24"/>
      <c r="H451" s="24"/>
    </row>
    <row r="452" spans="1:8" ht="13.2">
      <c r="A452" s="65" t="str">
        <f>HYPERLINK("https://szkopul.edu.pl/problemset/problem/o09s2TblWuB1BP9isQT7VIkG/site/", "POI 04-Islands")</f>
        <v>POI 04-Islands</v>
      </c>
      <c r="B452" s="37" t="s">
        <v>7108</v>
      </c>
      <c r="C452" s="24">
        <v>6.5</v>
      </c>
      <c r="D452" s="65" t="str">
        <f>HYPERLINK("https://github.com/mostafa-saad/MyCompetitiveProgramming/blob/master/Olympiad/POI/POI-04-Islands.txt","Sol")</f>
        <v>Sol</v>
      </c>
      <c r="E452" s="31" t="s">
        <v>3140</v>
      </c>
      <c r="F452" s="37" t="s">
        <v>139</v>
      </c>
      <c r="G452" s="24"/>
      <c r="H452" s="24"/>
    </row>
    <row r="453" spans="1:8" ht="13.2">
      <c r="A453" s="65" t="str">
        <f>HYPERLINK("https://cses.fi/99/list/","Baltic 12-Fire")</f>
        <v>Baltic 12-Fire</v>
      </c>
      <c r="B453" s="23" t="s">
        <v>7109</v>
      </c>
      <c r="C453" s="24">
        <v>6.5</v>
      </c>
      <c r="D453" s="65" t="str">
        <f>HYPERLINK("https://github.com/mostafa-saad/MyCompetitiveProgramming/blob/master/Olympiad/Baltic/Baltic-12-Fire.txt","Sol")</f>
        <v>Sol</v>
      </c>
      <c r="E453" s="31" t="s">
        <v>3140</v>
      </c>
      <c r="F453" s="37" t="s">
        <v>139</v>
      </c>
      <c r="G453" s="24"/>
      <c r="H453" s="24"/>
    </row>
    <row r="454" spans="1:8" ht="13.2">
      <c r="A454" s="65" t="str">
        <f>HYPERLINK("https://oj.uz/problem/view/BOI16_park","Baltic 16-park")</f>
        <v>Baltic 16-park</v>
      </c>
      <c r="B454" s="23" t="s">
        <v>7134</v>
      </c>
      <c r="C454" s="24">
        <v>6.5</v>
      </c>
      <c r="D454" s="65" t="str">
        <f>HYPERLINK("https://github.com/mostafa-saad/MyCompetitiveProgramming/blob/master/Olympiad/Baltic/Baltic-16-park.txt","Sol")</f>
        <v>Sol</v>
      </c>
      <c r="E454" s="31" t="s">
        <v>3257</v>
      </c>
      <c r="F454" s="37" t="s">
        <v>139</v>
      </c>
      <c r="G454" s="24"/>
      <c r="H454" s="24"/>
    </row>
    <row r="455" spans="1:8" ht="13.2">
      <c r="A455" s="65" t="str">
        <f>HYPERLINK("https://infoarena.ro/problema/maxdist","infoarena maxdist")</f>
        <v>infoarena maxdist</v>
      </c>
      <c r="B455" s="37" t="s">
        <v>7135</v>
      </c>
      <c r="C455" s="24">
        <v>6.5</v>
      </c>
      <c r="D455" s="65" t="str">
        <f>HYPERLINK("https://github.com/mostafa-saad/MyCompetitiveProgramming/blob/master/Olympiad/infoarena/infoarena_maxdist.txt","Sol")</f>
        <v>Sol</v>
      </c>
      <c r="E455" s="31" t="s">
        <v>3257</v>
      </c>
      <c r="F455" s="37" t="s">
        <v>139</v>
      </c>
      <c r="G455" s="24"/>
      <c r="H455" s="24"/>
    </row>
    <row r="456" spans="1:8" ht="13.2">
      <c r="A456" s="65" t="str">
        <f>HYPERLINK("https://www.acmicpc.net/problem/2209","IOI 02-Bus")</f>
        <v>IOI 02-Bus</v>
      </c>
      <c r="B456" s="20" t="s">
        <v>7136</v>
      </c>
      <c r="C456" s="24">
        <v>6.5</v>
      </c>
      <c r="D456" s="65" t="str">
        <f>HYPERLINK("https://github.com/mostafa-saad/MyCompetitiveProgramming/blob/master/Olympiad/IOI/IOI-02-Bus.txt","Sol")</f>
        <v>Sol</v>
      </c>
      <c r="E456" s="31" t="s">
        <v>3257</v>
      </c>
      <c r="F456" s="37" t="s">
        <v>139</v>
      </c>
      <c r="G456" s="24"/>
      <c r="H456" s="24"/>
    </row>
    <row r="457" spans="1:8" ht="13.2">
      <c r="A457" s="65" t="str">
        <f>HYPERLINK("https://dmoj.ca/problem/mcco17p3","CCO 17-Connection")</f>
        <v>CCO 17-Connection</v>
      </c>
      <c r="B457" s="37" t="s">
        <v>7137</v>
      </c>
      <c r="C457" s="24">
        <v>6.5</v>
      </c>
      <c r="D457" s="65" t="str">
        <f>HYPERLINK("https://github.com/thecodingwizard/competitive-programming/blob/master/DMOJ/CCO%2017-Connection.cpp","Sol")</f>
        <v>Sol</v>
      </c>
      <c r="E457" s="31" t="s">
        <v>3257</v>
      </c>
      <c r="F457" s="37" t="s">
        <v>139</v>
      </c>
      <c r="G457" s="24"/>
      <c r="H457" s="24"/>
    </row>
    <row r="458" spans="1:8" ht="13.2">
      <c r="A458" s="65" t="str">
        <f>HYPERLINK("https://github.com/mostafa-saad/MyCompetitiveProgramming/blob/master/Olympiad/infoarena/amici2-statement.txt","infoarena amici2")</f>
        <v>infoarena amici2</v>
      </c>
      <c r="B458" s="20" t="s">
        <v>7174</v>
      </c>
      <c r="C458" s="17">
        <v>6.5</v>
      </c>
      <c r="D458" s="65" t="str">
        <f>HYPERLINK("https://github.com/mostafa-saad/MyCompetitiveProgramming/blob/master/Olympiad/infoarena/infoarena_amici2.txt","Sol")</f>
        <v>Sol</v>
      </c>
      <c r="E458" s="31" t="s">
        <v>3467</v>
      </c>
      <c r="F458" s="37" t="s">
        <v>139</v>
      </c>
      <c r="G458" s="24"/>
      <c r="H458" s="24"/>
    </row>
    <row r="459" spans="1:8" ht="13.2">
      <c r="A459" s="65" t="str">
        <f>HYPERLINK("https://oj.uz/problems/source/245", "CEOI 15-indcyc")</f>
        <v>CEOI 15-indcyc</v>
      </c>
      <c r="B459" s="20" t="s">
        <v>3731</v>
      </c>
      <c r="C459" s="24">
        <v>6.5</v>
      </c>
      <c r="D459" s="65" t="str">
        <f>HYPERLINK("https://github.com/luciocf/OI-Problems/blob/master/CEOI/CEOI%202015/potemkin.cpp","Sol")</f>
        <v>Sol</v>
      </c>
      <c r="E459" s="31" t="s">
        <v>3650</v>
      </c>
      <c r="F459" s="37" t="s">
        <v>139</v>
      </c>
      <c r="G459" s="24"/>
      <c r="H459" s="24"/>
    </row>
    <row r="460" spans="1:8" ht="13.2">
      <c r="A460" s="65" t="str">
        <f>HYPERLINK("https://cses.fi/112/list/","Baltic 07-Fence")</f>
        <v>Baltic 07-Fence</v>
      </c>
      <c r="B460" s="37" t="s">
        <v>7210</v>
      </c>
      <c r="C460" s="24">
        <v>6.5</v>
      </c>
      <c r="D460" s="65" t="str">
        <f>HYPERLINK("https://github.com/mostafa-saad/MyCompetitiveProgramming/blob/master/Olympiad/Baltic/Baltic-07-Fence.txt","Sol")</f>
        <v>Sol</v>
      </c>
      <c r="E460" s="31" t="s">
        <v>3784</v>
      </c>
      <c r="F460" s="37" t="s">
        <v>139</v>
      </c>
      <c r="G460" s="24"/>
      <c r="H460" s="24"/>
    </row>
    <row r="461" spans="1:8" ht="13.2">
      <c r="A461" s="65" t="str">
        <f>HYPERLINK("https://cses.fi/191/list/","CEOI 05-Depot")</f>
        <v>CEOI 05-Depot</v>
      </c>
      <c r="B461" s="37" t="s">
        <v>3961</v>
      </c>
      <c r="C461" s="24">
        <v>6.5</v>
      </c>
      <c r="D461" s="65" t="str">
        <f>HYPERLINK("https://github.com/mostafa-saad/MyCompetitiveProgramming/blob/master/Olympiad/CEOI/CEOI-05-Depot.txt","Sol")</f>
        <v>Sol</v>
      </c>
      <c r="E461" s="31" t="s">
        <v>3955</v>
      </c>
      <c r="F461" s="37" t="s">
        <v>139</v>
      </c>
      <c r="G461" s="24"/>
      <c r="H461" s="24"/>
    </row>
    <row r="462" spans="1:8" ht="13.2">
      <c r="A462" s="65" t="str">
        <f>HYPERLINK("https://dmoj.ca/problem/coci08c6p6","COCI 08-Slicice")</f>
        <v>COCI 08-Slicice</v>
      </c>
      <c r="B462" s="15" t="s">
        <v>4059</v>
      </c>
      <c r="C462" s="24">
        <v>6.5</v>
      </c>
      <c r="D462" s="65" t="str">
        <f>HYPERLINK("https://github.com/mostafa-saad/MyCompetitiveProgramming/blob/master/Olympiad/CEOI/COCI-08-Slicice.txt","Sol")</f>
        <v>Sol</v>
      </c>
      <c r="E462" s="31" t="s">
        <v>4060</v>
      </c>
      <c r="F462" s="37" t="s">
        <v>139</v>
      </c>
      <c r="G462" s="24"/>
      <c r="H462" s="24"/>
    </row>
    <row r="463" spans="1:8" ht="13.2">
      <c r="A463" s="65" t="str">
        <f>HYPERLINK("https://www.infoarena.ro/problema/casute","infoarena casute")</f>
        <v>infoarena casute</v>
      </c>
      <c r="B463" s="20" t="s">
        <v>7292</v>
      </c>
      <c r="C463" s="21">
        <v>6.5</v>
      </c>
      <c r="D463" s="65" t="str">
        <f>HYPERLINK("https://github.com/mostafa-saad/MyCompetitiveProgramming/blob/master/Olympiad/infoarena/infoarena_casute.txt","Sol")</f>
        <v>Sol</v>
      </c>
      <c r="E463" s="31" t="s">
        <v>4454</v>
      </c>
      <c r="F463" s="37" t="s">
        <v>139</v>
      </c>
      <c r="G463" s="24"/>
      <c r="H463" s="24"/>
    </row>
    <row r="464" spans="1:8" ht="13.2">
      <c r="A464" s="69" t="s">
        <v>7293</v>
      </c>
      <c r="B464" s="20" t="s">
        <v>7294</v>
      </c>
      <c r="C464" s="21">
        <v>6.5</v>
      </c>
      <c r="D464" s="65" t="str">
        <f>HYPERLINK("https://github.com/dolphingarlic/CompetitiveProgramming/blob/master/COI/COCI%2020-putovanje.cpp", "Sol")</f>
        <v>Sol</v>
      </c>
      <c r="E464" s="31" t="s">
        <v>4454</v>
      </c>
      <c r="F464" s="37" t="s">
        <v>139</v>
      </c>
      <c r="G464" s="24"/>
      <c r="H464" s="24"/>
    </row>
    <row r="465" spans="1:8" ht="13.2">
      <c r="A465" s="65" t="str">
        <f>HYPERLINK("https://www.infoarena.ro/problema/perioada","infoarena perioada")</f>
        <v>infoarena perioada</v>
      </c>
      <c r="B465" s="20" t="s">
        <v>7310</v>
      </c>
      <c r="C465" s="17">
        <v>6.5</v>
      </c>
      <c r="D465" s="65" t="str">
        <f>HYPERLINK("https://github.com/mostafa-saad/MyCompetitiveProgramming/blob/master/Olympiad/infoarena/infoarena_perioada.txt","Sol")</f>
        <v>Sol</v>
      </c>
      <c r="E465" s="31" t="s">
        <v>4531</v>
      </c>
      <c r="F465" s="37" t="s">
        <v>139</v>
      </c>
      <c r="G465" s="24"/>
      <c r="H465" s="24"/>
    </row>
    <row r="466" spans="1:8" ht="13.2">
      <c r="A466" s="65" t="str">
        <f>HYPERLINK("http://usaco.org/index.php?page=viewproblem2&amp;cpid=794", "USACO 18jan-sprinklers-plat")</f>
        <v>USACO 18jan-sprinklers-plat</v>
      </c>
      <c r="B466" s="20" t="s">
        <v>7341</v>
      </c>
      <c r="C466" s="21">
        <v>6.5</v>
      </c>
      <c r="D466" s="65" t="str">
        <f>HYPERLINK("https://github.com/stefdasca/CompetitiveProgramming/blob/master/USACO/USACO%2018jan-sprinklers-plat.cpp","Sol")</f>
        <v>Sol</v>
      </c>
      <c r="E466" s="31" t="s">
        <v>4958</v>
      </c>
      <c r="F466" s="37" t="s">
        <v>139</v>
      </c>
      <c r="G466" s="24"/>
      <c r="H466" s="24"/>
    </row>
    <row r="467" spans="1:8" ht="13.2">
      <c r="A467" s="65" t="str">
        <f>HYPERLINK("https://wcipeg.com/problem/coi09p2","COI 09-Kolo")</f>
        <v>COI 09-Kolo</v>
      </c>
      <c r="B467" s="37" t="s">
        <v>7357</v>
      </c>
      <c r="C467" s="24">
        <v>6.5</v>
      </c>
      <c r="D467" s="65" t="str">
        <f>HYPERLINK("https://github.com/mostafa-saad/MyCompetitiveProgramming/blob/master/Olympiad/COI/COI-09-Kolo.txt","Sol")</f>
        <v>Sol</v>
      </c>
      <c r="E467" s="31" t="s">
        <v>5414</v>
      </c>
      <c r="F467" s="37" t="s">
        <v>139</v>
      </c>
      <c r="G467" s="24"/>
      <c r="H467" s="24"/>
    </row>
    <row r="468" spans="1:8" ht="13.2">
      <c r="A468" s="65" t="str">
        <f>HYPERLINK("https://szkopul.edu.pl/problemset/problem/etwe8b5zlM4uVn4dpxr32ua8/site/", "POI 08-Permutation")</f>
        <v>POI 08-Permutation</v>
      </c>
      <c r="B468" s="37" t="s">
        <v>7366</v>
      </c>
      <c r="C468" s="24">
        <v>6.5</v>
      </c>
      <c r="D468" s="65" t="str">
        <f>HYPERLINK("https://github.com/mostafa-saad/MyCompetitiveProgramming/blob/master/Olympiad/POI/POI-08-Permutation.txt","Sol")</f>
        <v>Sol</v>
      </c>
      <c r="E468" s="31" t="s">
        <v>5524</v>
      </c>
      <c r="F468" s="37" t="s">
        <v>139</v>
      </c>
      <c r="G468" s="24"/>
      <c r="H468" s="24"/>
    </row>
    <row r="469" spans="1:8" ht="13.2">
      <c r="A469" s="65" t="str">
        <f>HYPERLINK("https://oj.uz/problems/source/245", "CEOI 15-teams")</f>
        <v>CEOI 15-teams</v>
      </c>
      <c r="B469" s="20" t="s">
        <v>6967</v>
      </c>
      <c r="C469" s="24">
        <v>6.5</v>
      </c>
      <c r="D469" s="65" t="str">
        <f>HYPERLINK("https://github.com/mostafa-saad/MyCompetitiveProgramming/blob/master/Olympiad/CEOI/CEOI-15-teams.txt","Sol")</f>
        <v>Sol</v>
      </c>
      <c r="E469" s="31" t="s">
        <v>1909</v>
      </c>
      <c r="F469" s="37" t="s">
        <v>613</v>
      </c>
      <c r="G469" s="24"/>
      <c r="H469" s="24"/>
    </row>
    <row r="470" spans="1:8" ht="13.2">
      <c r="A470" s="65" t="str">
        <f>HYPERLINK("https://infoarena.ro/problema/paintball","infoarena paintball")</f>
        <v>infoarena paintball</v>
      </c>
      <c r="B470" s="20" t="s">
        <v>7188</v>
      </c>
      <c r="C470" s="24">
        <v>6.5</v>
      </c>
      <c r="D470" s="65" t="str">
        <f>HYPERLINK("https://github.com/mostafa-saad/MyCompetitiveProgramming/blob/master/Olympiad/infoarena/infoarena-paintball.txt","Sol")</f>
        <v>Sol</v>
      </c>
      <c r="E470" s="31" t="s">
        <v>3650</v>
      </c>
      <c r="F470" s="37" t="s">
        <v>613</v>
      </c>
      <c r="G470" s="24"/>
      <c r="H470" s="24"/>
    </row>
    <row r="471" spans="1:8" ht="13.2">
      <c r="A471" s="65" t="str">
        <f>HYPERLINK("https://oj.uz/problem/view/IOI17_prize","IOI 17-prize")</f>
        <v>IOI 17-prize</v>
      </c>
      <c r="B471" s="15" t="s">
        <v>6599</v>
      </c>
      <c r="C471" s="24">
        <v>6.5</v>
      </c>
      <c r="D471" s="65" t="str">
        <f>HYPERLINK("https://github.com/timpostuvan/CompetitiveProgramming/blob/master/Olympiad/IOI/Prize2017.cpp","Sol")</f>
        <v>Sol</v>
      </c>
      <c r="E471" s="31" t="s">
        <v>125</v>
      </c>
      <c r="F471" s="37" t="s">
        <v>201</v>
      </c>
      <c r="G471" s="24"/>
      <c r="H471" s="24"/>
    </row>
    <row r="472" spans="1:8" ht="13.2">
      <c r="A472" s="65" t="str">
        <f>HYPERLINK("https://wcipeg.com/problem/coi08p3","COI 08-Plahte")</f>
        <v>COI 08-Plahte</v>
      </c>
      <c r="B472" s="37" t="s">
        <v>7398</v>
      </c>
      <c r="C472" s="24">
        <v>6.5</v>
      </c>
      <c r="D472" s="65" t="str">
        <f>HYPERLINK("https://github.com/mostafa-saad/MyCompetitiveProgramming/tree/master/Olympiad/COCI/official/2009/olympiad_solutions","Editorial")</f>
        <v>Editorial</v>
      </c>
      <c r="E472" s="31" t="s">
        <v>5958</v>
      </c>
      <c r="F472" s="37" t="s">
        <v>201</v>
      </c>
      <c r="G472" s="24"/>
      <c r="H472" s="24"/>
    </row>
    <row r="473" spans="1:8" ht="13.2">
      <c r="A473" s="65" t="str">
        <f>HYPERLINK("http://usaco.org/index.php?page=viewproblem2&amp;cpid=626","USACO 16feb-cbarn-plat")</f>
        <v>USACO 16feb-cbarn-plat</v>
      </c>
      <c r="B473" s="20" t="s">
        <v>7429</v>
      </c>
      <c r="C473" s="24">
        <v>6.5</v>
      </c>
      <c r="D473" s="65" t="str">
        <f>HYPERLINK("https://github.com/thecodingwizard/competitive-programming/blob/master/USACO/2016feb/plat/cbarn.cpp","Sol")</f>
        <v>Sol</v>
      </c>
      <c r="E473" s="31" t="s">
        <v>6098</v>
      </c>
      <c r="F473" s="37" t="s">
        <v>201</v>
      </c>
      <c r="G473" s="24"/>
      <c r="H473" s="24"/>
    </row>
    <row r="474" spans="1:8" ht="13.2">
      <c r="A474" s="65" t="str">
        <f>HYPERLINK("https://cses.fi/112/list/","Baltic 07-Points")</f>
        <v>Baltic 07-Points</v>
      </c>
      <c r="B474" s="37" t="s">
        <v>7437</v>
      </c>
      <c r="C474" s="24">
        <v>6.5</v>
      </c>
      <c r="D474" s="65" t="str">
        <f>HYPERLINK("https://github.com/mostafa-saad/MyCompetitiveProgramming/blob/master/Olympiad/Baltic/Baltic-07-Points.txt","Sol")</f>
        <v>Sol</v>
      </c>
      <c r="E474" s="31" t="s">
        <v>6157</v>
      </c>
      <c r="F474" s="37" t="s">
        <v>201</v>
      </c>
      <c r="G474" s="24"/>
      <c r="H474" s="24"/>
    </row>
    <row r="475" spans="1:8" ht="13.2">
      <c r="A475" s="65" t="str">
        <f>HYPERLINK("https://infoarena.ro/problema/mindist", "infoarena mindist")</f>
        <v>infoarena mindist</v>
      </c>
      <c r="B475" s="37" t="s">
        <v>7480</v>
      </c>
      <c r="C475" s="24">
        <v>6.5</v>
      </c>
      <c r="D475" s="65" t="str">
        <f>HYPERLINK("https://github.com/mostafa-saad/MyCompetitiveProgramming/blob/master/Olympiad/infoarena/infoarena-mindist.txt","Sol")</f>
        <v>Sol</v>
      </c>
      <c r="E475" s="31" t="s">
        <v>6397</v>
      </c>
      <c r="F475" s="37" t="s">
        <v>201</v>
      </c>
      <c r="G475" s="24"/>
      <c r="H475" s="24"/>
    </row>
    <row r="476" spans="1:8" ht="13.2">
      <c r="A476" s="65" t="str">
        <f>HYPERLINK("https://contest.yandex.ru/ioi/contest/558/problems/B/","IOI 03-code")</f>
        <v>IOI 03-code</v>
      </c>
      <c r="B476" s="15" t="s">
        <v>7616</v>
      </c>
      <c r="C476" s="24">
        <v>6.5</v>
      </c>
      <c r="D476" s="65" t="str">
        <f>HYPERLINK("https://github.com/mostafa-saad/MyCompetitiveProgramming/blob/master/Olympiad/IOI/IOI-03-code.txt","Sol")</f>
        <v>Sol</v>
      </c>
      <c r="E476" s="31" t="s">
        <v>6505</v>
      </c>
      <c r="F476" s="37" t="s">
        <v>201</v>
      </c>
      <c r="G476" s="24"/>
      <c r="H476" s="24"/>
    </row>
    <row r="477" spans="1:8" ht="13.2">
      <c r="A477" s="65" t="str">
        <f>HYPERLINK("https://oj.uz/problem/view/IOI07_pairs","IOI 07-pairs")</f>
        <v>IOI 07-pairs</v>
      </c>
      <c r="B477" s="20" t="s">
        <v>7617</v>
      </c>
      <c r="C477" s="24">
        <v>6.5</v>
      </c>
      <c r="D477" s="65" t="str">
        <f>HYPERLINK("https://github.com/mostafa-saad/MyCompetitiveProgramming/blob/master/Olympiad/IOI/official/2007","Editorial")</f>
        <v>Editorial</v>
      </c>
      <c r="E477" s="31" t="s">
        <v>1223</v>
      </c>
      <c r="F477" s="37" t="s">
        <v>201</v>
      </c>
      <c r="G477" s="24"/>
      <c r="H477" s="24"/>
    </row>
    <row r="478" spans="1:8" ht="13.2">
      <c r="A478" s="65" t="str">
        <f>HYPERLINK("http://usaco.org/index.php?page=viewproblem2&amp;cpid=972#","USACO 20dec-pieaters-plat")</f>
        <v>USACO 20dec-pieaters-plat</v>
      </c>
      <c r="B478" s="23" t="s">
        <v>6856</v>
      </c>
      <c r="C478" s="24">
        <v>6.5</v>
      </c>
      <c r="D478" s="69"/>
      <c r="E478" s="31" t="s">
        <v>1337</v>
      </c>
      <c r="F478" s="37" t="s">
        <v>201</v>
      </c>
      <c r="G478" s="24"/>
      <c r="H478" s="24"/>
    </row>
    <row r="479" spans="1:8" ht="13.2">
      <c r="A479" s="65" t="str">
        <f>HYPERLINK("https://cses.fi/98/list/","Baltic 12-Brackets")</f>
        <v>Baltic 12-Brackets</v>
      </c>
      <c r="B479" s="37" t="s">
        <v>6857</v>
      </c>
      <c r="C479" s="24">
        <v>6.5</v>
      </c>
      <c r="D479" s="65" t="str">
        <f>HYPERLINK("https://github.com/mostafa-saad/MyCompetitiveProgramming/blob/master/Olympiad/Baltic/Baltic-12-Brackets.txt","Sol")</f>
        <v>Sol</v>
      </c>
      <c r="E479" s="31" t="s">
        <v>1337</v>
      </c>
      <c r="F479" s="37" t="s">
        <v>201</v>
      </c>
      <c r="G479" s="24"/>
      <c r="H479" s="24"/>
    </row>
    <row r="480" spans="1:8" ht="13.2">
      <c r="A480" s="65" t="str">
        <f>HYPERLINK("http://usaco.org/index.php?page=viewproblem2&amp;cpid=902", "USACO 19jan-tracking2_plat")</f>
        <v>USACO 19jan-tracking2_plat</v>
      </c>
      <c r="B480" s="20" t="s">
        <v>1375</v>
      </c>
      <c r="C480" s="21">
        <v>6.5</v>
      </c>
      <c r="D480" s="69"/>
      <c r="E480" s="31" t="s">
        <v>1337</v>
      </c>
      <c r="F480" s="37" t="s">
        <v>201</v>
      </c>
      <c r="G480" s="24"/>
      <c r="H480" s="24"/>
    </row>
    <row r="481" spans="1:8" ht="13.2">
      <c r="A481" s="65" t="str">
        <f>HYPERLINK("https://www.infoarena.ro/problema/culmi","Infoarena culmi")</f>
        <v>Infoarena culmi</v>
      </c>
      <c r="B481" s="20" t="s">
        <v>6858</v>
      </c>
      <c r="C481" s="21">
        <v>6.5</v>
      </c>
      <c r="D481" s="65" t="str">
        <f>HYPERLINK("https://github.com/stefdasca/CompetitiveProgramming/blob/master/Infoarena/culmi.cpp","Sol")</f>
        <v>Sol</v>
      </c>
      <c r="E481" s="31" t="s">
        <v>1337</v>
      </c>
      <c r="F481" s="37" t="s">
        <v>201</v>
      </c>
      <c r="G481" s="24"/>
      <c r="H481" s="24"/>
    </row>
    <row r="482" spans="1:8" ht="13.2">
      <c r="A482" s="65" t="str">
        <f>HYPERLINK("https://oj.uz/problem/view/JOI19_ho_t4", "JOI 19-Coin")</f>
        <v>JOI 19-Coin</v>
      </c>
      <c r="B482" s="37" t="s">
        <v>6993</v>
      </c>
      <c r="C482" s="24">
        <v>6.5</v>
      </c>
      <c r="D482" s="65" t="str">
        <f>HYPERLINK("https://github.com/mostafa-saad/MyCompetitiveProgramming/blob/master/Olympiad/JOI/JOI-19-Coin.txt","Sol")</f>
        <v>Sol</v>
      </c>
      <c r="E482" s="31" t="s">
        <v>2153</v>
      </c>
      <c r="F482" s="37" t="s">
        <v>201</v>
      </c>
      <c r="G482" s="24"/>
      <c r="H482" s="24"/>
    </row>
    <row r="483" spans="1:8" ht="13.2">
      <c r="A483" s="65" t="str">
        <f>HYPERLINK("https://cses.fi/116/list/","Baltic 05-Polygon")</f>
        <v>Baltic 05-Polygon</v>
      </c>
      <c r="B483" s="37" t="s">
        <v>7091</v>
      </c>
      <c r="C483" s="24">
        <v>6.5</v>
      </c>
      <c r="D483" s="65" t="str">
        <f>HYPERLINK("https://github.com/mostafa-saad/MyCompetitiveProgramming/blob/master/Olympiad/Baltic/Baltic-05-Polygon.txt","Sol")</f>
        <v>Sol</v>
      </c>
      <c r="E483" s="31" t="s">
        <v>2948</v>
      </c>
      <c r="F483" s="37" t="s">
        <v>201</v>
      </c>
      <c r="G483" s="24"/>
      <c r="H483" s="24"/>
    </row>
    <row r="484" spans="1:8" ht="13.2">
      <c r="A484" s="65" t="str">
        <f>HYPERLINK("http://usaco.org/index.php?page=viewproblem2&amp;cpid=866","USACO 18dec-gathering")</f>
        <v>USACO 18dec-gathering</v>
      </c>
      <c r="B484" s="20" t="s">
        <v>7248</v>
      </c>
      <c r="C484" s="21">
        <v>6.5</v>
      </c>
      <c r="D484" s="69"/>
      <c r="E484" s="31" t="s">
        <v>3955</v>
      </c>
      <c r="F484" s="37" t="s">
        <v>201</v>
      </c>
      <c r="G484" s="24"/>
      <c r="H484" s="24"/>
    </row>
    <row r="485" spans="1:8" ht="13.2">
      <c r="A485" s="65" t="str">
        <f>HYPERLINK("http://www.usaco.org/index.php?page=viewproblem2&amp;cpid=972","USACO 19dec-plat-pieaters")</f>
        <v>USACO 19dec-plat-pieaters</v>
      </c>
      <c r="B485" s="20" t="s">
        <v>2112</v>
      </c>
      <c r="C485" s="17">
        <v>6.5</v>
      </c>
      <c r="D485" s="65" t="str">
        <f>HYPERLINK("https://github.com/thecodingwizard/competitive-programming/blob/master/USACO/2019dec/pieaters.cpp","Sol")</f>
        <v>Sol</v>
      </c>
      <c r="E485" s="31" t="s">
        <v>2113</v>
      </c>
      <c r="F485" s="37" t="s">
        <v>436</v>
      </c>
      <c r="G485" s="24"/>
      <c r="H485" s="24"/>
    </row>
    <row r="486" spans="1:8" ht="13.2">
      <c r="A486" s="65" t="str">
        <f>HYPERLINK("https://dmoj.ca/problem/coci07c5p6","COCI 07-Baza")</f>
        <v>COCI 07-Baza</v>
      </c>
      <c r="B486" s="15" t="s">
        <v>7370</v>
      </c>
      <c r="C486" s="24">
        <v>6.5</v>
      </c>
      <c r="D486" s="65" t="str">
        <f>HYPERLINK("https://github.com/mostafa-saad/MyCompetitiveProgramming/blob/master/Olympiad/COCI/COCI-07-Baza.txt","Sol")</f>
        <v>Sol</v>
      </c>
      <c r="E486" s="31" t="s">
        <v>5643</v>
      </c>
      <c r="F486" s="37" t="s">
        <v>242</v>
      </c>
      <c r="G486" s="24"/>
      <c r="H486" s="24"/>
    </row>
    <row r="487" spans="1:8" ht="13.2">
      <c r="A487" s="65" t="str">
        <f>HYPERLINK("https://oj.uz/problem/view/IOI12_rings","IOI 12-rings")</f>
        <v>IOI 12-rings</v>
      </c>
      <c r="B487" s="23" t="s">
        <v>7618</v>
      </c>
      <c r="C487" s="24">
        <v>6.5</v>
      </c>
      <c r="D487" s="65" t="str">
        <f>HYPERLINK("https://github.com/tmwilliamlin168/CompetitiveProgramming/blob/master/IOI/12-Rings.cpp","Sol")</f>
        <v>Sol</v>
      </c>
      <c r="E487" s="31" t="s">
        <v>3883</v>
      </c>
      <c r="F487" s="37" t="s">
        <v>242</v>
      </c>
      <c r="G487" s="24"/>
      <c r="H487" s="24"/>
    </row>
    <row r="488" spans="1:8" ht="13.2">
      <c r="A488" s="65" t="str">
        <f>HYPERLINK("https://oj.uz/problem/view/IOI10_languages","IOI 10-languages")</f>
        <v>IOI 10-languages</v>
      </c>
      <c r="B488" s="23" t="s">
        <v>6600</v>
      </c>
      <c r="C488" s="24">
        <v>6.5</v>
      </c>
      <c r="D488" s="65" t="str">
        <f>HYPERLINK("https://github.com/mostafa-saad/MyCompetitiveProgramming/blob/master/Olympiad/IOI/official/2010","Editorial")</f>
        <v>Editorial</v>
      </c>
      <c r="E488" s="31" t="s">
        <v>125</v>
      </c>
      <c r="F488" s="37"/>
      <c r="G488" s="24"/>
      <c r="H488" s="24"/>
    </row>
    <row r="489" spans="1:8" ht="13.2">
      <c r="A489" s="65" t="str">
        <f>HYPERLINK("https://open.kattis.com/problem-sources/Baltic%20Olympiad%20in%20Informatics%202017%2C%20Day%202","Baltic 17-PlusMinus")</f>
        <v>Baltic 17-PlusMinus</v>
      </c>
      <c r="B489" s="18" t="s">
        <v>124</v>
      </c>
      <c r="C489" s="17">
        <v>6.5</v>
      </c>
      <c r="D489" s="65" t="str">
        <f>HYPERLINK("https://codeforces.com/blog/entry/51740?#comment-356940","hints")</f>
        <v>hints</v>
      </c>
      <c r="E489" s="31" t="s">
        <v>125</v>
      </c>
      <c r="F489" s="37"/>
      <c r="G489" s="24"/>
      <c r="H489" s="24"/>
    </row>
    <row r="490" spans="1:8" ht="13.2">
      <c r="A490" s="65" t="str">
        <f>HYPERLINK("https://oj.uz/problem/view/JOI19_remittance","JOIOC 19-Remittance")</f>
        <v>JOIOC 19-Remittance</v>
      </c>
      <c r="B490" s="20" t="s">
        <v>6601</v>
      </c>
      <c r="C490" s="17">
        <v>6.5</v>
      </c>
      <c r="D490" s="65" t="str">
        <f>HYPERLINK("https://github.com/mostafa-saad/MyCompetitiveProgramming/blob/master/Olympiad/JOI/JOIOC-19-Remittance.txt","Sol")</f>
        <v>Sol</v>
      </c>
      <c r="E490" s="31" t="s">
        <v>125</v>
      </c>
      <c r="F490" s="37"/>
      <c r="G490" s="24"/>
      <c r="H490" s="24"/>
    </row>
    <row r="491" spans="1:8" ht="13.2">
      <c r="A491" s="65" t="str">
        <f>HYPERLINK("https://dmoj.ca/contest/cco18d1","CCO 18-WrongAnswer")</f>
        <v>CCO 18-WrongAnswer</v>
      </c>
      <c r="B491" s="20" t="s">
        <v>138</v>
      </c>
      <c r="C491" s="17">
        <v>6.5</v>
      </c>
      <c r="D491" s="65" t="str">
        <f>HYPERLINK("https://github.com/timpostuvan/CompetitiveProgramming/blob/master/Olympiad/CCO/WrongAnswer2018.cpp","Sol")</f>
        <v>Sol</v>
      </c>
      <c r="E491" s="31" t="s">
        <v>125</v>
      </c>
      <c r="F491" s="37"/>
      <c r="G491" s="24"/>
      <c r="H491" s="24"/>
    </row>
    <row r="492" spans="1:8" ht="13.2">
      <c r="A492" s="65" t="str">
        <f>HYPERLINK("https://boi18-day2-open.kattis.com/problems","Baltic 18-Genetics")</f>
        <v>Baltic 18-Genetics</v>
      </c>
      <c r="B492" s="18" t="s">
        <v>6602</v>
      </c>
      <c r="C492" s="17">
        <v>6.5</v>
      </c>
      <c r="D492" s="65" t="str">
        <f>HYPERLINK("https://github.com/mostafa-saad/MyCompetitiveProgramming/tree/master/Olympiad/Baltic/official/boi2018_solutions","Editorial")</f>
        <v>Editorial</v>
      </c>
      <c r="E492" s="31" t="s">
        <v>125</v>
      </c>
      <c r="F492" s="37"/>
      <c r="G492" s="24"/>
      <c r="H492" s="24"/>
    </row>
    <row r="493" spans="1:8" ht="13.2">
      <c r="A493" s="65" t="str">
        <f>HYPERLINK("https://codeforces.com/group/swEqtABRxe/contest/243438/problem/D", "IOIQ 19-d2-D")</f>
        <v>IOIQ 19-d2-D</v>
      </c>
      <c r="B493" s="20" t="s">
        <v>285</v>
      </c>
      <c r="C493" s="17">
        <v>6.5</v>
      </c>
      <c r="D493" s="69"/>
      <c r="E493" s="31" t="s">
        <v>125</v>
      </c>
      <c r="F493" s="37"/>
      <c r="G493" s="24"/>
      <c r="H493" s="24"/>
    </row>
    <row r="494" spans="1:8" ht="13.2">
      <c r="A494" s="65" t="str">
        <f>HYPERLINK("https://oj.uz/problem/view/COI14_css","COI 14-css")</f>
        <v>COI 14-css</v>
      </c>
      <c r="B494" s="20" t="s">
        <v>6603</v>
      </c>
      <c r="C494" s="24">
        <v>6.5</v>
      </c>
      <c r="D494" s="69"/>
      <c r="E494" s="31" t="s">
        <v>125</v>
      </c>
      <c r="F494" s="37"/>
      <c r="G494" s="24"/>
      <c r="H494" s="24"/>
    </row>
    <row r="495" spans="1:8" ht="13.2">
      <c r="A495" s="65" t="str">
        <f>HYPERLINK("https://oj.uz/problem/view/COI18_pick","COI 18-pick")</f>
        <v>COI 18-pick</v>
      </c>
      <c r="B495" s="20" t="s">
        <v>6604</v>
      </c>
      <c r="C495" s="24">
        <v>6.5</v>
      </c>
      <c r="D495" s="69"/>
      <c r="E495" s="31" t="s">
        <v>125</v>
      </c>
      <c r="F495" s="37"/>
      <c r="G495" s="24"/>
      <c r="H495" s="24"/>
    </row>
    <row r="496" spans="1:8" ht="13.2">
      <c r="A496" s="65" t="str">
        <f>HYPERLINK("https://oj.uz/problem/view/IZhO19_lyuboyn","IZhO 19-lyuboyn")</f>
        <v>IZhO 19-lyuboyn</v>
      </c>
      <c r="B496" s="37" t="s">
        <v>6605</v>
      </c>
      <c r="C496" s="24">
        <v>6.5</v>
      </c>
      <c r="D496" s="69"/>
      <c r="E496" s="31" t="s">
        <v>125</v>
      </c>
      <c r="F496" s="37"/>
      <c r="G496" s="24"/>
      <c r="H496" s="24"/>
    </row>
    <row r="497" spans="1:8" ht="13.2">
      <c r="A497" s="69" t="s">
        <v>7371</v>
      </c>
      <c r="B497" s="20" t="s">
        <v>7372</v>
      </c>
      <c r="C497" s="17">
        <v>6.5</v>
      </c>
      <c r="D497" s="69"/>
      <c r="E497" s="31" t="s">
        <v>5643</v>
      </c>
      <c r="F497" s="37"/>
      <c r="G497" s="24"/>
      <c r="H497" s="24"/>
    </row>
    <row r="498" spans="1:8" ht="13.2">
      <c r="A498" s="65" t="str">
        <f>HYPERLINK("https://www.acmicpc.net/problem/11555","Balkan 15-Clarkson")</f>
        <v>Balkan 15-Clarkson</v>
      </c>
      <c r="B498" s="37" t="s">
        <v>7383</v>
      </c>
      <c r="C498" s="24">
        <v>6.5</v>
      </c>
      <c r="D498" s="65" t="str">
        <f>HYPERLINK("https://github.com/mostafa-saad/MyCompetitiveProgramming/tree/master/Olympiad/Balkan/official/2015","Sol (no editorial)")</f>
        <v>Sol (no editorial)</v>
      </c>
      <c r="E498" s="31" t="s">
        <v>5794</v>
      </c>
      <c r="F498" s="37"/>
      <c r="G498" s="24"/>
      <c r="H498" s="24"/>
    </row>
    <row r="499" spans="1:8" ht="13.2">
      <c r="A499" s="65" t="str">
        <f>HYPERLINK("https://csacademy.com/contest/round-78/task/count-bst/","ROUSelection 18-count_bst")</f>
        <v>ROUSelection 18-count_bst</v>
      </c>
      <c r="B499" s="37" t="s">
        <v>7389</v>
      </c>
      <c r="C499" s="24">
        <v>6.5</v>
      </c>
      <c r="D499" s="69"/>
      <c r="E499" s="31" t="s">
        <v>5947</v>
      </c>
      <c r="F499" s="37"/>
      <c r="G499" s="24"/>
      <c r="H499" s="24"/>
    </row>
    <row r="500" spans="1:8" ht="13.2">
      <c r="A500" s="65" t="str">
        <f>HYPERLINK("https://contest.yandex.ru/ioi/contest/558/enter/","IOI 03-robots")</f>
        <v>IOI 03-robots</v>
      </c>
      <c r="B500" s="20" t="s">
        <v>7399</v>
      </c>
      <c r="C500" s="24">
        <v>6.5</v>
      </c>
      <c r="D500" s="65" t="str">
        <f>HYPERLINK("https://github.com/mostafa-saad/MyCompetitiveProgramming/blob/master/Olympiad/IOI/IOI-03-robots.txt","Sol")</f>
        <v>Sol</v>
      </c>
      <c r="E500" s="31" t="s">
        <v>5958</v>
      </c>
      <c r="F500" s="37"/>
      <c r="G500" s="24"/>
      <c r="H500" s="24"/>
    </row>
    <row r="501" spans="1:8" ht="13.2">
      <c r="A501" s="65" t="str">
        <f>HYPERLINK("https://infoarena.ro/problema/calancea","Infoarena Calancea")</f>
        <v>Infoarena Calancea</v>
      </c>
      <c r="B501" s="74" t="s">
        <v>7413</v>
      </c>
      <c r="C501" s="80">
        <v>6.5</v>
      </c>
      <c r="D501" s="69"/>
      <c r="E501" s="31" t="s">
        <v>6040</v>
      </c>
      <c r="F501" s="37"/>
      <c r="G501" s="24"/>
      <c r="H501" s="24"/>
    </row>
    <row r="502" spans="1:8" ht="13.2">
      <c r="A502" s="65" t="str">
        <f>HYPERLINK("https://www.acmicpc.net/problem/7055","CEOI 02-Bugs")</f>
        <v>CEOI 02-Bugs</v>
      </c>
      <c r="B502" s="37" t="s">
        <v>6160</v>
      </c>
      <c r="C502" s="24">
        <v>6.5</v>
      </c>
      <c r="D502" s="65" t="str">
        <f>HYPERLINK("https://github.com/mostafa-saad/MyCompetitiveProgramming/blob/master/Olympiad/CEOI/CEOI-02-Bugs.txt","Sol")</f>
        <v>Sol</v>
      </c>
      <c r="E502" s="31" t="s">
        <v>6157</v>
      </c>
      <c r="F502" s="37"/>
      <c r="G502" s="24"/>
      <c r="H502" s="24"/>
    </row>
    <row r="503" spans="1:8" ht="13.2">
      <c r="A503" s="65" t="str">
        <f>HYPERLINK("https://codeforces.com/gym/102257/","APIO 19-street_lamps")</f>
        <v>APIO 19-street_lamps</v>
      </c>
      <c r="B503" s="37" t="s">
        <v>1207</v>
      </c>
      <c r="C503" s="24">
        <v>6.5</v>
      </c>
      <c r="D503" s="65" t="str">
        <f>HYPERLINK("https://github.com/Evilandrew228/CompetitiveProgramming/blob/master/APIO%2019-street_lamps", "Sol")</f>
        <v>Sol</v>
      </c>
      <c r="E503" s="31" t="s">
        <v>1018</v>
      </c>
      <c r="F503" s="37"/>
      <c r="G503" s="24"/>
      <c r="H503" s="24"/>
    </row>
    <row r="504" spans="1:8" ht="13.2">
      <c r="A504" s="65" t="str">
        <f>HYPERLINK("https://oj.uz/problem/view/COCI15_relativnost","COCI 15-relativnost")</f>
        <v>COCI 15-relativnost</v>
      </c>
      <c r="B504" s="20" t="s">
        <v>6773</v>
      </c>
      <c r="C504" s="24">
        <v>6.5</v>
      </c>
      <c r="D504" s="65" t="str">
        <f>HYPERLINK("https://github.com/mostafa-saad/MyCompetitiveProgramming/blob/master/Olympiad/COCI/COCI-15-relativnost.txt","Sol")</f>
        <v>Sol</v>
      </c>
      <c r="E504" s="31" t="s">
        <v>1018</v>
      </c>
      <c r="F504" s="37"/>
      <c r="G504" s="24"/>
      <c r="H504" s="24"/>
    </row>
    <row r="505" spans="1:8" ht="13.2">
      <c r="A505" s="65" t="str">
        <f>HYPERLINK("https://oj.uz/problem/view/COCI17_garaza","COCI 17-garaza")</f>
        <v>COCI 17-garaza</v>
      </c>
      <c r="B505" s="20" t="s">
        <v>6774</v>
      </c>
      <c r="C505" s="24">
        <v>6.5</v>
      </c>
      <c r="D505" s="65" t="str">
        <f>HYPERLINK("https://github.com/mostafa-saad/MyCompetitiveProgramming/blob/master/Olympiad/COCI/official/2018/contest2_solutions","Editorial")</f>
        <v>Editorial</v>
      </c>
      <c r="E505" s="31" t="s">
        <v>1018</v>
      </c>
      <c r="F505" s="37"/>
      <c r="G505" s="24"/>
      <c r="H505" s="24"/>
    </row>
    <row r="506" spans="1:8" ht="13.2">
      <c r="A506" s="65" t="str">
        <f>HYPERLINK("https://oj.uz/problem/view/JOI20_ho_t5","JOI 20-Fire")</f>
        <v>JOI 20-Fire</v>
      </c>
      <c r="B506" s="25" t="s">
        <v>6811</v>
      </c>
      <c r="C506" s="24">
        <v>6.5</v>
      </c>
      <c r="D506" s="65" t="str">
        <f>HYPERLINK("https://github.com/mostafa-saad/MyCompetitiveProgramming/tree/master/Olympiad/JOI/official/JOI/2020","Official Code")</f>
        <v>Official Code</v>
      </c>
      <c r="E506" s="31" t="s">
        <v>1223</v>
      </c>
      <c r="F506" s="37"/>
      <c r="G506" s="24"/>
      <c r="H506" s="24"/>
    </row>
    <row r="507" spans="1:8" ht="13.2">
      <c r="A507" s="65" t="str">
        <f>HYPERLINK("https://joi2016ho.contest.atcoder.jp/tasks/joi2016ho_e","JOI 16-GeologicFault")</f>
        <v>JOI 16-GeologicFault</v>
      </c>
      <c r="B507" s="20" t="s">
        <v>7619</v>
      </c>
      <c r="C507" s="17">
        <v>6.5</v>
      </c>
      <c r="D507" s="69"/>
      <c r="E507" s="31" t="s">
        <v>1223</v>
      </c>
      <c r="F507" s="37"/>
      <c r="G507" s="24"/>
      <c r="H507" s="24"/>
    </row>
    <row r="508" spans="1:8" ht="13.2">
      <c r="A508" s="65" t="str">
        <f>HYPERLINK("https://oj.uz/problem/view/BOI18_parentrises","Balkan 18-parentrises")</f>
        <v>Balkan 18-parentrises</v>
      </c>
      <c r="B508" s="20" t="s">
        <v>1348</v>
      </c>
      <c r="C508" s="17">
        <v>6.5</v>
      </c>
      <c r="D508" s="65" t="str">
        <f>HYPERLINK("https://github.com/mostafa-saad/MyCompetitiveProgramming/blob/master/Olympiad/Balkan/official/2018/","Editorial")</f>
        <v>Editorial</v>
      </c>
      <c r="E508" s="31" t="s">
        <v>1337</v>
      </c>
      <c r="F508" s="37"/>
      <c r="G508" s="24"/>
      <c r="H508" s="24"/>
    </row>
    <row r="509" spans="1:8" ht="13.2">
      <c r="A509" s="65" t="str">
        <f>HYPERLINK("https://oj.uz/problems/source/197", "CEOI 16-popeala")</f>
        <v>CEOI 16-popeala</v>
      </c>
      <c r="B509" s="20" t="s">
        <v>1348</v>
      </c>
      <c r="C509" s="24">
        <v>6.5</v>
      </c>
      <c r="D509" s="65" t="str">
        <f>HYPERLINK("https://github.com/mostafa-saad/MyCompetitiveProgramming/blob/master/Olympiad/CEOI/CEOI-16-popeala.txt","Sol")</f>
        <v>Sol</v>
      </c>
      <c r="E509" s="31" t="s">
        <v>1337</v>
      </c>
      <c r="F509" s="37"/>
      <c r="G509" s="24"/>
      <c r="H509" s="24"/>
    </row>
    <row r="510" spans="1:8" ht="13.2">
      <c r="A510" s="65" t="str">
        <f>HYPERLINK("https://www.infoarena.ro/problema/ksecv","infoarena ksecv")</f>
        <v>infoarena ksecv</v>
      </c>
      <c r="B510" s="20" t="s">
        <v>6859</v>
      </c>
      <c r="C510" s="17">
        <v>6.5</v>
      </c>
      <c r="D510" s="65" t="str">
        <f>HYPERLINK("https://github.com/stefdasca/CompetitiveProgramming/blob/master/Infoarena/ksecv.cpp","Sol")</f>
        <v>Sol</v>
      </c>
      <c r="E510" s="31" t="s">
        <v>1337</v>
      </c>
      <c r="F510" s="37"/>
      <c r="G510" s="24"/>
      <c r="H510" s="24"/>
    </row>
    <row r="511" spans="1:8" ht="13.2">
      <c r="A511" s="65" t="str">
        <f>HYPERLINK("https://dunjudge.me/analysis/problems/28/","NOI 11-tour")</f>
        <v>NOI 11-tour</v>
      </c>
      <c r="B511" s="37" t="s">
        <v>6860</v>
      </c>
      <c r="C511" s="24">
        <v>6.5</v>
      </c>
      <c r="D511" s="65" t="str">
        <f>HYPERLINK("https://github.com/mostafa-saad/MyCompetitiveProgramming/blob/master/Olympiad/NOI/NOI-11-tour.txt","Sol")</f>
        <v>Sol</v>
      </c>
      <c r="E511" s="31" t="s">
        <v>1337</v>
      </c>
      <c r="F511" s="37"/>
      <c r="G511" s="24"/>
      <c r="H511" s="24"/>
    </row>
    <row r="512" spans="1:8" ht="13.2">
      <c r="A512" s="65" t="str">
        <f>HYPERLINK("https://oj.uz/problem/view/COCI18_vrtic","COCI 18-vrtic")</f>
        <v>COCI 18-vrtic</v>
      </c>
      <c r="B512" s="20" t="s">
        <v>1354</v>
      </c>
      <c r="C512" s="24">
        <v>6.5</v>
      </c>
      <c r="D512" s="69"/>
      <c r="E512" s="31" t="s">
        <v>1337</v>
      </c>
      <c r="F512" s="37"/>
      <c r="G512" s="24"/>
      <c r="H512" s="24"/>
    </row>
    <row r="513" spans="1:8" ht="13.2">
      <c r="A513" s="65" t="str">
        <f>HYPERLINK("https://cses.fi/188/list/","CEOI 07-Airport")</f>
        <v>CEOI 07-Airport</v>
      </c>
      <c r="B513" s="20" t="s">
        <v>7527</v>
      </c>
      <c r="C513" s="24">
        <v>6.5</v>
      </c>
      <c r="D513" s="69"/>
      <c r="E513" s="31" t="s">
        <v>7525</v>
      </c>
      <c r="F513" s="37"/>
      <c r="G513" s="24"/>
      <c r="H513" s="24"/>
    </row>
    <row r="514" spans="1:8" ht="13.2">
      <c r="A514" s="65" t="str">
        <f>HYPERLINK("https://cses.fi/188/list/","CEOI 07-Treasury")</f>
        <v>CEOI 07-Treasury</v>
      </c>
      <c r="B514" s="20" t="s">
        <v>7529</v>
      </c>
      <c r="C514" s="24">
        <v>6.5</v>
      </c>
      <c r="D514" s="69"/>
      <c r="E514" s="31" t="s">
        <v>7525</v>
      </c>
      <c r="F514" s="37"/>
      <c r="G514" s="24"/>
      <c r="H514" s="24"/>
    </row>
    <row r="515" spans="1:8" ht="13.2">
      <c r="A515" s="65" t="str">
        <f>HYPERLINK("https://szkopul.edu.pl/problemset/problem/4Pgr_vmxb_fPeFSn1NTJPqQa/site/","CEOI 10-Alliances")</f>
        <v>CEOI 10-Alliances</v>
      </c>
      <c r="B515" s="20" t="s">
        <v>7530</v>
      </c>
      <c r="C515" s="24">
        <v>6.5</v>
      </c>
      <c r="D515" s="69"/>
      <c r="E515" s="31" t="s">
        <v>7525</v>
      </c>
      <c r="F515" s="37"/>
      <c r="G515" s="24"/>
      <c r="H515" s="24"/>
    </row>
    <row r="516" spans="1:8" ht="13.2">
      <c r="A516" s="65" t="str">
        <f>HYPERLINK("https://szkopul.edu.pl/problemset/problem/M09kYLBv3P6homsLzx_fmpgn/site/","CEOI 10-MP3player")</f>
        <v>CEOI 10-MP3player</v>
      </c>
      <c r="B516" s="20" t="s">
        <v>7527</v>
      </c>
      <c r="C516" s="24">
        <v>6.5</v>
      </c>
      <c r="D516" s="69"/>
      <c r="E516" s="31" t="s">
        <v>7525</v>
      </c>
      <c r="F516" s="37"/>
      <c r="G516" s="24"/>
      <c r="H516" s="24"/>
    </row>
    <row r="517" spans="1:8" ht="13.2">
      <c r="A517" s="65" t="str">
        <f>HYPERLINK("https://oj.uz/problem/view/POI13_mul","POI 13-mul")</f>
        <v>POI 13-mul</v>
      </c>
      <c r="B517" s="37" t="s">
        <v>7583</v>
      </c>
      <c r="C517" s="24">
        <v>6.5</v>
      </c>
      <c r="D517" s="69"/>
      <c r="E517" s="31" t="s">
        <v>7525</v>
      </c>
      <c r="F517" s="37"/>
      <c r="G517" s="24"/>
      <c r="H517" s="24"/>
    </row>
    <row r="518" spans="1:8" ht="13.2">
      <c r="A518" s="65" t="str">
        <f>HYPERLINK("https://csacademy.com/contest/round-80/task/towns/","ROUSelection 18-towns")</f>
        <v>ROUSelection 18-towns</v>
      </c>
      <c r="B518" s="37" t="s">
        <v>7587</v>
      </c>
      <c r="C518" s="24">
        <v>6.5</v>
      </c>
      <c r="D518" s="69"/>
      <c r="E518" s="31" t="s">
        <v>7525</v>
      </c>
      <c r="F518" s="37"/>
      <c r="G518" s="24"/>
      <c r="H518" s="24"/>
    </row>
    <row r="519" spans="1:8" ht="13.2">
      <c r="A519" s="65" t="str">
        <f>HYPERLINK("https://oj.uz/problem/view/APIO15_sculpture","APIO 15-sculpture")</f>
        <v>APIO 15-sculpture</v>
      </c>
      <c r="B519" s="18" t="s">
        <v>6994</v>
      </c>
      <c r="C519" s="17">
        <v>6.5</v>
      </c>
      <c r="D519" s="65" t="str">
        <f>HYPERLINK("https://github.com/mostafa-saad/MyCompetitiveProgramming/blob/master/Olympiad/APIO/APIO-15-sculpture.txt", "Sol")</f>
        <v>Sol</v>
      </c>
      <c r="E519" s="31" t="s">
        <v>2153</v>
      </c>
      <c r="F519" s="37"/>
      <c r="G519" s="24"/>
      <c r="H519" s="24"/>
    </row>
    <row r="520" spans="1:8" ht="13.2">
      <c r="A520" s="65" t="str">
        <f>HYPERLINK("https://oj.uz/problems/source/60", "CEOI 13-board")</f>
        <v>CEOI 13-board</v>
      </c>
      <c r="B520" s="20" t="s">
        <v>6995</v>
      </c>
      <c r="C520" s="17">
        <v>6.5</v>
      </c>
      <c r="D520" s="65" t="str">
        <f>HYPERLINK("https://github.com/mostafa-saad/MyCompetitiveProgramming/blob/master/Olympiad/CEOI/CEOI-13-board.txt", "Sol")</f>
        <v>Sol</v>
      </c>
      <c r="E520" s="31" t="s">
        <v>2153</v>
      </c>
      <c r="F520" s="37"/>
      <c r="G520" s="24"/>
      <c r="H520" s="24"/>
    </row>
    <row r="521" spans="1:8" ht="13.2">
      <c r="A521" s="65" t="str">
        <f>HYPERLINK("https://oj.uz/problem/view/IOI08_teleporters","IOI 08-teleporters")</f>
        <v>IOI 08-teleporters</v>
      </c>
      <c r="B521" s="20" t="s">
        <v>6996</v>
      </c>
      <c r="C521" s="24">
        <v>6.5</v>
      </c>
      <c r="D521" s="65" t="str">
        <f>HYPERLINK("https://github.com/mostafa-saad/MyCompetitiveProgramming/blob/master/Olympiad/IOI/official/2008","Editorial")</f>
        <v>Editorial</v>
      </c>
      <c r="E521" s="31" t="s">
        <v>2153</v>
      </c>
      <c r="F521" s="37"/>
      <c r="G521" s="24"/>
      <c r="H521" s="24"/>
    </row>
    <row r="522" spans="1:8" ht="13.2">
      <c r="A522" s="65" t="str">
        <f>HYPERLINK("https://szkopul.edu.pl/problemset/problem/z8Vva6nazo2Cy3CF67kT6IWe/site/", "POI 16-Necklace")</f>
        <v>POI 16-Necklace</v>
      </c>
      <c r="B522" s="37" t="s">
        <v>6997</v>
      </c>
      <c r="C522" s="24">
        <v>6.5</v>
      </c>
      <c r="D522" s="65" t="str">
        <f>HYPERLINK("https://github.com/mostafa-saad/MyCompetitiveProgramming/blob/master/Olympiad/POI/POI-16-Necklace.txt","Sol")</f>
        <v>Sol</v>
      </c>
      <c r="E522" s="31" t="s">
        <v>2153</v>
      </c>
      <c r="F522" s="37"/>
      <c r="G522" s="24"/>
      <c r="H522" s="24"/>
    </row>
    <row r="523" spans="1:8" ht="13.2">
      <c r="A523" s="65" t="str">
        <f>HYPERLINK("https://csacademy.com/contest/junior-challenge-2017-day-1/task/palindromic-tree/","ROJS 17-palindromic_tree")</f>
        <v>ROJS 17-palindromic_tree</v>
      </c>
      <c r="B523" s="37" t="s">
        <v>6998</v>
      </c>
      <c r="C523" s="24">
        <v>6.5</v>
      </c>
      <c r="D523" s="69"/>
      <c r="E523" s="31" t="s">
        <v>2153</v>
      </c>
      <c r="F523" s="37"/>
      <c r="G523" s="24"/>
      <c r="H523" s="24"/>
    </row>
    <row r="524" spans="1:8" ht="13.2">
      <c r="A524" s="65" t="str">
        <f>HYPERLINK("https://oj.uz/problems/source/121", "CEOI 14-007")</f>
        <v>CEOI 14-007</v>
      </c>
      <c r="B524" s="20" t="s">
        <v>7055</v>
      </c>
      <c r="C524" s="24">
        <v>6.5</v>
      </c>
      <c r="D524" s="65" t="str">
        <f>HYPERLINK("https://github.com/tmwilliamlin168/CompetitiveProgramming/blob/master/CEOI/14-007.cpp", "Sol")</f>
        <v>Sol</v>
      </c>
      <c r="E524" s="31" t="s">
        <v>2394</v>
      </c>
      <c r="F524" s="37"/>
      <c r="G524" s="24"/>
      <c r="H524" s="24"/>
    </row>
    <row r="525" spans="1:8" ht="13.2">
      <c r="A525" s="65" t="str">
        <f>HYPERLINK("http://usaco.org/index.php?page=viewproblem2&amp;cpid=514","USACO 15jan-gold_cowrect")</f>
        <v>USACO 15jan-gold_cowrect</v>
      </c>
      <c r="B525" s="37" t="s">
        <v>7070</v>
      </c>
      <c r="C525" s="24">
        <v>6.5</v>
      </c>
      <c r="D525" s="69"/>
      <c r="E525" s="31" t="s">
        <v>2510</v>
      </c>
      <c r="F525" s="37"/>
      <c r="G525" s="24"/>
      <c r="H525" s="24"/>
    </row>
    <row r="526" spans="1:8" ht="13.2">
      <c r="A526" s="65" t="str">
        <f>HYPERLINK("https://szkopul.edu.pl/problemset/problem/mjJWZowf-KgF_KX1Hi0bUDZN/site/", "POI 05-Manoeuvres")</f>
        <v>POI 05-Manoeuvres</v>
      </c>
      <c r="B526" s="37" t="s">
        <v>2509</v>
      </c>
      <c r="C526" s="24">
        <v>6.5</v>
      </c>
      <c r="D526" s="65" t="str">
        <f>HYPERLINK("https://github.com/mostafa-saad/MyCompetitiveProgramming/blob/master/Olympiad/POI/official/find_editorial_sols_guidelines.txt","Editorial")</f>
        <v>Editorial</v>
      </c>
      <c r="E526" s="31" t="s">
        <v>2510</v>
      </c>
      <c r="F526" s="37"/>
      <c r="G526" s="24"/>
      <c r="H526" s="24"/>
    </row>
    <row r="527" spans="1:8" ht="13.2">
      <c r="A527" s="65" t="str">
        <f>HYPERLINK("https://oj.uz/problem/view/IOI15_horses","IOI 15-horses")</f>
        <v>IOI 15-horses</v>
      </c>
      <c r="B527" s="18" t="s">
        <v>6682</v>
      </c>
      <c r="C527" s="17">
        <v>6.5</v>
      </c>
      <c r="D527" s="65" t="str">
        <f>HYPERLINK("https://github.com/mostafa-saad/MyCompetitiveProgramming/blob/master/Olympiad/IOI/official/2015","Editorial")</f>
        <v>Editorial</v>
      </c>
      <c r="E527" s="31" t="s">
        <v>575</v>
      </c>
      <c r="F527" s="37"/>
      <c r="G527" s="24"/>
      <c r="H527" s="24"/>
    </row>
    <row r="528" spans="1:8" ht="13.2">
      <c r="A528" s="65" t="str">
        <f>HYPERLINK("https://oj.uz/problems/source/59", "CEOI 13-tram")</f>
        <v>CEOI 13-tram</v>
      </c>
      <c r="B528" s="23" t="s">
        <v>601</v>
      </c>
      <c r="C528" s="17">
        <v>6.5</v>
      </c>
      <c r="D528" s="65" t="str">
        <f>HYPERLINK("https://github.com/tmwilliamlin168/CompetitiveProgramming/blob/master/CEOI/13-Tram.cpp", "Sol")</f>
        <v>Sol</v>
      </c>
      <c r="E528" s="31" t="s">
        <v>575</v>
      </c>
      <c r="F528" s="37"/>
      <c r="G528" s="24"/>
      <c r="H528" s="24"/>
    </row>
    <row r="529" spans="1:8" ht="13.2">
      <c r="A529" s="65" t="str">
        <f>HYPERLINK("https://www.infoarena.ro/problema/cover","infoarena cover")</f>
        <v>infoarena cover</v>
      </c>
      <c r="B529" s="37" t="s">
        <v>6683</v>
      </c>
      <c r="C529" s="21">
        <v>6.5</v>
      </c>
      <c r="D529" s="65" t="str">
        <f>HYPERLINK("https://github.com/stefdasca/CompetitiveProgramming/blob/master/Infoarena/cover.cpp","Sol")</f>
        <v>Sol</v>
      </c>
      <c r="E529" s="31" t="s">
        <v>575</v>
      </c>
      <c r="F529" s="37"/>
      <c r="G529" s="24"/>
      <c r="H529" s="24"/>
    </row>
    <row r="530" spans="1:8" ht="13.2">
      <c r="A530" s="65" t="str">
        <f>HYPERLINK("http://usaco.org/index.php?page=viewproblem2&amp;cpid=722","USACO 17feb-friendcross")</f>
        <v>USACO 17feb-friendcross</v>
      </c>
      <c r="B530" s="20" t="s">
        <v>587</v>
      </c>
      <c r="C530" s="21">
        <v>6.5</v>
      </c>
      <c r="D530" s="69"/>
      <c r="E530" s="31" t="s">
        <v>575</v>
      </c>
      <c r="F530" s="37"/>
      <c r="G530" s="24"/>
      <c r="H530" s="24"/>
    </row>
    <row r="531" spans="1:8" ht="13.2">
      <c r="A531" s="65" t="str">
        <f>HYPERLINK("https://oj.uz/problem/view/COI14_kosta","COI 14-kosta")</f>
        <v>COI 14-kosta</v>
      </c>
      <c r="B531" s="20" t="s">
        <v>6684</v>
      </c>
      <c r="C531" s="24">
        <v>6.5</v>
      </c>
      <c r="D531" s="65" t="str">
        <f>HYPERLINK("https://github.com/mostafa-saad/MyCompetitiveProgramming/tree/master/Olympiad/COI/official/2014","Editorial")</f>
        <v>Editorial</v>
      </c>
      <c r="E531" s="31" t="s">
        <v>575</v>
      </c>
      <c r="F531" s="37"/>
      <c r="G531" s="24"/>
      <c r="H531" s="24"/>
    </row>
    <row r="532" spans="1:8" ht="13.2">
      <c r="A532" s="65" t="str">
        <f>HYPERLINK("https://oj.uz/problem/view/COCI16_meksikanac","COCI 16-meksikanac")</f>
        <v>COCI 16-meksikanac</v>
      </c>
      <c r="B532" s="15" t="s">
        <v>7092</v>
      </c>
      <c r="C532" s="24">
        <v>6.5</v>
      </c>
      <c r="D532" s="65" t="str">
        <f>HYPERLINK("https://github.com/mostafa-saad/MyCompetitiveProgramming/blob/master/Olympiad/COCI/official/2017/contest3_solutions","Editorial")</f>
        <v>Editorial</v>
      </c>
      <c r="E532" s="31" t="s">
        <v>2948</v>
      </c>
      <c r="F532" s="37"/>
      <c r="G532" s="24"/>
      <c r="H532" s="24"/>
    </row>
    <row r="533" spans="1:8" ht="13.2">
      <c r="A533" s="65" t="str">
        <f>HYPERLINK("https://oj.uz/problem/view/COI16_relay","COI 16-relay")</f>
        <v>COI 16-relay</v>
      </c>
      <c r="B533" s="20" t="s">
        <v>7093</v>
      </c>
      <c r="C533" s="24">
        <v>6.5</v>
      </c>
      <c r="D533" s="65" t="str">
        <f>HYPERLINK("https://github.com/mostafa-saad/MyCompetitiveProgramming/blob/master/Olympiad/COI/COI-16-relay.txt","Sol")</f>
        <v>Sol</v>
      </c>
      <c r="E533" s="31" t="s">
        <v>2948</v>
      </c>
      <c r="F533" s="37"/>
      <c r="G533" s="24"/>
      <c r="H533" s="24"/>
    </row>
    <row r="534" spans="1:8" ht="13.2">
      <c r="A534" s="65" t="str">
        <f>HYPERLINK("https://www.hackerrank.com/contests/boi-2016/challenges","Balkan 16-Cruise")</f>
        <v>Balkan 16-Cruise</v>
      </c>
      <c r="B534" s="37" t="s">
        <v>7100</v>
      </c>
      <c r="C534" s="24">
        <v>6.5</v>
      </c>
      <c r="D534" s="65" t="str">
        <f>HYPERLINK("https://github.com/mostafa-saad/MyCompetitiveProgramming/tree/master/Olympiad/Balkan/official/2016","Sol (no editorial)")</f>
        <v>Sol (no editorial)</v>
      </c>
      <c r="E534" s="31" t="s">
        <v>3065</v>
      </c>
      <c r="F534" s="37"/>
      <c r="G534" s="24"/>
      <c r="H534" s="24"/>
    </row>
    <row r="535" spans="1:8" ht="13.2">
      <c r="A535" s="65" t="str">
        <f>HYPERLINK("https://oj.uz/problem/view/COI15_sir","COI 15-sir")</f>
        <v>COI 15-sir</v>
      </c>
      <c r="B535" s="20" t="s">
        <v>3073</v>
      </c>
      <c r="C535" s="24">
        <v>6.5</v>
      </c>
      <c r="D535" s="65" t="str">
        <f>HYPERLINK("https://github.com/mostafa-saad/MyCompetitiveProgramming/tree/master/Olympiad/COI/official/2015","Editorial")</f>
        <v>Editorial</v>
      </c>
      <c r="E535" s="31" t="s">
        <v>3065</v>
      </c>
      <c r="F535" s="37"/>
      <c r="G535" s="24"/>
      <c r="H535" s="24"/>
    </row>
    <row r="536" spans="1:8" ht="13.2">
      <c r="A536" s="65" t="str">
        <f>HYPERLINK("https://csacademy.com/contest/ejoi-2017-day-1/task/particles/","EJOI 17-particles")</f>
        <v>EJOI 17-particles</v>
      </c>
      <c r="B536" s="20" t="s">
        <v>3073</v>
      </c>
      <c r="C536" s="24">
        <v>6.5</v>
      </c>
      <c r="D536" s="69"/>
      <c r="E536" s="31" t="s">
        <v>3065</v>
      </c>
      <c r="F536" s="37"/>
      <c r="G536" s="24"/>
      <c r="H536" s="24"/>
    </row>
    <row r="537" spans="1:8" ht="13.2">
      <c r="A537" s="65" t="str">
        <f>HYPERLINK("https://oj.uz/problem/view/JOI17_amusement_park","JOIOC 17-amusementPark")</f>
        <v>JOIOC 17-amusementPark</v>
      </c>
      <c r="B537" s="37" t="s">
        <v>7138</v>
      </c>
      <c r="C537" s="24">
        <v>6.5</v>
      </c>
      <c r="D537" s="65" t="str">
        <f>HYPERLINK("https://github.com/mostafa-saad/MyCompetitiveProgramming/blob/master/Olympiad/JOI/JOIOC-17-amusementPark.txt","Sol")</f>
        <v>Sol</v>
      </c>
      <c r="E537" s="31" t="s">
        <v>3257</v>
      </c>
      <c r="F537" s="37"/>
      <c r="G537" s="24"/>
      <c r="H537" s="24"/>
    </row>
    <row r="538" spans="1:8" ht="13.2">
      <c r="A538" s="65" t="str">
        <f>HYPERLINK("https://szkopul.edu.pl/problemset/problem/YXgT8J1eHCc3h8z5RW69thmy/site/?key=statement","POI 13-Tower_Defense_Game")</f>
        <v>POI 13-Tower_Defense_Game</v>
      </c>
      <c r="B538" s="20" t="s">
        <v>3256</v>
      </c>
      <c r="C538" s="17">
        <v>6.5</v>
      </c>
      <c r="D538" s="65" t="str">
        <f>HYPERLINK("https://github.com/mostafa-saad/MyCompetitiveProgramming/blob/master/Olympiad/POI/official/find_editorial_sols_guidelines.txt","Editorial")</f>
        <v>Editorial</v>
      </c>
      <c r="E538" s="31" t="s">
        <v>3257</v>
      </c>
      <c r="F538" s="37"/>
      <c r="G538" s="24"/>
      <c r="H538" s="24"/>
    </row>
    <row r="539" spans="1:8" ht="13.2">
      <c r="A539" s="65" t="str">
        <f>HYPERLINK("https://oj.uz/problem/view/JOI20_ho_t4","JOI 20-OlympicBus")</f>
        <v>JOI 20-OlympicBus</v>
      </c>
      <c r="B539" s="25" t="s">
        <v>7211</v>
      </c>
      <c r="C539" s="24">
        <v>6.5</v>
      </c>
      <c r="D539" s="65" t="str">
        <f>HYPERLINK("https://github.com/mostafa-saad/MyCompetitiveProgramming/tree/master/Olympiad/JOI/official/JOI/2020","Official Code")</f>
        <v>Official Code</v>
      </c>
      <c r="E539" s="31" t="s">
        <v>3784</v>
      </c>
      <c r="F539" s="37"/>
      <c r="G539" s="24"/>
      <c r="H539" s="24"/>
    </row>
    <row r="540" spans="1:8" ht="13.2">
      <c r="A540" s="65" t="str">
        <f>HYPERLINK("https://joi2014ho.contest.atcoder.jp/tasks/joi2014ho4","JOI 14-SugarGlider")</f>
        <v>JOI 14-SugarGlider</v>
      </c>
      <c r="B540" s="20" t="s">
        <v>7620</v>
      </c>
      <c r="C540" s="17">
        <v>6.5</v>
      </c>
      <c r="D540" s="69"/>
      <c r="E540" s="31" t="s">
        <v>3784</v>
      </c>
      <c r="F540" s="37"/>
      <c r="G540" s="24"/>
      <c r="H540" s="24"/>
    </row>
    <row r="541" spans="1:8" ht="13.2">
      <c r="A541" s="65" t="str">
        <f>HYPERLINK("http://www.usaco.org/index.php?page=viewproblem2&amp;cpid=996","USACO 20jan-cave-plat")</f>
        <v>USACO 20jan-cave-plat</v>
      </c>
      <c r="B541" s="37" t="s">
        <v>3886</v>
      </c>
      <c r="C541" s="24">
        <v>6.5</v>
      </c>
      <c r="D541" s="69"/>
      <c r="E541" s="31" t="s">
        <v>3883</v>
      </c>
      <c r="F541" s="37"/>
      <c r="G541" s="24"/>
      <c r="H541" s="24"/>
    </row>
    <row r="542" spans="1:8" ht="13.2">
      <c r="A542" s="65" t="str">
        <f>HYPERLINK("https://joisc2013-day1.contest.atcoder.jp/tasks/joisc2013_communication","JOISC 13-Jamming")</f>
        <v>JOISC 13-Jamming</v>
      </c>
      <c r="B542" s="20" t="s">
        <v>7621</v>
      </c>
      <c r="C542" s="24">
        <v>6.5</v>
      </c>
      <c r="D542" s="69"/>
      <c r="E542" s="31" t="s">
        <v>3883</v>
      </c>
      <c r="F542" s="37"/>
      <c r="G542" s="24"/>
      <c r="H542" s="24"/>
    </row>
    <row r="543" spans="1:8" ht="13.2">
      <c r="A543" s="65" t="str">
        <f>HYPERLINK("https://oj.uz/problem/view/POI11_smi","POI 11-Garbage")</f>
        <v>POI 11-Garbage</v>
      </c>
      <c r="B543" s="25" t="s">
        <v>7249</v>
      </c>
      <c r="C543" s="24">
        <v>6.5</v>
      </c>
      <c r="D543" s="65" t="str">
        <f>HYPERLINK("https://github.com/nikolapesic2802/Programming-Practice/blob/master/Garbage/main.cpp","Sol")</f>
        <v>Sol</v>
      </c>
      <c r="E543" s="31" t="s">
        <v>3955</v>
      </c>
      <c r="F543" s="37"/>
      <c r="G543" s="24"/>
      <c r="H543" s="24"/>
    </row>
    <row r="544" spans="1:8" ht="13.2">
      <c r="A544" s="65" t="str">
        <f>HYPERLINK("https://tioj.ck.tp.edu.tw/problems/1744","APIO 09-ATM")</f>
        <v>APIO 09-ATM</v>
      </c>
      <c r="B544" s="20" t="s">
        <v>7275</v>
      </c>
      <c r="C544" s="17">
        <v>6.5</v>
      </c>
      <c r="D544" s="65" t="str">
        <f>HYPERLINK("https://github.com/goar5670/CompetitiveProgramming/blob/master/APIO%2009-ATM.cpp","Sol")</f>
        <v>Sol</v>
      </c>
      <c r="E544" s="31" t="s">
        <v>4344</v>
      </c>
      <c r="F544" s="37"/>
      <c r="G544" s="24"/>
      <c r="H544" s="24"/>
    </row>
    <row r="545" spans="1:8" ht="13.2">
      <c r="A545" s="65" t="str">
        <f>HYPERLINK("https://dmoj.ca/problem/coci07c1p6","COCI 07-Staza")</f>
        <v>COCI 07-Staza</v>
      </c>
      <c r="B545" s="15" t="s">
        <v>7287</v>
      </c>
      <c r="C545" s="24">
        <v>6.5</v>
      </c>
      <c r="D545" s="65" t="str">
        <f>HYPERLINK("https://github.com/mostafa-saad/MyCompetitiveProgramming/blob/master/Olympiad/COCI/COCI-07-Staza.txt","Sol")</f>
        <v>Sol</v>
      </c>
      <c r="E545" s="31" t="s">
        <v>4423</v>
      </c>
      <c r="F545" s="37"/>
      <c r="G545" s="24"/>
      <c r="H545" s="24"/>
    </row>
    <row r="546" spans="1:8" ht="13.2">
      <c r="A546" s="65" t="str">
        <f>HYPERLINK("http://usaco.org/index.php?page=viewproblem2&amp;cpid=769", "USACO 17dec-pushabox-plat")</f>
        <v>USACO 17dec-pushabox-plat</v>
      </c>
      <c r="B546" s="20" t="s">
        <v>7288</v>
      </c>
      <c r="C546" s="21">
        <v>6.5</v>
      </c>
      <c r="D546" s="69"/>
      <c r="E546" s="31" t="s">
        <v>4423</v>
      </c>
      <c r="F546" s="37"/>
      <c r="G546" s="24"/>
      <c r="H546" s="24"/>
    </row>
    <row r="547" spans="1:8" ht="13.2">
      <c r="A547" s="65" t="str">
        <f>HYPERLINK("https://infoarena.ro/problema/hacker2","infoarena hacker2")</f>
        <v>infoarena hacker2</v>
      </c>
      <c r="B547" s="20" t="s">
        <v>7295</v>
      </c>
      <c r="C547" s="21">
        <v>6.5</v>
      </c>
      <c r="D547" s="65" t="str">
        <f>HYPERLINK("https://github.com/stefdasca/CompetitiveProgramming/blob/master/Infoarena/hacker2.cpp","Sol")</f>
        <v>Sol</v>
      </c>
      <c r="E547" s="31" t="s">
        <v>4454</v>
      </c>
      <c r="F547" s="37"/>
      <c r="G547" s="24"/>
      <c r="H547" s="24"/>
    </row>
    <row r="548" spans="1:8" ht="13.2">
      <c r="A548" s="65" t="str">
        <f>HYPERLINK("https://oj.uz/problems/source/55","JOIOC 14-fortune_telling2")</f>
        <v>JOIOC 14-fortune_telling2</v>
      </c>
      <c r="B548" s="15" t="s">
        <v>6719</v>
      </c>
      <c r="C548" s="24">
        <v>6.5</v>
      </c>
      <c r="D548" s="69"/>
      <c r="E548" s="31" t="s">
        <v>805</v>
      </c>
      <c r="F548" s="37"/>
      <c r="G548" s="24"/>
      <c r="H548" s="24"/>
    </row>
    <row r="549" spans="1:8" ht="13.2">
      <c r="A549" s="65" t="str">
        <f>HYPERLINK("https://oj.uz/problem/view/balkan11_trapezoid","Balkan 11-Trapezoid")</f>
        <v>Balkan 11-Trapezoid</v>
      </c>
      <c r="B549" s="20" t="s">
        <v>6775</v>
      </c>
      <c r="C549" s="21">
        <v>6.4</v>
      </c>
      <c r="D549" s="65" t="str">
        <f>HYPERLINK("https://github.com/mostafa-saad/MyCompetitiveProgramming/blob/master/Olympiad/Balkan/Balkan-11-Trapezoid.txt","Sol")</f>
        <v>Sol</v>
      </c>
      <c r="E549" s="31" t="s">
        <v>1018</v>
      </c>
      <c r="F549" s="37" t="s">
        <v>154</v>
      </c>
      <c r="G549" s="24"/>
      <c r="H549" s="24"/>
    </row>
    <row r="550" spans="1:8" ht="13.2">
      <c r="A550" s="65" t="str">
        <f>HYPERLINK("https://www.infoarena.ro/problema/aiacubiti","infoarena aiacubiti")</f>
        <v>infoarena aiacubiti</v>
      </c>
      <c r="B550" s="20" t="s">
        <v>6861</v>
      </c>
      <c r="C550" s="17">
        <v>6.4</v>
      </c>
      <c r="D550" s="65" t="str">
        <f>HYPERLINK("https://github.com/mostafa-saad/MyCompetitiveProgramming/blob/master/Olympiad/infoarena/infoarena-aiacubiti.txt","Sol")</f>
        <v>Sol</v>
      </c>
      <c r="E550" s="31" t="s">
        <v>1337</v>
      </c>
      <c r="F550" s="37" t="s">
        <v>154</v>
      </c>
      <c r="G550" s="24"/>
      <c r="H550" s="24"/>
    </row>
    <row r="551" spans="1:8" ht="13.2">
      <c r="A551" s="65" t="str">
        <f>HYPERLINK("https://dmoj.ca/problem/coci15c4p5","COCI 15-galaksija")</f>
        <v>COCI 15-galaksija</v>
      </c>
      <c r="B551" s="23" t="s">
        <v>7234</v>
      </c>
      <c r="C551" s="24">
        <v>6.4</v>
      </c>
      <c r="D551" s="65" t="str">
        <f>HYPERLINK("https://github.com/mostafa-saad/MyCompetitiveProgramming/blob/master/Olympiad/COCI/COCI-15-galaksija.txt","Sol")</f>
        <v>Sol</v>
      </c>
      <c r="E551" s="31" t="s">
        <v>3883</v>
      </c>
      <c r="F551" s="37" t="s">
        <v>154</v>
      </c>
      <c r="G551" s="24"/>
      <c r="H551" s="24"/>
    </row>
    <row r="552" spans="1:8" ht="13.2">
      <c r="A552" s="65" t="str">
        <f>HYPERLINK("https://oj.uz/problem/view/NOI14_cats","NOI 14-cats")</f>
        <v>NOI 14-cats</v>
      </c>
      <c r="B552" s="37" t="s">
        <v>7622</v>
      </c>
      <c r="C552" s="24">
        <v>6.4</v>
      </c>
      <c r="D552" s="65" t="str">
        <f>HYPERLINK("https://github.com/mostafa-saad/MyCompetitiveProgramming/blob/master/Olympiad/NOI/NOI-14-cats.txt","Sol")</f>
        <v>Sol</v>
      </c>
      <c r="E552" s="31" t="s">
        <v>4778</v>
      </c>
      <c r="F552" s="37" t="s">
        <v>154</v>
      </c>
      <c r="G552" s="24"/>
      <c r="H552" s="24"/>
    </row>
    <row r="553" spans="1:8" ht="13.2">
      <c r="A553" s="65" t="str">
        <f>HYPERLINK("https://csacademy.com/contest/ioi-2016-training-round-2/task/increasing_subarrays/","IOIPractice 16-increasing_subarrays")</f>
        <v>IOIPractice 16-increasing_subarrays</v>
      </c>
      <c r="B553" s="37" t="s">
        <v>7414</v>
      </c>
      <c r="C553" s="24">
        <v>6.4</v>
      </c>
      <c r="D553" s="65" t="str">
        <f>HYPERLINK("https://github.com/mostafa-saad/MyCompetitiveProgramming/blob/master/Olympiad/IOI/IOIPractice-16-increasing_subarrays.txt","Sol")</f>
        <v>Sol</v>
      </c>
      <c r="E553" s="31" t="s">
        <v>6040</v>
      </c>
      <c r="F553" s="37" t="s">
        <v>196</v>
      </c>
      <c r="G553" s="24"/>
      <c r="H553" s="24"/>
    </row>
    <row r="554" spans="1:8" ht="13.2">
      <c r="A554" s="65" t="str">
        <f>HYPERLINK("https://www.infoarena.ro/problema/desc", "Infoarena Desc")</f>
        <v>Infoarena Desc</v>
      </c>
      <c r="B554" s="20" t="s">
        <v>6862</v>
      </c>
      <c r="C554" s="17">
        <v>6.4</v>
      </c>
      <c r="D554" s="65" t="str">
        <f>HYPERLINK("https://github.com/mostafa-saad/MyCompetitiveProgramming/blob/master/Olympiad/infoarena/Infoarena_Desc.txt","Sol")</f>
        <v>Sol</v>
      </c>
      <c r="E554" s="31" t="s">
        <v>1337</v>
      </c>
      <c r="F554" s="37" t="s">
        <v>196</v>
      </c>
      <c r="G554" s="24"/>
      <c r="H554" s="24"/>
    </row>
    <row r="555" spans="1:8" ht="13.2">
      <c r="A555" s="65" t="str">
        <f>HYPERLINK("https://cses.fi/107/list/","Baltic 09-Subway")</f>
        <v>Baltic 09-Subway</v>
      </c>
      <c r="B555" s="20" t="s">
        <v>6999</v>
      </c>
      <c r="C555" s="17">
        <v>6.4</v>
      </c>
      <c r="D555" s="65" t="str">
        <f>HYPERLINK("https://github.com/mostafa-saad/MyCompetitiveProgramming/blob/master/Olympiad/Baltic/Baltic-09-Subway.txt","Sol")</f>
        <v>Sol</v>
      </c>
      <c r="E555" s="31" t="s">
        <v>2153</v>
      </c>
      <c r="F555" s="37" t="s">
        <v>196</v>
      </c>
      <c r="G555" s="24"/>
      <c r="H555" s="24"/>
    </row>
    <row r="556" spans="1:8" ht="13.2">
      <c r="A556" s="65" t="str">
        <f>HYPERLINK("https://oj.uz/problem/view/JOI19_naan", "JOISC 19-Naan")</f>
        <v>JOISC 19-Naan</v>
      </c>
      <c r="B556" s="20" t="s">
        <v>2200</v>
      </c>
      <c r="C556" s="21">
        <v>6.4</v>
      </c>
      <c r="D556" s="65" t="str">
        <f>HYPERLINK("https://github.com/mostafa-saad/MyCompetitiveProgramming/blob/master/Olympiad/JOI/JOISC-19-Naan.txt","Sol")</f>
        <v>Sol</v>
      </c>
      <c r="E556" s="31" t="s">
        <v>2153</v>
      </c>
      <c r="F556" s="37" t="s">
        <v>196</v>
      </c>
      <c r="G556" s="24"/>
      <c r="H556" s="24"/>
    </row>
    <row r="557" spans="1:8" ht="13.2">
      <c r="A557" s="65" t="str">
        <f>HYPERLINK("https://www.acmicpc.net/problem/7056","CEOI 02-Fence")</f>
        <v>CEOI 02-Fence</v>
      </c>
      <c r="B557" s="25" t="s">
        <v>7488</v>
      </c>
      <c r="C557" s="24">
        <v>6.4</v>
      </c>
      <c r="D557" s="65" t="str">
        <f>HYPERLINK("https://github.com/mostafa-saad/MyCompetitiveProgramming/blob/master/Olympiad/CEOI/CEOI-02-Fence.txt","Sol")</f>
        <v>Sol</v>
      </c>
      <c r="E557" s="31" t="s">
        <v>6419</v>
      </c>
      <c r="F557" s="37" t="s">
        <v>139</v>
      </c>
      <c r="G557" s="24"/>
      <c r="H557" s="24"/>
    </row>
    <row r="558" spans="1:8" ht="13.2">
      <c r="A558" s="65" t="str">
        <f>HYPERLINK("https://oj.uz/problem/view/JOI19_ho_t3","JOI 19-GrowingVegetable")</f>
        <v>JOI 19-GrowingVegetable</v>
      </c>
      <c r="B558" s="37" t="s">
        <v>6968</v>
      </c>
      <c r="C558" s="24">
        <v>6.4</v>
      </c>
      <c r="D558" s="65" t="str">
        <f>HYPERLINK("https://github.com/mostafa-saad/MyCompetitiveProgramming/blob/master/Olympiad/JOI/JOI-19-GrowingVegetable.txt","Sol")</f>
        <v>Sol</v>
      </c>
      <c r="E558" s="31" t="s">
        <v>1909</v>
      </c>
      <c r="F558" s="37" t="s">
        <v>139</v>
      </c>
      <c r="G558" s="24"/>
      <c r="H558" s="24"/>
    </row>
    <row r="559" spans="1:8" ht="13.2">
      <c r="A559" s="65" t="str">
        <f>HYPERLINK("https://po.kattis.com/problems/kattis/no","PO Kattis")</f>
        <v>PO Kattis</v>
      </c>
      <c r="B559" s="20" t="s">
        <v>7071</v>
      </c>
      <c r="C559" s="24">
        <v>6.4</v>
      </c>
      <c r="D559" s="65" t="str">
        <f>HYPERLINK("https://github.com/guskal01/CompetitiveProgramming/blob/master/Kattis/PO-Kattis.cpp","Sol")</f>
        <v>Sol</v>
      </c>
      <c r="E559" s="31" t="s">
        <v>2510</v>
      </c>
      <c r="F559" s="37" t="s">
        <v>139</v>
      </c>
      <c r="G559" s="24"/>
      <c r="H559" s="24"/>
    </row>
    <row r="560" spans="1:8" ht="13.2">
      <c r="A560" s="65" t="str">
        <f>HYPERLINK("https://szkopul.edu.pl/problemset/problem/vvd6w7n7EXFVEg3nkqGxEirV/site/?key=statement","POI 18-Plan_Metra")</f>
        <v>POI 18-Plan_Metra</v>
      </c>
      <c r="B560" s="20" t="s">
        <v>3282</v>
      </c>
      <c r="C560" s="17">
        <v>6.4</v>
      </c>
      <c r="D560" s="65" t="str">
        <f>HYPERLINK("https://github.com/mostafa-saad/MyCompetitiveProgramming/blob/master/Olympiad/POI/POI-18-Plan_Metra.txt","Sol")</f>
        <v>Sol</v>
      </c>
      <c r="E560" s="31" t="s">
        <v>3257</v>
      </c>
      <c r="F560" s="37" t="s">
        <v>139</v>
      </c>
      <c r="G560" s="24"/>
      <c r="H560" s="24"/>
    </row>
    <row r="561" spans="1:8" ht="13.2">
      <c r="A561" s="65" t="str">
        <f>HYPERLINK("http://usaco.org/index.php?page=viewproblem2&amp;cpid=842", "USACO 18mar-disrupt-plat")</f>
        <v>USACO 18mar-disrupt-plat</v>
      </c>
      <c r="B561" s="20" t="s">
        <v>7189</v>
      </c>
      <c r="C561" s="21">
        <v>6.4</v>
      </c>
      <c r="D561" s="65" t="str">
        <f>HYPERLINK("https://github.com/luciocf/OI-Problems/blob/master/USACO/USACO%202017-2018/Plat/US%20Open/disrupt.cpp","Sol")</f>
        <v>Sol</v>
      </c>
      <c r="E561" s="31" t="s">
        <v>3650</v>
      </c>
      <c r="F561" s="37" t="s">
        <v>139</v>
      </c>
      <c r="G561" s="24"/>
      <c r="H561" s="24"/>
    </row>
    <row r="562" spans="1:8" ht="13.2">
      <c r="A562" s="65" t="str">
        <f>HYPERLINK("https://oj.uz/problems/source/307","JOI 18-commuterpass")</f>
        <v>JOI 18-commuterpass</v>
      </c>
      <c r="B562" s="15" t="s">
        <v>3809</v>
      </c>
      <c r="C562" s="24">
        <v>6.4</v>
      </c>
      <c r="D562" s="65" t="str">
        <f>HYPERLINK("https://github.com/mostafa-saad/MyCompetitiveProgramming/blob/master/Olympiad/JOI/JOI-18-commuterpass.txt","Sol")</f>
        <v>Sol</v>
      </c>
      <c r="E562" s="31" t="s">
        <v>3784</v>
      </c>
      <c r="F562" s="37" t="s">
        <v>139</v>
      </c>
      <c r="G562" s="24"/>
      <c r="H562" s="24"/>
    </row>
    <row r="563" spans="1:8" ht="13.2">
      <c r="A563" s="65" t="str">
        <f>HYPERLINK("https://szkopul.edu.pl/problemset/problem/9TaxfuNdAv2FPpQ6PeB-vlti/site/", "POI 16-Streets")</f>
        <v>POI 16-Streets</v>
      </c>
      <c r="B563" s="37" t="s">
        <v>7276</v>
      </c>
      <c r="C563" s="24">
        <v>6.4</v>
      </c>
      <c r="D563" s="65" t="str">
        <f>HYPERLINK("https://github.com/mostafa-saad/MyCompetitiveProgramming/blob/master/Olympiad/POI/POI-16-Streets.txt","Sol")</f>
        <v>Sol</v>
      </c>
      <c r="E563" s="31" t="s">
        <v>4344</v>
      </c>
      <c r="F563" s="37" t="s">
        <v>139</v>
      </c>
      <c r="G563" s="24"/>
      <c r="H563" s="24"/>
    </row>
    <row r="564" spans="1:8" ht="13.2">
      <c r="A564" s="65" t="str">
        <f>HYPERLINK("https://oj.uz/problem/view/IOI09_regions","IOI 09-regions")</f>
        <v>IOI 09-regions</v>
      </c>
      <c r="B564" s="20" t="s">
        <v>7481</v>
      </c>
      <c r="C564" s="24">
        <v>6.4</v>
      </c>
      <c r="D564" s="65" t="str">
        <f>HYPERLINK("https://github.com/mostafa-saad/MyCompetitiveProgramming/blob/master/Olympiad/IOI/IOI-09-regions.txt","Sol")</f>
        <v>Sol</v>
      </c>
      <c r="E564" s="31" t="s">
        <v>6397</v>
      </c>
      <c r="F564" s="37" t="s">
        <v>201</v>
      </c>
      <c r="G564" s="24"/>
      <c r="H564" s="24"/>
    </row>
    <row r="565" spans="1:8" ht="13.2">
      <c r="A565" s="65" t="str">
        <f>HYPERLINK("https://www.acmicpc.net/problem/7058","CEOI 02-Guards")</f>
        <v>CEOI 02-Guards</v>
      </c>
      <c r="B565" s="37" t="s">
        <v>4149</v>
      </c>
      <c r="C565" s="24">
        <v>6.4</v>
      </c>
      <c r="D565" s="65" t="str">
        <f>HYPERLINK("https://github.com/mostafa-saad/MyCompetitiveProgramming/blob/master/Olympiad/CEOI/CEOI-02-Guards.txt","Sol")</f>
        <v>Sol</v>
      </c>
      <c r="E565" s="31" t="s">
        <v>4144</v>
      </c>
      <c r="F565" s="37" t="s">
        <v>201</v>
      </c>
      <c r="G565" s="24"/>
      <c r="H565" s="24"/>
    </row>
    <row r="566" spans="1:8" ht="13.2">
      <c r="A566" s="65" t="str">
        <f>HYPERLINK("https://oj.uz/problem/view/CEOI17_museum","CEOIPractice 17-Museum")</f>
        <v>CEOIPractice 17-Museum</v>
      </c>
      <c r="B566" s="18" t="s">
        <v>7505</v>
      </c>
      <c r="C566" s="17">
        <v>6.3</v>
      </c>
      <c r="D566" s="65" t="str">
        <f>HYPERLINK("https://github.com/mostafa-saad/MyCompetitiveProgramming/blob/master/Olympiad/CEOI/CEOIPractice_17-Museum.txt","Sol")</f>
        <v>Sol</v>
      </c>
      <c r="E566" s="31" t="s">
        <v>6459</v>
      </c>
      <c r="F566" s="37" t="s">
        <v>1053</v>
      </c>
      <c r="G566" s="24"/>
      <c r="H566" s="24"/>
    </row>
    <row r="567" spans="1:8" ht="13.2">
      <c r="A567" s="65" t="str">
        <f>HYPERLINK("https://oj.uz/problems/source/307","JOI 18-Dangomaker")</f>
        <v>JOI 18-Dangomaker</v>
      </c>
      <c r="B567" s="15" t="s">
        <v>6863</v>
      </c>
      <c r="C567" s="24">
        <v>6.3</v>
      </c>
      <c r="D567" s="65" t="str">
        <f>HYPERLINK("https://github.com/mostafa-saad/MyCompetitiveProgramming/blob/master/Olympiad/JOI/JOI-18-Dangomaker.txt","Sol")</f>
        <v>Sol</v>
      </c>
      <c r="E567" s="31" t="s">
        <v>1337</v>
      </c>
      <c r="F567" s="37" t="s">
        <v>1053</v>
      </c>
      <c r="G567" s="24"/>
      <c r="H567" s="24"/>
    </row>
    <row r="568" spans="1:8" ht="13.2">
      <c r="A568" s="65" t="str">
        <f>HYPERLINK("https://oj.uz/problem/view/COCI19_transport","COCI 19-transport")</f>
        <v>COCI 19-transport</v>
      </c>
      <c r="B568" s="20" t="s">
        <v>7450</v>
      </c>
      <c r="C568" s="21">
        <v>6.3</v>
      </c>
      <c r="D568" s="65" t="str">
        <f>HYPERLINK("https://github.com/mostafa-saad/MyCompetitiveProgramming/blob/master/Olympiad/COCI/COCI-19-transport.txt","Sol")</f>
        <v>Sol</v>
      </c>
      <c r="E568" s="31" t="s">
        <v>6345</v>
      </c>
      <c r="F568" s="37" t="s">
        <v>154</v>
      </c>
      <c r="G568" s="24"/>
      <c r="H568" s="24"/>
    </row>
    <row r="569" spans="1:8" ht="13.2">
      <c r="A569" s="65" t="str">
        <f>HYPERLINK("https://szkopul.edu.pl/problemset/problem/YPme8cPuC1zbS3oA0euLxywx/site/", "POI 11-Lollipop")</f>
        <v>POI 11-Lollipop</v>
      </c>
      <c r="B569" s="25" t="s">
        <v>7000</v>
      </c>
      <c r="C569" s="24">
        <v>6.3</v>
      </c>
      <c r="D569" s="65" t="str">
        <f>HYPERLINK("https://github.com/dolphingarlic/CompetitiveProgramming/blob/master/POI/POI-11-Lollipop.txt","Sol")</f>
        <v>Sol</v>
      </c>
      <c r="E569" s="31" t="s">
        <v>2153</v>
      </c>
      <c r="F569" s="37" t="s">
        <v>154</v>
      </c>
      <c r="G569" s="24"/>
      <c r="H569" s="24"/>
    </row>
    <row r="570" spans="1:8" ht="13.2">
      <c r="A570" s="65" t="str">
        <f>HYPERLINK("https://oj.uz/problem/view/COCI18_planinarenje","COCI 18-planinarenje")</f>
        <v>COCI 18-planinarenje</v>
      </c>
      <c r="B570" s="15" t="s">
        <v>4149</v>
      </c>
      <c r="C570" s="24">
        <v>6.3</v>
      </c>
      <c r="D570" s="65" t="str">
        <f>HYPERLINK("http://blog.brucemerry.org.za/2018/01/coci-20172018-r5-analysis.html","Editorial")</f>
        <v>Editorial</v>
      </c>
      <c r="E570" s="31" t="s">
        <v>4144</v>
      </c>
      <c r="F570" s="37" t="s">
        <v>154</v>
      </c>
      <c r="G570" s="24"/>
      <c r="H570" s="24"/>
    </row>
    <row r="571" spans="1:8" ht="13.2">
      <c r="A571" s="65" t="str">
        <f>HYPERLINK("https://wcipeg.com/problem/coi07p2","COI 07-Kolekcija")</f>
        <v>COI 07-Kolekcija</v>
      </c>
      <c r="B571" s="37" t="s">
        <v>7426</v>
      </c>
      <c r="C571" s="24">
        <v>6.3</v>
      </c>
      <c r="D571" s="65" t="str">
        <f>HYPERLINK("https://github.com/mostafa-saad/MyCompetitiveProgramming/blob/master/Olympiad/COI/COI_07-Kolekcija.txt","Sol")</f>
        <v>Sol</v>
      </c>
      <c r="E571" s="31" t="s">
        <v>6075</v>
      </c>
      <c r="F571" s="37" t="s">
        <v>196</v>
      </c>
      <c r="G571" s="24"/>
      <c r="H571" s="24"/>
    </row>
    <row r="572" spans="1:8" ht="13.2">
      <c r="A572" s="65" t="str">
        <f>HYPERLINK("https://www.spoj.com/problems/ZOO/","APIO 07-Zoo")</f>
        <v>APIO 07-Zoo</v>
      </c>
      <c r="B572" s="20" t="s">
        <v>6957</v>
      </c>
      <c r="C572" s="17">
        <v>6.3</v>
      </c>
      <c r="D572" s="65" t="str">
        <f>HYPERLINK("https://github.com/mostafa-saad/MyCompetitiveProgramming/blob/master/Olympiad/APIO/APIO-07-Zoo.txt","Sol")</f>
        <v>Sol</v>
      </c>
      <c r="E572" s="31" t="s">
        <v>1819</v>
      </c>
      <c r="F572" s="37" t="s">
        <v>196</v>
      </c>
      <c r="G572" s="24"/>
      <c r="H572" s="24"/>
    </row>
    <row r="573" spans="1:8" ht="13.2">
      <c r="A573" s="65" t="str">
        <f>HYPERLINK("https://szkopul.edu.pl/problemset/problem/rfG3gSJfUHoOk3t6379xduHr/site/", "POI 14-Panels")</f>
        <v>POI 14-Panels</v>
      </c>
      <c r="B573" s="20" t="s">
        <v>7311</v>
      </c>
      <c r="C573" s="17">
        <v>6.3</v>
      </c>
      <c r="D573" s="65" t="str">
        <f>HYPERLINK("https://github.com/mostafa-saad/MyCompetitiveProgramming/blob/master/Olympiad/POI/POI-14-Panels.txt","Sol")</f>
        <v>Sol</v>
      </c>
      <c r="E573" s="31" t="s">
        <v>4531</v>
      </c>
      <c r="F573" s="37" t="s">
        <v>196</v>
      </c>
      <c r="G573" s="24"/>
      <c r="H573" s="24"/>
    </row>
    <row r="574" spans="1:8" ht="13.2">
      <c r="A574" s="65" t="str">
        <f>HYPERLINK("https://dmoj.ca/problem/dmopc18c3p4","DMOPC 18-BobEnglishClass")</f>
        <v>DMOPC 18-BobEnglishClass</v>
      </c>
      <c r="B574" s="37" t="s">
        <v>7451</v>
      </c>
      <c r="C574" s="24">
        <v>6.3</v>
      </c>
      <c r="D574" s="65" t="str">
        <f>HYPERLINK("https://github.com/mostafa-saad/MyCompetitiveProgramming/blob/master/Olympiad/Misc/DMOPC-18-BobEnglishClass.txt","Sol")</f>
        <v>Sol</v>
      </c>
      <c r="E574" s="31" t="s">
        <v>6345</v>
      </c>
      <c r="F574" s="37" t="s">
        <v>139</v>
      </c>
      <c r="G574" s="24"/>
      <c r="H574" s="24"/>
    </row>
    <row r="575" spans="1:8" ht="13.2">
      <c r="A575" s="65" t="str">
        <f>HYPERLINK("https://oj.uz/problem/view/COI14_krave","COI 14-krave")</f>
        <v>COI 14-krave</v>
      </c>
      <c r="B575" s="20" t="s">
        <v>6776</v>
      </c>
      <c r="C575" s="24">
        <v>6.3</v>
      </c>
      <c r="D575" s="65" t="str">
        <f>HYPERLINK("https://github.com/mostafa-saad/MyCompetitiveProgramming/blob/master/Olympiad/COI/COI-14-krave.txt","Sol")</f>
        <v>Sol</v>
      </c>
      <c r="E575" s="31" t="s">
        <v>1018</v>
      </c>
      <c r="F575" s="37" t="s">
        <v>139</v>
      </c>
      <c r="G575" s="24"/>
      <c r="H575" s="24"/>
    </row>
    <row r="576" spans="1:8" ht="13.2">
      <c r="A576" s="65" t="str">
        <f>HYPERLINK("https://oj.uz/problems/source/121", "CEOI 14-cake")</f>
        <v>CEOI 14-cake</v>
      </c>
      <c r="B576" s="20" t="s">
        <v>7623</v>
      </c>
      <c r="C576" s="17">
        <v>6.3</v>
      </c>
      <c r="D576" s="65" t="str">
        <f>HYPERLINK("https://github.com/stefdasca/CompetitiveProgramming/blob/master/CEOI/CEOI%2014-cake.cpp","Sol")</f>
        <v>Sol</v>
      </c>
      <c r="E576" s="31" t="s">
        <v>1018</v>
      </c>
      <c r="F576" s="37" t="s">
        <v>139</v>
      </c>
      <c r="G576" s="24"/>
      <c r="H576" s="24"/>
    </row>
    <row r="577" spans="1:8" ht="13.2">
      <c r="A577" s="65" t="str">
        <f>HYPERLINK("https://dmoj.ca/problem/coci07c6p6","COCI 07-Cestarine")</f>
        <v>COCI 07-Cestarine</v>
      </c>
      <c r="B577" s="15" t="s">
        <v>6864</v>
      </c>
      <c r="C577" s="24">
        <v>6.3</v>
      </c>
      <c r="D577" s="65" t="str">
        <f>HYPERLINK("https://github.com/mostafa-saad/MyCompetitiveProgramming/blob/master/Olympiad/COCI/COCI-07-Cestarine.txt","Sol")</f>
        <v>Sol</v>
      </c>
      <c r="E577" s="31" t="s">
        <v>1337</v>
      </c>
      <c r="F577" s="37" t="s">
        <v>139</v>
      </c>
      <c r="G577" s="24"/>
      <c r="H577" s="24"/>
    </row>
    <row r="578" spans="1:8" ht="13.2">
      <c r="A578" s="65" t="str">
        <f>HYPERLINK("https://szkopul.edu.pl/problemset/problem/lo_jOsVfQ4ajCSHxFGZS27W-/site/?key=statement","POI 12-Squarks")</f>
        <v>POI 12-Squarks</v>
      </c>
      <c r="B578" s="20" t="s">
        <v>7001</v>
      </c>
      <c r="C578" s="21">
        <v>6.3</v>
      </c>
      <c r="D578" s="65" t="str">
        <f>HYPERLINK("https://github.com/mostafa-saad/MyCompetitiveProgramming/blob/master/Olympiad/POI/POI-12-Squarks.txt","Sol")</f>
        <v>Sol</v>
      </c>
      <c r="E578" s="31" t="s">
        <v>2153</v>
      </c>
      <c r="F578" s="37" t="s">
        <v>139</v>
      </c>
      <c r="G578" s="24"/>
      <c r="H578" s="24"/>
    </row>
    <row r="579" spans="1:8" ht="13.2">
      <c r="A579" s="65" t="str">
        <f>HYPERLINK("https://szkopul.edu.pl/problemset/problem/xfpVU8vFP2RzZ0hrqWq9kTZM/site/", "POI 14-Little_Bird")</f>
        <v>POI 14-Little_Bird</v>
      </c>
      <c r="B579" s="37" t="s">
        <v>7002</v>
      </c>
      <c r="C579" s="17">
        <v>6.3</v>
      </c>
      <c r="D579" s="65" t="str">
        <f>HYPERLINK("https://github.com/mostafa-saad/MyCompetitiveProgramming/blob/master/Olympiad/POI/POI-14-Little_Bird.txt","Sol")</f>
        <v>Sol</v>
      </c>
      <c r="E579" s="31" t="s">
        <v>2153</v>
      </c>
      <c r="F579" s="37" t="s">
        <v>139</v>
      </c>
      <c r="G579" s="24"/>
      <c r="H579" s="24"/>
    </row>
    <row r="580" spans="1:8" ht="13.2">
      <c r="A580" s="65" t="str">
        <f>HYPERLINK("https://oj.uz/problem/view/BOI15_hac","Baltic 15-hac")</f>
        <v>Baltic 15-hac</v>
      </c>
      <c r="B580" s="20" t="s">
        <v>7056</v>
      </c>
      <c r="C580" s="53">
        <v>6.3</v>
      </c>
      <c r="D580" s="65" t="str">
        <f>HYPERLINK("https://github.com/mostafa-saad/MyCompetitiveProgramming/blob/master/Olympiad/Baltic/Baltic-15-hac.txt","Sol")</f>
        <v>Sol</v>
      </c>
      <c r="E580" s="31" t="s">
        <v>2394</v>
      </c>
      <c r="F580" s="37" t="s">
        <v>139</v>
      </c>
      <c r="G580" s="24"/>
      <c r="H580" s="24"/>
    </row>
    <row r="581" spans="1:8" ht="13.2">
      <c r="A581" s="65" t="str">
        <f>HYPERLINK("https://oj.uz/problem/view/COCI16_mag","COCI 16-mag")</f>
        <v>COCI 16-mag</v>
      </c>
      <c r="B581" s="20" t="s">
        <v>7139</v>
      </c>
      <c r="C581" s="24">
        <v>6.3</v>
      </c>
      <c r="D581" s="65" t="str">
        <f>HYPERLINK("https://github.com/mostafa-saad/MyCompetitiveProgramming/blob/master/Olympiad/COCI/COCI-16-mag.txt","Sol")</f>
        <v>Sol</v>
      </c>
      <c r="E581" s="31" t="s">
        <v>3257</v>
      </c>
      <c r="F581" s="37" t="s">
        <v>139</v>
      </c>
      <c r="G581" s="24"/>
      <c r="H581" s="24"/>
    </row>
    <row r="582" spans="1:8" ht="13.2">
      <c r="A582" s="65" t="str">
        <f>HYPERLINK("https://szkopul.edu.pl/problemset/problem/KiL8P3oSgImWGI5GT4QMCQpO/site/", "POI 04-East_West")</f>
        <v>POI 04-East_West</v>
      </c>
      <c r="B582" s="37" t="s">
        <v>7140</v>
      </c>
      <c r="C582" s="24">
        <v>6.3</v>
      </c>
      <c r="D582" s="65" t="str">
        <f>HYPERLINK("https://github.com/mostafa-saad/MyCompetitiveProgramming/blob/master/Olympiad/POI/POI-04-East_West.txt","Sol")</f>
        <v>Sol</v>
      </c>
      <c r="E582" s="31" t="s">
        <v>3257</v>
      </c>
      <c r="F582" s="37" t="s">
        <v>139</v>
      </c>
      <c r="G582" s="24"/>
      <c r="H582" s="24"/>
    </row>
    <row r="583" spans="1:8" ht="13.2">
      <c r="A583" s="65" t="str">
        <f>HYPERLINK("https://oj.uz/problem/view/IOI11_garden","IOI 11-garden")</f>
        <v>IOI 11-garden</v>
      </c>
      <c r="B583" s="20" t="s">
        <v>7624</v>
      </c>
      <c r="C583" s="24">
        <v>6.3</v>
      </c>
      <c r="D583" s="65" t="str">
        <f>HYPERLINK("https://github.com/mostafa-saad/MyCompetitiveProgramming/blob/master/Olympiad/IOI/IOI-11-garden.txt","Sol")</f>
        <v>Sol</v>
      </c>
      <c r="E583" s="31" t="s">
        <v>3650</v>
      </c>
      <c r="F583" s="37" t="s">
        <v>139</v>
      </c>
      <c r="G583" s="24"/>
      <c r="H583" s="24"/>
    </row>
    <row r="584" spans="1:8" ht="13.2">
      <c r="A584" s="65" t="str">
        <f>HYPERLINK("https://oj.uz/problem/view/COCI17_ceste","COCI 17-ceste")</f>
        <v>COCI 17-ceste</v>
      </c>
      <c r="B584" s="20" t="s">
        <v>7213</v>
      </c>
      <c r="C584" s="24">
        <v>6.3</v>
      </c>
      <c r="D584" s="65" t="str">
        <f>HYPERLINK("https://github.com/MohamedAhmed04/Competitive-programming/blob/master/COCI/COCI%2017-Ceste.cpp", "Sol")</f>
        <v>Sol</v>
      </c>
      <c r="E584" s="31" t="s">
        <v>3784</v>
      </c>
      <c r="F584" s="37" t="s">
        <v>139</v>
      </c>
      <c r="G584" s="24"/>
      <c r="H584" s="24"/>
    </row>
    <row r="585" spans="1:8" ht="13.2">
      <c r="A585" s="65" t="str">
        <f>HYPERLINK("https://cses.fi/98/list/","Baltic 12-Peaks")</f>
        <v>Baltic 12-Peaks</v>
      </c>
      <c r="B585" s="37" t="s">
        <v>7235</v>
      </c>
      <c r="C585" s="24">
        <v>6.3</v>
      </c>
      <c r="D585" s="65" t="str">
        <f>HYPERLINK("https://github.com/mostafa-saad/MyCompetitiveProgramming/blob/master/Olympiad/Baltic/Baltic-12-Peaks.txt","Sol")</f>
        <v>Sol</v>
      </c>
      <c r="E585" s="31" t="s">
        <v>3883</v>
      </c>
      <c r="F585" s="37" t="s">
        <v>139</v>
      </c>
      <c r="G585" s="24"/>
      <c r="H585" s="24"/>
    </row>
    <row r="586" spans="1:8" ht="13.2">
      <c r="A586" s="65" t="str">
        <f>HYPERLINK("https://oj.uz/problem/view/BOI19_valley","Baltic 19-valley")</f>
        <v>Baltic 19-valley</v>
      </c>
      <c r="B586" s="75" t="s">
        <v>7296</v>
      </c>
      <c r="C586" s="17">
        <v>6.3</v>
      </c>
      <c r="D586" s="65" t="str">
        <f>HYPERLINK("https://github.com/mostafa-saad/MyCompetitiveProgramming/blob/master/Olympiad/Baltic/Baltic-19-valley.txt","Sol")</f>
        <v>Sol</v>
      </c>
      <c r="E586" s="31" t="s">
        <v>4454</v>
      </c>
      <c r="F586" s="37" t="s">
        <v>139</v>
      </c>
      <c r="G586" s="24"/>
      <c r="H586" s="24"/>
    </row>
    <row r="587" spans="1:8" ht="13.2">
      <c r="A587" s="65" t="str">
        <f>HYPERLINK("https://dunjudge.me/analysis/problems/573/","Balkan 11-decrypt")</f>
        <v>Balkan 11-decrypt</v>
      </c>
      <c r="B587" s="23" t="s">
        <v>7312</v>
      </c>
      <c r="C587" s="17">
        <v>6.3</v>
      </c>
      <c r="D587" s="65" t="str">
        <f>HYPERLINK("https://github.com/mostafa-saad/MyCompetitiveProgramming/blob/master/Olympiad/Balkan/Balkan-11-decrypt.txt","Sol")</f>
        <v>Sol</v>
      </c>
      <c r="E587" s="31" t="s">
        <v>4531</v>
      </c>
      <c r="F587" s="37" t="s">
        <v>139</v>
      </c>
      <c r="G587" s="24"/>
      <c r="H587" s="24"/>
    </row>
    <row r="588" spans="1:8" ht="13.2">
      <c r="A588" s="65" t="str">
        <f>HYPERLINK("https://dmoj.ca/problem/coci08c4p5","COCI 08-Trezor")</f>
        <v>COCI 08-Trezor</v>
      </c>
      <c r="B588" s="15" t="s">
        <v>7348</v>
      </c>
      <c r="C588" s="24">
        <v>6.3</v>
      </c>
      <c r="D588" s="65" t="str">
        <f>HYPERLINK("https://github.com/mostafa-saad/MyCompetitiveProgramming/blob/master/Olympiad/COCI/COCI-08-Trezor.txt","Sol")</f>
        <v>Sol</v>
      </c>
      <c r="E588" s="31" t="s">
        <v>5134</v>
      </c>
      <c r="F588" s="37" t="s">
        <v>139</v>
      </c>
      <c r="G588" s="24"/>
      <c r="H588" s="24"/>
    </row>
    <row r="589" spans="1:8" ht="13.2">
      <c r="A589" s="65" t="str">
        <f>HYPERLINK("https://www.infoarena.ro/problema/password2","infoarena password2")</f>
        <v>infoarena password2</v>
      </c>
      <c r="B589" s="23" t="s">
        <v>6720</v>
      </c>
      <c r="C589" s="24">
        <v>6.3</v>
      </c>
      <c r="D589" s="65" t="str">
        <f>HYPERLINK("https://github.com/mostafa-saad/MyCompetitiveProgramming/blob/master/Olympiad/infoarena/infoarena-password2.txt","Sol")</f>
        <v>Sol</v>
      </c>
      <c r="E589" s="31" t="s">
        <v>805</v>
      </c>
      <c r="F589" s="37" t="s">
        <v>139</v>
      </c>
      <c r="G589" s="24"/>
      <c r="H589" s="24"/>
    </row>
    <row r="590" spans="1:8" ht="13.2">
      <c r="A590" s="65" t="str">
        <f>HYPERLINK("https://oj.uz/problem/view/COI16_torrent","COI 16-torrent")</f>
        <v>COI 16-torrent</v>
      </c>
      <c r="B590" s="20" t="s">
        <v>6721</v>
      </c>
      <c r="C590" s="24">
        <v>6.3</v>
      </c>
      <c r="D590" s="65" t="str">
        <f>HYPERLINK("https://github.com/mostafa-saad/MyCompetitiveProgramming/blob/master/Olympiad/COI/COI-16-torrent.txt","Sol")</f>
        <v>Sol</v>
      </c>
      <c r="E590" s="31" t="s">
        <v>805</v>
      </c>
      <c r="F590" s="37" t="s">
        <v>139</v>
      </c>
      <c r="G590" s="24"/>
      <c r="H590" s="24"/>
    </row>
    <row r="591" spans="1:8" ht="13.2">
      <c r="A591" s="65" t="str">
        <f>HYPERLINK("https://oj.uz/problem/view/COI14_mostovi","COI 14-mostovi")</f>
        <v>COI 14-mostovi</v>
      </c>
      <c r="B591" s="20" t="s">
        <v>7141</v>
      </c>
      <c r="C591" s="24">
        <v>6.3</v>
      </c>
      <c r="D591" s="65" t="str">
        <f>HYPERLINK("https://github.com/mostafa-saad/MyCompetitiveProgramming/tree/master/Olympiad/COI/official/2014","Editorial")</f>
        <v>Editorial</v>
      </c>
      <c r="E591" s="31" t="s">
        <v>3257</v>
      </c>
      <c r="F591" s="37" t="s">
        <v>201</v>
      </c>
      <c r="G591" s="24"/>
      <c r="H591" s="24"/>
    </row>
    <row r="592" spans="1:8" ht="13.2">
      <c r="A592" s="65" t="str">
        <f>HYPERLINK("https://csacademy.com/contest/archive/task/borland","ROJS 17-borland")</f>
        <v>ROJS 17-borland</v>
      </c>
      <c r="B592" s="37" t="s">
        <v>6606</v>
      </c>
      <c r="C592" s="17">
        <v>6.3</v>
      </c>
      <c r="D592" s="65" t="str">
        <f>HYPERLINK("https://github.com/MetalBall887/Competitive-Programming/blob/master/CSAcademy/ROJS%2017-borland.cpp","sol")</f>
        <v>sol</v>
      </c>
      <c r="E592" s="31" t="s">
        <v>125</v>
      </c>
      <c r="F592" s="37"/>
      <c r="G592" s="24"/>
      <c r="H592" s="24"/>
    </row>
    <row r="593" spans="1:8" ht="13.2">
      <c r="A593" s="65" t="str">
        <f>HYPERLINK("http://poj.org/problem?id=1912","CEOI 02-Dwarfs")</f>
        <v>CEOI 02-Dwarfs</v>
      </c>
      <c r="B593" s="37" t="s">
        <v>7072</v>
      </c>
      <c r="C593" s="24">
        <v>6.3</v>
      </c>
      <c r="D593" s="65" t="str">
        <f>HYPERLINK("https://github.com/mostafa-saad/MyCompetitiveProgramming/tree/master/Olympiad/CEOI/official/2002","Editorial")</f>
        <v>Editorial</v>
      </c>
      <c r="E593" s="31" t="s">
        <v>2510</v>
      </c>
      <c r="F593" s="37"/>
      <c r="G593" s="24"/>
      <c r="H593" s="24"/>
    </row>
    <row r="594" spans="1:8" ht="13.2">
      <c r="A594" s="65" t="str">
        <f>HYPERLINK("https://www.infoarena.ro/problema/curent","infoarena curent")</f>
        <v>infoarena curent</v>
      </c>
      <c r="B594" s="20" t="s">
        <v>7142</v>
      </c>
      <c r="C594" s="17">
        <v>6.3</v>
      </c>
      <c r="D594" s="65" t="str">
        <f>HYPERLINK("https://github.com/stefdasca/CompetitiveProgramming/blob/master/Infoarena/curent.cpp","Sol")</f>
        <v>Sol</v>
      </c>
      <c r="E594" s="31" t="s">
        <v>3257</v>
      </c>
      <c r="F594" s="37"/>
      <c r="G594" s="24"/>
      <c r="H594" s="24"/>
    </row>
    <row r="595" spans="1:8" ht="13.2">
      <c r="A595" s="65" t="str">
        <f>HYPERLINK("https://szkopul.edu.pl/problemset/problem/klvaggzD-q4Acz_WLtkn0JXJ/site/", "POI 05-Banknote")</f>
        <v>POI 05-Banknote</v>
      </c>
      <c r="B595" s="37" t="s">
        <v>6865</v>
      </c>
      <c r="C595" s="24">
        <v>6.25</v>
      </c>
      <c r="D595" s="65" t="str">
        <f>HYPERLINK("https://github.com/mostafa-saad/MyCompetitiveProgramming/blob/master/Olympiad/POI/POI-05-Banknote.txt","Sol")</f>
        <v>Sol</v>
      </c>
      <c r="E595" s="31" t="s">
        <v>1337</v>
      </c>
      <c r="F595" s="37" t="s">
        <v>173</v>
      </c>
      <c r="G595" s="24"/>
      <c r="H595" s="24"/>
    </row>
    <row r="596" spans="1:8" ht="13.2">
      <c r="A596" s="65" t="str">
        <f>HYPERLINK("https://training.ia-toki.org/problemsets/113/problems/629/","TOKIOpen 18-GroupChat")</f>
        <v>TOKIOpen 18-GroupChat</v>
      </c>
      <c r="B596" s="20" t="s">
        <v>6722</v>
      </c>
      <c r="C596" s="24">
        <v>6.25</v>
      </c>
      <c r="D596" s="65" t="str">
        <f>HYPERLINK("https://github.com/mostafa-saad/MyCompetitiveProgramming/blob/master/Olympiad/TOKI/TOKIOpen-18-GroupChat.txt","Sol")</f>
        <v>Sol</v>
      </c>
      <c r="E596" s="31" t="s">
        <v>805</v>
      </c>
      <c r="F596" s="37" t="s">
        <v>173</v>
      </c>
      <c r="G596" s="24"/>
      <c r="H596" s="24"/>
    </row>
    <row r="597" spans="1:8" ht="13.2">
      <c r="A597" s="65" t="str">
        <f>HYPERLINK("https://szkopul.edu.pl/problemset/problem/4CirgBfxbj9tIAS2C7DWCCd7/site/?key=statement","POI10 sums")</f>
        <v>POI10 sums</v>
      </c>
      <c r="B597" s="69" t="s">
        <v>7214</v>
      </c>
      <c r="C597" s="17">
        <v>6.25</v>
      </c>
      <c r="D597" s="65" t="str">
        <f>HYPERLINK("https://github.com/mostafa-saad/MyCompetitiveProgramming/blob/master/Olympiad/POI/POI-03-sums.txt","Sol")</f>
        <v>Sol</v>
      </c>
      <c r="E597" s="31" t="s">
        <v>3784</v>
      </c>
      <c r="F597" s="37" t="s">
        <v>2843</v>
      </c>
      <c r="G597" s="24"/>
      <c r="H597" s="24"/>
    </row>
    <row r="598" spans="1:8" ht="13.2">
      <c r="A598" s="65" t="str">
        <f>HYPERLINK("https://oj.uz/problems/source/59", "CEOI 13-treasure2")</f>
        <v>CEOI 13-treasure2</v>
      </c>
      <c r="B598" s="20" t="s">
        <v>6969</v>
      </c>
      <c r="C598" s="17">
        <v>6.25</v>
      </c>
      <c r="D598" s="65" t="str">
        <f>HYPERLINK("https://github.com/mostafa-saad/MyCompetitiveProgramming/blob/master/Olympiad/CEOI/CEOI-13-treasure2.txt","Sol")</f>
        <v>Sol</v>
      </c>
      <c r="E598" s="31" t="s">
        <v>1909</v>
      </c>
      <c r="F598" s="37" t="s">
        <v>1053</v>
      </c>
      <c r="G598" s="24"/>
      <c r="H598" s="24"/>
    </row>
    <row r="599" spans="1:8" ht="13.2">
      <c r="A599" s="65" t="str">
        <f>HYPERLINK("https://oj.uz/problem/view/IOI14_friend","IOI 14-friend")</f>
        <v>IOI 14-friend</v>
      </c>
      <c r="B599" s="15" t="s">
        <v>7143</v>
      </c>
      <c r="C599" s="17">
        <v>6.25</v>
      </c>
      <c r="D599" s="65" t="str">
        <f>HYPERLINK("https://github.com/mostafa-saad/MyCompetitiveProgramming/blob/master/Olympiad/IOI/IOI-14-friend.txt","Sol")</f>
        <v>Sol</v>
      </c>
      <c r="E599" s="31" t="s">
        <v>3257</v>
      </c>
      <c r="F599" s="37" t="s">
        <v>1053</v>
      </c>
      <c r="G599" s="24"/>
      <c r="H599" s="24"/>
    </row>
    <row r="600" spans="1:8" ht="13.2">
      <c r="A600" s="65" t="str">
        <f>HYPERLINK("http://usaco.org/index.php?page=viewproblem2&amp;cpid=533","USACO 15feb-gold_censor")</f>
        <v>USACO 15feb-gold_censor</v>
      </c>
      <c r="B600" s="20" t="s">
        <v>6607</v>
      </c>
      <c r="C600" s="21">
        <v>6.25</v>
      </c>
      <c r="D600" s="69"/>
      <c r="E600" s="31" t="s">
        <v>125</v>
      </c>
      <c r="F600" s="37" t="s">
        <v>154</v>
      </c>
      <c r="G600" s="24"/>
      <c r="H600" s="24"/>
    </row>
    <row r="601" spans="1:8" ht="13.2">
      <c r="A601" s="65" t="str">
        <f>HYPERLINK("http://usaco.org/index.php?page=viewproblem2&amp;cpid=768", "USACO 17dec-standingout-plat")</f>
        <v>USACO 17dec-standingout-plat</v>
      </c>
      <c r="B601" s="20" t="s">
        <v>5796</v>
      </c>
      <c r="C601" s="21">
        <v>6.25</v>
      </c>
      <c r="D601" s="69"/>
      <c r="E601" s="31" t="s">
        <v>5794</v>
      </c>
      <c r="F601" s="37" t="s">
        <v>154</v>
      </c>
      <c r="G601" s="24"/>
      <c r="H601" s="24"/>
    </row>
    <row r="602" spans="1:8" ht="13.2">
      <c r="A602" s="65" t="str">
        <f>HYPERLINK("https://oj.uz/problem/view/POI11_pio","POI 11-Conductor")</f>
        <v>POI 11-Conductor</v>
      </c>
      <c r="B602" s="25" t="s">
        <v>7460</v>
      </c>
      <c r="C602" s="17">
        <v>6.25</v>
      </c>
      <c r="D602" s="65" t="str">
        <f>HYPERLINK("https://github.com/mostafa-saad/MyCompetitiveProgramming/blob/master/Olympiad/POI/POI-11-Conductor.txt","Sol")</f>
        <v>Sol</v>
      </c>
      <c r="E602" s="31" t="s">
        <v>6362</v>
      </c>
      <c r="F602" s="37" t="s">
        <v>154</v>
      </c>
      <c r="G602" s="24"/>
      <c r="H602" s="24"/>
    </row>
    <row r="603" spans="1:8" ht="13.2">
      <c r="A603" s="65" t="str">
        <f>HYPERLINK("https://infoarena.ro/problema/arb3","infoarena arb3")</f>
        <v>infoarena arb3</v>
      </c>
      <c r="B603" s="20" t="s">
        <v>7506</v>
      </c>
      <c r="C603" s="17">
        <v>6.25</v>
      </c>
      <c r="D603" s="65" t="str">
        <f>HYPERLINK("https://github.com/mostafa-saad/MyCompetitiveProgramming/blob/master/Olympiad/infoarena/infoarena-arb3.txt","Sol")</f>
        <v>Sol</v>
      </c>
      <c r="E603" s="31" t="s">
        <v>6459</v>
      </c>
      <c r="F603" s="37" t="s">
        <v>154</v>
      </c>
      <c r="G603" s="24"/>
      <c r="H603" s="24"/>
    </row>
    <row r="604" spans="1:8" ht="13.2">
      <c r="A604" s="65" t="str">
        <f>HYPERLINK("https://oj.uz/problem/view/IZhO14_blocks","IZhO 14-blocks")</f>
        <v>IZhO 14-blocks</v>
      </c>
      <c r="B604" s="37" t="s">
        <v>6866</v>
      </c>
      <c r="C604" s="24">
        <v>6.25</v>
      </c>
      <c r="D604" s="65" t="str">
        <f>HYPERLINK("https://github.com/mostafa-saad/MyCompetitiveProgramming/blob/master/Olympiad/IZhO/IZhO-14-blocks.txt","Sol")</f>
        <v>Sol</v>
      </c>
      <c r="E604" s="31" t="s">
        <v>1337</v>
      </c>
      <c r="F604" s="37" t="s">
        <v>154</v>
      </c>
      <c r="G604" s="24"/>
      <c r="H604" s="24"/>
    </row>
    <row r="605" spans="1:8" ht="13.2">
      <c r="A605" s="65" t="str">
        <f>HYPERLINK("https://www.acmicpc.net/problem/7081","Balkan 09-Reading")</f>
        <v>Balkan 09-Reading</v>
      </c>
      <c r="B605" s="37" t="s">
        <v>6867</v>
      </c>
      <c r="C605" s="24">
        <v>6.25</v>
      </c>
      <c r="D605" s="65" t="str">
        <f>HYPERLINK("https://github.com/mostafa-saad/MyCompetitiveProgramming/blob/master/Olympiad/Balkan/Balkan-09-Reading.txt","Sol")</f>
        <v>Sol</v>
      </c>
      <c r="E605" s="31" t="s">
        <v>1337</v>
      </c>
      <c r="F605" s="37" t="s">
        <v>154</v>
      </c>
      <c r="G605" s="24"/>
      <c r="H605" s="24"/>
    </row>
    <row r="606" spans="1:8" ht="13.2">
      <c r="A606" s="65" t="str">
        <f>HYPERLINK("https://contest.yandex.ru/ioi/contest/560/enter/","IOI 04-polygon")</f>
        <v>IOI 04-polygon</v>
      </c>
      <c r="B606" s="15" t="s">
        <v>7094</v>
      </c>
      <c r="C606" s="24">
        <v>6.25</v>
      </c>
      <c r="D606" s="65" t="str">
        <f>HYPERLINK("https://github.com/mostafa-saad/MyCompetitiveProgramming/blob/master/Olympiad/IOI/IOI-04-polygon.txt","Sol")</f>
        <v>Sol</v>
      </c>
      <c r="E606" s="31" t="s">
        <v>2948</v>
      </c>
      <c r="F606" s="37" t="s">
        <v>154</v>
      </c>
      <c r="G606" s="24"/>
      <c r="H606" s="24"/>
    </row>
    <row r="607" spans="1:8" ht="13.2">
      <c r="A607" s="65" t="str">
        <f>HYPERLINK("https://csacademy.com/contest/ceoi-2017-day-2/","CEOI 17-Chase")</f>
        <v>CEOI 17-Chase</v>
      </c>
      <c r="B607" s="18" t="s">
        <v>6458</v>
      </c>
      <c r="C607" s="17">
        <v>6.25</v>
      </c>
      <c r="D607" s="65" t="str">
        <f>HYPERLINK("https://github.com/samyravitoria/olympics-problems/blob/master/CEOI/2017/chase.cpp","Sol")</f>
        <v>Sol</v>
      </c>
      <c r="E607" s="31" t="s">
        <v>6459</v>
      </c>
      <c r="F607" s="37" t="s">
        <v>196</v>
      </c>
      <c r="G607" s="24"/>
      <c r="H607" s="24"/>
    </row>
    <row r="608" spans="1:8" ht="13.2">
      <c r="A608" s="65" t="str">
        <f>HYPERLINK("https://contest.yandex.ru/ioi/contest/566/enter/","IOI 05-birthday")</f>
        <v>IOI 05-birthday</v>
      </c>
      <c r="B608" s="15" t="s">
        <v>6723</v>
      </c>
      <c r="C608" s="24">
        <v>6.25</v>
      </c>
      <c r="D608" s="65" t="str">
        <f>HYPERLINK("https://github.com/mostafa-saad/MyCompetitiveProgramming/blob/master/Olympiad/IOI/IOI-05-birthday.txt","Sol")</f>
        <v>Sol</v>
      </c>
      <c r="E608" s="31" t="s">
        <v>805</v>
      </c>
      <c r="F608" s="37" t="s">
        <v>196</v>
      </c>
      <c r="G608" s="24"/>
      <c r="H608" s="24"/>
    </row>
    <row r="609" spans="1:8" ht="13.2">
      <c r="A609" s="65" t="str">
        <f>HYPERLINK("https://szkopul.edu.pl/problemset/problem/5TfG0f1dOXc2sUTq9NMM9zSD/site/","CEOI 10-Tower")</f>
        <v>CEOI 10-Tower</v>
      </c>
      <c r="B609" s="20" t="s">
        <v>124</v>
      </c>
      <c r="C609" s="24">
        <v>6.25</v>
      </c>
      <c r="D609" s="65" t="str">
        <f>HYPERLINK("https://github.com/mostafa-saad/MyCompetitiveProgramming/blob/master/Olympiad/CEOI/CEOI-10-Tower.txt","Sol")</f>
        <v>Sol</v>
      </c>
      <c r="E609" s="31" t="s">
        <v>125</v>
      </c>
      <c r="F609" s="37" t="s">
        <v>139</v>
      </c>
      <c r="G609" s="24"/>
      <c r="H609" s="24"/>
    </row>
    <row r="610" spans="1:8" ht="13.2">
      <c r="A610" s="65" t="str">
        <f>HYPERLINK("https://oj.uz/problem/view/COCI17_rima","COCI 17-rima")</f>
        <v>COCI 17-rima</v>
      </c>
      <c r="B610" s="20" t="s">
        <v>5654</v>
      </c>
      <c r="C610" s="24">
        <v>6.25</v>
      </c>
      <c r="D610" s="65" t="str">
        <f>HYPERLINK("https://github.com/mostafa-saad/MyCompetitiveProgramming/blob/master/Olympiad/COCI/official/2017/contest4_solutions","Editorial")</f>
        <v>Editorial</v>
      </c>
      <c r="E610" s="31" t="s">
        <v>5643</v>
      </c>
      <c r="F610" s="37" t="s">
        <v>139</v>
      </c>
      <c r="G610" s="24"/>
      <c r="H610" s="24"/>
    </row>
    <row r="611" spans="1:8" ht="13.2">
      <c r="A611" s="65" t="str">
        <f>HYPERLINK("http://usaco.org/index.php?page=viewproblem2&amp;cpid=925", "USACO 19feb-plat_mooriokart")</f>
        <v>USACO 19feb-plat_mooriokart</v>
      </c>
      <c r="B611" s="20" t="s">
        <v>7482</v>
      </c>
      <c r="C611" s="21">
        <v>6.25</v>
      </c>
      <c r="D611" s="65" t="str">
        <f>HYPERLINK("https://github.com/thecodingwizard/competitive-programming/blob/master/USACO/2019feb/plat/mooriokart.cpp","Sol")</f>
        <v>Sol</v>
      </c>
      <c r="E611" s="31" t="s">
        <v>6397</v>
      </c>
      <c r="F611" s="37" t="s">
        <v>139</v>
      </c>
      <c r="G611" s="24"/>
      <c r="H611" s="24"/>
    </row>
    <row r="612" spans="1:8" ht="13.2">
      <c r="A612" s="65" t="str">
        <f>HYPERLINK("https://dmoj.ca/problem/cco18p5","CCO 18-boring")</f>
        <v>CCO 18-boring</v>
      </c>
      <c r="B612" s="20" t="s">
        <v>6398</v>
      </c>
      <c r="C612" s="17">
        <v>6.25</v>
      </c>
      <c r="D612" s="65" t="str">
        <f>HYPERLINK("https://github.com/luciocf/OI-Problems/blob/master/CCO/CCO%202018/boring.cpp","Sol")</f>
        <v>Sol</v>
      </c>
      <c r="E612" s="31" t="s">
        <v>6397</v>
      </c>
      <c r="F612" s="37" t="s">
        <v>139</v>
      </c>
      <c r="G612" s="24"/>
      <c r="H612" s="24"/>
    </row>
    <row r="613" spans="1:8" ht="13.2">
      <c r="A613" s="65" t="str">
        <f>HYPERLINK("https://www.hackerrank.com/contests/ioi-2014-practice-contest-2/challenges","IOIPractice 14-guardians-lunatics-ioi14")</f>
        <v>IOIPractice 14-guardians-lunatics-ioi14</v>
      </c>
      <c r="B613" s="15" t="s">
        <v>7489</v>
      </c>
      <c r="C613" s="17">
        <v>6.25</v>
      </c>
      <c r="D613" s="65" t="str">
        <f>HYPERLINK("https://github.com/mostafa-saad/MyCompetitiveProgramming/blob/master/Olympiad/IOI/IOIPractice-14-guardians-lunatics-ioi14.txt","Sol - must read - can u do O(LG)?")</f>
        <v>Sol - must read - can u do O(LG)?</v>
      </c>
      <c r="E613" s="31" t="s">
        <v>6419</v>
      </c>
      <c r="F613" s="37" t="s">
        <v>139</v>
      </c>
      <c r="G613" s="24"/>
      <c r="H613" s="24"/>
    </row>
    <row r="614" spans="1:8" ht="13.2">
      <c r="A614" s="65" t="str">
        <f>HYPERLINK("https://oj.uz/problem/view/IZhO12_biochips","IZhO 12-biochips")</f>
        <v>IZhO 12-biochips</v>
      </c>
      <c r="B614" s="20" t="s">
        <v>7507</v>
      </c>
      <c r="C614" s="24">
        <v>6.25</v>
      </c>
      <c r="D614" s="65" t="str">
        <f>HYPERLINK("https://github.com/mostafa-saad/MyCompetitiveProgramming/blob/master/Olympiad/IZhO/IZhO-12-biochips.txt","Sol")</f>
        <v>Sol</v>
      </c>
      <c r="E614" s="31" t="s">
        <v>6459</v>
      </c>
      <c r="F614" s="37" t="s">
        <v>139</v>
      </c>
      <c r="G614" s="24"/>
      <c r="H614" s="24"/>
    </row>
    <row r="615" spans="1:8" ht="13.2">
      <c r="A615" s="65" t="str">
        <f>HYPERLINK("https://oj.uz/problem/view/COCI18_dostavljac","COCI 18-dostavljac")</f>
        <v>COCI 18-dostavljac</v>
      </c>
      <c r="B615" s="20" t="s">
        <v>6458</v>
      </c>
      <c r="C615" s="24">
        <v>6.25</v>
      </c>
      <c r="D615" s="65" t="str">
        <f>HYPERLINK("https://github.com/luciocf/OI-Problems/blob/master/COCI/COCI%202017-2018/dostavljac.cpp","Sol")</f>
        <v>Sol</v>
      </c>
      <c r="E615" s="31" t="s">
        <v>6459</v>
      </c>
      <c r="F615" s="37" t="s">
        <v>139</v>
      </c>
      <c r="G615" s="24"/>
      <c r="H615" s="24"/>
    </row>
    <row r="616" spans="1:8" ht="13.2">
      <c r="A616" s="65" t="str">
        <f>HYPERLINK("http://usaco.org/index.php?page=viewproblem2&amp;cpid=532","USACO 15feb-gold_hopscotch")</f>
        <v>USACO 15feb-gold_hopscotch</v>
      </c>
      <c r="B616" s="20" t="s">
        <v>6813</v>
      </c>
      <c r="C616" s="21">
        <v>6.25</v>
      </c>
      <c r="D616" s="69"/>
      <c r="E616" s="31" t="s">
        <v>1223</v>
      </c>
      <c r="F616" s="37" t="s">
        <v>139</v>
      </c>
      <c r="G616" s="24"/>
      <c r="H616" s="24"/>
    </row>
    <row r="617" spans="1:8" ht="13.2">
      <c r="A617" s="65" t="str">
        <f>HYPERLINK("http://usaco.org/index.php?page=viewproblem2&amp;cpid=624","USACO 16feb-balancing-plat")</f>
        <v>USACO 16feb-balancing-plat</v>
      </c>
      <c r="B617" s="20" t="s">
        <v>6814</v>
      </c>
      <c r="C617" s="24">
        <v>6.25</v>
      </c>
      <c r="D617" s="69"/>
      <c r="E617" s="31" t="s">
        <v>1223</v>
      </c>
      <c r="F617" s="37" t="s">
        <v>139</v>
      </c>
      <c r="G617" s="24"/>
      <c r="H617" s="24"/>
    </row>
    <row r="618" spans="1:8" ht="13.2">
      <c r="A618" s="65" t="str">
        <f>HYPERLINK("https://training.olinfo.it/contests/oii2018/tasks/cena/description","OII 18-cena")</f>
        <v>OII 18-cena</v>
      </c>
      <c r="B618" s="23" t="s">
        <v>6868</v>
      </c>
      <c r="C618" s="24">
        <v>6.25</v>
      </c>
      <c r="D618" s="65" t="str">
        <f>HYPERLINK("https://github.com/mostafa-saad/MyCompetitiveProgramming/blob/master/Olympiad/OII/OII-18-cena.txt","Sol")</f>
        <v>Sol</v>
      </c>
      <c r="E618" s="31" t="s">
        <v>1337</v>
      </c>
      <c r="F618" s="37" t="s">
        <v>139</v>
      </c>
      <c r="G618" s="24"/>
      <c r="H618" s="24"/>
    </row>
    <row r="619" spans="1:8" ht="13.2">
      <c r="A619" s="65" t="str">
        <f>HYPERLINK("https://cses.fi/99/list/","Baltic 12-Melody")</f>
        <v>Baltic 12-Melody</v>
      </c>
      <c r="B619" s="37" t="s">
        <v>6869</v>
      </c>
      <c r="C619" s="24">
        <v>6.25</v>
      </c>
      <c r="D619" s="65" t="str">
        <f>HYPERLINK("https://github.com/mostafa-saad/MyCompetitiveProgramming/blob/master/Olympiad/Baltic/Baltic-12-Melody.txt","Sol")</f>
        <v>Sol</v>
      </c>
      <c r="E619" s="31" t="s">
        <v>1337</v>
      </c>
      <c r="F619" s="37" t="s">
        <v>139</v>
      </c>
      <c r="G619" s="24"/>
      <c r="H619" s="24"/>
    </row>
    <row r="620" spans="1:8" ht="13.2">
      <c r="A620" s="65" t="str">
        <f>HYPERLINK("https://oj.uz/problem/view/BOI13_brunhilda","Baltic 13-brunhilda")</f>
        <v>Baltic 13-brunhilda</v>
      </c>
      <c r="B620" s="20" t="s">
        <v>6870</v>
      </c>
      <c r="C620" s="24">
        <v>6.25</v>
      </c>
      <c r="D620" s="65" t="str">
        <f>HYPERLINK("https://github.com/mostafa-saad/MyCompetitiveProgramming/blob/master/Olympiad/Baltic/Baltic-13-brunhilda.txt","Sol")</f>
        <v>Sol</v>
      </c>
      <c r="E620" s="31" t="s">
        <v>1337</v>
      </c>
      <c r="F620" s="37" t="s">
        <v>139</v>
      </c>
      <c r="G620" s="24"/>
      <c r="H620" s="24"/>
    </row>
    <row r="621" spans="1:8" ht="13.2">
      <c r="A621" s="65" t="str">
        <f>HYPERLINK("http://usaco.org/index.php?page=viewproblem2&amp;cpid=792", "USACO 18jan-lifeguards-plat")</f>
        <v>USACO 18jan-lifeguards-plat</v>
      </c>
      <c r="B621" s="20" t="s">
        <v>6871</v>
      </c>
      <c r="C621" s="21">
        <v>6.25</v>
      </c>
      <c r="D621" s="65" t="str">
        <f>HYPERLINK("https://github.com/thecodingwizard/competitive-programming/blob/master/USACO/2018jan/plat/lifeguards%20(legit%20solution).cpp","Sol")</f>
        <v>Sol</v>
      </c>
      <c r="E621" s="31" t="s">
        <v>1337</v>
      </c>
      <c r="F621" s="37" t="s">
        <v>139</v>
      </c>
      <c r="G621" s="24"/>
      <c r="H621" s="24"/>
    </row>
    <row r="622" spans="1:8" ht="13.2">
      <c r="A622" s="65" t="str">
        <f>HYPERLINK("https://codeforces.com/contest/1192/problem/C","CEOI 19-cubeword")</f>
        <v>CEOI 19-cubeword</v>
      </c>
      <c r="B622" s="23" t="s">
        <v>6872</v>
      </c>
      <c r="C622" s="24">
        <v>6.25</v>
      </c>
      <c r="D622" s="65" t="str">
        <f>HYPERLINK("https://codeforces.com/blog/entry/68676","Editorial")</f>
        <v>Editorial</v>
      </c>
      <c r="E622" s="31" t="s">
        <v>1337</v>
      </c>
      <c r="F622" s="37" t="s">
        <v>139</v>
      </c>
      <c r="G622" s="24"/>
      <c r="H622" s="24"/>
    </row>
    <row r="623" spans="1:8" ht="13.2">
      <c r="A623" s="65" t="str">
        <f>HYPERLINK("https://www.infoarena.ro/problema/sormin","infoarena sormin")</f>
        <v>infoarena sormin</v>
      </c>
      <c r="B623" s="20" t="s">
        <v>6873</v>
      </c>
      <c r="C623" s="21">
        <v>6.25</v>
      </c>
      <c r="D623" s="65" t="str">
        <f>HYPERLINK("https://github.com/mostafa-saad/MyCompetitiveProgramming/blob/master/Olympiad/infoarena/infoarena_sormin.txt","Sol")</f>
        <v>Sol</v>
      </c>
      <c r="E623" s="31" t="s">
        <v>1337</v>
      </c>
      <c r="F623" s="37" t="s">
        <v>139</v>
      </c>
      <c r="G623" s="24"/>
      <c r="H623" s="24"/>
    </row>
    <row r="624" spans="1:8" ht="13.2">
      <c r="A624" s="65" t="str">
        <f>HYPERLINK("https://szkopul.edu.pl/problemset/problem/YjtAwdQrSiGcE_RLiEJpGiYE/site/", "POI 10-Sheep")</f>
        <v>POI 10-Sheep</v>
      </c>
      <c r="B624" s="37" t="s">
        <v>6874</v>
      </c>
      <c r="C624" s="24">
        <v>6.25</v>
      </c>
      <c r="D624" s="65" t="str">
        <f>HYPERLINK("https://github.com/mostafa-saad/MyCompetitiveProgramming/blob/master/Olympiad/POI/POI-10-Sheep.txt","Sol")</f>
        <v>Sol</v>
      </c>
      <c r="E624" s="31" t="s">
        <v>1337</v>
      </c>
      <c r="F624" s="37" t="s">
        <v>139</v>
      </c>
      <c r="G624" s="24"/>
      <c r="H624" s="24"/>
    </row>
    <row r="625" spans="1:8" ht="13.2">
      <c r="A625" s="65" t="str">
        <f>HYPERLINK("https://csacademy.com/contest/ioi-2016-training-round-1/task/polygon_partition","IOIPractice 16-polygon_partition")</f>
        <v>IOIPractice 16-polygon_partition</v>
      </c>
      <c r="B625" s="37" t="s">
        <v>6875</v>
      </c>
      <c r="C625" s="24">
        <v>6.25</v>
      </c>
      <c r="D625" s="65" t="str">
        <f>HYPERLINK("https://github.com/thecodingwizard/competitive-programming/blob/master/IOI/IOIPractice%2016-polygon.cpp","Sol")</f>
        <v>Sol</v>
      </c>
      <c r="E625" s="31" t="s">
        <v>1337</v>
      </c>
      <c r="F625" s="37" t="s">
        <v>139</v>
      </c>
      <c r="G625" s="24"/>
      <c r="H625" s="24"/>
    </row>
    <row r="626" spans="1:8" ht="13.2">
      <c r="A626" s="65" t="str">
        <f>HYPERLINK("https://cses.fi/192/list/","CEOI 05-Ticket")</f>
        <v>CEOI 05-Ticket</v>
      </c>
      <c r="B626" s="37" t="s">
        <v>7003</v>
      </c>
      <c r="C626" s="24">
        <v>6.25</v>
      </c>
      <c r="D626" s="65" t="str">
        <f>HYPERLINK("https://github.com/mostafa-saad/MyCompetitiveProgramming/blob/master/Olympiad/CEOI/CEOI-05-Ticket.txt","Sol")</f>
        <v>Sol</v>
      </c>
      <c r="E626" s="31" t="s">
        <v>2153</v>
      </c>
      <c r="F626" s="37" t="s">
        <v>139</v>
      </c>
      <c r="G626" s="24"/>
      <c r="H626" s="24"/>
    </row>
    <row r="627" spans="1:8" ht="13.2">
      <c r="A627" s="65" t="str">
        <f>HYPERLINK("https://cses.fi/114/list/","Baltic 08-Gloves")</f>
        <v>Baltic 08-Gloves</v>
      </c>
      <c r="B627" s="37" t="s">
        <v>7073</v>
      </c>
      <c r="C627" s="24">
        <v>6.25</v>
      </c>
      <c r="D627" s="65" t="str">
        <f>HYPERLINK("https://github.com/mostafa-saad/MyCompetitiveProgramming/blob/master/Olympiad/Baltic/Baltic-08-Gloves.txt","Sol")</f>
        <v>Sol</v>
      </c>
      <c r="E627" s="31" t="s">
        <v>2510</v>
      </c>
      <c r="F627" s="37" t="s">
        <v>139</v>
      </c>
      <c r="G627" s="24"/>
      <c r="H627" s="24"/>
    </row>
    <row r="628" spans="1:8" ht="13.2">
      <c r="A628" s="65" t="str">
        <f>HYPERLINK("https://csacademy.com/contest/ceoi-2018-day-1/task/lottery/", "CEOI 18-Lottery")</f>
        <v>CEOI 18-Lottery</v>
      </c>
      <c r="B628" s="20" t="s">
        <v>6685</v>
      </c>
      <c r="C628" s="21">
        <v>6.25</v>
      </c>
      <c r="D628" s="65" t="str">
        <f>HYPERLINK("https://github.com/mostafa-saad/MyCompetitiveProgramming/blob/master/Olympiad/CEOI/CEOI-18-Lottery.txt","Sol")</f>
        <v>Sol</v>
      </c>
      <c r="E628" s="31" t="s">
        <v>575</v>
      </c>
      <c r="F628" s="37" t="s">
        <v>139</v>
      </c>
      <c r="G628" s="24"/>
      <c r="H628" s="24"/>
    </row>
    <row r="629" spans="1:8" ht="13.2">
      <c r="A629" s="65" t="str">
        <f>HYPERLINK("https://oj.uz/problem/view/COCI18_strah","COCI 19-strah")</f>
        <v>COCI 19-strah</v>
      </c>
      <c r="B629" s="20" t="s">
        <v>6686</v>
      </c>
      <c r="C629" s="17">
        <v>6.25</v>
      </c>
      <c r="D629" s="65" t="str">
        <f>HYPERLINK("https://github.com/Szawinis/CompetitiveProgramming/blob/master/Olympiad/COCI/COCI18-strah.cpp","Sol")</f>
        <v>Sol</v>
      </c>
      <c r="E629" s="31" t="s">
        <v>575</v>
      </c>
      <c r="F629" s="37" t="s">
        <v>139</v>
      </c>
      <c r="G629" s="24"/>
      <c r="H629" s="24"/>
    </row>
    <row r="630" spans="1:8" ht="13.2">
      <c r="A630" s="65" t="str">
        <f>HYPERLINK("https://oj.uz/problem/view/JOI19_mergers", "JOISC 19-Mergers")</f>
        <v>JOISC 19-Mergers</v>
      </c>
      <c r="B630" s="20" t="s">
        <v>7144</v>
      </c>
      <c r="C630" s="21">
        <v>6.25</v>
      </c>
      <c r="D630" s="65" t="str">
        <f>HYPERLINK("https://github.com/mostafa-saad/MyCompetitiveProgramming/blob/master/Olympiad/JOI/JOISC-19-Mergers.txt","Sol")</f>
        <v>Sol</v>
      </c>
      <c r="E630" s="31" t="s">
        <v>3257</v>
      </c>
      <c r="F630" s="37" t="s">
        <v>139</v>
      </c>
      <c r="G630" s="24"/>
      <c r="H630" s="24"/>
    </row>
    <row r="631" spans="1:8" ht="13.2">
      <c r="A631" s="65" t="str">
        <f>HYPERLINK("https://cses.fi/194/list/","CEOI 16-router")</f>
        <v>CEOI 16-router</v>
      </c>
      <c r="B631" s="37" t="s">
        <v>7145</v>
      </c>
      <c r="C631" s="17">
        <v>6.25</v>
      </c>
      <c r="D631" s="65" t="str">
        <f>HYPERLINK("https://github.com/SpeedOfMagic/CompetitiveProgramming/blob/master/CEOI/16-router.txt","Sol")</f>
        <v>Sol</v>
      </c>
      <c r="E631" s="31" t="s">
        <v>3257</v>
      </c>
      <c r="F631" s="37" t="s">
        <v>139</v>
      </c>
      <c r="G631" s="24"/>
      <c r="H631" s="24"/>
    </row>
    <row r="632" spans="1:8" ht="13.2">
      <c r="A632" s="65" t="str">
        <f>HYPERLINK("https://oj.uz/problem/view/COI17_ili","COI 17-ili")</f>
        <v>COI 17-ili</v>
      </c>
      <c r="B632" s="20" t="s">
        <v>7146</v>
      </c>
      <c r="C632" s="24">
        <v>6.25</v>
      </c>
      <c r="D632" s="65" t="str">
        <f>HYPERLINK("https://github.com/mostafa-saad/MyCompetitiveProgramming/blob/master/Olympiad/COI/COI 17-ili.txt","Sol")</f>
        <v>Sol</v>
      </c>
      <c r="E632" s="31" t="s">
        <v>3257</v>
      </c>
      <c r="F632" s="37" t="s">
        <v>139</v>
      </c>
      <c r="G632" s="24"/>
      <c r="H632" s="24"/>
    </row>
    <row r="633" spans="1:8" ht="13.2">
      <c r="A633" s="65" t="str">
        <f>HYPERLINK("http://usaco.org/index.php?page=viewproblem2&amp;cpid=625","USACO 16feb-fencedin-plat")</f>
        <v>USACO 16feb-fencedin-plat</v>
      </c>
      <c r="B633" s="20" t="s">
        <v>7266</v>
      </c>
      <c r="C633" s="24">
        <v>6.25</v>
      </c>
      <c r="D633" s="69"/>
      <c r="E633" s="31" t="s">
        <v>4275</v>
      </c>
      <c r="F633" s="37" t="s">
        <v>139</v>
      </c>
      <c r="G633" s="24"/>
      <c r="H633" s="24"/>
    </row>
    <row r="634" spans="1:8" ht="13.2">
      <c r="A634" s="65" t="str">
        <f>HYPERLINK("https://www.acmicpc.net/problem/5253","Balkan 12-Fan_Groups")</f>
        <v>Balkan 12-Fan_Groups</v>
      </c>
      <c r="B634" s="37" t="s">
        <v>7277</v>
      </c>
      <c r="C634" s="17">
        <v>6.25</v>
      </c>
      <c r="D634" s="65" t="str">
        <f>HYPERLINK("https://github.com/mostafa-saad/MyCompetitiveProgramming/blob/master/Olympiad/Balkan/Balkan-12-Fan_Groups.txt","Sol")</f>
        <v>Sol</v>
      </c>
      <c r="E634" s="31" t="s">
        <v>4344</v>
      </c>
      <c r="F634" s="37" t="s">
        <v>139</v>
      </c>
      <c r="G634" s="24"/>
      <c r="H634" s="24"/>
    </row>
    <row r="635" spans="1:8" ht="13.2">
      <c r="A635" s="65" t="str">
        <f>HYPERLINK("https://codeforces.com/gym/102257/","APIO 19-strange_device")</f>
        <v>APIO 19-strange_device</v>
      </c>
      <c r="B635" s="37" t="s">
        <v>7313</v>
      </c>
      <c r="C635" s="24">
        <v>6.25</v>
      </c>
      <c r="D635" s="65" t="str">
        <f>HYPERLINK("https://github.com/mostafa-saad/MyCompetitiveProgramming/blob/master/Olympiad/APIO/APIO-19-strange_device.txt","Sol")</f>
        <v>Sol</v>
      </c>
      <c r="E635" s="31" t="s">
        <v>4531</v>
      </c>
      <c r="F635" s="37" t="s">
        <v>139</v>
      </c>
      <c r="G635" s="24"/>
      <c r="H635" s="24"/>
    </row>
    <row r="636" spans="1:8" ht="13.2">
      <c r="A636" s="65" t="str">
        <f>HYPERLINK("https://www.infoarena.ro/problema/permsort2","infoarena permsort2")</f>
        <v>infoarena permsort2</v>
      </c>
      <c r="B636" s="37" t="s">
        <v>7344</v>
      </c>
      <c r="C636" s="21">
        <v>6.25</v>
      </c>
      <c r="D636" s="65" t="str">
        <f>HYPERLINK("https://github.com/mostafa-saad/MyCompetitiveProgramming/blob/master/Olympiad/infoarena/infoarena_permsort2.txt","Sol")</f>
        <v>Sol</v>
      </c>
      <c r="E636" s="31" t="s">
        <v>5043</v>
      </c>
      <c r="F636" s="37" t="s">
        <v>139</v>
      </c>
      <c r="G636" s="24"/>
      <c r="H636" s="24"/>
    </row>
    <row r="637" spans="1:8" ht="13.2">
      <c r="A637" s="65" t="str">
        <f>HYPERLINK("https://oj.uz/problem/view/IOI11_crocodile","IOI 11-crocodile")</f>
        <v>IOI 11-crocodile</v>
      </c>
      <c r="B637" s="18" t="s">
        <v>3791</v>
      </c>
      <c r="C637" s="17">
        <v>6.25</v>
      </c>
      <c r="D637" s="65" t="str">
        <f>HYPERLINK("http://www.ioi2011.or.th/hsc/tasks/solutions/crocodile.pdf","Editorial")</f>
        <v>Editorial</v>
      </c>
      <c r="E637" s="31" t="s">
        <v>3784</v>
      </c>
      <c r="F637" s="37" t="s">
        <v>613</v>
      </c>
      <c r="G637" s="24"/>
      <c r="H637" s="24"/>
    </row>
    <row r="638" spans="1:8" ht="13.2">
      <c r="A638" s="65" t="str">
        <f>HYPERLINK("https://tioj.ck.tp.edu.tw/problems/1742","APIO 09-Oil")</f>
        <v>APIO 09-Oil</v>
      </c>
      <c r="B638" s="18" t="s">
        <v>6608</v>
      </c>
      <c r="C638" s="24">
        <v>6.25</v>
      </c>
      <c r="D638" s="65" t="str">
        <f>HYPERLINK("https://github.com/mostafa-saad/MyCompetitiveProgramming/blob/master/Olympiad/APIO/APIO-09-Oil.txt","Sol")</f>
        <v>Sol</v>
      </c>
      <c r="E638" s="31" t="s">
        <v>125</v>
      </c>
      <c r="F638" s="37" t="s">
        <v>201</v>
      </c>
      <c r="G638" s="24"/>
      <c r="H638" s="24"/>
    </row>
    <row r="639" spans="1:8" ht="13.2">
      <c r="A639" s="65" t="str">
        <f>HYPERLINK("https://oj.uz/problem/view/BOI19_olympiads","Baltic 19-olympiads")</f>
        <v>Baltic 19-olympiads</v>
      </c>
      <c r="B639" s="37" t="s">
        <v>6609</v>
      </c>
      <c r="C639" s="24">
        <v>6.25</v>
      </c>
      <c r="D639" s="65" t="str">
        <f>HYPERLINK("https://github.com/mostafa-saad/MyCompetitiveProgramming/blob/master/Olympiad/Baltic/Baltic-19-olympiads.txt","Sol")</f>
        <v>Sol</v>
      </c>
      <c r="E639" s="31" t="s">
        <v>125</v>
      </c>
      <c r="F639" s="37" t="s">
        <v>201</v>
      </c>
      <c r="G639" s="24"/>
      <c r="H639" s="24"/>
    </row>
    <row r="640" spans="1:8" ht="13.2">
      <c r="A640" s="65" t="str">
        <f>HYPERLINK("http://usaco.org/index.php?page=viewproblem2&amp;cpid=817", "USACO 18feb-newbarn-plat")</f>
        <v>USACO 18feb-newbarn-plat</v>
      </c>
      <c r="B640" s="20" t="s">
        <v>7452</v>
      </c>
      <c r="C640" s="21">
        <v>6.25</v>
      </c>
      <c r="D640" s="69"/>
      <c r="E640" s="31" t="s">
        <v>6345</v>
      </c>
      <c r="F640" s="37" t="s">
        <v>201</v>
      </c>
      <c r="G640" s="24"/>
      <c r="H640" s="24"/>
    </row>
    <row r="641" spans="1:8" ht="13.2">
      <c r="A641" s="65" t="str">
        <f>HYPERLINK("https://oj.uz/problem/view/COI19_ljetopica","COI 19-ljetopica")</f>
        <v>COI 19-ljetopica</v>
      </c>
      <c r="B641" s="37" t="s">
        <v>6876</v>
      </c>
      <c r="C641" s="24">
        <v>6.25</v>
      </c>
      <c r="D641" s="65" t="str">
        <f>HYPERLINK("https://github.com/mostafa-saad/MyCompetitiveProgramming/blob/master/Olympiad/COI/COI-19-ljetopica.txt","Sol")</f>
        <v>Sol</v>
      </c>
      <c r="E641" s="31" t="s">
        <v>1337</v>
      </c>
      <c r="F641" s="37" t="s">
        <v>201</v>
      </c>
      <c r="G641" s="24"/>
      <c r="H641" s="24"/>
    </row>
    <row r="642" spans="1:8" ht="13.2">
      <c r="A642" s="65" t="str">
        <f>HYPERLINK("https://cses.fi/105/list/","Baltic 10-Lego")</f>
        <v>Baltic 10-Lego</v>
      </c>
      <c r="B642" s="37" t="s">
        <v>6877</v>
      </c>
      <c r="C642" s="24">
        <v>6.25</v>
      </c>
      <c r="D642" s="65" t="str">
        <f>HYPERLINK("https://github.com/mostafa-saad/MyCompetitiveProgramming/blob/master/Olympiad/Baltic/official/boi2010_solutions","Editorial")</f>
        <v>Editorial</v>
      </c>
      <c r="E642" s="31" t="s">
        <v>1337</v>
      </c>
      <c r="F642" s="37" t="s">
        <v>201</v>
      </c>
      <c r="G642" s="24"/>
      <c r="H642" s="24"/>
    </row>
    <row r="643" spans="1:8" ht="13.2">
      <c r="A643" s="65" t="str">
        <f>HYPERLINK("https://contest.yandex.ru/ioi/contest/568/enter/","IOI 09-hiring")</f>
        <v>IOI 09-hiring</v>
      </c>
      <c r="B643" s="15" t="s">
        <v>2163</v>
      </c>
      <c r="C643" s="24">
        <v>6.25</v>
      </c>
      <c r="D643" s="65" t="str">
        <f>HYPERLINK("https://github.com/mostafa-saad/MyCompetitiveProgramming/blob/master/Olympiad/IOI/official/2009","Editorial")</f>
        <v>Editorial</v>
      </c>
      <c r="E643" s="31" t="s">
        <v>2153</v>
      </c>
      <c r="F643" s="37" t="s">
        <v>201</v>
      </c>
      <c r="G643" s="24"/>
      <c r="H643" s="24"/>
    </row>
    <row r="644" spans="1:8" ht="13.2">
      <c r="A644" s="65" t="str">
        <f>HYPERLINK("https://dmoj.ca/problem/coci07c2p6","COCI 07-Pravokutni")</f>
        <v>COCI 07-Pravokutni</v>
      </c>
      <c r="B644" s="15" t="s">
        <v>7074</v>
      </c>
      <c r="C644" s="24">
        <v>6.25</v>
      </c>
      <c r="D644" s="65" t="str">
        <f>HYPERLINK("https://github.com/mostafa-saad/MyCompetitiveProgramming/blob/master/Olympiad/COCI/COCI-07-Pravokutni.txt","Sol")</f>
        <v>Sol</v>
      </c>
      <c r="E644" s="31" t="s">
        <v>2510</v>
      </c>
      <c r="F644" s="37" t="s">
        <v>201</v>
      </c>
      <c r="G644" s="24"/>
      <c r="H644" s="24"/>
    </row>
    <row r="645" spans="1:8" ht="13.2">
      <c r="A645" s="65" t="str">
        <f>HYPERLINK("https://dmoj.ca/problem/coci14c1p6","COCI 14-Kamp")</f>
        <v>COCI 14-Kamp</v>
      </c>
      <c r="B645" s="37" t="s">
        <v>7147</v>
      </c>
      <c r="C645" s="24">
        <v>6.25</v>
      </c>
      <c r="D645" s="65" t="str">
        <f>HYPERLINK("https://github.com/mostafa-saad/MyCompetitiveProgramming/blob/master/Olympiad/COCI/COCI-14-Kamp.txt","Sol")</f>
        <v>Sol</v>
      </c>
      <c r="E645" s="31" t="s">
        <v>3257</v>
      </c>
      <c r="F645" s="37" t="s">
        <v>201</v>
      </c>
      <c r="G645" s="24"/>
      <c r="H645" s="24"/>
    </row>
    <row r="646" spans="1:8" ht="13.2">
      <c r="A646" s="65" t="str">
        <f>HYPERLINK("https://oj.uz/problem/view/IOI08_islands","IOI 08-islands")</f>
        <v>IOI 08-islands</v>
      </c>
      <c r="B646" s="20" t="s">
        <v>7191</v>
      </c>
      <c r="C646" s="24">
        <v>6.25</v>
      </c>
      <c r="D646" s="65" t="str">
        <f>HYPERLINK("https://github.com/mostafa-saad/MyCompetitiveProgramming/blob/master/Olympiad/IOI/official/2008","Editorial")</f>
        <v>Editorial</v>
      </c>
      <c r="E646" s="31" t="s">
        <v>3650</v>
      </c>
      <c r="F646" s="37" t="s">
        <v>201</v>
      </c>
      <c r="G646" s="24"/>
      <c r="H646" s="24"/>
    </row>
    <row r="647" spans="1:8" ht="13.2">
      <c r="A647" s="65" t="str">
        <f>HYPERLINK("https://oj.uz/problem/view/IOI14_game","IOI 14-game")</f>
        <v>IOI 14-game</v>
      </c>
      <c r="B647" s="18" t="s">
        <v>7236</v>
      </c>
      <c r="C647" s="17">
        <v>6.25</v>
      </c>
      <c r="D647" s="65" t="str">
        <f>HYPERLINK("https://github.com/mostafa-saad/MyCompetitiveProgramming/blob/master/Olympiad/IOI/IOI-14-game.txt","Sol")</f>
        <v>Sol</v>
      </c>
      <c r="E647" s="31" t="s">
        <v>3883</v>
      </c>
      <c r="F647" s="37" t="s">
        <v>201</v>
      </c>
      <c r="G647" s="24"/>
      <c r="H647" s="24"/>
    </row>
    <row r="648" spans="1:8" ht="13.2">
      <c r="A648" s="65" t="str">
        <f>HYPERLINK("https://oj.uz/problem/view/BOI14_postmen","Baltic 14-postmen")</f>
        <v>Baltic 14-postmen</v>
      </c>
      <c r="B648" s="20" t="s">
        <v>7250</v>
      </c>
      <c r="C648" s="24">
        <v>6.25</v>
      </c>
      <c r="D648" s="65" t="str">
        <f>HYPERLINK("https://github.com/mostafa-saad/MyCompetitiveProgramming/blob/master/Olympiad/Baltic/Baltic-14-postmen.txt","Sol")</f>
        <v>Sol</v>
      </c>
      <c r="E648" s="31" t="s">
        <v>3955</v>
      </c>
      <c r="F648" s="37" t="s">
        <v>201</v>
      </c>
      <c r="G648" s="24"/>
      <c r="H648" s="24"/>
    </row>
    <row r="649" spans="1:8" ht="13.2">
      <c r="A649" s="65" t="str">
        <f>HYPERLINK("https://szkopul.edu.pl/problemset/problem/kTJwMBMs_vXtliFNlHAZ0Hcu/site/","CEOI 04-Football")</f>
        <v>CEOI 04-Football</v>
      </c>
      <c r="B649" s="37" t="s">
        <v>7314</v>
      </c>
      <c r="C649" s="24">
        <v>6.25</v>
      </c>
      <c r="D649" s="65" t="str">
        <f>HYPERLINK("https://github.com/mostafa-saad/MyCompetitiveProgramming/blob/master/Olympiad/CEOI/CEOI-04-Football.txt","Sol")</f>
        <v>Sol</v>
      </c>
      <c r="E649" s="31" t="s">
        <v>4531</v>
      </c>
      <c r="F649" s="37" t="s">
        <v>201</v>
      </c>
      <c r="G649" s="24"/>
      <c r="H649" s="24"/>
    </row>
    <row r="650" spans="1:8" ht="13.2">
      <c r="A650" s="65" t="str">
        <f>HYPERLINK("https://cses.fi/186/list/","CEOI 06-Meandian")</f>
        <v>CEOI 06-Meandian</v>
      </c>
      <c r="B650" s="20" t="s">
        <v>124</v>
      </c>
      <c r="C650" s="24">
        <v>6.25</v>
      </c>
      <c r="D650" s="65" t="str">
        <f>HYPERLINK("https://github.com/mostafa-saad/MyCompetitiveProgramming/blob/master/Olympiad/CEOI/CEOI-06-Meandian.txt","Sol")</f>
        <v>Sol</v>
      </c>
      <c r="E650" s="31" t="s">
        <v>125</v>
      </c>
      <c r="F650" s="37"/>
      <c r="G650" s="24"/>
      <c r="H650" s="24"/>
    </row>
    <row r="651" spans="1:8" ht="13.2">
      <c r="A651" s="65" t="str">
        <f>HYPERLINK("https://joisc2013-day4.contest.atcoder.jp/tasks/joisc2013_messenger","JOISC 13-Messenger")</f>
        <v>JOISC 13-Messenger</v>
      </c>
      <c r="B651" s="20" t="s">
        <v>6610</v>
      </c>
      <c r="C651" s="24">
        <v>6.25</v>
      </c>
      <c r="D651" s="69"/>
      <c r="E651" s="31" t="s">
        <v>125</v>
      </c>
      <c r="F651" s="37"/>
      <c r="G651" s="24"/>
      <c r="H651" s="24"/>
    </row>
    <row r="652" spans="1:8" ht="13.2">
      <c r="A652" s="65" t="str">
        <f>HYPERLINK("https://oj.uz/problem/view/COCI18_clickbait","COCI 18-clickbait")</f>
        <v>COCI 18-clickbait</v>
      </c>
      <c r="B652" s="20" t="s">
        <v>7400</v>
      </c>
      <c r="C652" s="24">
        <v>6.25</v>
      </c>
      <c r="D652" s="69"/>
      <c r="E652" s="31" t="s">
        <v>5958</v>
      </c>
      <c r="F652" s="37"/>
      <c r="G652" s="24"/>
      <c r="H652" s="24"/>
    </row>
    <row r="653" spans="1:8" ht="13.2">
      <c r="A653" s="65" t="str">
        <f>HYPERLINK("https://oj.uz/problem/view/COI17_zagrade","COI 17-zagrade")</f>
        <v>COI 17-zagrade</v>
      </c>
      <c r="B653" s="20" t="s">
        <v>7453</v>
      </c>
      <c r="C653" s="24">
        <v>6.25</v>
      </c>
      <c r="D653" s="65" t="str">
        <f>HYPERLINK("https://github.com/mostafa-saad/MyCompetitiveProgramming/blob/master/Olympiad/COI/COI-17-zagrade.txt","Sol")</f>
        <v>Sol</v>
      </c>
      <c r="E653" s="31" t="s">
        <v>6345</v>
      </c>
      <c r="F653" s="37"/>
      <c r="G653" s="24"/>
      <c r="H653" s="24"/>
    </row>
    <row r="654" spans="1:8" ht="13.2">
      <c r="A654" s="65" t="str">
        <f>HYPERLINK("https://oj.uz/problem/view/APIO14_sequence", "APIO 14-Sequence")</f>
        <v>APIO 14-Sequence</v>
      </c>
      <c r="B654" s="15" t="s">
        <v>7461</v>
      </c>
      <c r="C654" s="17">
        <v>6.25</v>
      </c>
      <c r="D654" s="65" t="str">
        <f>HYPERLINK("https://github.com/mostafa-saad/MyCompetitiveProgramming/blob/master/Olympiad/APIO/APIO-14-Sequence.txt","Sol")</f>
        <v>Sol</v>
      </c>
      <c r="E654" s="31" t="s">
        <v>6362</v>
      </c>
      <c r="F654" s="37"/>
      <c r="G654" s="24"/>
      <c r="H654" s="24"/>
    </row>
    <row r="655" spans="1:8" ht="13.2">
      <c r="A655" s="65" t="str">
        <f>HYPERLINK("https://dmoj.ca/problem/apio10p1","APIO 10-Commando")</f>
        <v>APIO 10-Commando</v>
      </c>
      <c r="B655" s="20" t="s">
        <v>7462</v>
      </c>
      <c r="C655" s="17">
        <v>6.25</v>
      </c>
      <c r="D655" s="65" t="str">
        <f>HYPERLINK("https://github.com/timpostuvan/CompetitiveProgramming/blob/master/Olympiad/APIO/Commando2010.cpp","Sol")</f>
        <v>Sol</v>
      </c>
      <c r="E655" s="31" t="s">
        <v>6362</v>
      </c>
      <c r="F655" s="37"/>
      <c r="G655" s="24"/>
      <c r="H655" s="24"/>
    </row>
    <row r="656" spans="1:8" ht="13.2">
      <c r="A656" s="65" t="str">
        <f>HYPERLINK("https://open.kattis.com/problem-sources/Baltic%20Olympiad%20in%20Informatics%202017%2C%20Day%201","Baltic 17-Toll")</f>
        <v>Baltic 17-Toll</v>
      </c>
      <c r="B656" s="18" t="s">
        <v>6778</v>
      </c>
      <c r="C656" s="17">
        <v>6.25</v>
      </c>
      <c r="D656" s="65" t="str">
        <f>HYPERLINK("https://github.com/Szawinis/CompetitiveProgramming/blob/master/Olympiad/Baltic/Baltic17-toll.cpp","Sol")</f>
        <v>Sol</v>
      </c>
      <c r="E656" s="31" t="s">
        <v>1018</v>
      </c>
      <c r="F656" s="37"/>
      <c r="G656" s="24"/>
      <c r="H656" s="24"/>
    </row>
    <row r="657" spans="1:8" ht="13.2">
      <c r="A657" s="65" t="str">
        <f>HYPERLINK("https://oj.uz/problem/view/COCI17_plahte","COCI 17-plahte")</f>
        <v>COCI 17-plahte</v>
      </c>
      <c r="B657" s="37" t="s">
        <v>6779</v>
      </c>
      <c r="C657" s="24">
        <v>6.25</v>
      </c>
      <c r="D657" s="65" t="str">
        <f>HYPERLINK("https://github.com/mostafa-saad/MyCompetitiveProgramming/blob/master/Olympiad/COCI/official/2018/contest1_solutions","Editorial")</f>
        <v>Editorial</v>
      </c>
      <c r="E657" s="31" t="s">
        <v>1018</v>
      </c>
      <c r="F657" s="37"/>
      <c r="G657" s="24"/>
      <c r="H657" s="24"/>
    </row>
    <row r="658" spans="1:8" ht="13.2">
      <c r="A658" s="65" t="str">
        <f>HYPERLINK("https://szkopul.edu.pl/problemset/problem/k-RYEjhwNTo_XdaCidXQUGMU/site/", "POI 15-Movie")</f>
        <v>POI 15-Movie</v>
      </c>
      <c r="B658" s="37" t="s">
        <v>1017</v>
      </c>
      <c r="C658" s="24">
        <v>6.25</v>
      </c>
      <c r="D658" s="65" t="str">
        <f>HYPERLINK("https://github.com/mostafa-saad/MyCompetitiveProgramming/blob/master/Olympiad/POI/official/find_editorial_sols_guidelines.txt","Editorial")</f>
        <v>Editorial</v>
      </c>
      <c r="E658" s="31" t="s">
        <v>1018</v>
      </c>
      <c r="F658" s="37"/>
      <c r="G658" s="24"/>
      <c r="H658" s="24"/>
    </row>
    <row r="659" spans="1:8" ht="13.2">
      <c r="A659" s="65" t="str">
        <f>HYPERLINK("https://cses.fi/179/list/","CEOI 09-Harbingers")</f>
        <v>CEOI 09-Harbingers</v>
      </c>
      <c r="B659" s="20" t="s">
        <v>6780</v>
      </c>
      <c r="C659" s="24">
        <v>6.25</v>
      </c>
      <c r="D659" s="65" t="str">
        <f>HYPERLINK("https://github.com/mostafa-saad/MyCompetitiveProgramming/tree/master/Olympiad/CEOI/official/2009","Editorial")</f>
        <v>Editorial</v>
      </c>
      <c r="E659" s="31" t="s">
        <v>1018</v>
      </c>
      <c r="F659" s="37"/>
      <c r="G659" s="24"/>
      <c r="H659" s="24"/>
    </row>
    <row r="660" spans="1:8" ht="13.2">
      <c r="A660" s="65" t="str">
        <f>HYPERLINK("https://oj.uz/problem/view/COI15_dostava","COI 15-dostava")</f>
        <v>COI 15-dostava</v>
      </c>
      <c r="B660" s="74" t="s">
        <v>7625</v>
      </c>
      <c r="C660" s="66">
        <v>6.25</v>
      </c>
      <c r="D660" s="65" t="str">
        <f>HYPERLINK("https://github.com/mostafa-saad/MyCompetitiveProgramming/tree/master/Olympiad/COI/official/2015","Editorial")</f>
        <v>Editorial</v>
      </c>
      <c r="E660" s="31" t="s">
        <v>1018</v>
      </c>
      <c r="F660" s="37"/>
      <c r="G660" s="24"/>
      <c r="H660" s="24"/>
    </row>
    <row r="661" spans="1:8" ht="13.2">
      <c r="A661" s="65" t="str">
        <f>HYPERLINK("https://szkopul.edu.pl/problemset/problem/9JvSAnyf5d1FlPAEXEdUAtCz/site/", "POI 18-Polynomial")</f>
        <v>POI 18-Polynomial</v>
      </c>
      <c r="B661" s="37" t="s">
        <v>6515</v>
      </c>
      <c r="C661" s="24">
        <v>6.25</v>
      </c>
      <c r="D661" s="65" t="str">
        <f>HYPERLINK("https://github.com/tmwilliamlin168/CompetitiveProgramming/blob/master/POI/25-Polynomial.cpp", "Sol")</f>
        <v>Sol</v>
      </c>
      <c r="E661" s="31" t="s">
        <v>6511</v>
      </c>
      <c r="F661" s="37"/>
      <c r="G661" s="24"/>
      <c r="H661" s="24"/>
    </row>
    <row r="662" spans="1:8" ht="13.2">
      <c r="A662" s="65" t="str">
        <f>HYPERLINK("https://szkopul.edu.pl/problemset/problem/VeQ6A1Xb8DUSlbUb8eQncsFX/site/", "POI 15-Squares")</f>
        <v>POI 15-Squares</v>
      </c>
      <c r="B662" s="37" t="s">
        <v>6878</v>
      </c>
      <c r="C662" s="24">
        <v>6.25</v>
      </c>
      <c r="D662" s="65" t="str">
        <f>HYPERLINK("https://github.com/mostafa-saad/MyCompetitiveProgramming/blob/master/Olympiad/POI/POI-15-Squares.txt","Sol")</f>
        <v>Sol</v>
      </c>
      <c r="E662" s="31" t="s">
        <v>1337</v>
      </c>
      <c r="F662" s="37"/>
      <c r="G662" s="24"/>
      <c r="H662" s="24"/>
    </row>
    <row r="663" spans="1:8" ht="13.2">
      <c r="A663" s="65" t="str">
        <f>HYPERLINK("https://contest.yandex.ru/ioi/contest/562/problems/D/","IOI 06-mexico")</f>
        <v>IOI 06-mexico</v>
      </c>
      <c r="B663" s="15" t="s">
        <v>6879</v>
      </c>
      <c r="C663" s="24">
        <v>6.25</v>
      </c>
      <c r="D663" s="65" t="str">
        <f>HYPERLINK("https://github.com/mostafa-saad/MyCompetitiveProgramming/blob/master/Olympiad/IOI/official/2006/ioi06_mexico_sol.pdf","Editorial")</f>
        <v>Editorial</v>
      </c>
      <c r="E663" s="31" t="s">
        <v>1337</v>
      </c>
      <c r="F663" s="37"/>
      <c r="G663" s="24"/>
      <c r="H663" s="24"/>
    </row>
    <row r="664" spans="1:8" ht="13.2">
      <c r="A664" s="65" t="str">
        <f>HYPERLINK("https://www.infoarena.ro/problema/aiacupalindroame","infoarena aiacupalindroame")</f>
        <v>infoarena aiacupalindroame</v>
      </c>
      <c r="B664" s="20" t="s">
        <v>6880</v>
      </c>
      <c r="C664" s="17">
        <v>6.25</v>
      </c>
      <c r="D664" s="65" t="str">
        <f>HYPERLINK("https://github.com/stefdasca/CompetitiveProgramming/blob/master/Infoarena/aiacupalindroame.cpp","Sol")</f>
        <v>Sol</v>
      </c>
      <c r="E664" s="31" t="s">
        <v>1337</v>
      </c>
      <c r="F664" s="37"/>
      <c r="G664" s="24"/>
      <c r="H664" s="24"/>
    </row>
    <row r="665" spans="1:8" ht="13.2">
      <c r="A665" s="65" t="str">
        <f>HYPERLINK("https://dunjudge.me/analysis/problems/753/","IOI 01-ioiwari")</f>
        <v>IOI 01-ioiwari</v>
      </c>
      <c r="B665" s="20" t="s">
        <v>6881</v>
      </c>
      <c r="C665" s="24">
        <v>6.25</v>
      </c>
      <c r="D665" s="65" t="str">
        <f>HYPERLINK("https://github.com/mostafa-saad/MyCompetitiveProgramming/blob/master/Olympiad/IOI/official/2001","Editorial")</f>
        <v>Editorial</v>
      </c>
      <c r="E665" s="31" t="s">
        <v>1337</v>
      </c>
      <c r="F665" s="37"/>
      <c r="G665" s="24"/>
      <c r="H665" s="24"/>
    </row>
    <row r="666" spans="1:8" ht="13.2">
      <c r="A666" s="65" t="str">
        <f>HYPERLINK("https://oj.uz/problem/view/POI13_tak","POI 13-Taxis")</f>
        <v>POI 13-Taxis</v>
      </c>
      <c r="B666" s="37" t="s">
        <v>7584</v>
      </c>
      <c r="C666" s="17">
        <v>6.25</v>
      </c>
      <c r="D666" s="69"/>
      <c r="E666" s="31" t="s">
        <v>7525</v>
      </c>
      <c r="F666" s="37"/>
      <c r="G666" s="24"/>
      <c r="H666" s="24"/>
    </row>
    <row r="667" spans="1:8" ht="13.2">
      <c r="A667" s="65" t="str">
        <f>HYPERLINK("https://cses.fi/187/list/","CEOI 07-Ministry")</f>
        <v>CEOI 07-Ministry</v>
      </c>
      <c r="B667" s="20" t="s">
        <v>7527</v>
      </c>
      <c r="C667" s="24">
        <v>6.25</v>
      </c>
      <c r="D667" s="69"/>
      <c r="E667" s="31" t="s">
        <v>7525</v>
      </c>
      <c r="F667" s="37"/>
      <c r="G667" s="24"/>
      <c r="H667" s="24"/>
    </row>
    <row r="668" spans="1:8" ht="13.2">
      <c r="A668" s="65" t="str">
        <f>HYPERLINK("https://joisc2014.contest.atcoder.jp/tasks/joisc2014_j","JOISC 14-Voltage")</f>
        <v>JOISC 14-Voltage</v>
      </c>
      <c r="B668" s="20" t="s">
        <v>7626</v>
      </c>
      <c r="C668" s="24">
        <v>6.25</v>
      </c>
      <c r="D668" s="69"/>
      <c r="E668" s="31" t="s">
        <v>7525</v>
      </c>
      <c r="F668" s="37"/>
      <c r="G668" s="24"/>
      <c r="H668" s="24"/>
    </row>
    <row r="669" spans="1:8" ht="13.2">
      <c r="A669" s="65" t="str">
        <f>HYPERLINK("https://joisc2016.contest.atcoder.jp/tasks/joisc2016_e","JOISC 16-Sandwich")</f>
        <v>JOISC 16-Sandwich</v>
      </c>
      <c r="B669" s="20" t="s">
        <v>7627</v>
      </c>
      <c r="C669" s="24">
        <v>6.25</v>
      </c>
      <c r="D669" s="69"/>
      <c r="E669" s="31" t="s">
        <v>7525</v>
      </c>
      <c r="F669" s="37"/>
      <c r="G669" s="24"/>
      <c r="H669" s="24"/>
    </row>
    <row r="670" spans="1:8" ht="13.2">
      <c r="A670" s="65" t="str">
        <f>HYPERLINK("https://joisc2016.contest.atcoder.jp/tasks/joisc2016_j","JOISC 16-Skating")</f>
        <v>JOISC 16-Skating</v>
      </c>
      <c r="B670" s="20" t="s">
        <v>7628</v>
      </c>
      <c r="C670" s="24">
        <v>6.25</v>
      </c>
      <c r="D670" s="69"/>
      <c r="E670" s="31" t="s">
        <v>7525</v>
      </c>
      <c r="F670" s="37"/>
      <c r="G670" s="24"/>
      <c r="H670" s="24"/>
    </row>
    <row r="671" spans="1:8" ht="13.2">
      <c r="A671" s="65" t="str">
        <f>HYPERLINK("https://joisc2016.contest.atcoder.jp/tasks/joisc2016_c","JOISC 16-Solitaire")</f>
        <v>JOISC 16-Solitaire</v>
      </c>
      <c r="B671" s="20" t="s">
        <v>7629</v>
      </c>
      <c r="C671" s="24">
        <v>6.25</v>
      </c>
      <c r="D671" s="69"/>
      <c r="E671" s="31" t="s">
        <v>7525</v>
      </c>
      <c r="F671" s="37"/>
      <c r="G671" s="24"/>
      <c r="H671" s="24"/>
    </row>
    <row r="672" spans="1:8" ht="13.2">
      <c r="A672" s="65" t="str">
        <f>HYPERLINK("https://joisc2016.contest.atcoder.jp/tasks/joisc2016_h","JOISC 16-Sushi")</f>
        <v>JOISC 16-Sushi</v>
      </c>
      <c r="B672" s="20" t="s">
        <v>7630</v>
      </c>
      <c r="C672" s="24">
        <v>6.25</v>
      </c>
      <c r="D672" s="69"/>
      <c r="E672" s="31" t="s">
        <v>7525</v>
      </c>
      <c r="F672" s="37"/>
      <c r="G672" s="24"/>
      <c r="H672" s="24"/>
    </row>
    <row r="673" spans="1:8" ht="13.2">
      <c r="A673" s="65" t="str">
        <f>HYPERLINK("https://joisc2016.contest.atcoder.jp/tasks/joisc2016_f","JOISC 16-Toilets")</f>
        <v>JOISC 16-Toilets</v>
      </c>
      <c r="B673" s="20" t="s">
        <v>7631</v>
      </c>
      <c r="C673" s="24">
        <v>6.25</v>
      </c>
      <c r="D673" s="69"/>
      <c r="E673" s="31" t="s">
        <v>7525</v>
      </c>
      <c r="F673" s="37"/>
      <c r="G673" s="24"/>
      <c r="H673" s="24"/>
    </row>
    <row r="674" spans="1:8" ht="13.2">
      <c r="A674" s="65" t="str">
        <f>HYPERLINK("https://szkopul.edu.pl/problemset/problem/Orc2Z7ti1xLaUUQDT1a6RGR5/site/", "POI 16-Stutter")</f>
        <v>POI 16-Stutter</v>
      </c>
      <c r="B674" s="37" t="s">
        <v>6948</v>
      </c>
      <c r="C674" s="24">
        <v>6.25</v>
      </c>
      <c r="D674" s="65" t="str">
        <f>HYPERLINK("https://github.com/mostafa-saad/MyCompetitiveProgramming/blob/master/Olympiad/POI/POI-16-Stutter.txt","Sol")</f>
        <v>Sol</v>
      </c>
      <c r="E674" s="31" t="s">
        <v>1793</v>
      </c>
      <c r="F674" s="37"/>
      <c r="G674" s="24"/>
      <c r="H674" s="24"/>
    </row>
    <row r="675" spans="1:8" ht="13.2">
      <c r="A675" s="65" t="str">
        <f>HYPERLINK("https://oj.uz/problem/view/JOI17_long_mansion","JOISC 17-long_mansion")</f>
        <v>JOISC 17-long_mansion</v>
      </c>
      <c r="B675" s="20" t="s">
        <v>7004</v>
      </c>
      <c r="C675" s="24">
        <v>6.25</v>
      </c>
      <c r="D675" s="65" t="str">
        <f>HYPERLINK("https://github.com/nikolapesic2802/Programming-Practice/blob/master/Long%20Mansion/main.cpp","Sol")</f>
        <v>Sol</v>
      </c>
      <c r="E675" s="31" t="s">
        <v>2153</v>
      </c>
      <c r="F675" s="37"/>
      <c r="G675" s="24"/>
      <c r="H675" s="24"/>
    </row>
    <row r="676" spans="1:8" ht="13.2">
      <c r="A676" s="65" t="str">
        <f>HYPERLINK("https://wcipeg.com/problem/coci092p6","COCI 09-Pasijans")</f>
        <v>COCI 09-Pasijans</v>
      </c>
      <c r="B676" s="15" t="s">
        <v>7005</v>
      </c>
      <c r="C676" s="24">
        <v>6.25</v>
      </c>
      <c r="D676" s="65" t="str">
        <f>HYPERLINK("https://github.com/mostafa-saad/MyCompetitiveProgramming/blob/master/Olympiad/COCI/official/2010/contest2_solutions","Editorial")</f>
        <v>Editorial</v>
      </c>
      <c r="E676" s="31" t="s">
        <v>2153</v>
      </c>
      <c r="F676" s="37"/>
      <c r="G676" s="24"/>
      <c r="H676" s="24"/>
    </row>
    <row r="677" spans="1:8" ht="13.2">
      <c r="A677" s="65" t="str">
        <f>HYPERLINK("https://dunjudge.me/analysis/problems/704/","NOI 15-banana_farm")</f>
        <v>NOI 15-banana_farm</v>
      </c>
      <c r="B677" s="37" t="s">
        <v>6687</v>
      </c>
      <c r="C677" s="24">
        <v>6.25</v>
      </c>
      <c r="D677" s="65" t="str">
        <f>HYPERLINK("https://github.com/mostafa-saad/MyCompetitiveProgramming/blob/master/Olympiad/NOI/official","Editorial")</f>
        <v>Editorial</v>
      </c>
      <c r="E677" s="31" t="s">
        <v>575</v>
      </c>
      <c r="F677" s="37"/>
      <c r="G677" s="24"/>
      <c r="H677" s="24"/>
    </row>
    <row r="678" spans="1:8" ht="13.2">
      <c r="A678" s="65" t="str">
        <f>HYPERLINK("https://joisc2013-day2.contest.atcoder.jp/tasks/joisc2013_construction","JOISC 13-Construct")</f>
        <v>JOISC 13-Construct</v>
      </c>
      <c r="B678" s="20" t="s">
        <v>7632</v>
      </c>
      <c r="C678" s="24">
        <v>6.25</v>
      </c>
      <c r="D678" s="69"/>
      <c r="E678" s="31" t="s">
        <v>3883</v>
      </c>
      <c r="F678" s="37"/>
      <c r="G678" s="24"/>
      <c r="H678" s="24"/>
    </row>
    <row r="679" spans="1:8" ht="13.2">
      <c r="A679" s="65" t="str">
        <f>HYPERLINK("https://www.infoarena.ro/problema/jap2","infoarena jap2")</f>
        <v>infoarena jap2</v>
      </c>
      <c r="B679" s="20" t="s">
        <v>7315</v>
      </c>
      <c r="C679" s="17">
        <v>6.25</v>
      </c>
      <c r="D679" s="65" t="str">
        <f>HYPERLINK("https://github.com/mostafa-saad/MyCompetitiveProgramming/blob/master/Olympiad/infoarena/infoarena-jap2.txt","Sol")</f>
        <v>Sol</v>
      </c>
      <c r="E679" s="31" t="s">
        <v>4531</v>
      </c>
      <c r="F679" s="37"/>
      <c r="G679" s="24"/>
      <c r="H679" s="24"/>
    </row>
    <row r="680" spans="1:8" ht="13.2">
      <c r="A680" s="65" t="str">
        <f>HYPERLINK("https://www.infoarena.ro/problema/meneaito","infoarena meneaito")</f>
        <v>infoarena meneaito</v>
      </c>
      <c r="B680" s="20" t="s">
        <v>7316</v>
      </c>
      <c r="C680" s="17">
        <v>6.25</v>
      </c>
      <c r="D680" s="65" t="str">
        <f>HYPERLINK("https://github.com/stefdasca/CompetitiveProgramming/blob/master/Infoarena/meneaito.cpp","Sol")</f>
        <v>Sol</v>
      </c>
      <c r="E680" s="31" t="s">
        <v>4531</v>
      </c>
      <c r="F680" s="37"/>
      <c r="G680" s="24"/>
      <c r="H680" s="24"/>
    </row>
    <row r="681" spans="1:8" ht="13.2">
      <c r="A681" s="65" t="str">
        <f>HYPERLINK("https://contest.yandex.ru/roiarchive/contest/2170/problems/8","RusOI-reg 16-sequence")</f>
        <v>RusOI-reg 16-sequence</v>
      </c>
      <c r="B681" s="23" t="s">
        <v>7334</v>
      </c>
      <c r="C681" s="24">
        <v>6.25</v>
      </c>
      <c r="D681" s="69"/>
      <c r="E681" s="31" t="s">
        <v>4778</v>
      </c>
      <c r="F681" s="37"/>
      <c r="G681" s="24"/>
      <c r="H681" s="24"/>
    </row>
    <row r="682" spans="1:8" ht="13.2">
      <c r="A682" s="65" t="str">
        <f>HYPERLINK("https://oj.uz/problem/view/IZhO13_school","IZhO 13-school")</f>
        <v>IZhO 13-school</v>
      </c>
      <c r="B682" s="23" t="s">
        <v>7006</v>
      </c>
      <c r="C682" s="24">
        <v>6.1</v>
      </c>
      <c r="D682" s="65" t="str">
        <f>HYPERLINK("https://github.com/mostafa-saad/MyCompetitiveProgramming/blob/master/Olympiad/IZhO/IZhO-13-school.txt","Sol")</f>
        <v>Sol</v>
      </c>
      <c r="E682" s="31" t="s">
        <v>2153</v>
      </c>
      <c r="F682" s="37" t="s">
        <v>154</v>
      </c>
      <c r="G682" s="24"/>
      <c r="H682" s="24"/>
    </row>
    <row r="683" spans="1:8" ht="13.2">
      <c r="A683" s="65" t="str">
        <f>HYPERLINK("https://dunjudge.me/analysis/problems/1663/","IOIPractice 17-coins")</f>
        <v>IOIPractice 17-coins</v>
      </c>
      <c r="B683" s="18" t="s">
        <v>7317</v>
      </c>
      <c r="C683" s="17">
        <v>6.1</v>
      </c>
      <c r="D683" s="65" t="str">
        <f>HYPERLINK("https://github.com/mostafa-saad/MyCompetitiveProgramming/blob/master/Olympiad/IOI/IOIPractice-17-coins.txt","Sol")</f>
        <v>Sol</v>
      </c>
      <c r="E683" s="31" t="s">
        <v>4531</v>
      </c>
      <c r="F683" s="37" t="s">
        <v>154</v>
      </c>
      <c r="G683" s="24"/>
      <c r="H683" s="24"/>
    </row>
    <row r="684" spans="1:8" ht="13.2">
      <c r="A684" s="65" t="str">
        <f>HYPERLINK("https://oj.uz/problem/view/APIO15_skyscraper","APIO 15-skyscraper")</f>
        <v>APIO 15-skyscraper</v>
      </c>
      <c r="B684" s="18" t="s">
        <v>7215</v>
      </c>
      <c r="C684" s="17">
        <v>6.1</v>
      </c>
      <c r="D684" s="65" t="str">
        <f>HYPERLINK("https://github.com/mostafa-saad/MyCompetitiveProgramming/blob/master/Olympiad/APIO/APIO-15-skyscraper.txt","Sol")</f>
        <v>Sol</v>
      </c>
      <c r="E684" s="31" t="s">
        <v>3784</v>
      </c>
      <c r="F684" s="37" t="s">
        <v>196</v>
      </c>
      <c r="G684" s="24"/>
      <c r="H684" s="24"/>
    </row>
    <row r="685" spans="1:8" ht="13.2">
      <c r="A685" s="65" t="str">
        <f>HYPERLINK("https://oj.uz/problem/view/BOI19_nautilus","Baltic 19-nautilus")</f>
        <v>Baltic 19-nautilus</v>
      </c>
      <c r="B685" s="37" t="s">
        <v>6611</v>
      </c>
      <c r="C685" s="24">
        <v>6.1</v>
      </c>
      <c r="D685" s="65" t="str">
        <f>HYPERLINK("https://github.com/mostafa-saad/MyCompetitiveProgramming/blob/master/Olympiad/Baltic/Baltic-19-nautilus.txt","Sol")</f>
        <v>Sol</v>
      </c>
      <c r="E685" s="31" t="s">
        <v>125</v>
      </c>
      <c r="F685" s="37" t="s">
        <v>139</v>
      </c>
      <c r="G685" s="24"/>
      <c r="H685" s="24"/>
    </row>
    <row r="686" spans="1:8" ht="13.2">
      <c r="A686" s="65" t="str">
        <f>HYPERLINK("http://usaco.org/index.php?page=viewproblem2&amp;cpid=947","USACO 19mar-balancing-gold")</f>
        <v>USACO 19mar-balancing-gold</v>
      </c>
      <c r="B686" s="20" t="s">
        <v>6612</v>
      </c>
      <c r="C686" s="17">
        <v>6.1</v>
      </c>
      <c r="D686" s="69"/>
      <c r="E686" s="31" t="s">
        <v>125</v>
      </c>
      <c r="F686" s="37" t="s">
        <v>139</v>
      </c>
      <c r="G686" s="24"/>
      <c r="H686" s="24"/>
    </row>
    <row r="687" spans="1:8" ht="13.2">
      <c r="A687" s="65" t="str">
        <f>HYPERLINK("https://dmoj.ca/problem/ioi02p4","IOI 02-Batch")</f>
        <v>IOI 02-Batch</v>
      </c>
      <c r="B687" s="20" t="s">
        <v>6882</v>
      </c>
      <c r="C687" s="24">
        <v>6.1</v>
      </c>
      <c r="D687" s="65" t="str">
        <f>HYPERLINK("https://github.com/mostafa-saad/MyCompetitiveProgramming/blob/master/Olympiad/IOI/IOI-02-Batch.txt","Sol")</f>
        <v>Sol</v>
      </c>
      <c r="E687" s="31" t="s">
        <v>1337</v>
      </c>
      <c r="F687" s="37" t="s">
        <v>139</v>
      </c>
      <c r="G687" s="24"/>
      <c r="H687" s="24"/>
    </row>
    <row r="688" spans="1:8" ht="13.2">
      <c r="A688" s="65" t="str">
        <f>HYPERLINK("https://wcipeg.com/problem/coci096p4","COCI 09-Xor")</f>
        <v>COCI 09-Xor</v>
      </c>
      <c r="B688" s="15" t="s">
        <v>7075</v>
      </c>
      <c r="C688" s="24">
        <v>6.1</v>
      </c>
      <c r="D688" s="65" t="str">
        <f>HYPERLINK("https://github.com/mostafa-saad/MyCompetitiveProgramming/blob/master/Olympiad/COCI/COCI-09-Xor.txt","Sol")</f>
        <v>Sol</v>
      </c>
      <c r="E688" s="31" t="s">
        <v>2510</v>
      </c>
      <c r="F688" s="37" t="s">
        <v>139</v>
      </c>
      <c r="G688" s="24"/>
      <c r="H688" s="24"/>
    </row>
    <row r="689" spans="1:8" ht="13.2">
      <c r="A689" s="65" t="str">
        <f>HYPERLINK("https://oj.uz/problem/view/IZhO18_plan","IZHO 18-plan")</f>
        <v>IZHO 18-plan</v>
      </c>
      <c r="B689" s="23" t="s">
        <v>7297</v>
      </c>
      <c r="C689" s="24">
        <v>6.1</v>
      </c>
      <c r="D689" s="69"/>
      <c r="E689" s="31" t="s">
        <v>4454</v>
      </c>
      <c r="F689" s="37" t="s">
        <v>139</v>
      </c>
      <c r="G689" s="24"/>
      <c r="H689" s="24"/>
    </row>
    <row r="690" spans="1:8" ht="13.2">
      <c r="A690" s="65" t="str">
        <f>HYPERLINK("https://szkopul.edu.pl/problemset/problem/APWi6y6XTt5ujve8ynI_FNJ1/site/", "POI 14-Criminals")</f>
        <v>POI 14-Criminals</v>
      </c>
      <c r="B690" s="37" t="s">
        <v>3139</v>
      </c>
      <c r="C690" s="17">
        <v>6.1</v>
      </c>
      <c r="D690" s="65" t="str">
        <f>HYPERLINK("https://github.com/mostafa-saad/MyCompetitiveProgramming/blob/master/Olympiad/POI/POI-14-Criminals.txt","Sol")</f>
        <v>Sol</v>
      </c>
      <c r="E690" s="31" t="s">
        <v>3140</v>
      </c>
      <c r="F690" s="37" t="s">
        <v>242</v>
      </c>
      <c r="G690" s="24"/>
      <c r="H690" s="24"/>
    </row>
    <row r="691" spans="1:8" ht="13.2">
      <c r="A691" s="65" t="str">
        <f>HYPERLINK("https://www.infoarena.ro/problema/arb","infoarena arb")</f>
        <v>infoarena arb</v>
      </c>
      <c r="B691" s="20" t="s">
        <v>1165</v>
      </c>
      <c r="C691" s="21">
        <v>6.1</v>
      </c>
      <c r="D691" s="69"/>
      <c r="E691" s="31" t="s">
        <v>1018</v>
      </c>
      <c r="F691" s="37"/>
      <c r="G691" s="24"/>
      <c r="H691" s="24"/>
    </row>
    <row r="692" spans="1:8" ht="13.2">
      <c r="A692" s="65" t="str">
        <f>HYPERLINK("https://dmoj.ca/problem/utso15p3","UTSOpen 15-Pogo")</f>
        <v>UTSOpen 15-Pogo</v>
      </c>
      <c r="B692" s="37" t="s">
        <v>6883</v>
      </c>
      <c r="C692" s="24">
        <v>6.1</v>
      </c>
      <c r="D692" s="69"/>
      <c r="E692" s="31" t="s">
        <v>1337</v>
      </c>
      <c r="F692" s="37"/>
      <c r="G692" s="24"/>
      <c r="H692" s="24"/>
    </row>
    <row r="693" spans="1:8" ht="13.2">
      <c r="A693" s="65" t="str">
        <f>HYPERLINK("https://szkopul.edu.pl/problemset/problem/Hj7Ko64-xPs_FrzJ4WucMde9/site/", "POI 15-Gluttons")</f>
        <v>POI 15-Gluttons</v>
      </c>
      <c r="B693" s="37" t="s">
        <v>6958</v>
      </c>
      <c r="C693" s="24">
        <v>6.1</v>
      </c>
      <c r="D693" s="65" t="str">
        <f>HYPERLINK("https://github.com/mostafa-saad/MyCompetitiveProgramming/blob/master/Olympiad/POI/POI-15-Gluttons.txt","Sol")</f>
        <v>Sol</v>
      </c>
      <c r="E693" s="31" t="s">
        <v>1819</v>
      </c>
      <c r="F693" s="37"/>
      <c r="G693" s="24"/>
      <c r="H693" s="24"/>
    </row>
    <row r="694" spans="1:8" ht="13.2">
      <c r="A694" s="65" t="str">
        <f>HYPERLINK("https://oj.uz/problem/view/IZhO14_shymbulak","IZhO 14-shymbulak")</f>
        <v>IZhO 14-shymbulak</v>
      </c>
      <c r="B694" s="20" t="s">
        <v>7148</v>
      </c>
      <c r="C694" s="24">
        <v>6.1</v>
      </c>
      <c r="D694" s="65" t="str">
        <f>HYPERLINK("https://github.com/tmwilliamlin168/CompetitiveProgramming/blob/master/IZhO/14-Shymbulak.cpp", "Sol")</f>
        <v>Sol</v>
      </c>
      <c r="E694" s="31" t="s">
        <v>3257</v>
      </c>
      <c r="F694" s="37"/>
      <c r="G694" s="24"/>
      <c r="H694" s="24"/>
    </row>
    <row r="695" spans="1:8" ht="13.2">
      <c r="A695" s="65" t="str">
        <f>HYPERLINK("https://infoarena.ro/problema/overpower","infoarena overpower")</f>
        <v>infoarena overpower</v>
      </c>
      <c r="B695" s="20" t="s">
        <v>4564</v>
      </c>
      <c r="C695" s="24">
        <v>6.1</v>
      </c>
      <c r="D695" s="65" t="str">
        <f>HYPERLINK("https://github.com/stefdasca/CompetitiveProgramming/blob/master/Infoarena/overpower.cpp","Sol")</f>
        <v>Sol</v>
      </c>
      <c r="E695" s="31" t="s">
        <v>4531</v>
      </c>
      <c r="F695" s="37"/>
      <c r="G695" s="24"/>
      <c r="H695" s="24"/>
    </row>
    <row r="696" spans="1:8" ht="13.2">
      <c r="A696" s="65" t="str">
        <f>HYPERLINK("https://oj.uz/problem/view/IOI13_robots","IOI 13-robots")</f>
        <v>IOI 13-robots</v>
      </c>
      <c r="B696" s="18" t="s">
        <v>6688</v>
      </c>
      <c r="C696" s="17">
        <v>6</v>
      </c>
      <c r="D696" s="65" t="str">
        <f>HYPERLINK("https://github.com/mostafa-saad/MyCompetitiveProgramming/blob/master/Olympiad/IOI/IOI-13-robots.txt","Sol")</f>
        <v>Sol</v>
      </c>
      <c r="E696" s="31" t="s">
        <v>575</v>
      </c>
      <c r="F696" s="37" t="s">
        <v>3311</v>
      </c>
      <c r="G696" s="24"/>
      <c r="H696" s="24"/>
    </row>
    <row r="697" spans="1:8" ht="13.2">
      <c r="A697" s="65" t="str">
        <f>HYPERLINK("https://csacademy.com/contest/rmi-2017-day-1/task/hangman2/","RMI 17-D1-Hangman 2")</f>
        <v>RMI 17-D1-Hangman 2</v>
      </c>
      <c r="B697" s="20" t="s">
        <v>7384</v>
      </c>
      <c r="C697" s="21">
        <v>6</v>
      </c>
      <c r="D697" s="65" t="str">
        <f>HYPERLINK("https://github.com/mostafa-saad/MyCompetitiveProgramming/blob/master/Olympiad/RMI/RMI-17-D1-Hangman-2.txt","Sol")</f>
        <v>Sol</v>
      </c>
      <c r="E697" s="31" t="s">
        <v>5857</v>
      </c>
      <c r="F697" s="37" t="s">
        <v>154</v>
      </c>
      <c r="G697" s="24"/>
      <c r="H697" s="24"/>
    </row>
    <row r="698" spans="1:8" ht="13.2">
      <c r="A698" s="65" t="str">
        <f>HYPERLINK("https://dunjudge.me/analysis/problems/153/","COCI 09-snowwhite")</f>
        <v>COCI 09-snowwhite</v>
      </c>
      <c r="B698" s="20" t="s">
        <v>7388</v>
      </c>
      <c r="C698" s="24">
        <v>6</v>
      </c>
      <c r="D698" s="65" t="str">
        <f>HYPERLINK("https://github.com/mostafa-saad/MyCompetitiveProgramming/blob/master/Olympiad/CEOI/COCI-09-snowwhite.txt","Sol")</f>
        <v>Sol</v>
      </c>
      <c r="E698" s="31" t="s">
        <v>5915</v>
      </c>
      <c r="F698" s="37" t="s">
        <v>154</v>
      </c>
      <c r="G698" s="24"/>
      <c r="H698" s="24"/>
    </row>
    <row r="699" spans="1:8" ht="13.2">
      <c r="A699" s="65" t="str">
        <f>HYPERLINK("https://oj.uz/problem/view/BOI13_pipes","Baltic 13-pipes")</f>
        <v>Baltic 13-pipes</v>
      </c>
      <c r="B699" s="20" t="s">
        <v>7439</v>
      </c>
      <c r="C699" s="24">
        <v>6</v>
      </c>
      <c r="D699" s="65" t="str">
        <f>HYPERLINK("https://github.com/mostafa-saad/MyCompetitiveProgramming/blob/master/Olympiad/Baltic/Baltic-13-pipes.txt","Sol")</f>
        <v>Sol</v>
      </c>
      <c r="E699" s="31" t="s">
        <v>6205</v>
      </c>
      <c r="F699" s="37" t="s">
        <v>154</v>
      </c>
      <c r="G699" s="24"/>
      <c r="H699" s="24"/>
    </row>
    <row r="700" spans="1:8" ht="13.2">
      <c r="A700" s="65" t="str">
        <f>HYPERLINK("https://oj.uz/problem/view/COCI15_vudu","COCI 15-vudu")</f>
        <v>COCI 15-vudu</v>
      </c>
      <c r="B700" s="20" t="s">
        <v>6815</v>
      </c>
      <c r="C700" s="24">
        <v>6</v>
      </c>
      <c r="D700" s="65" t="str">
        <f>HYPERLINK("https://github.com/mostafa-saad/MyCompetitiveProgramming/blob/master/Olympiad/JOI/COCI/COCI-15-vudu.txt","Sol")</f>
        <v>Sol</v>
      </c>
      <c r="E700" s="31" t="s">
        <v>1223</v>
      </c>
      <c r="F700" s="37" t="s">
        <v>154</v>
      </c>
      <c r="G700" s="24"/>
      <c r="H700" s="24"/>
    </row>
    <row r="701" spans="1:8" ht="13.2">
      <c r="A701" s="65" t="str">
        <f>HYPERLINK("https://oj.uz/problem/view/COCI16_vjestica","COCI 16-vjestica")</f>
        <v>COCI 16-vjestica</v>
      </c>
      <c r="B701" s="20" t="s">
        <v>6959</v>
      </c>
      <c r="C701" s="24">
        <v>6</v>
      </c>
      <c r="D701" s="65" t="str">
        <f>HYPERLINK("https://github.com/mostafa-saad/MyCompetitiveProgramming/blob/master/Olympiad/COCI/COCI-16-vjestica.txt","Sol")</f>
        <v>Sol</v>
      </c>
      <c r="E701" s="31" t="s">
        <v>1819</v>
      </c>
      <c r="F701" s="37" t="s">
        <v>154</v>
      </c>
      <c r="G701" s="24"/>
      <c r="H701" s="24"/>
    </row>
    <row r="702" spans="1:8" ht="13.2">
      <c r="A702" s="65" t="str">
        <f>HYPERLINK("http://usaco.org/index.php?page=viewproblem2&amp;cpid=697", "USACO 17jan-tallbarn-plat")</f>
        <v>USACO 17jan-tallbarn-plat</v>
      </c>
      <c r="B702" s="20" t="s">
        <v>7007</v>
      </c>
      <c r="C702" s="21">
        <v>6</v>
      </c>
      <c r="D702" s="65" t="str">
        <f>HYPERLINK("https://github.com/zoooma13/Competitive-Programming/blob/master/tallbarn.cpp","Sol")</f>
        <v>Sol</v>
      </c>
      <c r="E702" s="31" t="s">
        <v>2153</v>
      </c>
      <c r="F702" s="37" t="s">
        <v>154</v>
      </c>
      <c r="G702" s="24"/>
      <c r="H702" s="24"/>
    </row>
    <row r="703" spans="1:8" ht="13.2">
      <c r="A703" s="65" t="str">
        <f>HYPERLINK("https://cses.fi/189/list/","CEOI 08-Knights")</f>
        <v>CEOI 08-Knights</v>
      </c>
      <c r="B703" s="20" t="s">
        <v>2419</v>
      </c>
      <c r="C703" s="24">
        <v>6</v>
      </c>
      <c r="D703" s="65" t="str">
        <f>HYPERLINK("https://github.com/mostafa-saad/MyCompetitiveProgramming/blob/master/Olympiad/CEOI/CEOI-08-Knights.txt","Sol")</f>
        <v>Sol</v>
      </c>
      <c r="E703" s="31" t="s">
        <v>2394</v>
      </c>
      <c r="F703" s="37" t="s">
        <v>154</v>
      </c>
      <c r="G703" s="24"/>
      <c r="H703" s="24"/>
    </row>
    <row r="704" spans="1:8" ht="13.2">
      <c r="A704" s="65" t="str">
        <f>HYPERLINK("https://dunjudge.me/analysis/problems/732/","JOISC 15-inheritance")</f>
        <v>JOISC 15-inheritance</v>
      </c>
      <c r="B704" s="20" t="s">
        <v>3882</v>
      </c>
      <c r="C704" s="24">
        <v>6</v>
      </c>
      <c r="D704" s="65" t="str">
        <f>HYPERLINK("https://github.com/mostafa-saad/MyCompetitiveProgramming/blob/master/Olympiad/JOI/JOISC-15-inheritance.txt","Sol")</f>
        <v>Sol</v>
      </c>
      <c r="E704" s="31" t="s">
        <v>3883</v>
      </c>
      <c r="F704" s="37" t="s">
        <v>154</v>
      </c>
      <c r="G704" s="24"/>
      <c r="H704" s="24"/>
    </row>
    <row r="705" spans="1:8" ht="13.2">
      <c r="A705" s="65" t="str">
        <f>HYPERLINK("https://oj.uz/problem/view/COCI18_pictionary","COCI 18-pictionary")</f>
        <v>COCI 18-pictionary</v>
      </c>
      <c r="B705" s="20" t="s">
        <v>7267</v>
      </c>
      <c r="C705" s="24">
        <v>6</v>
      </c>
      <c r="D705" s="65" t="str">
        <f>HYPERLINK("https://github.com/mostafa-saad/MyCompetitiveProgramming/blob/master/Olympiad/COCI/COCI-18-pictionary.txt","Sol")</f>
        <v>Sol</v>
      </c>
      <c r="E705" s="31" t="s">
        <v>4275</v>
      </c>
      <c r="F705" s="37" t="s">
        <v>154</v>
      </c>
      <c r="G705" s="24"/>
      <c r="H705" s="24"/>
    </row>
    <row r="706" spans="1:8" ht="13.2">
      <c r="A706" s="65" t="str">
        <f>HYPERLINK("https://oj.uz/problem/view/IZhO18_treearray","IZhO 18-treearray")</f>
        <v>IZhO 18-treearray</v>
      </c>
      <c r="B706" s="37" t="s">
        <v>7298</v>
      </c>
      <c r="C706" s="24">
        <v>6</v>
      </c>
      <c r="D706" s="65" t="str">
        <f>HYPERLINK("https://github.com/mostafa-saad/MyCompetitiveProgramming/blob/master/Olympiad/IZhO/IZhO-18-treearray.txt","Sol")</f>
        <v>Sol</v>
      </c>
      <c r="E706" s="31" t="s">
        <v>4454</v>
      </c>
      <c r="F706" s="37" t="s">
        <v>154</v>
      </c>
      <c r="G706" s="24"/>
      <c r="H706" s="24"/>
    </row>
    <row r="707" spans="1:8" ht="13.2">
      <c r="A707" s="65" t="str">
        <f>HYPERLINK("https://github.com/mostafa-saad/MyCompetitiveProgramming/blob/master/Olympiad/Baltic/Baltic-09-Beetles.txt","Baltic 09-Beetles")</f>
        <v>Baltic 09-Beetles</v>
      </c>
      <c r="B707" s="20" t="s">
        <v>6977</v>
      </c>
      <c r="C707" s="17">
        <v>6</v>
      </c>
      <c r="D707" s="65" t="str">
        <f>HYPERLINK("https://github.com/mostafa-saad/MyCompetitiveProgramming/blob/master/Olympiad/Baltic/Baltic-09-Beetles.txt","Sol")</f>
        <v>Sol</v>
      </c>
      <c r="E707" s="31" t="s">
        <v>2113</v>
      </c>
      <c r="F707" s="37" t="s">
        <v>196</v>
      </c>
      <c r="G707" s="24"/>
      <c r="H707" s="24"/>
    </row>
    <row r="708" spans="1:8" ht="13.2">
      <c r="A708" s="65" t="str">
        <f>HYPERLINK("https://szkopul.edu.pl/problemset/problem/zWn2E-v-nn-bozeXQrykmCgD/site/", "POI 07-Pipelines")</f>
        <v>POI 07-Pipelines</v>
      </c>
      <c r="B708" s="37" t="s">
        <v>7008</v>
      </c>
      <c r="C708" s="24">
        <v>6</v>
      </c>
      <c r="D708" s="65" t="str">
        <f>HYPERLINK("https://github.com/mostafa-saad/MyCompetitiveProgramming/blob/master/Olympiad/POI/POI-07-Pipelines.txt","Sol")</f>
        <v>Sol</v>
      </c>
      <c r="E708" s="31" t="s">
        <v>2153</v>
      </c>
      <c r="F708" s="37" t="s">
        <v>196</v>
      </c>
      <c r="G708" s="24"/>
      <c r="H708" s="24"/>
    </row>
    <row r="709" spans="1:8" ht="13.2">
      <c r="A709" s="65" t="str">
        <f>HYPERLINK("https://szkopul.edu.pl/problemset/problem/U6ajLqOdhbPOfK02zqN8MmZf/site/", "POI 07-Tetris")</f>
        <v>POI 07-Tetris</v>
      </c>
      <c r="B709" s="37" t="s">
        <v>2323</v>
      </c>
      <c r="C709" s="24">
        <v>6</v>
      </c>
      <c r="D709" s="65" t="str">
        <f>HYPERLINK("https://github.com/mostafa-saad/MyCompetitiveProgramming/blob/master/Olympiad/POI/POI-07-Tetris.txt","Sol")</f>
        <v>Sol</v>
      </c>
      <c r="E709" s="31" t="s">
        <v>2153</v>
      </c>
      <c r="F709" s="37" t="s">
        <v>196</v>
      </c>
      <c r="G709" s="24"/>
      <c r="H709" s="24"/>
    </row>
    <row r="710" spans="1:8" ht="13.2">
      <c r="A710" s="65" t="str">
        <f>HYPERLINK("https://open.kattis.com/problem-sources/Baltic%20Olympiad%20in%20Informatics%202017%2C%20Day%201","Baltic 17-Railway")</f>
        <v>Baltic 17-Railway</v>
      </c>
      <c r="B710" s="18" t="s">
        <v>7149</v>
      </c>
      <c r="C710" s="24">
        <v>6</v>
      </c>
      <c r="D710" s="65" t="str">
        <f>HYPERLINK("https://github.com/mostafa-saad/MyCompetitiveProgramming/blob/master/Olympiad/Baltic/Baltic-17-Railway.txt","Sol")</f>
        <v>Sol</v>
      </c>
      <c r="E710" s="31" t="s">
        <v>3257</v>
      </c>
      <c r="F710" s="37" t="s">
        <v>196</v>
      </c>
      <c r="G710" s="24"/>
      <c r="H710" s="24"/>
    </row>
    <row r="711" spans="1:8" ht="13.2">
      <c r="A711" s="65" t="str">
        <f>HYPERLINK("https://szkopul.edu.pl/problemset/problem/4yTtNIf4H61mJrquuAIhoSh_/site/", "POI 06-Invasion")</f>
        <v>POI 06-Invasion</v>
      </c>
      <c r="B711" s="37" t="s">
        <v>6613</v>
      </c>
      <c r="C711" s="24">
        <v>6</v>
      </c>
      <c r="D711" s="65" t="str">
        <f>HYPERLINK("https://github.com/mostafa-saad/MyCompetitiveProgramming/blob/master/Olympiad/POI/POI-06-Invasion.txt","Sol")</f>
        <v>Sol</v>
      </c>
      <c r="E711" s="31" t="s">
        <v>125</v>
      </c>
      <c r="F711" s="37" t="s">
        <v>139</v>
      </c>
      <c r="G711" s="24"/>
      <c r="H711" s="24"/>
    </row>
    <row r="712" spans="1:8" ht="13.2">
      <c r="A712" s="65" t="str">
        <f>HYPERLINK("https://codeforces.com/group/R2SERIff4f/contest/213171","MCO 17-NewbieHacker")</f>
        <v>MCO 17-NewbieHacker</v>
      </c>
      <c r="B712" s="37" t="s">
        <v>7380</v>
      </c>
      <c r="C712" s="24">
        <v>6</v>
      </c>
      <c r="D712" s="65" t="str">
        <f>HYPERLINK("https://github.com/mostafa-saad/MyCompetitiveProgramming/blob/master/Olympiad/MCO/MCO-17-NewbieHacker.txt","Sol")</f>
        <v>Sol</v>
      </c>
      <c r="E712" s="31" t="s">
        <v>5702</v>
      </c>
      <c r="F712" s="37" t="s">
        <v>139</v>
      </c>
      <c r="G712" s="24"/>
      <c r="H712" s="24"/>
    </row>
    <row r="713" spans="1:8" ht="13.2">
      <c r="A713" s="65" t="str">
        <f>HYPERLINK("https://dunjudge.me/analysis/problems/1408/","COCI 13-parovi")</f>
        <v>COCI 13-parovi</v>
      </c>
      <c r="B713" s="15" t="s">
        <v>7432</v>
      </c>
      <c r="C713" s="24">
        <v>6</v>
      </c>
      <c r="D713" s="65" t="str">
        <f>HYPERLINK("https://github.com/mostafa-saad/MyCompetitiveProgramming/blob/master/Olympiad/COCI/COCI-13-parovi.txt","Sol")</f>
        <v>Sol</v>
      </c>
      <c r="E713" s="31" t="s">
        <v>6118</v>
      </c>
      <c r="F713" s="37" t="s">
        <v>139</v>
      </c>
      <c r="G713" s="24"/>
      <c r="H713" s="24"/>
    </row>
    <row r="714" spans="1:8" ht="13.2">
      <c r="A714" s="65" t="str">
        <f>HYPERLINK("https://oj.uz/problem/view/JOI14_factories","JOIOC 14-factories")</f>
        <v>JOIOC 14-factories</v>
      </c>
      <c r="B714" s="15" t="s">
        <v>7454</v>
      </c>
      <c r="C714" s="17">
        <v>6</v>
      </c>
      <c r="D714" s="65" t="str">
        <f>HYPERLINK("https://github.com/Yehezkiel01/CompetitiveProgramming/blob/master/JOIOC/JOIOC-14-factories.cpp","Sol")</f>
        <v>Sol</v>
      </c>
      <c r="E714" s="31" t="s">
        <v>6345</v>
      </c>
      <c r="F714" s="37" t="s">
        <v>139</v>
      </c>
      <c r="G714" s="24"/>
      <c r="H714" s="24"/>
    </row>
    <row r="715" spans="1:8" ht="13.2">
      <c r="A715" s="65" t="str">
        <f>HYPERLINK("https://dunjudge.me/analysis/problems/964/","MCO 16-acorn")</f>
        <v>MCO 16-acorn</v>
      </c>
      <c r="B715" s="37" t="s">
        <v>7463</v>
      </c>
      <c r="C715" s="24">
        <v>6</v>
      </c>
      <c r="D715" s="65" t="str">
        <f>HYPERLINK("https://github.com/mostafa-saad/MyCompetitiveProgramming/blob/master/Olympiad/MCO/MCO-16-acorn.txt","Sol")</f>
        <v>Sol</v>
      </c>
      <c r="E715" s="31" t="s">
        <v>6362</v>
      </c>
      <c r="F715" s="37" t="s">
        <v>139</v>
      </c>
      <c r="G715" s="24"/>
      <c r="H715" s="24"/>
    </row>
    <row r="716" spans="1:8" ht="13.2">
      <c r="A716" s="65" t="str">
        <f>HYPERLINK("https://oj.uz/problem/view/JOI18_bubblesort2","JOIOC 18-bubblesort2")</f>
        <v>JOIOC 18-bubblesort2</v>
      </c>
      <c r="B716" s="20" t="s">
        <v>7633</v>
      </c>
      <c r="C716" s="21">
        <v>6</v>
      </c>
      <c r="D716" s="65" t="str">
        <f>HYPERLINK("https://github.com/mostafa-saad/MyCompetitiveProgramming/blob/master/Olympiad/JOI/JOIOC-18-bubblesort2.txt","Sol")</f>
        <v>Sol</v>
      </c>
      <c r="E716" s="31" t="s">
        <v>1018</v>
      </c>
      <c r="F716" s="37" t="s">
        <v>139</v>
      </c>
      <c r="G716" s="24"/>
      <c r="H716" s="24"/>
    </row>
    <row r="717" spans="1:8" ht="13.2">
      <c r="A717" s="65" t="str">
        <f>HYPERLINK("https://contest.yandex.ru/ioi/contest/566/enter/","IOI 05-mountains")</f>
        <v>IOI 05-mountains</v>
      </c>
      <c r="B717" s="23" t="s">
        <v>6783</v>
      </c>
      <c r="C717" s="24">
        <v>6</v>
      </c>
      <c r="D717" s="65" t="str">
        <f>HYPERLINK("https://github.com/mostafa-saad/MyCompetitiveProgramming/blob/master/Olympiad/IOI/IOI-05-mountains.txt","Sol")</f>
        <v>Sol</v>
      </c>
      <c r="E717" s="31" t="s">
        <v>1018</v>
      </c>
      <c r="F717" s="37" t="s">
        <v>139</v>
      </c>
      <c r="G717" s="24"/>
      <c r="H717" s="24"/>
    </row>
    <row r="718" spans="1:8" ht="13.2">
      <c r="A718" s="65" t="str">
        <f>HYPERLINK("https://www.infoarena.ro/problema/fibo4","infoarena fibo4")</f>
        <v>infoarena fibo4</v>
      </c>
      <c r="B718" s="20" t="s">
        <v>6784</v>
      </c>
      <c r="C718" s="21">
        <v>6</v>
      </c>
      <c r="D718" s="65" t="str">
        <f>HYPERLINK("https://github.com/mostafa-saad/MyCompetitiveProgramming/blob/master/Olympiad/infoarena/infoarena_fibo4.txt","Sol")</f>
        <v>Sol</v>
      </c>
      <c r="E718" s="31" t="s">
        <v>1018</v>
      </c>
      <c r="F718" s="37" t="s">
        <v>139</v>
      </c>
      <c r="G718" s="24"/>
      <c r="H718" s="24"/>
    </row>
    <row r="719" spans="1:8" ht="13.2">
      <c r="A719" s="65" t="str">
        <f>HYPERLINK("https://infoarena.ro/problema/plimbare3","infoarena plimbare3")</f>
        <v>infoarena plimbare3</v>
      </c>
      <c r="B719" s="20" t="s">
        <v>7508</v>
      </c>
      <c r="C719" s="17">
        <v>6</v>
      </c>
      <c r="D719" s="65" t="str">
        <f>HYPERLINK("https://github.com/mostafa-saad/MyCompetitiveProgramming/blob/master/Olympiad/infoarena/infoarena-plimbare3.txt","Sol")</f>
        <v>Sol</v>
      </c>
      <c r="E719" s="31" t="s">
        <v>6459</v>
      </c>
      <c r="F719" s="37" t="s">
        <v>139</v>
      </c>
      <c r="G719" s="24"/>
      <c r="H719" s="24"/>
    </row>
    <row r="720" spans="1:8" ht="13.2">
      <c r="A720" s="65" t="str">
        <f>HYPERLINK("https://dmoj.ca/problem/coci08c3p6","COCI 08-Najkraci")</f>
        <v>COCI 08-Najkraci</v>
      </c>
      <c r="B720" s="15" t="s">
        <v>7509</v>
      </c>
      <c r="C720" s="24">
        <v>6</v>
      </c>
      <c r="D720" s="65" t="str">
        <f>HYPERLINK("https://github.com/mostafa-saad/MyCompetitiveProgramming/blob/master/Olympiad/COCI/COCI-08-Najkraci.txt","Sol")</f>
        <v>Sol</v>
      </c>
      <c r="E720" s="31" t="s">
        <v>6459</v>
      </c>
      <c r="F720" s="37" t="s">
        <v>139</v>
      </c>
      <c r="G720" s="24"/>
      <c r="H720" s="24"/>
    </row>
    <row r="721" spans="1:8" ht="13.2">
      <c r="A721" s="65" t="str">
        <f>HYPERLINK("https://www.infoarena.ro/problema/sabin","infoarena sabin")</f>
        <v>infoarena sabin</v>
      </c>
      <c r="B721" s="20" t="s">
        <v>7520</v>
      </c>
      <c r="C721" s="21">
        <v>6</v>
      </c>
      <c r="D721" s="65" t="str">
        <f>HYPERLINK("https://github.com/mostafa-saad/MyCompetitiveProgramming/blob/master/Olympiad/infoarena/infoarena_sabin.txt","Sol")</f>
        <v>Sol</v>
      </c>
      <c r="E721" s="31" t="s">
        <v>6505</v>
      </c>
      <c r="F721" s="37" t="s">
        <v>139</v>
      </c>
      <c r="G721" s="24"/>
      <c r="H721" s="24"/>
    </row>
    <row r="722" spans="1:8" ht="13.2">
      <c r="A722" s="65" t="str">
        <f>HYPERLINK("http://usaco.org/index.php?page=viewproblem2&amp;cpid=722", "USACO 17feb-friendcross-plat")</f>
        <v>USACO 17feb-friendcross-plat</v>
      </c>
      <c r="B722" s="20" t="s">
        <v>6816</v>
      </c>
      <c r="C722" s="21">
        <v>6</v>
      </c>
      <c r="D722" s="65" t="str">
        <f>HYPERLINK("https://github.com/MohamedAhmed04/Competitive-programming/blob/master/USACO/17-February-Platinum-WhyDidTheCowCrossTheRoadIII.cpp","Sol")</f>
        <v>Sol</v>
      </c>
      <c r="E722" s="31" t="s">
        <v>1223</v>
      </c>
      <c r="F722" s="37" t="s">
        <v>139</v>
      </c>
      <c r="G722" s="24"/>
      <c r="H722" s="24"/>
    </row>
    <row r="723" spans="1:8" ht="13.2">
      <c r="A723" s="65" t="str">
        <f>HYPERLINK("https://www.infoarena.ro/problema/pitici3", "infoarena pitici3")</f>
        <v>infoarena pitici3</v>
      </c>
      <c r="B723" s="20" t="s">
        <v>6884</v>
      </c>
      <c r="C723" s="17">
        <v>6</v>
      </c>
      <c r="D723" s="65" t="str">
        <f>HYPERLINK("https://github.com/mostafa-saad/MyCompetitiveProgramming/blob/master/Olympiad/infoarena/infoarena-pitici3.txt","Sol")</f>
        <v>Sol</v>
      </c>
      <c r="E723" s="31" t="s">
        <v>1337</v>
      </c>
      <c r="F723" s="37" t="s">
        <v>139</v>
      </c>
      <c r="G723" s="24"/>
      <c r="H723" s="24"/>
    </row>
    <row r="724" spans="1:8" ht="13.2">
      <c r="A724" s="65" t="str">
        <f>HYPERLINK("https://cses.fi/116/list/","Baltic 05-Bus_Trip")</f>
        <v>Baltic 05-Bus_Trip</v>
      </c>
      <c r="B724" s="37" t="s">
        <v>6885</v>
      </c>
      <c r="C724" s="24">
        <v>6</v>
      </c>
      <c r="D724" s="65" t="str">
        <f>HYPERLINK("https://github.com/mostafa-saad/MyCompetitiveProgramming/blob/master/Olympiad/Baltic/Baltic-05-Bus_Trip.txt","Sol")</f>
        <v>Sol</v>
      </c>
      <c r="E724" s="31" t="s">
        <v>1337</v>
      </c>
      <c r="F724" s="37" t="s">
        <v>139</v>
      </c>
      <c r="G724" s="24"/>
      <c r="H724" s="24"/>
    </row>
    <row r="725" spans="1:8" ht="13.2">
      <c r="A725" s="65" t="str">
        <f>HYPERLINK("https://www.infoarena.ro/problema/lcdr", "infoarena lcdr")</f>
        <v>infoarena lcdr</v>
      </c>
      <c r="B725" s="20" t="s">
        <v>6886</v>
      </c>
      <c r="C725" s="17">
        <v>6</v>
      </c>
      <c r="D725" s="65" t="str">
        <f>HYPERLINK("https://github.com/mostafa-saad/MyCompetitiveProgramming/blob/master/Olympiad/infoarena/infoarena_lcdr.txt","Sol")</f>
        <v>Sol</v>
      </c>
      <c r="E725" s="31" t="s">
        <v>1337</v>
      </c>
      <c r="F725" s="37" t="s">
        <v>139</v>
      </c>
      <c r="G725" s="24"/>
      <c r="H725" s="24"/>
    </row>
    <row r="726" spans="1:8" ht="13.2">
      <c r="A726" s="65" t="str">
        <f>HYPERLINK("http://www.usaco.org/index.php?page=viewproblem2&amp;cpid=994","USACO 20jan-threesum-gold")</f>
        <v>USACO 20jan-threesum-gold</v>
      </c>
      <c r="B726" s="37" t="s">
        <v>1348</v>
      </c>
      <c r="C726" s="24">
        <v>6</v>
      </c>
      <c r="D726" s="69"/>
      <c r="E726" s="31" t="s">
        <v>1337</v>
      </c>
      <c r="F726" s="37" t="s">
        <v>139</v>
      </c>
      <c r="G726" s="24"/>
      <c r="H726" s="24"/>
    </row>
    <row r="727" spans="1:8" ht="13.2">
      <c r="A727" s="69" t="s">
        <v>6887</v>
      </c>
      <c r="B727" s="20" t="s">
        <v>6888</v>
      </c>
      <c r="C727" s="21">
        <v>6</v>
      </c>
      <c r="D727" s="65" t="str">
        <f>HYPERLINK("https://github.com/win11905/submission/blob/master/COI/19/ljepotica.cpp","Sol")</f>
        <v>Sol</v>
      </c>
      <c r="E727" s="31" t="s">
        <v>1337</v>
      </c>
      <c r="F727" s="37" t="s">
        <v>139</v>
      </c>
      <c r="G727" s="24"/>
      <c r="H727" s="24"/>
    </row>
    <row r="728" spans="1:8" ht="13.2">
      <c r="A728" s="65" t="str">
        <f>HYPERLINK("https://csacademy.com/contest/ceoi-2018-day-1/task/cloud-computing/", "CEOI 18-Cloud")</f>
        <v>CEOI 18-Cloud</v>
      </c>
      <c r="B728" s="20" t="s">
        <v>6949</v>
      </c>
      <c r="C728" s="21">
        <v>6</v>
      </c>
      <c r="D728" s="65" t="str">
        <f>HYPERLINK("https://github.com/mostafa-saad/MyCompetitiveProgramming/blob/master/Olympiad/CEOI/CEOI-18-Cloud.txt","Sol")</f>
        <v>Sol</v>
      </c>
      <c r="E728" s="31" t="s">
        <v>1793</v>
      </c>
      <c r="F728" s="37" t="s">
        <v>139</v>
      </c>
      <c r="G728" s="24"/>
      <c r="H728" s="24"/>
    </row>
    <row r="729" spans="1:8" ht="13.2">
      <c r="A729" s="65" t="str">
        <f>HYPERLINK("https://oj.uz/problem/view/IOI17_mountains","IOI 17-mountains")</f>
        <v>IOI 17-mountains</v>
      </c>
      <c r="B729" s="20" t="s">
        <v>6978</v>
      </c>
      <c r="C729" s="24">
        <v>6</v>
      </c>
      <c r="D729" s="65" t="str">
        <f>HYPERLINK("https://github.com/ZeyadKhattab/Competitive-Programming/blob/master/Problems/IOI%2017-mountains.cpp","Sol")</f>
        <v>Sol</v>
      </c>
      <c r="E729" s="31" t="s">
        <v>2113</v>
      </c>
      <c r="F729" s="37" t="s">
        <v>139</v>
      </c>
      <c r="G729" s="24"/>
      <c r="H729" s="24"/>
    </row>
    <row r="730" spans="1:8" ht="13.2">
      <c r="A730" s="65" t="str">
        <f>HYPERLINK("https://wcipeg.com/problem/coci094p4","COCI 09-Ograda")</f>
        <v>COCI 09-Ograda</v>
      </c>
      <c r="B730" s="15" t="s">
        <v>7009</v>
      </c>
      <c r="C730" s="24">
        <v>6</v>
      </c>
      <c r="D730" s="65" t="str">
        <f>HYPERLINK("https://github.com/mostafa-saad/MyCompetitiveProgramming/blob/master/Olympiad/COCI/COCI-09-Ograda.txt","Sol")</f>
        <v>Sol</v>
      </c>
      <c r="E730" s="31" t="s">
        <v>2153</v>
      </c>
      <c r="F730" s="37" t="s">
        <v>139</v>
      </c>
      <c r="G730" s="24"/>
      <c r="H730" s="24"/>
    </row>
    <row r="731" spans="1:8" ht="13.2">
      <c r="A731" s="65" t="str">
        <f>HYPERLINK("https://infoarena.ro/problema/kdtree","infoarena kdtree")</f>
        <v>infoarena kdtree</v>
      </c>
      <c r="B731" s="20" t="s">
        <v>7010</v>
      </c>
      <c r="C731" s="17">
        <v>6</v>
      </c>
      <c r="D731" s="65" t="str">
        <f>HYPERLINK("https://github.com/stefdasca/CompetitiveProgramming/blob/master/Infoarena/kdtree.cpp","Sol")</f>
        <v>Sol</v>
      </c>
      <c r="E731" s="31" t="s">
        <v>2153</v>
      </c>
      <c r="F731" s="37" t="s">
        <v>139</v>
      </c>
      <c r="G731" s="24"/>
      <c r="H731" s="24"/>
    </row>
    <row r="732" spans="1:8" ht="13.2">
      <c r="A732" s="65" t="str">
        <f>HYPERLINK("https://contest.yandex.ru/ioi/contest/562/problems/B/","IOI 06-pyramid")</f>
        <v>IOI 06-pyramid</v>
      </c>
      <c r="B732" s="15" t="s">
        <v>6689</v>
      </c>
      <c r="C732" s="24">
        <v>6</v>
      </c>
      <c r="D732" s="65" t="str">
        <f>HYPERLINK("https://github.com/mostafa-saad/MyCompetitiveProgramming/blob/master/Olympiad/IOI/IOI-06-pyramid.txt","Sol")</f>
        <v>Sol</v>
      </c>
      <c r="E732" s="31" t="s">
        <v>575</v>
      </c>
      <c r="F732" s="37" t="s">
        <v>139</v>
      </c>
      <c r="G732" s="24"/>
      <c r="H732" s="24"/>
    </row>
    <row r="733" spans="1:8" ht="13.2">
      <c r="A733" s="65" t="str">
        <f>HYPERLINK("https://cses.fi/180/list/","CEOI 09-Logs")</f>
        <v>CEOI 09-Logs</v>
      </c>
      <c r="B733" s="20" t="s">
        <v>643</v>
      </c>
      <c r="C733" s="24">
        <v>6</v>
      </c>
      <c r="D733" s="65" t="str">
        <f>HYPERLINK("https://github.com/MetalBall887/Competitive-Programming/blob/master/Olympiad/CEOI/CEOI%2009-Logs.cpp","Sol")</f>
        <v>Sol</v>
      </c>
      <c r="E733" s="31" t="s">
        <v>575</v>
      </c>
      <c r="F733" s="37" t="s">
        <v>139</v>
      </c>
      <c r="G733" s="24"/>
      <c r="H733" s="24"/>
    </row>
    <row r="734" spans="1:8" ht="13.2">
      <c r="A734" s="65" t="str">
        <f>HYPERLINK("https://infoarena.ro/problema/eq","infoarena eq")</f>
        <v>infoarena eq</v>
      </c>
      <c r="B734" s="20" t="s">
        <v>6690</v>
      </c>
      <c r="C734" s="17">
        <v>6</v>
      </c>
      <c r="D734" s="65" t="str">
        <f>HYPERLINK("https://github.com/mostafa-saad/MyCompetitiveProgramming/blob/master/Olympiad/infoarena/infoarena-eq.txt","Sol")</f>
        <v>Sol</v>
      </c>
      <c r="E734" s="31" t="s">
        <v>575</v>
      </c>
      <c r="F734" s="37" t="s">
        <v>139</v>
      </c>
      <c r="G734" s="24"/>
      <c r="H734" s="24"/>
    </row>
    <row r="735" spans="1:8" ht="13.2">
      <c r="A735" s="65" t="str">
        <f>HYPERLINK("https://dmoj.ca/problem/apio12p1", "APIO 12-Dispatching")</f>
        <v>APIO 12-Dispatching</v>
      </c>
      <c r="B735" s="20" t="s">
        <v>7150</v>
      </c>
      <c r="C735" s="17">
        <v>6</v>
      </c>
      <c r="D735" s="65" t="str">
        <f>HYPERLINK("https://github.com/mostafa-saad/MyCompetitiveProgramming/blob/master/Olympiad/APIO/APIO-12-Dispatching.txt","Sol")</f>
        <v>Sol</v>
      </c>
      <c r="E735" s="31" t="s">
        <v>3257</v>
      </c>
      <c r="F735" s="37" t="s">
        <v>139</v>
      </c>
      <c r="G735" s="24"/>
      <c r="H735" s="24"/>
    </row>
    <row r="736" spans="1:8" ht="13.2">
      <c r="A736" s="65" t="str">
        <f>HYPERLINK("https://cses.fi/100/list/","Baltic 11-Vikings")</f>
        <v>Baltic 11-Vikings</v>
      </c>
      <c r="B736" s="20" t="s">
        <v>7175</v>
      </c>
      <c r="C736" s="24">
        <v>6</v>
      </c>
      <c r="D736" s="65" t="str">
        <f>HYPERLINK("https://github.com/mostafa-saad/MyCompetitiveProgramming/blob/master/Olympiad/Baltic/Baltic-11-Vikings.txt","Sol")</f>
        <v>Sol</v>
      </c>
      <c r="E736" s="31" t="s">
        <v>3467</v>
      </c>
      <c r="F736" s="37" t="s">
        <v>139</v>
      </c>
      <c r="G736" s="24"/>
      <c r="H736" s="24"/>
    </row>
    <row r="737" spans="1:8" ht="13.2">
      <c r="A737" s="65" t="str">
        <f>HYPERLINK("https://szkopul.edu.pl/problemset/problem/_L_YGzT5VYJO9zHTfVRwPjwh/site/", "POI 07-Tourist")</f>
        <v>POI 07-Tourist</v>
      </c>
      <c r="B737" s="37" t="s">
        <v>7634</v>
      </c>
      <c r="C737" s="24">
        <v>6</v>
      </c>
      <c r="D737" s="65" t="str">
        <f>HYPERLINK("https://github.com/mostafa-saad/MyCompetitiveProgramming/blob/master/Olympiad/POI/POI-07-Tourist.txt","Sol")</f>
        <v>Sol</v>
      </c>
      <c r="E737" s="31" t="s">
        <v>3784</v>
      </c>
      <c r="F737" s="37" t="s">
        <v>139</v>
      </c>
      <c r="G737" s="24"/>
      <c r="H737" s="24"/>
    </row>
    <row r="738" spans="1:8" ht="13.2">
      <c r="A738" s="65" t="str">
        <f>HYPERLINK("https://www.infoarena.ro/problema/mexc","infoarena mexc")</f>
        <v>infoarena mexc</v>
      </c>
      <c r="B738" s="20" t="s">
        <v>7238</v>
      </c>
      <c r="C738" s="21">
        <v>6</v>
      </c>
      <c r="D738" s="65" t="str">
        <f>HYPERLINK("https://github.com/mostafa-saad/MyCompetitiveProgramming/blob/master/Olympiad/infoarena/infoarena_mexc.txt","Sol")</f>
        <v>Sol</v>
      </c>
      <c r="E738" s="31" t="s">
        <v>3883</v>
      </c>
      <c r="F738" s="37" t="s">
        <v>139</v>
      </c>
      <c r="G738" s="24"/>
      <c r="H738" s="24"/>
    </row>
    <row r="739" spans="1:8" ht="13.2">
      <c r="A739" s="65" t="str">
        <f>HYPERLINK("https://www.infoarena.ro/problema/karb","infoarena karb")</f>
        <v>infoarena karb</v>
      </c>
      <c r="B739" s="20" t="s">
        <v>7268</v>
      </c>
      <c r="C739" s="21">
        <v>6</v>
      </c>
      <c r="D739" s="65" t="str">
        <f>HYPERLINK("https://github.com/mostafa-saad/MyCompetitiveProgramming/blob/master/Olympiad/infoarena/infoarena-karb.txt","Sol")</f>
        <v>Sol</v>
      </c>
      <c r="E739" s="31" t="s">
        <v>4275</v>
      </c>
      <c r="F739" s="37" t="s">
        <v>139</v>
      </c>
      <c r="G739" s="24"/>
      <c r="H739" s="24"/>
    </row>
    <row r="740" spans="1:8" ht="13.2">
      <c r="A740" s="65" t="str">
        <f>HYPERLINK("https://szkopul.edu.pl/problemset/problem/pWnFB3uRHH0y29PwkMBS2T0Z/site/","CEOI 11-Traffic")</f>
        <v>CEOI 11-Traffic</v>
      </c>
      <c r="B740" s="20" t="s">
        <v>7278</v>
      </c>
      <c r="C740" s="24">
        <v>6</v>
      </c>
      <c r="D740" s="65" t="str">
        <f>HYPERLINK("https://github.com/mostafa-saad/MyCompetitiveProgramming/blob/master/Olympiad/CEOI/CEOI-11-Traffic.txt","Sol")</f>
        <v>Sol</v>
      </c>
      <c r="E740" s="31" t="s">
        <v>4344</v>
      </c>
      <c r="F740" s="37" t="s">
        <v>139</v>
      </c>
      <c r="G740" s="24"/>
      <c r="H740" s="24"/>
    </row>
    <row r="741" spans="1:8" ht="13.2">
      <c r="A741" s="65" t="str">
        <f>HYPERLINK("https://training.ia-toki.org/problemsets/113/problems","TOKIOpen 18-TileCovering")</f>
        <v>TOKIOpen 18-TileCovering</v>
      </c>
      <c r="B741" s="20" t="s">
        <v>7299</v>
      </c>
      <c r="C741" s="21">
        <v>6</v>
      </c>
      <c r="D741" s="65" t="str">
        <f>HYPERLINK("https://github.com/mostafa-saad/MyCompetitiveProgramming/blob/master/Olympiad/TOKI/TOKIOpen-18-TileCovering.txt","Sol")</f>
        <v>Sol</v>
      </c>
      <c r="E741" s="31" t="s">
        <v>4454</v>
      </c>
      <c r="F741" s="37" t="s">
        <v>139</v>
      </c>
      <c r="G741" s="24"/>
      <c r="H741" s="24"/>
    </row>
    <row r="742" spans="1:8" ht="13.2">
      <c r="A742" s="65" t="str">
        <f>HYPERLINK("http://usaco.org/index.php?page=viewproblem2&amp;cpid=924", "USACO 19feb-plat_cowdate")</f>
        <v>USACO 19feb-plat_cowdate</v>
      </c>
      <c r="B742" s="23" t="s">
        <v>7318</v>
      </c>
      <c r="C742" s="21">
        <v>6</v>
      </c>
      <c r="D742" s="69"/>
      <c r="E742" s="31" t="s">
        <v>4531</v>
      </c>
      <c r="F742" s="37" t="s">
        <v>139</v>
      </c>
      <c r="G742" s="24"/>
      <c r="H742" s="24"/>
    </row>
    <row r="743" spans="1:8" ht="13.2">
      <c r="A743" s="65" t="str">
        <f>HYPERLINK("https://szkopul.edu.pl/problemset/problem/y7tXjqVq0gPZjc8kPrscs2CJ/site/", "POI 07-Weights")</f>
        <v>POI 07-Weights</v>
      </c>
      <c r="B743" s="37" t="s">
        <v>7319</v>
      </c>
      <c r="C743" s="21">
        <v>6</v>
      </c>
      <c r="D743" s="65" t="str">
        <f>HYPERLINK("https://github.com/peon-pasado/CompetitiveProgramming/blob/master/szkoput/POI_07-Weights.cpp","sol")</f>
        <v>sol</v>
      </c>
      <c r="E743" s="31" t="s">
        <v>4531</v>
      </c>
      <c r="F743" s="37" t="s">
        <v>139</v>
      </c>
      <c r="G743" s="24"/>
      <c r="H743" s="24"/>
    </row>
    <row r="744" spans="1:8" ht="13.2">
      <c r="A744" s="65" t="str">
        <f>HYPERLINK("https://dunjudge.me/analysis/problems/1229/","NOI 17-rmq")</f>
        <v>NOI 17-rmq</v>
      </c>
      <c r="B744" s="37" t="s">
        <v>2355</v>
      </c>
      <c r="C744" s="24">
        <v>6</v>
      </c>
      <c r="D744" s="65" t="str">
        <f>HYPERLINK("https://github.com/mostafa-saad/MyCompetitiveProgramming/blob/master/Olympiad/NOI/NOI-17-rmq.txt","Sol")</f>
        <v>Sol</v>
      </c>
      <c r="E744" s="31" t="s">
        <v>2153</v>
      </c>
      <c r="F744" s="37" t="s">
        <v>613</v>
      </c>
      <c r="G744" s="24"/>
      <c r="H744" s="24"/>
    </row>
    <row r="745" spans="1:8" ht="13.2">
      <c r="A745" s="65" t="str">
        <f>HYPERLINK("https://szkopul.edu.pl/portal/problemset_eng/oi/21","POI 14-FarmCraft")</f>
        <v>POI 14-FarmCraft</v>
      </c>
      <c r="B745" s="20" t="s">
        <v>7151</v>
      </c>
      <c r="C745" s="17">
        <v>6</v>
      </c>
      <c r="D745" s="65" t="str">
        <f>HYPERLINK("https://github.com/mostafa-saad/MyCompetitiveProgramming/blob/master/Olympiad/POI/POI-14-FarmCraft.txt","Sol")</f>
        <v>Sol</v>
      </c>
      <c r="E745" s="31" t="s">
        <v>3257</v>
      </c>
      <c r="F745" s="37" t="s">
        <v>613</v>
      </c>
      <c r="G745" s="24"/>
      <c r="H745" s="24"/>
    </row>
    <row r="746" spans="1:8" ht="13.2">
      <c r="A746" s="65" t="str">
        <f>HYPERLINK("https://cses.fi/189/list/","CEOI 08-Dominance")</f>
        <v>CEOI 08-Dominance</v>
      </c>
      <c r="B746" s="37" t="s">
        <v>7635</v>
      </c>
      <c r="C746" s="24">
        <v>6</v>
      </c>
      <c r="D746" s="65" t="str">
        <f>HYPERLINK("https://github.com/mostafa-saad/MyCompetitiveProgramming/blob/master/Olympiad/CEOI/CEOI-08-Dominance.txt","Sol")</f>
        <v>Sol</v>
      </c>
      <c r="E746" s="31" t="s">
        <v>125</v>
      </c>
      <c r="F746" s="37" t="s">
        <v>201</v>
      </c>
      <c r="G746" s="24"/>
      <c r="H746" s="24"/>
    </row>
    <row r="747" spans="1:8" ht="13.2">
      <c r="A747" s="65" t="str">
        <f>HYPERLINK("https://training.ia-toki.org/problemsets/2/problems/6/","OSN 15-1C")</f>
        <v>OSN 15-1C</v>
      </c>
      <c r="B747" s="20" t="s">
        <v>210</v>
      </c>
      <c r="C747" s="17">
        <v>6</v>
      </c>
      <c r="D747" s="65" t="str">
        <f>HYPERLINK("https://github.com/mostafa-saad/MyCompetitiveProgramming/blob/master/Olympiad/OSN/OSN_15-1C.txt","Sol")</f>
        <v>Sol</v>
      </c>
      <c r="E747" s="31" t="s">
        <v>125</v>
      </c>
      <c r="F747" s="37" t="s">
        <v>201</v>
      </c>
      <c r="G747" s="24"/>
      <c r="H747" s="24"/>
    </row>
    <row r="748" spans="1:8" ht="13.2">
      <c r="A748" s="65" t="str">
        <f>HYPERLINK("https://oj.uz/problem/view/IOI11_race","IOI 11-race")</f>
        <v>IOI 11-race</v>
      </c>
      <c r="B748" s="20" t="s">
        <v>7469</v>
      </c>
      <c r="C748" s="17">
        <v>6</v>
      </c>
      <c r="D748" s="65" t="str">
        <f>HYPERLINK("https://github.com/aviroop123/CompetitiveProgramming/blob/master/Olympiad/IOI/IOI%2011-race.cpp","Sol")</f>
        <v>Sol</v>
      </c>
      <c r="E748" s="31" t="s">
        <v>6390</v>
      </c>
      <c r="F748" s="37" t="s">
        <v>201</v>
      </c>
      <c r="G748" s="24"/>
      <c r="H748" s="24"/>
    </row>
    <row r="749" spans="1:8" ht="13.2">
      <c r="A749" s="65" t="str">
        <f>HYPERLINK("https://www.infoarena.ro/problema/arbore","infoarena arbore")</f>
        <v>infoarena arbore</v>
      </c>
      <c r="B749" s="20" t="s">
        <v>7483</v>
      </c>
      <c r="C749" s="21">
        <v>6</v>
      </c>
      <c r="D749" s="65" t="str">
        <f>HYPERLINK("https://github.com/mostafa-saad/MyCompetitiveProgramming/blob/master/Olympiad/infoarena/infoarena_arbore.txt","Sol")</f>
        <v>Sol</v>
      </c>
      <c r="E749" s="31" t="s">
        <v>6397</v>
      </c>
      <c r="F749" s="37" t="s">
        <v>201</v>
      </c>
      <c r="G749" s="24"/>
      <c r="H749" s="24"/>
    </row>
    <row r="750" spans="1:8" ht="13.2">
      <c r="A750" s="65" t="str">
        <f>HYPERLINK("https://csacademy.com/contest/ceoi-2018-day-1/task/global-warming/", "CEOI 18-Global")</f>
        <v>CEOI 18-Global</v>
      </c>
      <c r="B750" s="20" t="s">
        <v>6785</v>
      </c>
      <c r="C750" s="21">
        <v>6</v>
      </c>
      <c r="D750" s="65" t="str">
        <f>HYPERLINK("https://github.com/mostafa-saad/MyCompetitiveProgramming/blob/master/Olympiad/CEOI/CEOI-18-Global.txt","Sol")</f>
        <v>Sol</v>
      </c>
      <c r="E750" s="31" t="s">
        <v>1018</v>
      </c>
      <c r="F750" s="37" t="s">
        <v>201</v>
      </c>
      <c r="G750" s="24"/>
      <c r="H750" s="24"/>
    </row>
    <row r="751" spans="1:8" ht="13.2">
      <c r="A751" s="65" t="str">
        <f>HYPERLINK("https://csacademy.com/contest/junior-challenge-2017-day-2/task/cntgigelmat","ROJS 17-cntgigelmat")</f>
        <v>ROJS 17-cntgigelmat</v>
      </c>
      <c r="B751" s="37" t="s">
        <v>6786</v>
      </c>
      <c r="C751" s="24">
        <v>6</v>
      </c>
      <c r="D751" s="65" t="str">
        <f>HYPERLINK("https://github.com/MetalBall887/Competitive-Programming/blob/master/CSAcademy/ROJS%2017-cntgigelmat.cpp","Sol")</f>
        <v>Sol</v>
      </c>
      <c r="E751" s="31" t="s">
        <v>1018</v>
      </c>
      <c r="F751" s="37" t="s">
        <v>201</v>
      </c>
      <c r="G751" s="24"/>
      <c r="H751" s="24"/>
    </row>
    <row r="752" spans="1:8" ht="13.2">
      <c r="A752" s="65" t="str">
        <f>HYPERLINK("https://dmoj.ca/problem/coci06c4p6","COCI 06-Ispiti")</f>
        <v>COCI 06-Ispiti</v>
      </c>
      <c r="B752" s="15" t="s">
        <v>6787</v>
      </c>
      <c r="C752" s="24">
        <v>6</v>
      </c>
      <c r="D752" s="65" t="str">
        <f>HYPERLINK("https://github.com/mostafa-saad/MyCompetitiveProgramming/blob/master/Olympiad/COCI/COCI-06-Ispiti.txt","Sol")</f>
        <v>Sol</v>
      </c>
      <c r="E752" s="31" t="s">
        <v>1018</v>
      </c>
      <c r="F752" s="37" t="s">
        <v>201</v>
      </c>
      <c r="G752" s="24"/>
      <c r="H752" s="24"/>
    </row>
    <row r="753" spans="1:8" ht="13.2">
      <c r="A753" s="65" t="str">
        <f>HYPERLINK("https://www.infoarena.ro/problema/minuni","infoarena minuni")</f>
        <v>infoarena minuni</v>
      </c>
      <c r="B753" s="20" t="s">
        <v>1017</v>
      </c>
      <c r="C753" s="21">
        <v>6</v>
      </c>
      <c r="D753" s="65" t="str">
        <f>HYPERLINK("https://github.com/stefdasca/CompetitiveProgramming/blob/master/Infoarena/minuni.cpp","Sol")</f>
        <v>Sol</v>
      </c>
      <c r="E753" s="31" t="s">
        <v>1018</v>
      </c>
      <c r="F753" s="37" t="s">
        <v>201</v>
      </c>
      <c r="G753" s="24"/>
      <c r="H753" s="24"/>
    </row>
    <row r="754" spans="1:8" ht="13.2">
      <c r="A754" s="65" t="str">
        <f>HYPERLINK("https://csacademy.com/contest/balkan-oi-2017-day-2/","Balkan 17-CityAttractions")</f>
        <v>Balkan 17-CityAttractions</v>
      </c>
      <c r="B754" s="18" t="s">
        <v>7510</v>
      </c>
      <c r="C754" s="17">
        <v>6</v>
      </c>
      <c r="D754" s="65" t="str">
        <f>HYPERLINK("https://github.com/mostafa-saad/MyCompetitiveProgramming/blob/master/Olympiad/Balkan/Balkan-17-CityAttractions.txt","Sol")</f>
        <v>Sol</v>
      </c>
      <c r="E754" s="31" t="s">
        <v>6459</v>
      </c>
      <c r="F754" s="37" t="s">
        <v>201</v>
      </c>
      <c r="G754" s="24"/>
      <c r="H754" s="24"/>
    </row>
    <row r="755" spans="1:8" ht="13.2">
      <c r="A755" s="65" t="str">
        <f>HYPERLINK("https://dmoj.ca/problem/coci06c1p6","COCI 06-Debug")</f>
        <v>COCI 06-Debug</v>
      </c>
      <c r="B755" s="15" t="s">
        <v>7521</v>
      </c>
      <c r="C755" s="24">
        <v>6</v>
      </c>
      <c r="D755" s="65" t="str">
        <f>HYPERLINK("https://github.com/mostafa-saad/MyCompetitiveProgramming/blob/master/Olympiad/COCI/COCI-06-Debug.txt","Sol")</f>
        <v>Sol</v>
      </c>
      <c r="E755" s="31" t="s">
        <v>6505</v>
      </c>
      <c r="F755" s="37" t="s">
        <v>201</v>
      </c>
      <c r="G755" s="24"/>
      <c r="H755" s="24"/>
    </row>
    <row r="756" spans="1:8" ht="13.2">
      <c r="A756" s="65" t="str">
        <f>HYPERLINK("https://oj.uz/problem/view/IOI15_boxes","IOI 15-boxes")</f>
        <v>IOI 15-boxes</v>
      </c>
      <c r="B756" s="18" t="s">
        <v>1366</v>
      </c>
      <c r="C756" s="17">
        <v>6</v>
      </c>
      <c r="D756" s="65" t="str">
        <f>HYPERLINK("https://github.com/mostafa-saad/MyCompetitiveProgramming/blob/master/Olympiad/IOI/IOI-15-boxes.txt","Sol")</f>
        <v>Sol</v>
      </c>
      <c r="E756" s="31" t="s">
        <v>1337</v>
      </c>
      <c r="F756" s="37" t="s">
        <v>201</v>
      </c>
      <c r="G756" s="24"/>
      <c r="H756" s="24"/>
    </row>
    <row r="757" spans="1:8" ht="13.2">
      <c r="A757" s="65" t="str">
        <f>HYPERLINK("https://oj.uz/problem/view/COCI14_bob","COCI 14-bob")</f>
        <v>COCI 14-bob</v>
      </c>
      <c r="B757" s="20" t="s">
        <v>6889</v>
      </c>
      <c r="C757" s="24">
        <v>6</v>
      </c>
      <c r="D757" s="65" t="str">
        <f>HYPERLINK("https://github.com/mostafa-saad/MyCompetitiveProgramming/blob/master/Olympiad/COCI/COCI-14-bob.txt","Sol")</f>
        <v>Sol</v>
      </c>
      <c r="E757" s="31" t="s">
        <v>1337</v>
      </c>
      <c r="F757" s="37" t="s">
        <v>201</v>
      </c>
      <c r="G757" s="24"/>
      <c r="H757" s="24"/>
    </row>
    <row r="758" spans="1:8" ht="13.2">
      <c r="A758" s="65" t="str">
        <f>HYPERLINK("https://www.infoarena.ro/problema/retea3","infoarena retea3")</f>
        <v>infoarena retea3</v>
      </c>
      <c r="B758" s="37" t="s">
        <v>1346</v>
      </c>
      <c r="C758" s="24">
        <v>6</v>
      </c>
      <c r="D758" s="65" t="str">
        <f>HYPERLINK("https://github.com/mostafa-saad/MyCompetitiveProgramming/blob/master/Olympiad/infoarena/infoarena-retea3.txt","Sol")</f>
        <v>Sol</v>
      </c>
      <c r="E758" s="31" t="s">
        <v>1337</v>
      </c>
      <c r="F758" s="37" t="s">
        <v>201</v>
      </c>
      <c r="G758" s="24"/>
      <c r="H758" s="24"/>
    </row>
    <row r="759" spans="1:8" ht="13.2">
      <c r="A759" s="65" t="str">
        <f>HYPERLINK("https://oj.uz/problem/view/COCI15_savez","COCI 15-savez")</f>
        <v>COCI 15-savez</v>
      </c>
      <c r="B759" s="20" t="s">
        <v>6890</v>
      </c>
      <c r="C759" s="24">
        <v>6</v>
      </c>
      <c r="D759" s="65" t="str">
        <f>HYPERLINK("https://github.com/mostafa-saad/MyCompetitiveProgramming/blob/master/Olympiad/COCI/COCI-15-savez.txt","Sol")</f>
        <v>Sol</v>
      </c>
      <c r="E759" s="31" t="s">
        <v>1337</v>
      </c>
      <c r="F759" s="37" t="s">
        <v>201</v>
      </c>
      <c r="G759" s="24"/>
      <c r="H759" s="24"/>
    </row>
    <row r="760" spans="1:8" ht="13.2">
      <c r="A760" s="65" t="str">
        <f>HYPERLINK("https://cses.fi/185/list/","CEOI 06-Queue")</f>
        <v>CEOI 06-Queue</v>
      </c>
      <c r="B760" s="20" t="s">
        <v>6657</v>
      </c>
      <c r="C760" s="24">
        <v>6</v>
      </c>
      <c r="D760" s="65" t="str">
        <f>HYPERLINK("https://github.com/mostafa-saad/MyCompetitiveProgramming/blob/master/Olympiad/CEOI/CEOI-06-Queue.txt","Sol")</f>
        <v>Sol</v>
      </c>
      <c r="E760" s="31" t="s">
        <v>332</v>
      </c>
      <c r="F760" s="37" t="s">
        <v>201</v>
      </c>
      <c r="G760" s="24"/>
      <c r="H760" s="24"/>
    </row>
    <row r="761" spans="1:8" ht="13.2">
      <c r="A761" s="65" t="str">
        <f>HYPERLINK("http://usaco.org/index.php?page=viewproblem2&amp;cpid=92", "USACO 11nov-bsudoku-gold")</f>
        <v>USACO 11nov-bsudoku-gold</v>
      </c>
      <c r="B761" s="20" t="s">
        <v>1818</v>
      </c>
      <c r="C761" s="21">
        <v>6</v>
      </c>
      <c r="D761" s="69"/>
      <c r="E761" s="31" t="s">
        <v>1819</v>
      </c>
      <c r="F761" s="37" t="s">
        <v>201</v>
      </c>
      <c r="G761" s="24"/>
      <c r="H761" s="24"/>
    </row>
    <row r="762" spans="1:8" ht="13.2">
      <c r="A762" s="65" t="str">
        <f>HYPERLINK("https://dunjudge.me/analysis/problems/542/","APIO 08-DNA")</f>
        <v>APIO 08-DNA</v>
      </c>
      <c r="B762" s="20" t="s">
        <v>6970</v>
      </c>
      <c r="C762" s="17">
        <v>6</v>
      </c>
      <c r="D762" s="65" t="str">
        <f>HYPERLINK("https://github.com/mostafa-saad/MyCompetitiveProgramming/blob/master/Olympiad/APIO/APIO-08-DNA.txt","Sol")</f>
        <v>Sol</v>
      </c>
      <c r="E762" s="31" t="s">
        <v>1909</v>
      </c>
      <c r="F762" s="37" t="s">
        <v>201</v>
      </c>
      <c r="G762" s="24"/>
      <c r="H762" s="24"/>
    </row>
    <row r="763" spans="1:8" ht="13.2">
      <c r="A763" s="65" t="str">
        <f>HYPERLINK("https://oj.uz/problem/view/BOI12_mobile","Baltic 12-mobile")</f>
        <v>Baltic 12-mobile</v>
      </c>
      <c r="B763" s="20" t="s">
        <v>7011</v>
      </c>
      <c r="C763" s="24">
        <v>6</v>
      </c>
      <c r="D763" s="65" t="str">
        <f>HYPERLINK("https://github.com/mostafa-saad/MyCompetitiveProgramming/blob/master/Olympiad/Baltic/Baltic-12-mobile.txt","Sol")</f>
        <v>Sol</v>
      </c>
      <c r="E763" s="31" t="s">
        <v>2153</v>
      </c>
      <c r="F763" s="37" t="s">
        <v>201</v>
      </c>
      <c r="G763" s="24"/>
      <c r="H763" s="24"/>
    </row>
    <row r="764" spans="1:8" ht="13.2">
      <c r="A764" s="65" t="str">
        <f>HYPERLINK("https://szkopul.edu.pl/problemset/problem/VutzcR1iPvGuYRGZgvNksmV1/site/", "POI 07-Flood")</f>
        <v>POI 07-Flood</v>
      </c>
      <c r="B764" s="37" t="s">
        <v>2181</v>
      </c>
      <c r="C764" s="24">
        <v>6</v>
      </c>
      <c r="D764" s="65" t="str">
        <f>HYPERLINK("https://github.com/mostafa-saad/MyCompetitiveProgramming/blob/master/Olympiad/POI/POI-07-Flood.txt","Sol")</f>
        <v>Sol</v>
      </c>
      <c r="E764" s="31" t="s">
        <v>2153</v>
      </c>
      <c r="F764" s="37" t="s">
        <v>201</v>
      </c>
      <c r="G764" s="24"/>
      <c r="H764" s="24"/>
    </row>
    <row r="765" spans="1:8" ht="13.2">
      <c r="A765" s="65" t="str">
        <f>HYPERLINK("https://oj.uz/problem/view/IOI19_packing","IOIPractice 19-packing")</f>
        <v>IOIPractice 19-packing</v>
      </c>
      <c r="B765" s="20" t="s">
        <v>7012</v>
      </c>
      <c r="C765" s="17">
        <v>6</v>
      </c>
      <c r="D765" s="65" t="str">
        <f>HYPERLINK("https://github.com/tmwilliamlin168/CompetitiveProgramming/blob/master/IOI/19P-Packing.cpp","Sol")</f>
        <v>Sol</v>
      </c>
      <c r="E765" s="31" t="s">
        <v>2153</v>
      </c>
      <c r="F765" s="37" t="s">
        <v>201</v>
      </c>
      <c r="G765" s="24"/>
      <c r="H765" s="24"/>
    </row>
    <row r="766" spans="1:8" ht="13.2">
      <c r="A766" s="65" t="str">
        <f>HYPERLINK("https://szkopul.edu.pl/problemset/problem/XcxwG3EBHwd-6_fIF1NG3Wfg/site/?key=statement","CEOI 11-Balloons")</f>
        <v>CEOI 11-Balloons</v>
      </c>
      <c r="B766" s="15" t="s">
        <v>7083</v>
      </c>
      <c r="C766" s="17">
        <v>6</v>
      </c>
      <c r="D766" s="69" t="s">
        <v>7810</v>
      </c>
      <c r="E766" s="31" t="s">
        <v>2798</v>
      </c>
      <c r="F766" s="37" t="s">
        <v>201</v>
      </c>
      <c r="G766" s="24"/>
      <c r="H766" s="24"/>
    </row>
    <row r="767" spans="1:8" ht="13.2">
      <c r="A767" s="65" t="str">
        <f>HYPERLINK("http://usaco.org/index.php?page=viewproblem2&amp;cpid=770", "USACO 17dec-greedy-plat")</f>
        <v>USACO 17dec-greedy-plat</v>
      </c>
      <c r="B767" s="20" t="s">
        <v>611</v>
      </c>
      <c r="C767" s="21">
        <v>6</v>
      </c>
      <c r="D767" s="69"/>
      <c r="E767" s="31" t="s">
        <v>575</v>
      </c>
      <c r="F767" s="37" t="s">
        <v>201</v>
      </c>
      <c r="G767" s="24"/>
      <c r="H767" s="24"/>
    </row>
    <row r="768" spans="1:8" ht="13.2">
      <c r="A768" s="65" t="str">
        <f>HYPERLINK("http://usaco.org/index.php?page=viewproblem2&amp;cpid=816","USACO 18feb-slingshot-plat")</f>
        <v>USACO 18feb-slingshot-plat</v>
      </c>
      <c r="B768" s="20" t="s">
        <v>3153</v>
      </c>
      <c r="C768" s="21">
        <v>6</v>
      </c>
      <c r="D768" s="69"/>
      <c r="E768" s="31" t="s">
        <v>3140</v>
      </c>
      <c r="F768" s="37" t="s">
        <v>201</v>
      </c>
      <c r="G768" s="24"/>
      <c r="H768" s="24"/>
    </row>
    <row r="769" spans="1:8" ht="13.2">
      <c r="A769" s="65" t="str">
        <f>HYPERLINK("https://www.hackerrank.com/contests/boi-2016/challenges","Balkan 16-Conference")</f>
        <v>Balkan 16-Conference</v>
      </c>
      <c r="B769" s="18" t="s">
        <v>7152</v>
      </c>
      <c r="C769" s="17">
        <v>6</v>
      </c>
      <c r="D769" s="65" t="str">
        <f>HYPERLINK("https://github.com/mostafa-saad/MyCompetitiveProgramming/blob/master/Olympiad/Balkan/Balkan-16-Conference.txt","Sol")</f>
        <v>Sol</v>
      </c>
      <c r="E769" s="31" t="s">
        <v>3257</v>
      </c>
      <c r="F769" s="37" t="s">
        <v>201</v>
      </c>
      <c r="G769" s="24"/>
      <c r="H769" s="24"/>
    </row>
    <row r="770" spans="1:8" ht="13.2">
      <c r="A770" s="65" t="str">
        <f>HYPERLINK("https://szkopul.edu.pl/problemset/problem/kqBM3UKWL-qlFiXIOxPXL35m/site/","POI 17-Sports")</f>
        <v>POI 17-Sports</v>
      </c>
      <c r="B770" s="37" t="s">
        <v>7153</v>
      </c>
      <c r="C770" s="24">
        <v>6</v>
      </c>
      <c r="D770" s="65" t="str">
        <f>HYPERLINK("https://github.com/Shash-Wat/competitive-programming/blob/master/POI/poi_sport.cpp","Sol (no editorial)")</f>
        <v>Sol (no editorial)</v>
      </c>
      <c r="E770" s="31" t="s">
        <v>3257</v>
      </c>
      <c r="F770" s="37" t="s">
        <v>201</v>
      </c>
      <c r="G770" s="24"/>
      <c r="H770" s="24"/>
    </row>
    <row r="771" spans="1:8" ht="13.2">
      <c r="A771" s="65" t="str">
        <f>HYPERLINK("https://www.infoarena.ro/problema/matrice2","infoarena matrice2")</f>
        <v>infoarena matrice2</v>
      </c>
      <c r="B771" s="20" t="s">
        <v>7636</v>
      </c>
      <c r="C771" s="21">
        <v>6</v>
      </c>
      <c r="D771" s="65" t="str">
        <f>HYPERLINK("https://github.com/mostafa-saad/MyCompetitiveProgramming/blob/master/Olympiad/infoarena/infoarena_matrice2.txt","Sol")</f>
        <v>Sol</v>
      </c>
      <c r="E771" s="31" t="s">
        <v>3883</v>
      </c>
      <c r="F771" s="37" t="s">
        <v>201</v>
      </c>
      <c r="G771" s="24"/>
      <c r="H771" s="24"/>
    </row>
    <row r="772" spans="1:8" ht="13.2">
      <c r="A772" s="65" t="str">
        <f>HYPERLINK("https://www.infoarena.ro/problema/nrsubsecv","infoarena nrsubsecv")</f>
        <v>infoarena nrsubsecv</v>
      </c>
      <c r="B772" s="37" t="s">
        <v>7240</v>
      </c>
      <c r="C772" s="21">
        <v>6</v>
      </c>
      <c r="D772" s="65" t="str">
        <f>HYPERLINK("https://github.com/stefdasca/CompetitiveProgramming/blob/master/Infoarena/nrsubsecv.cpp","Sol")</f>
        <v>Sol</v>
      </c>
      <c r="E772" s="31" t="s">
        <v>3883</v>
      </c>
      <c r="F772" s="37" t="s">
        <v>201</v>
      </c>
      <c r="G772" s="24"/>
      <c r="H772" s="24"/>
    </row>
    <row r="773" spans="1:8" ht="13.2">
      <c r="A773" s="65" t="str">
        <f>HYPERLINK("https://cses.fi/108/list/","Baltic 09-Triangulate")</f>
        <v>Baltic 09-Triangulate</v>
      </c>
      <c r="B773" s="37" t="s">
        <v>4484</v>
      </c>
      <c r="C773" s="24">
        <v>6</v>
      </c>
      <c r="D773" s="65" t="str">
        <f>HYPERLINK("https://github.com/mostafa-saad/MyCompetitiveProgramming/blob/master/Olympiad/Baltic/Baltic-09-Triangulate.txt","Sol")</f>
        <v>Sol</v>
      </c>
      <c r="E773" s="31" t="s">
        <v>4454</v>
      </c>
      <c r="F773" s="37" t="s">
        <v>201</v>
      </c>
      <c r="G773" s="24"/>
      <c r="H773" s="24"/>
    </row>
    <row r="774" spans="1:8" ht="13.2">
      <c r="A774" s="65" t="str">
        <f>HYPERLINK("https://www.infoarena.ro/problema/matrice","infoarena matrice")</f>
        <v>infoarena matrice</v>
      </c>
      <c r="B774" s="20" t="s">
        <v>7320</v>
      </c>
      <c r="C774" s="24">
        <v>6</v>
      </c>
      <c r="D774" s="65" t="str">
        <f>HYPERLINK("https://github.com/stefdasca/CompetitiveProgramming/blob/master/Infoarena/matrice.cpp","Sol")</f>
        <v>Sol</v>
      </c>
      <c r="E774" s="31" t="s">
        <v>4531</v>
      </c>
      <c r="F774" s="37" t="s">
        <v>201</v>
      </c>
      <c r="G774" s="24"/>
      <c r="H774" s="24"/>
    </row>
    <row r="775" spans="1:8" ht="13.2">
      <c r="A775" s="65" t="str">
        <f>HYPERLINK("https://csacademy.com/contest/ioi-2016-training-round-1/task/farey_sequence","IOIPractice 16-farey_sequence")</f>
        <v>IOIPractice 16-farey_sequence</v>
      </c>
      <c r="B775" s="37" t="s">
        <v>6724</v>
      </c>
      <c r="C775" s="24">
        <v>6</v>
      </c>
      <c r="D775" s="69"/>
      <c r="E775" s="31" t="s">
        <v>805</v>
      </c>
      <c r="F775" s="37" t="s">
        <v>201</v>
      </c>
      <c r="G775" s="24"/>
      <c r="H775" s="24"/>
    </row>
    <row r="776" spans="1:8" ht="13.2">
      <c r="A776" s="65" t="str">
        <f>HYPERLINK("http://usaco.org/index.php?page=viewproblem2&amp;cpid=744", "USACO 17mar-art")</f>
        <v>USACO 17mar-art</v>
      </c>
      <c r="B776" s="37" t="s">
        <v>245</v>
      </c>
      <c r="C776" s="24">
        <v>6</v>
      </c>
      <c r="D776" s="69"/>
      <c r="E776" s="31" t="s">
        <v>125</v>
      </c>
      <c r="F776" s="37" t="s">
        <v>242</v>
      </c>
      <c r="G776" s="24"/>
      <c r="H776" s="24"/>
    </row>
    <row r="777" spans="1:8" ht="13.2">
      <c r="A777" s="65" t="str">
        <f>HYPERLINK("https://open.kattis.com/problems/catinatree","Baltic 17-Cat")</f>
        <v>Baltic 17-Cat</v>
      </c>
      <c r="B777" s="18" t="s">
        <v>7455</v>
      </c>
      <c r="C777" s="17">
        <v>6</v>
      </c>
      <c r="D777" s="65" t="str">
        <f>HYPERLINK("https://github.com/mostafa-saad/MyCompetitiveProgramming/blob/master/Olympiad/Baltic/Baltic-17-Cat.txt","Sol")</f>
        <v>Sol</v>
      </c>
      <c r="E777" s="31" t="s">
        <v>6345</v>
      </c>
      <c r="F777" s="37" t="s">
        <v>242</v>
      </c>
      <c r="G777" s="24"/>
      <c r="H777" s="24"/>
    </row>
    <row r="778" spans="1:8" ht="13.2">
      <c r="A778" s="65" t="str">
        <f>HYPERLINK("http://www.usaco.org/index.php?page=viewproblem2&amp;cpid=973","USACO 19dec-plat-snowcow")</f>
        <v>USACO 19dec-plat-snowcow</v>
      </c>
      <c r="B778" s="20" t="s">
        <v>6788</v>
      </c>
      <c r="C778" s="17">
        <v>6</v>
      </c>
      <c r="D778" s="69"/>
      <c r="E778" s="31" t="s">
        <v>1018</v>
      </c>
      <c r="F778" s="37" t="s">
        <v>242</v>
      </c>
      <c r="G778" s="24"/>
      <c r="H778" s="24"/>
    </row>
    <row r="779" spans="1:8" ht="13.2">
      <c r="A779" s="65" t="str">
        <f>HYPERLINK("https://wcipeg.com/problem/coci094p5","COCI 09-Kaboom")</f>
        <v>COCI 09-Kaboom</v>
      </c>
      <c r="B779" s="15" t="s">
        <v>1348</v>
      </c>
      <c r="C779" s="24">
        <v>6</v>
      </c>
      <c r="D779" s="65" t="str">
        <f>HYPERLINK("https://github.com/mostafa-saad/MyCompetitiveProgramming/blob/master/Olympiad/CEOI/COCI-09-Kaboom","Sol")</f>
        <v>Sol</v>
      </c>
      <c r="E779" s="31" t="s">
        <v>1337</v>
      </c>
      <c r="F779" s="37" t="s">
        <v>242</v>
      </c>
      <c r="G779" s="24"/>
      <c r="H779" s="24"/>
    </row>
    <row r="780" spans="1:8" ht="13.2">
      <c r="A780" s="65" t="str">
        <f>HYPERLINK("https://cses.fi/186/list/","CEOI 06-Link")</f>
        <v>CEOI 06-Link</v>
      </c>
      <c r="B780" s="20" t="s">
        <v>1348</v>
      </c>
      <c r="C780" s="24">
        <v>6</v>
      </c>
      <c r="D780" s="65" t="str">
        <f>HYPERLINK("https://github.com/mostafa-saad/MyCompetitiveProgramming/tree/master/Olympiad/CEOI/official/2006","Editorial")</f>
        <v>Editorial</v>
      </c>
      <c r="E780" s="31" t="s">
        <v>1337</v>
      </c>
      <c r="F780" s="37" t="s">
        <v>6891</v>
      </c>
      <c r="G780" s="24"/>
      <c r="H780" s="24"/>
    </row>
    <row r="781" spans="1:8" ht="13.2">
      <c r="A781" s="65" t="str">
        <f>HYPERLINK("http://usaco.org/index.php?page=viewproblem2&amp;cpid=533","USACO 15feb-censor")</f>
        <v>USACO 15feb-censor</v>
      </c>
      <c r="B781" s="20" t="s">
        <v>6615</v>
      </c>
      <c r="C781" s="17">
        <v>6</v>
      </c>
      <c r="D781" s="65" t="str">
        <f>HYPERLINK("https://github.com/updown2/OI-Practice/blob/master/USACO/2014-2015/February/Gold/Censoring.cpp","Sol")</f>
        <v>Sol</v>
      </c>
      <c r="E781" s="31" t="s">
        <v>125</v>
      </c>
      <c r="F781" s="37"/>
      <c r="G781" s="24"/>
      <c r="H781" s="24"/>
    </row>
    <row r="782" spans="1:8" ht="13.2">
      <c r="A782" s="65" t="str">
        <f>HYPERLINK("https://www.infoarena.ro/problema/identice","infoarena identice")</f>
        <v>infoarena identice</v>
      </c>
      <c r="B782" s="20" t="s">
        <v>6616</v>
      </c>
      <c r="C782" s="17">
        <v>6</v>
      </c>
      <c r="D782" s="65" t="str">
        <f>HYPERLINK("https://github.com/stefdasca/CompetitiveProgramming/blob/master/Infoarena/identice","Sol")</f>
        <v>Sol</v>
      </c>
      <c r="E782" s="31" t="s">
        <v>125</v>
      </c>
      <c r="F782" s="37"/>
      <c r="G782" s="24"/>
      <c r="H782" s="24"/>
    </row>
    <row r="783" spans="1:8" ht="13.2">
      <c r="A783" s="65" t="str">
        <f>HYPERLINK("https://contest.yandex.ru/ioi/contest/558/enter/","IOI 03-guess")</f>
        <v>IOI 03-guess</v>
      </c>
      <c r="B783" s="15" t="s">
        <v>6571</v>
      </c>
      <c r="C783" s="24">
        <v>6</v>
      </c>
      <c r="D783" s="65" t="str">
        <f>HYPERLINK("https://github.com/mostafa-saad/MyCompetitiveProgramming/blob/master/Olympiad/IOI/IOI-03-guess.txt","Sol")</f>
        <v>Sol</v>
      </c>
      <c r="E783" s="31" t="s">
        <v>125</v>
      </c>
      <c r="F783" s="37"/>
      <c r="G783" s="24"/>
      <c r="H783" s="24"/>
    </row>
    <row r="784" spans="1:8" ht="13.2">
      <c r="A784" s="65" t="str">
        <f>HYPERLINK("http://www.usaco.org/index.php?page=viewproblem2&amp;cpid=1021","USACO 20feb-triangles")</f>
        <v>USACO 20feb-triangles</v>
      </c>
      <c r="B784" s="20" t="s">
        <v>245</v>
      </c>
      <c r="C784" s="24">
        <v>6</v>
      </c>
      <c r="D784" s="69"/>
      <c r="E784" s="31" t="s">
        <v>125</v>
      </c>
      <c r="F784" s="37"/>
      <c r="G784" s="24"/>
      <c r="H784" s="24"/>
    </row>
    <row r="785" spans="1:8" ht="13.2">
      <c r="A785" s="65" t="str">
        <f>HYPERLINK("https://dunjudge.me/analysis/problems/698/","NOIMOCK 15-chessboard")</f>
        <v>NOIMOCK 15-chessboard</v>
      </c>
      <c r="B785" s="37" t="s">
        <v>6617</v>
      </c>
      <c r="C785" s="24">
        <v>6</v>
      </c>
      <c r="D785" s="69"/>
      <c r="E785" s="31" t="s">
        <v>125</v>
      </c>
      <c r="F785" s="37"/>
      <c r="G785" s="24"/>
      <c r="H785" s="24"/>
    </row>
    <row r="786" spans="1:8" ht="13.2">
      <c r="A786" s="65" t="str">
        <f>HYPERLINK("https://oj.uz/problem/view/IOI12_scrivener","IOI 12-scrivener")</f>
        <v>IOI 12-scrivener</v>
      </c>
      <c r="B786" s="18" t="s">
        <v>7373</v>
      </c>
      <c r="C786" s="17">
        <v>6</v>
      </c>
      <c r="D786" s="65" t="str">
        <f>HYPERLINK("https://github.com/mostafa-saad/MyCompetitiveProgramming/blob/master/Olympiad/IOI/IOI-12-scrivener.txt","Sol")</f>
        <v>Sol</v>
      </c>
      <c r="E786" s="31" t="s">
        <v>5643</v>
      </c>
      <c r="F786" s="37"/>
      <c r="G786" s="24"/>
      <c r="H786" s="24"/>
    </row>
    <row r="787" spans="1:8" ht="13.2">
      <c r="A787" s="65" t="str">
        <f>HYPERLINK("https://szkopul.edu.pl/problemset/problem/in7jx1ATY7fnkmK87b9m_Nu_/site/","CEOI 11-Matching")</f>
        <v>CEOI 11-Matching</v>
      </c>
      <c r="B787" s="20" t="s">
        <v>5714</v>
      </c>
      <c r="C787" s="24">
        <v>6</v>
      </c>
      <c r="D787" s="65" t="str">
        <f>HYPERLINK("https://github.com/mostafa-saad/MyCompetitiveProgramming/blob/master/Olympiad/CEOI/official/2011/","Editorial")</f>
        <v>Editorial</v>
      </c>
      <c r="E787" s="31" t="s">
        <v>5702</v>
      </c>
      <c r="F787" s="37"/>
      <c r="G787" s="24"/>
      <c r="H787" s="24"/>
    </row>
    <row r="788" spans="1:8" ht="13.2">
      <c r="A788" s="65" t="str">
        <f>HYPERLINK("https://dmoj.ca/problem/stnbd4","Dmoj stnbd4")</f>
        <v>Dmoj stnbd4</v>
      </c>
      <c r="B788" s="37" t="s">
        <v>5939</v>
      </c>
      <c r="C788" s="24">
        <v>6</v>
      </c>
      <c r="D788" s="65" t="str">
        <f>HYPERLINK("https://github.com/tsouza0/CompetitiveProgramming/blob/master/DMOJ/stnbd4.cpp","Sol")</f>
        <v>Sol</v>
      </c>
      <c r="E788" s="31" t="s">
        <v>5915</v>
      </c>
      <c r="F788" s="37"/>
      <c r="G788" s="24"/>
      <c r="H788" s="24"/>
    </row>
    <row r="789" spans="1:8" ht="13.2">
      <c r="A789" s="65" t="str">
        <f>HYPERLINK("https://dmoj.ca/problem/dmopc16c4p4","DMOPC 16-MollyMangaShopping")</f>
        <v>DMOPC 16-MollyMangaShopping</v>
      </c>
      <c r="B789" s="37" t="s">
        <v>5914</v>
      </c>
      <c r="C789" s="24">
        <v>6</v>
      </c>
      <c r="D789" s="69"/>
      <c r="E789" s="31" t="s">
        <v>5915</v>
      </c>
      <c r="F789" s="37"/>
      <c r="G789" s="24"/>
      <c r="H789" s="24"/>
    </row>
    <row r="790" spans="1:8" ht="13.2">
      <c r="A790" s="65" t="str">
        <f>HYPERLINK("https://dmoj.ca/problem/coci08c3p4","COCI 08-Matrica")</f>
        <v>COCI 08-Matrica</v>
      </c>
      <c r="B790" s="15" t="s">
        <v>5961</v>
      </c>
      <c r="C790" s="24">
        <v>6</v>
      </c>
      <c r="D790" s="65" t="str">
        <f>HYPERLINK("https://github.com/mostafa-saad/MyCompetitiveProgramming/blob/master/Olympiad/COCI/COCI-08-Matrica","Sol")</f>
        <v>Sol</v>
      </c>
      <c r="E790" s="31" t="s">
        <v>5958</v>
      </c>
      <c r="F790" s="37"/>
      <c r="G790" s="24"/>
      <c r="H790" s="24"/>
    </row>
    <row r="791" spans="1:8" ht="13.2">
      <c r="A791" s="65" t="str">
        <f>HYPERLINK("https://oj.uz/problem/view/IZhO18_chessboard","IZhO 18-chessboard")</f>
        <v>IZhO 18-chessboard</v>
      </c>
      <c r="B791" s="20" t="s">
        <v>5992</v>
      </c>
      <c r="C791" s="24">
        <v>6</v>
      </c>
      <c r="D791" s="69"/>
      <c r="E791" s="31" t="s">
        <v>5958</v>
      </c>
      <c r="F791" s="37"/>
      <c r="G791" s="24"/>
      <c r="H791" s="24"/>
    </row>
    <row r="792" spans="1:8" ht="13.2">
      <c r="A792" s="65" t="str">
        <f>HYPERLINK("https://oj.uz/problem/view/JOI17_broken_device","JOISC 17-broken_device")</f>
        <v>JOISC 17-broken_device</v>
      </c>
      <c r="B792" s="20" t="s">
        <v>7401</v>
      </c>
      <c r="C792" s="24">
        <v>6</v>
      </c>
      <c r="D792" s="65" t="str">
        <f>HYPERLINK("https://ivaniscoding.wordpress.com/2018/08/25/communication-3-broken-device/","Sol")</f>
        <v>Sol</v>
      </c>
      <c r="E792" s="31" t="s">
        <v>5958</v>
      </c>
      <c r="F792" s="37"/>
      <c r="G792" s="24"/>
      <c r="H792" s="24"/>
    </row>
    <row r="793" spans="1:8" ht="13.2">
      <c r="A793" s="65" t="str">
        <f>HYPERLINK("https://codeforces.com/group/swEqtABRxe/contest/243429/problem/A", "EOI 18-d1-A")</f>
        <v>EOI 18-d1-A</v>
      </c>
      <c r="B793" s="20" t="s">
        <v>7430</v>
      </c>
      <c r="C793" s="17">
        <v>6</v>
      </c>
      <c r="D793" s="69"/>
      <c r="E793" s="31" t="s">
        <v>6098</v>
      </c>
      <c r="F793" s="37"/>
      <c r="G793" s="24"/>
      <c r="H793" s="24"/>
    </row>
    <row r="794" spans="1:8" ht="13.2">
      <c r="A794" s="65" t="str">
        <f>HYPERLINK("https://dunjudge.me/analysis/problems/961/","MCO 16-town_planning")</f>
        <v>MCO 16-town_planning</v>
      </c>
      <c r="B794" s="37" t="s">
        <v>6349</v>
      </c>
      <c r="C794" s="24">
        <v>6</v>
      </c>
      <c r="D794" s="65" t="str">
        <f>HYPERLINK("https://github.com/mostafa-saad/MyCompetitiveProgramming/blob/master/Olympiad/MCO/MCO-16-town_planning.txt","Sol")</f>
        <v>Sol</v>
      </c>
      <c r="E794" s="31" t="s">
        <v>6345</v>
      </c>
      <c r="F794" s="37"/>
      <c r="G794" s="24"/>
      <c r="H794" s="24"/>
    </row>
    <row r="795" spans="1:8" ht="13.2">
      <c r="A795" s="65" t="str">
        <f>HYPERLINK("https://www.acmicpc.net/problem/5254","Balkan 12-balls")</f>
        <v>Balkan 12-balls</v>
      </c>
      <c r="B795" s="20" t="s">
        <v>7464</v>
      </c>
      <c r="C795" s="17">
        <v>6</v>
      </c>
      <c r="D795" s="65" t="str">
        <f>HYPERLINK("https://github.com/mostafa-saad/MyCompetitiveProgramming/blob/master/Olympiad/Balkan/Balkan-12-balls.txt","Sol")</f>
        <v>Sol</v>
      </c>
      <c r="E795" s="31" t="s">
        <v>6362</v>
      </c>
      <c r="F795" s="37"/>
      <c r="G795" s="24"/>
      <c r="H795" s="24"/>
    </row>
    <row r="796" spans="1:8" ht="13.2">
      <c r="A796" s="65" t="str">
        <f>HYPERLINK("https://szkopul.edu.pl/problemset/problem/ovRIpLFK3IhyFPjnVXeZtGxH/site/?key=statement","CEOI 04-Two")</f>
        <v>CEOI 04-Two</v>
      </c>
      <c r="B796" s="37" t="s">
        <v>7465</v>
      </c>
      <c r="C796" s="24">
        <v>6</v>
      </c>
      <c r="D796" s="65" t="str">
        <f>HYPERLINK("https://github.com/mostafa-saad/MyCompetitiveProgramming/blob/master/Olympiad/CEOI/CEOI-04-Two.txt","Sol")</f>
        <v>Sol</v>
      </c>
      <c r="E796" s="31" t="s">
        <v>6362</v>
      </c>
      <c r="F796" s="37"/>
      <c r="G796" s="24"/>
      <c r="H796" s="24"/>
    </row>
    <row r="797" spans="1:8" ht="13.2">
      <c r="A797" s="65" t="str">
        <f>HYPERLINK("https://www.infoarena.ro/problema/padurari","infoarena padurari")</f>
        <v>infoarena padurari</v>
      </c>
      <c r="B797" s="37" t="s">
        <v>7486</v>
      </c>
      <c r="C797" s="24">
        <v>6</v>
      </c>
      <c r="D797" s="65" t="str">
        <f>HYPERLINK("https://github.com/stefdasca/CompetitiveProgramming/blob/master/Infoarena/padurari.cpp","Sol")</f>
        <v>Sol</v>
      </c>
      <c r="E797" s="31" t="s">
        <v>6417</v>
      </c>
      <c r="F797" s="37"/>
      <c r="G797" s="24"/>
      <c r="H797" s="24"/>
    </row>
    <row r="798" spans="1:8" ht="13.2">
      <c r="A798" s="65" t="str">
        <f>HYPERLINK("https://oj.uz/problem/view/BOI11_grow","Baltic 11-Trees")</f>
        <v>Baltic 11-Trees</v>
      </c>
      <c r="B798" s="37" t="s">
        <v>6789</v>
      </c>
      <c r="C798" s="24">
        <v>6</v>
      </c>
      <c r="D798" s="69"/>
      <c r="E798" s="31" t="s">
        <v>1018</v>
      </c>
      <c r="F798" s="37"/>
      <c r="G798" s="24"/>
      <c r="H798" s="24"/>
    </row>
    <row r="799" spans="1:8" ht="13.2">
      <c r="A799" s="65" t="str">
        <f>HYPERLINK("https://oj.uz/problem/view/POI13_kon","POI 13-kon")</f>
        <v>POI 13-kon</v>
      </c>
      <c r="B799" s="20" t="s">
        <v>6790</v>
      </c>
      <c r="C799" s="17">
        <v>6</v>
      </c>
      <c r="D799" s="65" t="str">
        <f>HYPERLINK("https://github.com/mostafa-saad/MyCompetitiveProgramming/blob/master/Olympiad/POI/POI-13-kon.txt","Sol")</f>
        <v>Sol</v>
      </c>
      <c r="E799" s="31" t="s">
        <v>1018</v>
      </c>
      <c r="F799" s="37"/>
      <c r="G799" s="24"/>
      <c r="H799" s="24"/>
    </row>
    <row r="800" spans="1:8" ht="13.2">
      <c r="A800" s="65" t="str">
        <f>HYPERLINK("https://szkopul.edu.pl/problemset/problem/BnzEADCfeJFjjev1Y9iHQANg/site/", "POI 14-Rally")</f>
        <v>POI 14-Rally</v>
      </c>
      <c r="B800" s="23" t="s">
        <v>6791</v>
      </c>
      <c r="C800" s="24">
        <v>6</v>
      </c>
      <c r="D800" s="69"/>
      <c r="E800" s="31" t="s">
        <v>1018</v>
      </c>
      <c r="F800" s="37"/>
      <c r="G800" s="24"/>
      <c r="H800" s="24"/>
    </row>
    <row r="801" spans="1:8" ht="13.2">
      <c r="A801" s="65" t="str">
        <f>HYPERLINK("https://oj.uz/problem/view/IOI12_tournament","IOI 12-tournament")</f>
        <v>IOI 12-tournament</v>
      </c>
      <c r="B801" s="18" t="s">
        <v>7511</v>
      </c>
      <c r="C801" s="17">
        <v>6</v>
      </c>
      <c r="D801" s="65" t="str">
        <f>HYPERLINK("https://github.com/mostafa-saad/MyCompetitiveProgramming/blob/master/Olympiad/IOI/IOI-12-tournament.txt","Sol")</f>
        <v>Sol</v>
      </c>
      <c r="E801" s="31" t="s">
        <v>6459</v>
      </c>
      <c r="F801" s="37"/>
      <c r="G801" s="24"/>
      <c r="H801" s="24"/>
    </row>
    <row r="802" spans="1:8" ht="13.2">
      <c r="A802" s="65" t="str">
        <f>HYPERLINK("http://usaco.org/index.php?page=viewproblem2&amp;cpid=213","USACO 12dec-runaway")</f>
        <v>USACO 12dec-runaway</v>
      </c>
      <c r="B802" s="20" t="s">
        <v>7512</v>
      </c>
      <c r="C802" s="21">
        <v>6</v>
      </c>
      <c r="D802" s="65" t="str">
        <f>HYPERLINK("https://github.com/mostafa-saad/MyCompetitiveProgramming/blob/master/Olympiad/USACO/USACO-12dec-runaway.txt","Sol")</f>
        <v>Sol</v>
      </c>
      <c r="E802" s="31" t="s">
        <v>6459</v>
      </c>
      <c r="F802" s="37"/>
      <c r="G802" s="24"/>
      <c r="H802" s="24"/>
    </row>
    <row r="803" spans="1:8" ht="13.2">
      <c r="A803" s="65" t="str">
        <f>HYPERLINK("https://www.infoarena.ro/problema/arb2","infoarena arb2")</f>
        <v>infoarena arb2</v>
      </c>
      <c r="B803" s="20" t="s">
        <v>7513</v>
      </c>
      <c r="C803" s="17">
        <v>6</v>
      </c>
      <c r="D803" s="65" t="str">
        <f>HYPERLINK("https://github.com/stefdasca/CompetitiveProgramming/blob/master/Infoarena/arb2.cpp","Sol")</f>
        <v>Sol</v>
      </c>
      <c r="E803" s="31" t="s">
        <v>6459</v>
      </c>
      <c r="F803" s="37"/>
      <c r="G803" s="24"/>
      <c r="H803" s="24"/>
    </row>
    <row r="804" spans="1:8" ht="13.2">
      <c r="A804" s="65" t="str">
        <f>HYPERLINK("https://contest.yandex.ru/ioi/contest/568/enter/","IOI 09-raisins")</f>
        <v>IOI 09-raisins</v>
      </c>
      <c r="B804" s="18" t="s">
        <v>1687</v>
      </c>
      <c r="C804" s="17">
        <v>6</v>
      </c>
      <c r="D804" s="65" t="str">
        <f>HYPERLINK("https://github.com/mostafa-saad/MyCompetitiveProgramming/blob/master/Olympiad/IOI/official/2009","Editorial")</f>
        <v>Editorial</v>
      </c>
      <c r="E804" s="31" t="s">
        <v>1337</v>
      </c>
      <c r="F804" s="37"/>
      <c r="G804" s="24"/>
      <c r="H804" s="24"/>
    </row>
    <row r="805" spans="1:8" ht="13.2">
      <c r="A805" s="65" t="str">
        <f>HYPERLINK("https://oj.uz/problem/view/IZhO17_bootfall","IZhO 17-bootfall")</f>
        <v>IZhO 17-bootfall</v>
      </c>
      <c r="B805" s="20" t="s">
        <v>1481</v>
      </c>
      <c r="C805" s="24">
        <v>6</v>
      </c>
      <c r="D805" s="65" t="str">
        <f>HYPERLINK("https://github.com/stefdasca/CompetitiveProgramming/blob/master/IZhO/IZhO%2017-bootfall.cpp","Sol")</f>
        <v>Sol</v>
      </c>
      <c r="E805" s="31" t="s">
        <v>1337</v>
      </c>
      <c r="F805" s="37"/>
      <c r="G805" s="24"/>
      <c r="H805" s="24"/>
    </row>
    <row r="806" spans="1:8" ht="13.2">
      <c r="A806" s="65" t="str">
        <f>HYPERLINK("https://cses.fi/191/list/","CEOI 05-Service")</f>
        <v>CEOI 05-Service</v>
      </c>
      <c r="B806" s="37" t="s">
        <v>7637</v>
      </c>
      <c r="C806" s="24">
        <v>6</v>
      </c>
      <c r="D806" s="65" t="str">
        <f>HYPERLINK("https://github.com/mostafa-saad/MyCompetitiveProgramming/tree/master/Olympiad/CEOI/official/2005","Editorial")</f>
        <v>Editorial</v>
      </c>
      <c r="E806" s="31" t="s">
        <v>1337</v>
      </c>
      <c r="F806" s="37"/>
      <c r="G806" s="24"/>
      <c r="H806" s="24"/>
    </row>
    <row r="807" spans="1:8" ht="13.2">
      <c r="A807" s="65" t="str">
        <f>HYPERLINK("https://www.infoarena.ro/problema/pitici","infoarena pitici")</f>
        <v>infoarena pitici</v>
      </c>
      <c r="B807" s="20" t="s">
        <v>6893</v>
      </c>
      <c r="C807" s="21">
        <v>6</v>
      </c>
      <c r="D807" s="69"/>
      <c r="E807" s="31" t="s">
        <v>1337</v>
      </c>
      <c r="F807" s="37"/>
      <c r="G807" s="24"/>
      <c r="H807" s="24"/>
    </row>
    <row r="808" spans="1:8" ht="13.2">
      <c r="A808" s="65" t="str">
        <f>HYPERLINK("https://oj.uz/problem/view/JOI19_lamps","JOISC 19-lamps")</f>
        <v>JOISC 19-lamps</v>
      </c>
      <c r="B808" s="20" t="s">
        <v>1348</v>
      </c>
      <c r="C808" s="21">
        <v>6</v>
      </c>
      <c r="D808" s="69"/>
      <c r="E808" s="31" t="s">
        <v>1337</v>
      </c>
      <c r="F808" s="37"/>
      <c r="G808" s="24"/>
      <c r="H808" s="24"/>
    </row>
    <row r="809" spans="1:8" ht="13.2">
      <c r="A809" s="65" t="str">
        <f>HYPERLINK("https://www.infoarena.ro/problema/v2d","infoarena v2d")</f>
        <v>infoarena v2d</v>
      </c>
      <c r="B809" s="20" t="s">
        <v>6894</v>
      </c>
      <c r="C809" s="21">
        <v>6</v>
      </c>
      <c r="D809" s="65" t="str">
        <f>HYPERLINK("https://github.com/stefdasca/CompetitiveProgramming/blob/master/Infoarena/v2d.cpp","Sol")</f>
        <v>Sol</v>
      </c>
      <c r="E809" s="31" t="s">
        <v>1337</v>
      </c>
      <c r="F809" s="37"/>
      <c r="G809" s="24"/>
      <c r="H809" s="24"/>
    </row>
    <row r="810" spans="1:8" ht="13.2">
      <c r="A810" s="65" t="str">
        <f>HYPERLINK("https://oj.uz/problem/view/COCI18_sajam","COCI 18-sajam")</f>
        <v>COCI 18-sajam</v>
      </c>
      <c r="B810" s="37" t="s">
        <v>7533</v>
      </c>
      <c r="C810" s="24">
        <v>6</v>
      </c>
      <c r="D810" s="69"/>
      <c r="E810" s="31" t="s">
        <v>7525</v>
      </c>
      <c r="F810" s="37"/>
      <c r="G810" s="24"/>
      <c r="H810" s="24"/>
    </row>
    <row r="811" spans="1:8" ht="13.2">
      <c r="A811" s="65" t="str">
        <f>HYPERLINK("https://oj.uz/problem/view/JOI15_election_campaign","JOIOC 15-electionCampaign")</f>
        <v>JOIOC 15-electionCampaign</v>
      </c>
      <c r="B811" s="20" t="s">
        <v>7547</v>
      </c>
      <c r="C811" s="24">
        <v>6</v>
      </c>
      <c r="D811" s="69"/>
      <c r="E811" s="31" t="s">
        <v>7525</v>
      </c>
      <c r="F811" s="37"/>
      <c r="G811" s="24"/>
      <c r="H811" s="24"/>
    </row>
    <row r="812" spans="1:8" ht="13.2">
      <c r="A812" s="65" t="str">
        <f>HYPERLINK("https://dmoj.ca/problem/coci14c7p4","COCI 14-Janje")</f>
        <v>COCI 14-Janje</v>
      </c>
      <c r="B812" s="37" t="s">
        <v>7527</v>
      </c>
      <c r="C812" s="24">
        <v>6</v>
      </c>
      <c r="D812" s="69"/>
      <c r="E812" s="31" t="s">
        <v>7525</v>
      </c>
      <c r="F812" s="37"/>
      <c r="G812" s="24"/>
      <c r="H812" s="24"/>
    </row>
    <row r="813" spans="1:8" ht="13.2">
      <c r="A813" s="65" t="str">
        <f>HYPERLINK("https://joisc2014.contest.atcoder.jp/tasks/joisc2014_e","JOISC 14-Bottle")</f>
        <v>JOISC 14-Bottle</v>
      </c>
      <c r="B813" s="20" t="s">
        <v>7638</v>
      </c>
      <c r="C813" s="24">
        <v>6</v>
      </c>
      <c r="D813" s="69"/>
      <c r="E813" s="31" t="s">
        <v>7525</v>
      </c>
      <c r="F813" s="37"/>
      <c r="G813" s="24"/>
      <c r="H813" s="24"/>
    </row>
    <row r="814" spans="1:8" ht="13.2">
      <c r="A814" s="65" t="str">
        <f>HYPERLINK("https://joisc2014.contest.atcoder.jp/tasks/joisc2014_d","JOISC 14-Ramen")</f>
        <v>JOISC 14-Ramen</v>
      </c>
      <c r="B814" s="20" t="s">
        <v>7639</v>
      </c>
      <c r="C814" s="24">
        <v>6</v>
      </c>
      <c r="D814" s="69"/>
      <c r="E814" s="31" t="s">
        <v>7525</v>
      </c>
      <c r="F814" s="37"/>
      <c r="G814" s="24"/>
      <c r="H814" s="24"/>
    </row>
    <row r="815" spans="1:8" ht="13.2">
      <c r="A815" s="65" t="str">
        <f>HYPERLINK("https://joisc2014.contest.atcoder.jp/tasks/joisc2014_g","JOISC 14-Stamps")</f>
        <v>JOISC 14-Stamps</v>
      </c>
      <c r="B815" s="20" t="s">
        <v>7640</v>
      </c>
      <c r="C815" s="24">
        <v>6</v>
      </c>
      <c r="D815" s="69"/>
      <c r="E815" s="31" t="s">
        <v>7525</v>
      </c>
      <c r="F815" s="37"/>
      <c r="G815" s="24"/>
      <c r="H815" s="24"/>
    </row>
    <row r="816" spans="1:8" ht="13.2">
      <c r="A816" s="65" t="str">
        <f>HYPERLINK("https://joisc2015.contest.atcoder.jp/tasks/joisc2015_e","JOISC 15-Building3")</f>
        <v>JOISC 15-Building3</v>
      </c>
      <c r="B816" s="20" t="s">
        <v>7641</v>
      </c>
      <c r="C816" s="24">
        <v>6</v>
      </c>
      <c r="D816" s="69"/>
      <c r="E816" s="31" t="s">
        <v>7525</v>
      </c>
      <c r="F816" s="37"/>
      <c r="G816" s="24"/>
      <c r="H816" s="24"/>
    </row>
    <row r="817" spans="1:8" ht="13.2">
      <c r="A817" s="65" t="str">
        <f>HYPERLINK("https://joisc2015.contest.atcoder.jp/tasks/joisc2015_i","JOISC 15-CardGame")</f>
        <v>JOISC 15-CardGame</v>
      </c>
      <c r="B817" s="20" t="s">
        <v>7642</v>
      </c>
      <c r="C817" s="24">
        <v>6</v>
      </c>
      <c r="D817" s="69"/>
      <c r="E817" s="31" t="s">
        <v>7525</v>
      </c>
      <c r="F817" s="37"/>
      <c r="G817" s="24"/>
      <c r="H817" s="24"/>
    </row>
    <row r="818" spans="1:8" ht="13.2">
      <c r="A818" s="65" t="str">
        <f>HYPERLINK("https://joisc2015.contest.atcoder.jp/tasks/joisc2015_c","JOISC 15-Vegetable2")</f>
        <v>JOISC 15-Vegetable2</v>
      </c>
      <c r="B818" s="20" t="s">
        <v>7643</v>
      </c>
      <c r="C818" s="24">
        <v>6</v>
      </c>
      <c r="D818" s="69"/>
      <c r="E818" s="31" t="s">
        <v>7525</v>
      </c>
      <c r="F818" s="37"/>
      <c r="G818" s="24"/>
      <c r="H818" s="24"/>
    </row>
    <row r="819" spans="1:8" ht="13.2">
      <c r="A819" s="65" t="str">
        <f>HYPERLINK("https://joisc2016.contest.atcoder.jp/tasks/joisc2016_d","JOISC 16-Employment")</f>
        <v>JOISC 16-Employment</v>
      </c>
      <c r="B819" s="20" t="s">
        <v>7644</v>
      </c>
      <c r="C819" s="24">
        <v>6</v>
      </c>
      <c r="D819" s="69"/>
      <c r="E819" s="31" t="s">
        <v>7525</v>
      </c>
      <c r="F819" s="37"/>
      <c r="G819" s="24"/>
      <c r="H819" s="24"/>
    </row>
    <row r="820" spans="1:8" ht="13.2">
      <c r="A820" s="65" t="str">
        <f>HYPERLINK("https://joisc2016.contest.atcoder.jp/tasks/joisc2016_a","JOISC 16-Matryoshka")</f>
        <v>JOISC 16-Matryoshka</v>
      </c>
      <c r="B820" s="20" t="s">
        <v>7645</v>
      </c>
      <c r="C820" s="24">
        <v>6</v>
      </c>
      <c r="D820" s="69"/>
      <c r="E820" s="31" t="s">
        <v>7525</v>
      </c>
      <c r="F820" s="37"/>
      <c r="G820" s="24"/>
      <c r="H820" s="24"/>
    </row>
    <row r="821" spans="1:8" ht="13.2">
      <c r="A821" s="65" t="str">
        <f>HYPERLINK("https://joisc2016.contest.atcoder.jp/tasks/joisc2016_l","JOISC 16-Reporter2")</f>
        <v>JOISC 16-Reporter2</v>
      </c>
      <c r="B821" s="20" t="s">
        <v>7646</v>
      </c>
      <c r="C821" s="24">
        <v>6</v>
      </c>
      <c r="D821" s="69"/>
      <c r="E821" s="31" t="s">
        <v>7525</v>
      </c>
      <c r="F821" s="37"/>
      <c r="G821" s="24"/>
      <c r="H821" s="24"/>
    </row>
    <row r="822" spans="1:8" ht="13.2">
      <c r="A822" s="65" t="str">
        <f>HYPERLINK("https://joisc2016.contest.atcoder.jp/tasks/joisc2016_i","JOISC 16-Telegraph")</f>
        <v>JOISC 16-Telegraph</v>
      </c>
      <c r="B822" s="20" t="s">
        <v>7647</v>
      </c>
      <c r="C822" s="24">
        <v>6</v>
      </c>
      <c r="D822" s="69"/>
      <c r="E822" s="31" t="s">
        <v>7525</v>
      </c>
      <c r="F822" s="37"/>
      <c r="G822" s="24"/>
      <c r="H822" s="24"/>
    </row>
    <row r="823" spans="1:8" ht="13.2">
      <c r="A823" s="65" t="str">
        <f>HYPERLINK("https://szkopul.edu.pl/problemset/problem/i5L29vV7ud8D_VU-PXyaA_2L/site/", "POI 14-Freight")</f>
        <v>POI 14-Freight</v>
      </c>
      <c r="B823" s="37" t="s">
        <v>7527</v>
      </c>
      <c r="C823" s="24">
        <v>6</v>
      </c>
      <c r="D823" s="69"/>
      <c r="E823" s="31" t="s">
        <v>7525</v>
      </c>
      <c r="F823" s="37"/>
      <c r="G823" s="24"/>
      <c r="H823" s="24"/>
    </row>
    <row r="824" spans="1:8" ht="13.2">
      <c r="A824" s="65" t="str">
        <f>HYPERLINK("https://szkopul.edu.pl/problemset/problem/xFjhysZvLsUxEXMI-nHXao74/site/", "POI 06-Teddies")</f>
        <v>POI 06-Teddies</v>
      </c>
      <c r="B824" s="37" t="s">
        <v>6950</v>
      </c>
      <c r="C824" s="24">
        <v>6</v>
      </c>
      <c r="D824" s="65" t="str">
        <f>HYPERLINK("https://github.com/mostafa-saad/MyCompetitiveProgramming/blob/master/Olympiad/POI/POI-06-Teddies.txt","Sol")</f>
        <v>Sol</v>
      </c>
      <c r="E824" s="31" t="s">
        <v>1793</v>
      </c>
      <c r="F824" s="37"/>
      <c r="G824" s="24"/>
      <c r="H824" s="24"/>
    </row>
    <row r="825" spans="1:8" ht="13.2">
      <c r="A825" s="65" t="str">
        <f>HYPERLINK("https://oj.uz/problem/view/IZhO14_bank","IZhO 14-bank")</f>
        <v>IZhO 14-bank</v>
      </c>
      <c r="B825" s="20" t="s">
        <v>6960</v>
      </c>
      <c r="C825" s="24">
        <v>6</v>
      </c>
      <c r="D825" s="69"/>
      <c r="E825" s="31" t="s">
        <v>1819</v>
      </c>
      <c r="F825" s="37"/>
      <c r="G825" s="24"/>
      <c r="H825" s="24"/>
    </row>
    <row r="826" spans="1:8" ht="13.2">
      <c r="A826" s="65" t="str">
        <f>HYPERLINK("https://szkopul.edu.pl/problemset/problem/uE3dNVOWuXj4SSOrCrNoFSgF/site/", "POI 04-Passage")</f>
        <v>POI 04-Passage</v>
      </c>
      <c r="B826" s="70" t="s">
        <v>6961</v>
      </c>
      <c r="C826" s="66">
        <v>6</v>
      </c>
      <c r="D826" s="65" t="str">
        <f>HYPERLINK("https://github.com/mostafa-saad/MyCompetitiveProgramming/blob/master/Olympiad/POI/POI-04-Passage.txt","Sol")</f>
        <v>Sol</v>
      </c>
      <c r="E826" s="31" t="s">
        <v>1819</v>
      </c>
      <c r="F826" s="37"/>
      <c r="G826" s="24"/>
      <c r="H826" s="24"/>
    </row>
    <row r="827" spans="1:8" ht="13.2">
      <c r="A827" s="65" t="str">
        <f>HYPERLINK("https://contest.yandex.ru/ioi/contest/560/enter/","IOI 04-artemis")</f>
        <v>IOI 04-artemis</v>
      </c>
      <c r="B827" s="15" t="s">
        <v>7076</v>
      </c>
      <c r="C827" s="24">
        <v>6</v>
      </c>
      <c r="D827" s="65" t="str">
        <f>HYPERLINK("https://github.com/mostafa-saad/MyCompetitiveProgramming/blob/master/Olympiad/IOI/IOI-04-artemis.txt","Sol")</f>
        <v>Sol</v>
      </c>
      <c r="E827" s="31" t="s">
        <v>2510</v>
      </c>
      <c r="F827" s="37"/>
      <c r="G827" s="24"/>
      <c r="H827" s="24"/>
    </row>
    <row r="828" spans="1:8" ht="13.2">
      <c r="A828" s="65" t="str">
        <f>HYPERLINK("https://oj.uz/problems/source/120", "CEOI 14-fangorn")</f>
        <v>CEOI 14-fangorn</v>
      </c>
      <c r="B828" s="20" t="s">
        <v>7077</v>
      </c>
      <c r="C828" s="24">
        <v>6</v>
      </c>
      <c r="D828" s="65" t="str">
        <f>HYPERLINK("https://github.com/tmwilliamlin168/CompetitiveProgramming/blob/master/CEOI/14-Fangorn.cpp", "Sol")</f>
        <v>Sol</v>
      </c>
      <c r="E828" s="31" t="s">
        <v>2510</v>
      </c>
      <c r="F828" s="37"/>
      <c r="G828" s="24"/>
      <c r="H828" s="24"/>
    </row>
    <row r="829" spans="1:8" ht="13.2">
      <c r="A829" s="65" t="str">
        <f>HYPERLINK("https://wcipeg.com/problem/coci093p5","COCI 09-Patuljci")</f>
        <v>COCI 09-Patuljci</v>
      </c>
      <c r="B829" s="73" t="s">
        <v>6691</v>
      </c>
      <c r="C829" s="66">
        <v>6</v>
      </c>
      <c r="D829" s="65" t="str">
        <f>HYPERLINK("https://github.com/mostafa-saad/MyCompetitiveProgramming/blob/master/Olympiad/COCI/official/2010/contest3_solutions","Editorial")</f>
        <v>Editorial</v>
      </c>
      <c r="E829" s="31" t="s">
        <v>575</v>
      </c>
      <c r="F829" s="37"/>
      <c r="G829" s="24"/>
      <c r="H829" s="24"/>
    </row>
    <row r="830" spans="1:8" ht="13.2">
      <c r="A830" s="65" t="str">
        <f>HYPERLINK("https://www.infoarena.ro/problema/struti", "Infoarena Struti")</f>
        <v>Infoarena Struti</v>
      </c>
      <c r="B830" s="20" t="s">
        <v>6692</v>
      </c>
      <c r="C830" s="17">
        <v>6</v>
      </c>
      <c r="D830" s="65" t="str">
        <f>HYPERLINK("https://github.com/stefdasca/CompetitiveProgramming/blob/master/Infoarena/struti.cpp","Sol")</f>
        <v>Sol</v>
      </c>
      <c r="E830" s="31" t="s">
        <v>575</v>
      </c>
      <c r="F830" s="37"/>
      <c r="G830" s="24"/>
      <c r="H830" s="24"/>
    </row>
    <row r="831" spans="1:8" ht="13.2">
      <c r="A831" s="65" t="str">
        <f>HYPERLINK("https://training.ia-toki.org/problemsets/87/problems/445/","TOKIOpen 17-Radius")</f>
        <v>TOKIOpen 17-Radius</v>
      </c>
      <c r="B831" s="20" t="s">
        <v>587</v>
      </c>
      <c r="C831" s="24">
        <v>6</v>
      </c>
      <c r="D831" s="65" t="str">
        <f>HYPERLINK("https://github.com/win11905/submission/blob/master/TOKI/17/radius/radius.cpp","Sol")</f>
        <v>Sol</v>
      </c>
      <c r="E831" s="31" t="s">
        <v>575</v>
      </c>
      <c r="F831" s="37"/>
      <c r="G831" s="24"/>
      <c r="H831" s="24"/>
    </row>
    <row r="832" spans="1:8" ht="13.2">
      <c r="A832" s="65" t="str">
        <f>HYPERLINK("https://dmoj.ca/problem/coci07c4p5","COCI 07-Poklon")</f>
        <v>COCI 07-Poklon</v>
      </c>
      <c r="B832" s="15" t="s">
        <v>587</v>
      </c>
      <c r="C832" s="24">
        <v>6</v>
      </c>
      <c r="D832" s="65" t="str">
        <f>HYPERLINK("https://github.com/mostafa-saad/MyCompetitiveProgramming/tree/master/Olympiad/COCI/official/2008/contest4_solutions","Editorial")</f>
        <v>Editorial</v>
      </c>
      <c r="E832" s="31" t="s">
        <v>575</v>
      </c>
      <c r="F832" s="37"/>
      <c r="G832" s="24"/>
      <c r="H832" s="24"/>
    </row>
    <row r="833" spans="1:8" ht="13.2">
      <c r="A833" s="65" t="str">
        <f>HYPERLINK("http://www.infoarena.ro/problema/copaci","infoarena copaci")</f>
        <v>infoarena copaci</v>
      </c>
      <c r="B833" s="28" t="s">
        <v>3129</v>
      </c>
      <c r="C833" s="24">
        <v>6</v>
      </c>
      <c r="D833" s="65" t="str">
        <f>HYPERLINK("https://ideone.com/iT1ggW","Sol")</f>
        <v>Sol</v>
      </c>
      <c r="E833" s="31" t="s">
        <v>3130</v>
      </c>
      <c r="F833" s="37"/>
      <c r="G833" s="24"/>
      <c r="H833" s="24"/>
    </row>
    <row r="834" spans="1:8" ht="13.2">
      <c r="A834" s="65" t="str">
        <f>HYPERLINK("https://dmoj.ca/problem/coci14c1p4","COCI 14-Mafija")</f>
        <v>COCI 14-Mafija</v>
      </c>
      <c r="B834" s="37" t="s">
        <v>7154</v>
      </c>
      <c r="C834" s="24">
        <v>6</v>
      </c>
      <c r="D834" s="65" t="str">
        <f>HYPERLINK("https://github.com/mostafa-saad/MyCompetitiveProgramming/blob/master/Olympiad/COCI/COCI-14-Mafija.txt","Sol")</f>
        <v>Sol</v>
      </c>
      <c r="E834" s="31" t="s">
        <v>3257</v>
      </c>
      <c r="F834" s="37"/>
      <c r="G834" s="24"/>
      <c r="H834" s="24"/>
    </row>
    <row r="835" spans="1:8" ht="13.2">
      <c r="A835" s="65" t="str">
        <f>HYPERLINK("https://joisc2013-day4.contest.atcoder.jp/tasks/joisc2013_presents","JOISC 13-Presents")</f>
        <v>JOISC 13-Presents</v>
      </c>
      <c r="B835" s="20" t="s">
        <v>7648</v>
      </c>
      <c r="C835" s="24">
        <v>6</v>
      </c>
      <c r="D835" s="69"/>
      <c r="E835" s="31" t="s">
        <v>3257</v>
      </c>
      <c r="F835" s="37"/>
      <c r="G835" s="24"/>
      <c r="H835" s="24"/>
    </row>
    <row r="836" spans="1:8" ht="13.2">
      <c r="A836" s="65" t="str">
        <f>HYPERLINK("https://cses.fi/115/list/","Baltic 05-Maze")</f>
        <v>Baltic 05-Maze</v>
      </c>
      <c r="B836" s="37" t="s">
        <v>7176</v>
      </c>
      <c r="C836" s="24">
        <v>6</v>
      </c>
      <c r="D836" s="65" t="str">
        <f>HYPERLINK("https://github.com/mostafa-saad/MyCompetitiveProgramming/blob/master/Olympiad/Baltic/official/boi2005_solutions","Editorial")</f>
        <v>Editorial</v>
      </c>
      <c r="E836" s="31" t="s">
        <v>3467</v>
      </c>
      <c r="F836" s="37"/>
      <c r="G836" s="24"/>
      <c r="H836" s="24"/>
    </row>
    <row r="837" spans="1:8" ht="13.2">
      <c r="A837" s="65" t="str">
        <f>HYPERLINK("https://oj.uz/problem/view/CEOI18_toy","CEOI 18-Toy")</f>
        <v>CEOI 18-Toy</v>
      </c>
      <c r="B837" s="15" t="s">
        <v>7192</v>
      </c>
      <c r="C837" s="24">
        <v>6</v>
      </c>
      <c r="D837" s="65" t="str">
        <f>HYPERLINK("https://github.com/tmwilliamlin168/CompetitiveProgramming/blob/master/CEOI/18-Toy.cpp", "Sol")</f>
        <v>Sol</v>
      </c>
      <c r="E837" s="31" t="s">
        <v>3650</v>
      </c>
      <c r="F837" s="37"/>
      <c r="G837" s="24"/>
      <c r="H837" s="24"/>
    </row>
    <row r="838" spans="1:8" ht="13.2">
      <c r="A838" s="65" t="str">
        <f>HYPERLINK("https://oj.uz/problem/view/COCI17_usmjeri","COCI 17-usmjeri")</f>
        <v>COCI 17-usmjeri</v>
      </c>
      <c r="B838" s="20" t="s">
        <v>7193</v>
      </c>
      <c r="C838" s="24">
        <v>6</v>
      </c>
      <c r="D838" s="65" t="str">
        <f>HYPERLINK("https://github.com/mostafa-saad/MyCompetitiveProgramming/blob/master/Olympiad/COCI/official/2018/contest2_solutions","Editorial")</f>
        <v>Editorial</v>
      </c>
      <c r="E838" s="31" t="s">
        <v>3650</v>
      </c>
      <c r="F838" s="37"/>
      <c r="G838" s="24"/>
      <c r="H838" s="24"/>
    </row>
    <row r="839" spans="1:8" ht="13.2">
      <c r="A839" s="65" t="str">
        <f>HYPERLINK("https://boi18-day1-open.kattis.com/problems","Baltic 18-LovePolygon")</f>
        <v>Baltic 18-LovePolygon</v>
      </c>
      <c r="B839" s="18" t="s">
        <v>7194</v>
      </c>
      <c r="C839" s="17">
        <v>6</v>
      </c>
      <c r="D839" s="65" t="str">
        <f>HYPERLINK("https://github.com/updown2/OI-Practice/blob/master/BOI/2018/Love%20Polygon.txt","Sol")</f>
        <v>Sol</v>
      </c>
      <c r="E839" s="31" t="s">
        <v>3650</v>
      </c>
      <c r="F839" s="37"/>
      <c r="G839" s="24"/>
      <c r="H839" s="24"/>
    </row>
    <row r="840" spans="1:8" ht="13.2">
      <c r="A840" s="65" t="str">
        <f>HYPERLINK("https://www.infoarena.ro/problema/treesearch", "Infoarena Treesearch")</f>
        <v>Infoarena Treesearch</v>
      </c>
      <c r="B840" s="20" t="s">
        <v>7195</v>
      </c>
      <c r="C840" s="17">
        <v>6</v>
      </c>
      <c r="D840" s="65" t="str">
        <f>HYPERLINK("https://github.com/stefdasca/CompetitiveProgramming/blob/master/Infoarena/treesearch.cpp","Sol")</f>
        <v>Sol</v>
      </c>
      <c r="E840" s="31" t="s">
        <v>3650</v>
      </c>
      <c r="F840" s="37"/>
      <c r="G840" s="24"/>
      <c r="H840" s="24"/>
    </row>
    <row r="841" spans="1:8" ht="13.2">
      <c r="A841" s="65" t="str">
        <f>HYPERLINK("https://oj.uz/problem/view/BOI14_portals","Baltic 14-portals")</f>
        <v>Baltic 14-portals</v>
      </c>
      <c r="B841" s="20" t="s">
        <v>3866</v>
      </c>
      <c r="C841" s="24">
        <v>6</v>
      </c>
      <c r="D841" s="65" t="str">
        <f>HYPERLINK("https://github.com/tmwilliamlin168/CompetitiveProgramming/blob/master/BtOI/14-Portals.cpp", "Sol")</f>
        <v>Sol</v>
      </c>
      <c r="E841" s="31" t="s">
        <v>3784</v>
      </c>
      <c r="F841" s="37"/>
      <c r="G841" s="24"/>
      <c r="H841" s="24"/>
    </row>
    <row r="842" spans="1:8" ht="13.2">
      <c r="A842" s="65" t="str">
        <f>HYPERLINK("https://joisc2013-day1.contest.atcoder.jp/tasks/joisc2013_bustour","JOISC 13-BusTour")</f>
        <v>JOISC 13-BusTour</v>
      </c>
      <c r="B842" s="20" t="s">
        <v>7649</v>
      </c>
      <c r="C842" s="24">
        <v>6</v>
      </c>
      <c r="D842" s="69"/>
      <c r="E842" s="31" t="s">
        <v>3784</v>
      </c>
      <c r="F842" s="37"/>
      <c r="G842" s="24"/>
      <c r="H842" s="24"/>
    </row>
    <row r="843" spans="1:8" ht="13.2">
      <c r="A843" s="65" t="str">
        <f>HYPERLINK("https://dmoj.ca/problem/coci14c2p5","COCI 14-Suma")</f>
        <v>COCI 14-Suma</v>
      </c>
      <c r="B843" s="20" t="s">
        <v>7241</v>
      </c>
      <c r="C843" s="24">
        <v>6</v>
      </c>
      <c r="D843" s="65" t="str">
        <f>HYPERLINK("https://github.com/mostafa-saad/MyCompetitiveProgramming/blob/master/Olympiad/CEOI/COCI-14-Suma.txt","Sol")</f>
        <v>Sol</v>
      </c>
      <c r="E843" s="31" t="s">
        <v>3883</v>
      </c>
      <c r="F843" s="37"/>
      <c r="G843" s="24"/>
      <c r="H843" s="24"/>
    </row>
    <row r="844" spans="1:8" ht="13.2">
      <c r="A844" s="65" t="str">
        <f>HYPERLINK("http://usaco.org/index.php?page=viewproblem2&amp;cpid=93", "USACO 11nov-steeple-gold")</f>
        <v>USACO 11nov-steeple-gold</v>
      </c>
      <c r="B844" s="20" t="s">
        <v>7258</v>
      </c>
      <c r="C844" s="21">
        <v>6</v>
      </c>
      <c r="D844" s="69"/>
      <c r="E844" s="31" t="s">
        <v>4144</v>
      </c>
      <c r="F844" s="37"/>
      <c r="G844" s="24"/>
      <c r="H844" s="24"/>
    </row>
    <row r="845" spans="1:8" ht="13.2">
      <c r="A845" s="65" t="str">
        <f>HYPERLINK("https://contest.yandex.ru/ioi/contest/558/enter/","IOI 03-maintain")</f>
        <v>IOI 03-maintain</v>
      </c>
      <c r="B845" s="15" t="s">
        <v>4279</v>
      </c>
      <c r="C845" s="24">
        <v>6</v>
      </c>
      <c r="D845" s="65" t="str">
        <f>HYPERLINK("https://github.com/zoooma13/Competitive-Programming/blob/master/trail_maintenance.cpp","Sol")</f>
        <v>Sol</v>
      </c>
      <c r="E845" s="31" t="s">
        <v>4275</v>
      </c>
      <c r="F845" s="37"/>
      <c r="G845" s="24"/>
      <c r="H845" s="24"/>
    </row>
    <row r="846" spans="1:8" ht="13.2">
      <c r="A846" s="65" t="str">
        <f>HYPERLINK("http://usaco.org/index.php?page=viewproblem2&amp;cpid=101", "USACO 11dec-simplify-gold")</f>
        <v>USACO 11dec-simplify-gold</v>
      </c>
      <c r="B846" s="20" t="s">
        <v>7269</v>
      </c>
      <c r="C846" s="21">
        <v>6</v>
      </c>
      <c r="D846" s="69"/>
      <c r="E846" s="31" t="s">
        <v>4275</v>
      </c>
      <c r="F846" s="37"/>
      <c r="G846" s="24"/>
      <c r="H846" s="24"/>
    </row>
    <row r="847" spans="1:8" ht="13.2">
      <c r="A847" s="65" t="str">
        <f>HYPERLINK("https://szkopul.edu.pl/problemset/problem/p9uJo01RR9ouMLLAYroFuQ-7/site/", "POI 12-Festival")</f>
        <v>POI 12-Festival</v>
      </c>
      <c r="B847" s="37" t="s">
        <v>4346</v>
      </c>
      <c r="C847" s="24">
        <v>6</v>
      </c>
      <c r="D847" s="65" t="str">
        <f>HYPERLINK("https://github.com/mostafa-saad/MyCompetitiveProgramming/blob/master/Olympiad/POI/official/find_editorial_sols_guidelines.txt","Editorial")</f>
        <v>Editorial</v>
      </c>
      <c r="E847" s="31" t="s">
        <v>4344</v>
      </c>
      <c r="F847" s="37"/>
      <c r="G847" s="24"/>
      <c r="H847" s="24"/>
    </row>
    <row r="848" spans="1:8" ht="13.2">
      <c r="A848" s="65" t="str">
        <f>HYPERLINK("https://oj.uz/problems/source/245", "CEOI 15-pipes")</f>
        <v>CEOI 15-pipes</v>
      </c>
      <c r="B848" s="20" t="s">
        <v>7279</v>
      </c>
      <c r="C848" s="17">
        <v>6</v>
      </c>
      <c r="D848" s="69" t="s">
        <v>7810</v>
      </c>
      <c r="E848" s="31" t="s">
        <v>4344</v>
      </c>
      <c r="F848" s="37"/>
      <c r="G848" s="24"/>
      <c r="H848" s="24"/>
    </row>
    <row r="849" spans="1:8" ht="13.2">
      <c r="A849" s="65" t="str">
        <f>HYPERLINK("https://szkopul.edu.pl/problemset/problem/1ACC1pIG2nDGZefi1v5BVSmw/site/?key=statement","POI 01-SPO")</f>
        <v>POI 01-SPO</v>
      </c>
      <c r="B849" s="20" t="s">
        <v>4385</v>
      </c>
      <c r="C849" s="17">
        <v>6</v>
      </c>
      <c r="D849" s="65" t="str">
        <f>HYPERLINK("https://github.com/HeartBlue/CompetitiveProgramming/blob/master/POI/POI%2000-SPO%20Peaceful%20Commission.cpp","Sol")</f>
        <v>Sol</v>
      </c>
      <c r="E849" s="31" t="s">
        <v>4379</v>
      </c>
      <c r="F849" s="37"/>
      <c r="G849" s="24"/>
      <c r="H849" s="24"/>
    </row>
    <row r="850" spans="1:8" ht="13.2">
      <c r="A850" s="65" t="str">
        <f>HYPERLINK("https://cses.fi/113/list/","Baltic 08-Gates")</f>
        <v>Baltic 08-Gates</v>
      </c>
      <c r="B850" s="37" t="s">
        <v>7281</v>
      </c>
      <c r="C850" s="24">
        <v>6</v>
      </c>
      <c r="D850" s="65" t="str">
        <f>HYPERLINK("https://github.com/mostafa-saad/MyCompetitiveProgramming/blob/master/Olympiad/Baltic/Baltic-08-Gates.txt","Sol")</f>
        <v>Sol</v>
      </c>
      <c r="E850" s="31" t="s">
        <v>4379</v>
      </c>
      <c r="F850" s="37"/>
      <c r="G850" s="24"/>
      <c r="H850" s="24"/>
    </row>
    <row r="851" spans="1:8" ht="13.2">
      <c r="A851" s="69" t="s">
        <v>7321</v>
      </c>
      <c r="B851" s="20" t="s">
        <v>7322</v>
      </c>
      <c r="C851" s="21">
        <v>6</v>
      </c>
      <c r="D851" s="65" t="str">
        <f>HYPERLINK("https://github.com/dolphingarlic/CompetitiveProgramming/blob/master/COI/COCI%2020-zapina.cpp", "Sol")</f>
        <v>Sol</v>
      </c>
      <c r="E851" s="31" t="s">
        <v>4531</v>
      </c>
      <c r="F851" s="37"/>
      <c r="G851" s="24"/>
      <c r="H851" s="24"/>
    </row>
    <row r="852" spans="1:8" ht="13.2">
      <c r="A852" s="65" t="str">
        <f>HYPERLINK("https://www.infoarena.ro/problema/penal","infoarena penal")</f>
        <v>infoarena penal</v>
      </c>
      <c r="B852" s="20" t="s">
        <v>7323</v>
      </c>
      <c r="C852" s="17">
        <v>6</v>
      </c>
      <c r="D852" s="65" t="str">
        <f>HYPERLINK("https://github.com/stefdasca/CompetitiveProgramming/blob/master/Infoarena/penal.cpp","Sol")</f>
        <v>Sol</v>
      </c>
      <c r="E852" s="31" t="s">
        <v>4531</v>
      </c>
      <c r="F852" s="37"/>
      <c r="G852" s="24"/>
      <c r="H852" s="24"/>
    </row>
    <row r="853" spans="1:8" ht="13.2">
      <c r="A853" s="65" t="str">
        <f>HYPERLINK("https://oj.uz/problem/view/NOI12_modsum","NOI 12-modsum")</f>
        <v>NOI 12-modsum</v>
      </c>
      <c r="B853" s="37" t="s">
        <v>7324</v>
      </c>
      <c r="C853" s="24">
        <v>6</v>
      </c>
      <c r="D853" s="65" t="str">
        <f>HYPERLINK("https://github.com/win11905/submission/blob/master/NOI/12/modsum.cpp","Sol")</f>
        <v>Sol</v>
      </c>
      <c r="E853" s="31" t="s">
        <v>4531</v>
      </c>
      <c r="F853" s="37"/>
      <c r="G853" s="24"/>
      <c r="H853" s="24"/>
    </row>
    <row r="854" spans="1:8" ht="13.2">
      <c r="A854" s="65" t="str">
        <f>HYPERLINK("https://cses.fi/187/list/","CEOI 07-Nasty")</f>
        <v>CEOI 07-Nasty</v>
      </c>
      <c r="B854" s="28" t="s">
        <v>4937</v>
      </c>
      <c r="C854" s="24">
        <v>6</v>
      </c>
      <c r="D854" s="69"/>
      <c r="E854" s="31" t="s">
        <v>4932</v>
      </c>
      <c r="F854" s="37"/>
      <c r="G854" s="24"/>
      <c r="H854" s="24"/>
    </row>
    <row r="855" spans="1:8" ht="13.2">
      <c r="A855" s="65" t="str">
        <f>HYPERLINK("https://www.infoarena.ro/problema/porcjoc","infoarena porcjoc")</f>
        <v>infoarena porcjoc</v>
      </c>
      <c r="B855" s="20" t="s">
        <v>7349</v>
      </c>
      <c r="C855" s="21">
        <v>6</v>
      </c>
      <c r="D855" s="65" t="str">
        <f>HYPERLINK("https://github.com/stefdasca/CompetitiveProgramming/blob/master/Infoarena/porcjoc.cpp","Sol")</f>
        <v>Sol</v>
      </c>
      <c r="E855" s="31" t="s">
        <v>5134</v>
      </c>
      <c r="F855" s="37"/>
      <c r="G855" s="24"/>
      <c r="H855" s="24"/>
    </row>
    <row r="856" spans="1:8" ht="13.2">
      <c r="A856" s="65" t="str">
        <f>HYPERLINK("https://oj.uz/problem/view/IOI11_ricehub","IOI 11-ricehub")</f>
        <v>IOI 11-ricehub</v>
      </c>
      <c r="B856" s="18" t="s">
        <v>7650</v>
      </c>
      <c r="C856" s="17">
        <v>6</v>
      </c>
      <c r="D856" s="65" t="str">
        <f>HYPERLINK("https://github.com/mostafa-saad/MyCompetitiveProgramming/blob/master/Olympiad/IOI/official/2011","Sol")</f>
        <v>Sol</v>
      </c>
      <c r="E856" s="31" t="s">
        <v>805</v>
      </c>
      <c r="F856" s="37"/>
      <c r="G856" s="24"/>
      <c r="H856" s="24"/>
    </row>
    <row r="857" spans="1:8" ht="13.2">
      <c r="A857" s="65" t="str">
        <f>HYPERLINK("http://www.spoj.com/problems/MINSUB/","IZhO 13-burrow")</f>
        <v>IZhO 13-burrow</v>
      </c>
      <c r="B857" s="20" t="s">
        <v>6726</v>
      </c>
      <c r="C857" s="17">
        <v>6</v>
      </c>
      <c r="D857" s="65" t="str">
        <f>HYPERLINK("https://github.com/tmwilliamlin168/CompetitiveProgramming/blob/master/IZHO/13-Burrow.cpp", "Sol")</f>
        <v>Sol</v>
      </c>
      <c r="E857" s="31" t="s">
        <v>805</v>
      </c>
      <c r="F857" s="37"/>
      <c r="G857" s="24"/>
      <c r="H857" s="24"/>
    </row>
    <row r="858" spans="1:8" ht="13.2">
      <c r="A858" s="65" t="str">
        <f>HYPERLINK("https://tioj.ck.tp.edu.tw/problems/1739","APIO 08-Beads")</f>
        <v>APIO 08-Beads</v>
      </c>
      <c r="B858" s="20" t="s">
        <v>6727</v>
      </c>
      <c r="C858" s="17">
        <v>6</v>
      </c>
      <c r="D858" s="65" t="str">
        <f>HYPERLINK("https://github.com/mostafa-saad/MyCompetitiveProgramming/blob/master/Olympiad/APIO/APIO-08-Beads.txt","Sol - Do local test")</f>
        <v>Sol - Do local test</v>
      </c>
      <c r="E858" s="31" t="s">
        <v>805</v>
      </c>
      <c r="F858" s="37"/>
      <c r="G858" s="24"/>
      <c r="H858" s="24"/>
    </row>
    <row r="859" spans="1:8" ht="13.2">
      <c r="A859" s="65" t="str">
        <f>HYPERLINK("https://www.infoarena.ro/problema/minim2","infoarena minim2")</f>
        <v>infoarena minim2</v>
      </c>
      <c r="B859" s="20" t="s">
        <v>6728</v>
      </c>
      <c r="C859" s="21">
        <v>6</v>
      </c>
      <c r="D859" s="65" t="str">
        <f>HYPERLINK("https://github.com/stefdasca/CompetitiveProgramming/blob/master/Infoarena/minim2.cpp","Sol")</f>
        <v>Sol</v>
      </c>
      <c r="E859" s="31" t="s">
        <v>805</v>
      </c>
      <c r="F859" s="37"/>
      <c r="G859" s="24"/>
      <c r="H859" s="24"/>
    </row>
    <row r="860" spans="1:8" ht="13.2">
      <c r="A860" s="65" t="str">
        <f>HYPERLINK("https://dunjudge.me/analysis/problems/973/","MCOCAMP 16-flipbits")</f>
        <v>MCOCAMP 16-flipbits</v>
      </c>
      <c r="B860" s="37" t="s">
        <v>7355</v>
      </c>
      <c r="C860" s="24">
        <v>6</v>
      </c>
      <c r="D860" s="65" t="str">
        <f>HYPERLINK("https://github.com/fyquah95/ioi-malaysia-2016-training-camp","Sol (no editorial)")</f>
        <v>Sol (no editorial)</v>
      </c>
      <c r="E860" s="31" t="s">
        <v>5346</v>
      </c>
      <c r="F860" s="37"/>
      <c r="G860" s="24"/>
      <c r="H860" s="24"/>
    </row>
    <row r="861" spans="1:8" ht="13.2">
      <c r="A861" s="65" t="str">
        <f>HYPERLINK("https://codeforces.com/group/R2SERIff4f/contest/213171","MCO 17-ScientificResearch")</f>
        <v>MCO 17-ScientificResearch</v>
      </c>
      <c r="B861" s="37" t="s">
        <v>7367</v>
      </c>
      <c r="C861" s="24">
        <v>6</v>
      </c>
      <c r="D861" s="65" t="str">
        <f>HYPERLINK("https://github.com/mostafa-saad/MyCompetitiveProgramming/tree/master/Olympiad/MCO/official","Editorial")</f>
        <v>Editorial</v>
      </c>
      <c r="E861" s="31" t="s">
        <v>5524</v>
      </c>
      <c r="F861" s="37"/>
      <c r="G861" s="24"/>
      <c r="H861" s="24"/>
    </row>
    <row r="862" spans="1:8" ht="13.2">
      <c r="A862" s="65" t="str">
        <f>HYPERLINK("https://wcipeg.com/problem/coci095p4","COCI 09-Zuma")</f>
        <v>COCI 09-Zuma</v>
      </c>
      <c r="B862" s="15" t="s">
        <v>2112</v>
      </c>
      <c r="C862" s="24">
        <v>5.75</v>
      </c>
      <c r="D862" s="65" t="str">
        <f>HYPERLINK("https://github.com/mostafa-saad/MyCompetitiveProgramming/blob/master/Olympiad/COCI/COCI-09-Zuma.txt","Sol")</f>
        <v>Sol</v>
      </c>
      <c r="E862" s="31" t="s">
        <v>2113</v>
      </c>
      <c r="F862" s="37" t="s">
        <v>154</v>
      </c>
      <c r="G862" s="24"/>
      <c r="H862" s="24"/>
    </row>
    <row r="863" spans="1:8" ht="13.2">
      <c r="A863" s="65" t="str">
        <f>HYPERLINK("https://szkopul.edu.pl/problemset/problem/Fej8rGpqWzXEi_qjK2Cmfe4Y/site/", "POI 08-BBB")</f>
        <v>POI 08-BBB</v>
      </c>
      <c r="B863" s="37" t="s">
        <v>7013</v>
      </c>
      <c r="C863" s="24">
        <v>5.75</v>
      </c>
      <c r="D863" s="65" t="str">
        <f>HYPERLINK("https://github.com/mostafa-saad/MyCompetitiveProgramming/blob/master/Olympiad/POI/POI-08-BBB.txt","Sol")</f>
        <v>Sol</v>
      </c>
      <c r="E863" s="31" t="s">
        <v>2153</v>
      </c>
      <c r="F863" s="37" t="s">
        <v>154</v>
      </c>
      <c r="G863" s="24"/>
      <c r="H863" s="24"/>
    </row>
    <row r="864" spans="1:8" ht="13.2">
      <c r="A864" s="65" t="str">
        <f>HYPERLINK("https://szkopul.edu.pl/problemset/problem/fKO3YZL0f_UM1nHQNDvw7mku/site/", "POI 10-Teleport")</f>
        <v>POI 10-Teleport</v>
      </c>
      <c r="B864" s="37" t="s">
        <v>3466</v>
      </c>
      <c r="C864" s="24">
        <v>5.75</v>
      </c>
      <c r="D864" s="65" t="str">
        <f>HYPERLINK("https://github.com/mostafa-saad/MyCompetitiveProgramming/blob/master/Olympiad/POI/official/find_editorial_sols_guidelines.txt","Editorial")</f>
        <v>Editorial</v>
      </c>
      <c r="E864" s="31" t="s">
        <v>3467</v>
      </c>
      <c r="F864" s="37" t="s">
        <v>154</v>
      </c>
      <c r="G864" s="24"/>
      <c r="H864" s="24"/>
    </row>
    <row r="865" spans="1:8" ht="13.2">
      <c r="A865" s="65" t="str">
        <f>HYPERLINK("https://oj.uz/problem/view/IOI16_paint","IOI 16-paint")</f>
        <v>IOI 16-paint</v>
      </c>
      <c r="B865" s="18" t="s">
        <v>6895</v>
      </c>
      <c r="C865" s="17">
        <v>5.75</v>
      </c>
      <c r="D865" s="65" t="str">
        <f>HYPERLINK("https://github.com/mostafa-saad/MyCompetitiveProgramming/blob/master/Olympiad/IOI/IOI-16-paint.txt","Sol")</f>
        <v>Sol</v>
      </c>
      <c r="E865" s="31" t="s">
        <v>1337</v>
      </c>
      <c r="F865" s="37" t="s">
        <v>196</v>
      </c>
      <c r="G865" s="24"/>
      <c r="H865" s="24"/>
    </row>
    <row r="866" spans="1:8" ht="13.2">
      <c r="A866" s="65" t="str">
        <f>HYPERLINK("https://oj.uz/problem/view/BOI18_zalmoxis","Balkan 18-zalmoxis")</f>
        <v>Balkan 18-zalmoxis</v>
      </c>
      <c r="B866" s="20" t="s">
        <v>7014</v>
      </c>
      <c r="C866" s="24">
        <v>5.75</v>
      </c>
      <c r="D866" s="65" t="str">
        <f>HYPERLINK("https://github.com/mostafa-saad/MyCompetitiveProgramming/blob/master/Olympiad/Balkan/Balkan-18-zalmoxis.txt","Sol")</f>
        <v>Sol</v>
      </c>
      <c r="E866" s="31" t="s">
        <v>2153</v>
      </c>
      <c r="F866" s="37" t="s">
        <v>196</v>
      </c>
      <c r="G866" s="24"/>
      <c r="H866" s="24"/>
    </row>
    <row r="867" spans="1:8" ht="13.2">
      <c r="A867" s="65" t="str">
        <f>HYPERLINK("https://oj.uz/problem/view/IOI08_linear_garden","IOI 08-linear")</f>
        <v>IOI 08-linear</v>
      </c>
      <c r="B867" s="18" t="s">
        <v>7427</v>
      </c>
      <c r="C867" s="24">
        <v>5.75</v>
      </c>
      <c r="D867" s="65" t="str">
        <f>HYPERLINK("https://github.com/mostafa-saad/MyCompetitiveProgramming/blob/master/Olympiad/IOI/IOI-08-linear.txt","Sol")</f>
        <v>Sol</v>
      </c>
      <c r="E867" s="31" t="s">
        <v>6075</v>
      </c>
      <c r="F867" s="37" t="s">
        <v>139</v>
      </c>
      <c r="G867" s="24"/>
      <c r="H867" s="24"/>
    </row>
    <row r="868" spans="1:8" ht="13.2">
      <c r="A868" s="65" t="str">
        <f>HYPERLINK("https://csacademy.com/contest/ceoi-2017-day-2/","CEOI 17-Building")</f>
        <v>CEOI 17-Building</v>
      </c>
      <c r="B868" s="18" t="s">
        <v>7466</v>
      </c>
      <c r="C868" s="24">
        <v>5.75</v>
      </c>
      <c r="D868" s="65" t="str">
        <f>HYPERLINK("https://github.com/mostafa-saad/MyCompetitiveProgramming/blob/master/Olympiad/CEOI/CEOI-17-Building.txt","Sol")</f>
        <v>Sol</v>
      </c>
      <c r="E868" s="31" t="s">
        <v>6362</v>
      </c>
      <c r="F868" s="37" t="s">
        <v>139</v>
      </c>
      <c r="G868" s="24"/>
      <c r="H868" s="24"/>
    </row>
    <row r="869" spans="1:8" ht="13.2">
      <c r="A869" s="65" t="str">
        <f>HYPERLINK("http://usaco.org/index.php?page=viewproblem2&amp;cpid=698", "USACO 17jan-subrev-plat")</f>
        <v>USACO 17jan-subrev-plat</v>
      </c>
      <c r="B869" s="20" t="s">
        <v>1348</v>
      </c>
      <c r="C869" s="21">
        <v>5.75</v>
      </c>
      <c r="D869" s="69"/>
      <c r="E869" s="31" t="s">
        <v>1337</v>
      </c>
      <c r="F869" s="37" t="s">
        <v>139</v>
      </c>
      <c r="G869" s="24"/>
      <c r="H869" s="24"/>
    </row>
    <row r="870" spans="1:8" ht="13.2">
      <c r="A870" s="65" t="str">
        <f>HYPERLINK("https://oj.uz/problem/view/COCI17_kas","COCI 17-kas")</f>
        <v>COCI 17-kas</v>
      </c>
      <c r="B870" s="20" t="s">
        <v>6896</v>
      </c>
      <c r="C870" s="24">
        <v>5.75</v>
      </c>
      <c r="D870" s="65" t="str">
        <f>HYPERLINK("https://github.com/mostafa-saad/MyCompetitiveProgramming/blob/master/Olympiad/COCI/COCI-17-kas.txt","Sol")</f>
        <v>Sol</v>
      </c>
      <c r="E870" s="31" t="s">
        <v>1337</v>
      </c>
      <c r="F870" s="37" t="s">
        <v>139</v>
      </c>
      <c r="G870" s="24"/>
      <c r="H870" s="24"/>
    </row>
    <row r="871" spans="1:8" ht="13.2">
      <c r="A871" s="65" t="str">
        <f>HYPERLINK("https://cses.fi/problemset/task/1112/","CSES 1112")</f>
        <v>CSES 1112</v>
      </c>
      <c r="B871" s="23" t="s">
        <v>6897</v>
      </c>
      <c r="C871" s="24">
        <v>5.75</v>
      </c>
      <c r="D871" s="65" t="str">
        <f>HYPERLINK("https://github.com/nya-nya-meow/CompetitiveProgramming/blob/master/CSES/CSES%201112%20-%20Substrings.cpp","Sol")</f>
        <v>Sol</v>
      </c>
      <c r="E871" s="31" t="s">
        <v>1337</v>
      </c>
      <c r="F871" s="37" t="s">
        <v>139</v>
      </c>
      <c r="G871" s="24"/>
      <c r="H871" s="24"/>
    </row>
    <row r="872" spans="1:8" ht="13.2">
      <c r="A872" s="65" t="str">
        <f>HYPERLINK("https://dmoj.ca/problem/coci08c4p4","COCI 08-Slikar")</f>
        <v>COCI 08-Slikar</v>
      </c>
      <c r="B872" s="23" t="s">
        <v>6898</v>
      </c>
      <c r="C872" s="24">
        <v>5.75</v>
      </c>
      <c r="D872" s="65" t="str">
        <f>HYPERLINK("https://github.com/mostafa-saad/MyCompetitiveProgramming/blob/master/Olympiad/COCI/COCI-08-Slikar.txt","Sol")</f>
        <v>Sol</v>
      </c>
      <c r="E872" s="31" t="s">
        <v>1337</v>
      </c>
      <c r="F872" s="37" t="s">
        <v>139</v>
      </c>
      <c r="G872" s="24"/>
      <c r="H872" s="24"/>
    </row>
    <row r="873" spans="1:8" ht="13.2">
      <c r="A873" s="65" t="str">
        <f>HYPERLINK("https://www.hackerrank.com/contests/ioi-2014-practice-contest-1/challenges","IOIPractice 14-skwishinese-ioi14")</f>
        <v>IOIPractice 14-skwishinese-ioi14</v>
      </c>
      <c r="B873" s="15" t="s">
        <v>6899</v>
      </c>
      <c r="C873" s="24">
        <v>5.75</v>
      </c>
      <c r="D873" s="65" t="str">
        <f>HYPERLINK("https://github.com/mostafa-saad/MyCompetitiveProgramming/blob/master/Olympiad/IOI/IOIPractice-14-skwishinese-ioi14.txt","Sol")</f>
        <v>Sol</v>
      </c>
      <c r="E873" s="31" t="s">
        <v>1337</v>
      </c>
      <c r="F873" s="37" t="s">
        <v>139</v>
      </c>
      <c r="G873" s="24"/>
      <c r="H873" s="24"/>
    </row>
    <row r="874" spans="1:8" ht="13.2">
      <c r="A874" s="65" t="str">
        <f>HYPERLINK("https://www.infoarena.ro/problema/scara2","infoarena scara2")</f>
        <v>infoarena scara2</v>
      </c>
      <c r="B874" s="20" t="s">
        <v>1352</v>
      </c>
      <c r="C874" s="21">
        <v>5.75</v>
      </c>
      <c r="D874" s="65" t="str">
        <f>HYPERLINK("https://github.com/stefdasca/CompetitiveProgramming/blob/master/Infoarena/scara2.cpp","Sol")</f>
        <v>Sol</v>
      </c>
      <c r="E874" s="31" t="s">
        <v>1337</v>
      </c>
      <c r="F874" s="37" t="s">
        <v>139</v>
      </c>
      <c r="G874" s="24"/>
      <c r="H874" s="24"/>
    </row>
    <row r="875" spans="1:8" ht="13.2">
      <c r="A875" s="65" t="str">
        <f>HYPERLINK("https://oj.uz/problem/view/IOI19_shoes","IOI 19-shoes")</f>
        <v>IOI 19-shoes</v>
      </c>
      <c r="B875" s="37" t="s">
        <v>7015</v>
      </c>
      <c r="C875" s="24">
        <v>5.75</v>
      </c>
      <c r="D875" s="65" t="str">
        <f>HYPERLINK("https://github.com/mostafa-saad/MyCompetitiveProgramming/tree/master/Olympiad/IOI/official/2019","Official sols")</f>
        <v>Official sols</v>
      </c>
      <c r="E875" s="31" t="s">
        <v>2153</v>
      </c>
      <c r="F875" s="37" t="s">
        <v>139</v>
      </c>
      <c r="G875" s="24"/>
      <c r="H875" s="24"/>
    </row>
    <row r="876" spans="1:8" ht="13.2">
      <c r="A876" s="65" t="str">
        <f>HYPERLINK("https://www.infoarena.ro/problema/regat","infoarena regat")</f>
        <v>infoarena regat</v>
      </c>
      <c r="B876" s="20" t="s">
        <v>6693</v>
      </c>
      <c r="C876" s="21">
        <v>5.75</v>
      </c>
      <c r="D876" s="65" t="str">
        <f>HYPERLINK("https://github.com/mostafa-saad/MyCompetitiveProgramming/blob/master/Olympiad/infoarena/infoarena_regat.txt","Sol")</f>
        <v>Sol</v>
      </c>
      <c r="E876" s="31" t="s">
        <v>575</v>
      </c>
      <c r="F876" s="37" t="s">
        <v>139</v>
      </c>
      <c r="G876" s="24"/>
      <c r="H876" s="24"/>
    </row>
    <row r="877" spans="1:8" ht="13.2">
      <c r="A877" s="65" t="str">
        <f>HYPERLINK("https://oj.uz/problem/view/IOI13_dreaming","IOI 13-dreaming")</f>
        <v>IOI 13-dreaming</v>
      </c>
      <c r="B877" s="18" t="s">
        <v>7183</v>
      </c>
      <c r="C877" s="17">
        <v>5.75</v>
      </c>
      <c r="D877" s="65" t="str">
        <f>HYPERLINK("https://github.com/MohamedAhmed04/Competitive-programming/blob/master/IOI/IOI%202013-Dreaming.cpp","Sol")</f>
        <v>Sol</v>
      </c>
      <c r="E877" s="31" t="s">
        <v>3633</v>
      </c>
      <c r="F877" s="37" t="s">
        <v>139</v>
      </c>
      <c r="G877" s="24"/>
      <c r="H877" s="24"/>
    </row>
    <row r="878" spans="1:8" ht="13.2">
      <c r="A878" s="65" t="str">
        <f>HYPERLINK("https://wcipeg.com/problem/coi07p3","COI 07-Tamnica")</f>
        <v>COI 07-Tamnica</v>
      </c>
      <c r="B878" s="37" t="s">
        <v>7218</v>
      </c>
      <c r="C878" s="24">
        <v>5.75</v>
      </c>
      <c r="D878" s="65" t="str">
        <f>HYPERLINK("https://github.com/mostafa-saad/MyCompetitiveProgramming/blob/master/Olympiad/COI/COI-07-Tamnica.txt","Sol")</f>
        <v>Sol</v>
      </c>
      <c r="E878" s="31" t="s">
        <v>3784</v>
      </c>
      <c r="F878" s="37" t="s">
        <v>139</v>
      </c>
      <c r="G878" s="24"/>
      <c r="H878" s="24"/>
    </row>
    <row r="879" spans="1:8" ht="13.2">
      <c r="A879" s="65" t="str">
        <f>HYPERLINK("https://csacademy.com/contest/ioi-2016-training-round-1/task/hallway","IOIPractice 16-hallway")</f>
        <v>IOIPractice 16-hallway</v>
      </c>
      <c r="B879" s="37" t="s">
        <v>7219</v>
      </c>
      <c r="C879" s="24">
        <v>5.75</v>
      </c>
      <c r="D879" s="69"/>
      <c r="E879" s="31" t="s">
        <v>3784</v>
      </c>
      <c r="F879" s="37" t="s">
        <v>139</v>
      </c>
      <c r="G879" s="24"/>
      <c r="H879" s="24"/>
    </row>
    <row r="880" spans="1:8" ht="13.2">
      <c r="A880" s="65" t="str">
        <f>HYPERLINK("https://oj.uz/problem/view/JOI17_joioi","JOI 17-joioi")</f>
        <v>JOI 17-joioi</v>
      </c>
      <c r="B880" s="20" t="s">
        <v>848</v>
      </c>
      <c r="C880" s="17">
        <v>5.75</v>
      </c>
      <c r="D880" s="65" t="str">
        <f>HYPERLINK("https://github.com/stefdasca/CompetitiveProgramming/blob/master/JOI/JOI%2017-joioi.cpp","Sol")</f>
        <v>Sol</v>
      </c>
      <c r="E880" s="31" t="s">
        <v>805</v>
      </c>
      <c r="F880" s="37" t="s">
        <v>139</v>
      </c>
      <c r="G880" s="24"/>
      <c r="H880" s="24"/>
    </row>
    <row r="881" spans="1:8" ht="13.2">
      <c r="A881" s="65" t="str">
        <f>HYPERLINK("https://dmoj.ca/problem/coci16c1p3","COCI 16-cezar")</f>
        <v>COCI 16-cezar</v>
      </c>
      <c r="B881" s="20" t="s">
        <v>7440</v>
      </c>
      <c r="C881" s="21">
        <v>5.75</v>
      </c>
      <c r="D881" s="65" t="str">
        <f>HYPERLINK("https://github.com/nikolapesic2802/Programming-Practice/blob/master/Cezar/main.cpp","Sol")</f>
        <v>Sol</v>
      </c>
      <c r="E881" s="31" t="s">
        <v>6205</v>
      </c>
      <c r="F881" s="37" t="s">
        <v>201</v>
      </c>
      <c r="G881" s="24"/>
      <c r="H881" s="24"/>
    </row>
    <row r="882" spans="1:8" ht="13.2">
      <c r="A882" s="65" t="str">
        <f>HYPERLINK("https://cses.fi/111/list/","Baltic 07-Escape")</f>
        <v>Baltic 07-Escape</v>
      </c>
      <c r="B882" s="37" t="s">
        <v>7443</v>
      </c>
      <c r="C882" s="24">
        <v>5.75</v>
      </c>
      <c r="D882" s="65" t="str">
        <f>HYPERLINK("https://github.com/mostafa-saad/MyCompetitiveProgramming/blob/master/Olympiad/Baltic/Baltic-07-Escape.txt","Sol")</f>
        <v>Sol</v>
      </c>
      <c r="E882" s="31" t="s">
        <v>6246</v>
      </c>
      <c r="F882" s="37" t="s">
        <v>201</v>
      </c>
      <c r="G882" s="24"/>
      <c r="H882" s="24"/>
    </row>
    <row r="883" spans="1:8" ht="13.2">
      <c r="A883" s="65" t="str">
        <f>HYPERLINK("http://usaco.org/index.php?page=viewproblem2&amp;cpid=721", "USACO 17feb-nocross-plat")</f>
        <v>USACO 17feb-nocross-plat</v>
      </c>
      <c r="B883" s="20" t="s">
        <v>6900</v>
      </c>
      <c r="C883" s="21">
        <v>5.75</v>
      </c>
      <c r="D883" s="69"/>
      <c r="E883" s="31" t="s">
        <v>1337</v>
      </c>
      <c r="F883" s="37" t="s">
        <v>201</v>
      </c>
      <c r="G883" s="24"/>
      <c r="H883" s="24"/>
    </row>
    <row r="884" spans="1:8" ht="13.2">
      <c r="A884" s="65" t="str">
        <f>HYPERLINK("https://www.infoarena.ro/problema/secvbest","infoarena secvbest")</f>
        <v>infoarena secvbest</v>
      </c>
      <c r="B884" s="20" t="s">
        <v>6901</v>
      </c>
      <c r="C884" s="21">
        <v>5.75</v>
      </c>
      <c r="D884" s="65" t="str">
        <f>HYPERLINK("https://github.com/stefdasca/CompetitiveProgramming/blob/master/Infoarena/secvbest.cpp","Sol")</f>
        <v>Sol</v>
      </c>
      <c r="E884" s="31" t="s">
        <v>1337</v>
      </c>
      <c r="F884" s="37" t="s">
        <v>201</v>
      </c>
      <c r="G884" s="24"/>
      <c r="H884" s="24"/>
    </row>
    <row r="885" spans="1:8" ht="13.2">
      <c r="A885" s="65" t="str">
        <f>HYPERLINK("https://dmoj.ca/problem/coci14c6p5","COCI 14-Neo")</f>
        <v>COCI 14-Neo</v>
      </c>
      <c r="B885" s="37" t="s">
        <v>6946</v>
      </c>
      <c r="C885" s="21">
        <v>5.75</v>
      </c>
      <c r="D885" s="65" t="str">
        <f>HYPERLINK("https://github.com/mostafa-saad/MyCompetitiveProgramming/blob/master/Olympiad/COCI/official/2015/contest6_solutions","Editorial")</f>
        <v>Editorial</v>
      </c>
      <c r="E885" s="31" t="s">
        <v>1734</v>
      </c>
      <c r="F885" s="37" t="s">
        <v>201</v>
      </c>
      <c r="G885" s="24"/>
      <c r="H885" s="24"/>
    </row>
    <row r="886" spans="1:8" ht="13.2">
      <c r="A886" s="65" t="str">
        <f>HYPERLINK("http://usaco.org/index.php?page=viewproblem2&amp;cpid=861","USACO 18dec-dining")</f>
        <v>USACO 18dec-dining</v>
      </c>
      <c r="B886" s="20" t="s">
        <v>3791</v>
      </c>
      <c r="C886" s="21">
        <v>5.75</v>
      </c>
      <c r="D886" s="69"/>
      <c r="E886" s="31" t="s">
        <v>3784</v>
      </c>
      <c r="F886" s="37" t="s">
        <v>201</v>
      </c>
      <c r="G886" s="24"/>
      <c r="H886" s="24"/>
    </row>
    <row r="887" spans="1:8" ht="13.2">
      <c r="A887" s="65" t="str">
        <f>HYPERLINK("https://szkopul.edu.pl/problemset/problem/lcU5m2RAICwNHsdzydb8JTQw/site/", "POI 10-Pilots")</f>
        <v>POI 10-Pilots</v>
      </c>
      <c r="B887" s="20" t="s">
        <v>7415</v>
      </c>
      <c r="C887" s="21">
        <v>5.75</v>
      </c>
      <c r="D887" s="65" t="str">
        <f>HYPERLINK("https://github.com/mostafa-saad/MyCompetitiveProgramming/blob/master/Olympiad/POI/POI-10-Pilots.txt","Sol")</f>
        <v>Sol</v>
      </c>
      <c r="E887" s="31" t="s">
        <v>6040</v>
      </c>
      <c r="F887" s="37" t="s">
        <v>242</v>
      </c>
      <c r="G887" s="24"/>
      <c r="H887" s="24"/>
    </row>
    <row r="888" spans="1:8" ht="13.2">
      <c r="A888" s="65" t="str">
        <f>HYPERLINK("https://www.acmicpc.net/problem/2270","CEOI 03-Hanoi")</f>
        <v>CEOI 03-Hanoi</v>
      </c>
      <c r="B888" s="37" t="s">
        <v>6618</v>
      </c>
      <c r="C888" s="24">
        <v>5.75</v>
      </c>
      <c r="D888" s="65" t="str">
        <f>HYPERLINK("https://github.com/mostafa-saad/MyCompetitiveProgramming/blob/master/Olympiad/CEOI/CEOI-03-Hanoi.txt","Sol")</f>
        <v>Sol</v>
      </c>
      <c r="E888" s="31" t="s">
        <v>125</v>
      </c>
      <c r="F888" s="37"/>
      <c r="G888" s="24"/>
      <c r="H888" s="24"/>
    </row>
    <row r="889" spans="1:8" ht="13.2">
      <c r="A889" s="65" t="str">
        <f>HYPERLINK("https://contest.yandex.com/roiarchive/contest/2012/problems/D","RusOI-reg 15-search")</f>
        <v>RusOI-reg 15-search</v>
      </c>
      <c r="B889" s="37" t="s">
        <v>7374</v>
      </c>
      <c r="C889" s="21">
        <v>5.75</v>
      </c>
      <c r="D889" s="69"/>
      <c r="E889" s="31" t="s">
        <v>5643</v>
      </c>
      <c r="F889" s="37"/>
      <c r="G889" s="24"/>
      <c r="H889" s="24"/>
    </row>
    <row r="890" spans="1:8" ht="13.2">
      <c r="A890" s="65" t="str">
        <f>HYPERLINK("https://dunjudge.me/analysis/problems/26/","NOI 11-tutor")</f>
        <v>NOI 11-tutor</v>
      </c>
      <c r="B890" s="37" t="s">
        <v>6902</v>
      </c>
      <c r="C890" s="21">
        <v>5.75</v>
      </c>
      <c r="D890" s="65" t="str">
        <f>HYPERLINK("https://github.com/mostafa-saad/MyCompetitiveProgramming/blob/master/Olympiad/NOI/official/2011.pptx","Editorial")</f>
        <v>Editorial</v>
      </c>
      <c r="E890" s="31" t="s">
        <v>1337</v>
      </c>
      <c r="F890" s="37"/>
      <c r="G890" s="24"/>
      <c r="H890" s="24"/>
    </row>
    <row r="891" spans="1:8" ht="13.2">
      <c r="A891" s="65" t="str">
        <f>HYPERLINK("https://codeforces.com/group/swEqtABRxe/contest/227530/problem/B", "IOIQ 18-r2-B")</f>
        <v>IOIQ 18-r2-B</v>
      </c>
      <c r="B891" s="20" t="s">
        <v>6971</v>
      </c>
      <c r="C891" s="21">
        <v>5.75</v>
      </c>
      <c r="D891" s="65" t="str">
        <f>HYPERLINK("https://github.com/ahmedibrahim404/CompetitiveProgramming/blob/master/EOI/IOI_Quals'18/18-R2-B/src/main.cpp","Sol")</f>
        <v>Sol</v>
      </c>
      <c r="E891" s="31" t="s">
        <v>1909</v>
      </c>
      <c r="F891" s="37"/>
      <c r="G891" s="24"/>
      <c r="H891" s="24"/>
    </row>
    <row r="892" spans="1:8" ht="13.2">
      <c r="A892" s="65" t="str">
        <f>HYPERLINK("https://szkopul.edu.pl/problemset/problem/JyanwtKuk_ER10eZ7Yv0q72d/site/", "POI 04-Strings")</f>
        <v>POI 04-Strings</v>
      </c>
      <c r="B892" s="37" t="s">
        <v>3340</v>
      </c>
      <c r="C892" s="24">
        <v>5.75</v>
      </c>
      <c r="D892" s="65" t="str">
        <f>HYPERLINK("https://github.com/mostafa-saad/MyCompetitiveProgramming/blob/master/Olympiad/POI/official/find_editorial_sols_guidelines.txt","Editorial")</f>
        <v>Editorial</v>
      </c>
      <c r="E892" s="31" t="s">
        <v>3257</v>
      </c>
      <c r="F892" s="37"/>
      <c r="G892" s="24"/>
      <c r="H892" s="24"/>
    </row>
    <row r="893" spans="1:8" ht="13.2">
      <c r="A893" s="65" t="str">
        <f>HYPERLINK("https://dunjudge.me/analysis/problems/955/","NOI 16-fabric")</f>
        <v>NOI 16-fabric</v>
      </c>
      <c r="B893" s="37" t="s">
        <v>7325</v>
      </c>
      <c r="C893" s="24">
        <v>5.75</v>
      </c>
      <c r="D893" s="65" t="str">
        <f>HYPERLINK("https://github.com/mostafa-saad/MyCompetitiveProgramming/blob/master/Olympiad/NOI/official","Editorial")</f>
        <v>Editorial</v>
      </c>
      <c r="E893" s="31" t="s">
        <v>4531</v>
      </c>
      <c r="F893" s="37"/>
      <c r="G893" s="24"/>
      <c r="H893" s="24"/>
    </row>
    <row r="894" spans="1:8" ht="13.2">
      <c r="A894" s="65" t="str">
        <f>HYPERLINK("https://szkopul.edu.pl/problemset/problem/kZ-a2gIkpjJEOzq6pJ5jUW7f/site/", "POI 09-Fire")</f>
        <v>POI 09-Fire</v>
      </c>
      <c r="B894" s="37" t="s">
        <v>3726</v>
      </c>
      <c r="C894" s="21">
        <v>5.5</v>
      </c>
      <c r="D894" s="65" t="str">
        <f>HYPERLINK("https://github.com/mostafa-saad/MyCompetitiveProgramming/blob/master/Olympiad/POI/POI-09-Fire.txt","Sol")</f>
        <v>Sol</v>
      </c>
      <c r="E894" s="31" t="s">
        <v>3650</v>
      </c>
      <c r="F894" s="37" t="s">
        <v>154</v>
      </c>
      <c r="G894" s="24"/>
      <c r="H894" s="24"/>
    </row>
    <row r="895" spans="1:8" ht="13.2">
      <c r="A895" s="65" t="str">
        <f>HYPERLINK("https://www.acmicpc.net/problem/2284","CEOI 03-Therace")</f>
        <v>CEOI 03-Therace</v>
      </c>
      <c r="B895" s="37" t="s">
        <v>4541</v>
      </c>
      <c r="C895" s="21">
        <v>5.5</v>
      </c>
      <c r="D895" s="65" t="str">
        <f>HYPERLINK("https://github.com/mostafa-saad/MyCompetitiveProgramming/blob/master/Olympiad/CEOI/CEOI-03-Therace.txt","Sol")</f>
        <v>Sol</v>
      </c>
      <c r="E895" s="31" t="s">
        <v>4531</v>
      </c>
      <c r="F895" s="37" t="s">
        <v>154</v>
      </c>
      <c r="G895" s="24"/>
      <c r="H895" s="24"/>
    </row>
    <row r="896" spans="1:8" ht="13.2">
      <c r="A896" s="65" t="str">
        <f>HYPERLINK("https://szkopul.edu.pl/problemset/problem/07Q0fFk7fU2TmGr6wpPeDCZj/site/", "POI 15-Trous")</f>
        <v>POI 15-Trous</v>
      </c>
      <c r="B896" s="37" t="s">
        <v>6729</v>
      </c>
      <c r="C896" s="24">
        <v>5.5</v>
      </c>
      <c r="D896" s="65" t="str">
        <f>HYPERLINK("https://github.com/mostafa-saad/MyCompetitiveProgramming/blob/master/Olympiad/POI/POI-15-Trous.txt","Sol")</f>
        <v>Sol</v>
      </c>
      <c r="E896" s="31" t="s">
        <v>805</v>
      </c>
      <c r="F896" s="37" t="s">
        <v>154</v>
      </c>
      <c r="G896" s="24"/>
      <c r="H896" s="24"/>
    </row>
    <row r="897" spans="1:8" ht="13.2">
      <c r="A897" s="65" t="str">
        <f>HYPERLINK("https://oj.uz/problem/view/IOI16_dna","IOI 16-dna")</f>
        <v>IOI 16-dna</v>
      </c>
      <c r="B897" s="20" t="s">
        <v>806</v>
      </c>
      <c r="C897" s="21">
        <v>5.5</v>
      </c>
      <c r="D897" s="65" t="str">
        <f>HYPERLINK("https://codeforces.com/blog/entry/46525?#comment-310021","Sol")</f>
        <v>Sol</v>
      </c>
      <c r="E897" s="31" t="s">
        <v>805</v>
      </c>
      <c r="F897" s="37" t="s">
        <v>154</v>
      </c>
      <c r="G897" s="24"/>
      <c r="H897" s="24"/>
    </row>
    <row r="898" spans="1:8" ht="13.2">
      <c r="A898" s="65" t="str">
        <f>HYPERLINK("https://csacademy.com/contest/balkan-oi-2017-day-2/","Balkan 17-Monsters")</f>
        <v>Balkan 17-Monsters</v>
      </c>
      <c r="B898" s="18" t="s">
        <v>6694</v>
      </c>
      <c r="C898" s="21">
        <v>5.5</v>
      </c>
      <c r="D898" s="65" t="str">
        <f>HYPERLINK("https://github.com/mostafa-saad/MyCompetitiveProgramming/blob/master/Olympiad/Balkan/Balkan-17-Monsters.txt","Sol")</f>
        <v>Sol</v>
      </c>
      <c r="E898" s="31" t="s">
        <v>575</v>
      </c>
      <c r="F898" s="37" t="s">
        <v>196</v>
      </c>
      <c r="G898" s="24"/>
      <c r="H898" s="24"/>
    </row>
    <row r="899" spans="1:8" ht="13.2">
      <c r="A899" s="65" t="str">
        <f>HYPERLINK("https://csacademy.com/contest/junior-challenge-2017-day-2/task/ultimateorbs","ROJS 17-ultimateorbs")</f>
        <v>ROJS 17-ultimateorbs</v>
      </c>
      <c r="B899" s="37" t="s">
        <v>6695</v>
      </c>
      <c r="C899" s="21">
        <v>5.5</v>
      </c>
      <c r="D899" s="65" t="str">
        <f>HYPERLINK("https://github.com/mostafa-saad/MyCompetitiveProgramming/blob/master/Olympiad/ROS/ROJS-17-ultimateorbs.txt","Sol")</f>
        <v>Sol</v>
      </c>
      <c r="E899" s="31" t="s">
        <v>575</v>
      </c>
      <c r="F899" s="37" t="s">
        <v>196</v>
      </c>
      <c r="G899" s="24"/>
      <c r="H899" s="24"/>
    </row>
    <row r="900" spans="1:8" ht="13.2">
      <c r="A900" s="65" t="str">
        <f>HYPERLINK("https://oj.uz/problem/view/IOI18_combo","IOI 18-combo")</f>
        <v>IOI 18-combo</v>
      </c>
      <c r="B900" s="20" t="s">
        <v>6619</v>
      </c>
      <c r="C900" s="21">
        <v>5.5</v>
      </c>
      <c r="D900" s="65" t="str">
        <f>HYPERLINK("https://github.com/mostafa-saad/MyCompetitiveProgramming/blob/master/Olympiad/IOI/IOI-18-Combo.txt", "Sol")</f>
        <v>Sol</v>
      </c>
      <c r="E900" s="31" t="s">
        <v>125</v>
      </c>
      <c r="F900" s="37" t="s">
        <v>139</v>
      </c>
      <c r="G900" s="24"/>
      <c r="H900" s="24"/>
    </row>
    <row r="901" spans="1:8" ht="13.2">
      <c r="A901" s="65" t="str">
        <f>HYPERLINK("https://oj.uz/problems/source/351","JOIOC 18-Xylophone")</f>
        <v>JOIOC 18-Xylophone</v>
      </c>
      <c r="B901" s="20" t="s">
        <v>6575</v>
      </c>
      <c r="C901" s="21">
        <v>5.5</v>
      </c>
      <c r="D901" s="65" t="str">
        <f>HYPERLINK("https://github.com/mostafa-saad/MyCompetitiveProgramming/blob/master/Olympiad/JOI/JOIOC-18-Xylophone.txt","Sol")</f>
        <v>Sol</v>
      </c>
      <c r="E901" s="31" t="s">
        <v>125</v>
      </c>
      <c r="F901" s="37" t="s">
        <v>139</v>
      </c>
      <c r="G901" s="24"/>
      <c r="H901" s="24"/>
    </row>
    <row r="902" spans="1:8" ht="13.2">
      <c r="A902" s="65" t="str">
        <f>HYPERLINK("https://www.infoarena.ro/problema/interact","infoarena interact")</f>
        <v>infoarena interact</v>
      </c>
      <c r="B902" s="37" t="s">
        <v>6620</v>
      </c>
      <c r="C902" s="24">
        <v>5.5</v>
      </c>
      <c r="D902" s="65" t="str">
        <f>HYPERLINK("https://github.com/mostafa-saad/MyCompetitiveProgramming/blob/master/Olympiad/infoarena/infoarena-interact.txt","Sol")</f>
        <v>Sol</v>
      </c>
      <c r="E902" s="31" t="s">
        <v>125</v>
      </c>
      <c r="F902" s="37" t="s">
        <v>139</v>
      </c>
      <c r="G902" s="24"/>
      <c r="H902" s="24"/>
    </row>
    <row r="903" spans="1:8" ht="13.2">
      <c r="A903" s="65" t="str">
        <f>HYPERLINK("https://www.ioi-jp.org/camp/2018/2018-sp-tasks/index.html","JOISC 18-library")</f>
        <v>JOISC 18-library</v>
      </c>
      <c r="B903" s="18" t="s">
        <v>6621</v>
      </c>
      <c r="C903" s="17">
        <v>5.5</v>
      </c>
      <c r="D903" s="65" t="str">
        <f>HYPERLINK("https://github.com/mostafa-saad/MyCompetitiveProgramming/blob/master/Olympiad/JOI/JOISC-18-library.txt","Sol")</f>
        <v>Sol</v>
      </c>
      <c r="E903" s="31" t="s">
        <v>125</v>
      </c>
      <c r="F903" s="37" t="s">
        <v>139</v>
      </c>
      <c r="G903" s="24"/>
      <c r="H903" s="24"/>
    </row>
    <row r="904" spans="1:8" ht="13.2">
      <c r="A904" s="65" t="str">
        <f>HYPERLINK("https://szkopul.edu.pl/problemset/problem/3buviDQZWLE83AxVhvJJurgU/site/", "POI 10-Game")</f>
        <v>POI 10-Game</v>
      </c>
      <c r="B904" s="37" t="s">
        <v>212</v>
      </c>
      <c r="C904" s="24">
        <v>5.5</v>
      </c>
      <c r="D904" s="65" t="str">
        <f>HYPERLINK("https://github.com/mostafa-saad/MyCompetitiveProgramming/blob/master/Olympiad/POI/official/find_editorial_sols_guidelines.txt","Editorial")</f>
        <v>Editorial</v>
      </c>
      <c r="E904" s="31" t="s">
        <v>125</v>
      </c>
      <c r="F904" s="37" t="s">
        <v>139</v>
      </c>
      <c r="G904" s="24"/>
      <c r="H904" s="24"/>
    </row>
    <row r="905" spans="1:8" ht="13.2">
      <c r="A905" s="65" t="str">
        <f>HYPERLINK("https://oj.uz/problem/view/COCI19_parametriziran","COCI 19-parametriziran")</f>
        <v>COCI 19-parametriziran</v>
      </c>
      <c r="B905" s="20" t="s">
        <v>291</v>
      </c>
      <c r="C905" s="21">
        <v>5.5</v>
      </c>
      <c r="D905" s="65" t="str">
        <f>HYPERLINK("https://github.com/Szawinis/CompetitiveProgramming/blob/master/Olympiad/COCI/COCI19-parametriziran.cpp","Sol")</f>
        <v>Sol</v>
      </c>
      <c r="E905" s="31" t="s">
        <v>125</v>
      </c>
      <c r="F905" s="37" t="s">
        <v>139</v>
      </c>
      <c r="G905" s="24"/>
      <c r="H905" s="24"/>
    </row>
    <row r="906" spans="1:8" ht="13.2">
      <c r="A906" s="65" t="str">
        <f>HYPERLINK("https://dmoj.ca/contest/cco18d2","CCO 18-GradientDescent")</f>
        <v>CCO 18-GradientDescent</v>
      </c>
      <c r="B906" s="23" t="s">
        <v>6741</v>
      </c>
      <c r="C906" s="17">
        <v>5.5</v>
      </c>
      <c r="D906" s="65" t="str">
        <f>HYPERLINK("https://github.com/mostafa-saad/MyCompetitiveProgramming/blob/master/Olympiad/CCO/CCO-18-GradientDescent.txt","Sol")</f>
        <v>Sol</v>
      </c>
      <c r="E906" s="31" t="s">
        <v>910</v>
      </c>
      <c r="F906" s="37" t="s">
        <v>139</v>
      </c>
      <c r="G906" s="24"/>
      <c r="H906" s="24"/>
    </row>
    <row r="907" spans="1:8" ht="13.2">
      <c r="A907" s="65" t="str">
        <f>HYPERLINK("https://oj.uz/problem/view/CEOI15_bobek","CEOI 15-bobek")</f>
        <v>CEOI 15-bobek</v>
      </c>
      <c r="B907" s="20" t="s">
        <v>6742</v>
      </c>
      <c r="C907" s="17">
        <v>5.5</v>
      </c>
      <c r="D907" s="65" t="str">
        <f>HYPERLINK("https://github.com/SpeedOfMagic/CompetitiveProgramming/blob/master/CEOI/15-bobek.cpp","AC")</f>
        <v>AC</v>
      </c>
      <c r="E907" s="31" t="s">
        <v>951</v>
      </c>
      <c r="F907" s="37" t="s">
        <v>139</v>
      </c>
      <c r="G907" s="24"/>
      <c r="H907" s="24"/>
    </row>
    <row r="908" spans="1:8" ht="13.2">
      <c r="A908" s="65" t="str">
        <f>HYPERLINK("https://oj.uz/problem/view/COCI17_san","COCI 17-san")</f>
        <v>COCI 17-san</v>
      </c>
      <c r="B908" s="23" t="s">
        <v>956</v>
      </c>
      <c r="C908" s="24">
        <v>5.5</v>
      </c>
      <c r="D908" s="65" t="str">
        <f>HYPERLINK("https://github.com/mostafa-saad/MyCompetitiveProgramming/blob/master/Olympiad/COCI/official/2018/contest2_solutions","Editorial")</f>
        <v>Editorial</v>
      </c>
      <c r="E908" s="31" t="s">
        <v>951</v>
      </c>
      <c r="F908" s="37" t="s">
        <v>139</v>
      </c>
      <c r="G908" s="24"/>
      <c r="H908" s="24"/>
    </row>
    <row r="909" spans="1:8" ht="13.2">
      <c r="A909" s="65" t="str">
        <f>HYPERLINK("https://codeforces.com/group/swEqtABRxe/contest/227531/problem/C", "IOIQ 18-onsite-C")</f>
        <v>IOIQ 18-onsite-C</v>
      </c>
      <c r="B909" s="20" t="s">
        <v>7416</v>
      </c>
      <c r="C909" s="17">
        <v>5.5</v>
      </c>
      <c r="D909" s="65" t="str">
        <f>HYPERLINK("https://ideone.com/iyHw7X", "Sol")</f>
        <v>Sol</v>
      </c>
      <c r="E909" s="31" t="s">
        <v>6040</v>
      </c>
      <c r="F909" s="37" t="s">
        <v>139</v>
      </c>
      <c r="G909" s="24"/>
      <c r="H909" s="24"/>
    </row>
    <row r="910" spans="1:8" ht="13.2">
      <c r="A910" s="65" t="str">
        <f>HYPERLINK("https://szkopul.edu.pl/problemset/problem/4BL9eUWjrvT7ecMUJcmSuJI3/site/", "POI 10-Blocks")</f>
        <v>POI 10-Blocks</v>
      </c>
      <c r="B910" s="37" t="s">
        <v>7417</v>
      </c>
      <c r="C910" s="24">
        <v>5.5</v>
      </c>
      <c r="D910" s="65" t="str">
        <f>HYPERLINK("https://ideone.com/iOUxs7","Sol")</f>
        <v>Sol</v>
      </c>
      <c r="E910" s="31" t="s">
        <v>6040</v>
      </c>
      <c r="F910" s="37" t="s">
        <v>139</v>
      </c>
      <c r="G910" s="24"/>
      <c r="H910" s="24"/>
    </row>
    <row r="911" spans="1:8" ht="13.2">
      <c r="A911" s="65" t="str">
        <f>HYPERLINK("https://www.infoarena.ro/problema/puncte","infoarena puncte")</f>
        <v>infoarena puncte</v>
      </c>
      <c r="B911" s="37" t="s">
        <v>7467</v>
      </c>
      <c r="C911" s="24">
        <v>5.5</v>
      </c>
      <c r="D911" s="65" t="str">
        <f>HYPERLINK("https://github.com/mostafa-saad/MyCompetitiveProgramming/blob/master/Olympiad/infoarena/infoarena_puncte.txt","Sol")</f>
        <v>Sol</v>
      </c>
      <c r="E911" s="31" t="s">
        <v>6362</v>
      </c>
      <c r="F911" s="37" t="s">
        <v>139</v>
      </c>
      <c r="G911" s="24"/>
      <c r="H911" s="24"/>
    </row>
    <row r="912" spans="1:8" ht="13.2">
      <c r="A912" s="65" t="str">
        <f>HYPERLINK("https://oj.uz/problem/view/IZhO14_divide","IZHO 14-divide")</f>
        <v>IZHO 14-divide</v>
      </c>
      <c r="B912" s="20" t="s">
        <v>6792</v>
      </c>
      <c r="C912" s="24">
        <v>5.5</v>
      </c>
      <c r="D912" s="65" t="str">
        <f>HYPERLINK("https://github.com/Coder-Boy1/Others/blob/master/IZHO%2014-divide","Sol")</f>
        <v>Sol</v>
      </c>
      <c r="E912" s="31" t="s">
        <v>1018</v>
      </c>
      <c r="F912" s="37" t="s">
        <v>139</v>
      </c>
      <c r="G912" s="24"/>
      <c r="H912" s="24"/>
    </row>
    <row r="913" spans="1:8" ht="13.2">
      <c r="A913" s="65" t="str">
        <f>HYPERLINK("https://dunjudge.me/analysis/problems/1230/","NOI 17-very_best_pokemon")</f>
        <v>NOI 17-very_best_pokemon</v>
      </c>
      <c r="B913" s="37" t="s">
        <v>6793</v>
      </c>
      <c r="C913" s="24">
        <v>5.5</v>
      </c>
      <c r="D913" s="65" t="str">
        <f>HYPERLINK("https://github.com/mostafa-saad/MyCompetitiveProgramming/blob/master/Olympiad/NOI/NOI-17-very_best_pokemon.txt","Sol")</f>
        <v>Sol</v>
      </c>
      <c r="E913" s="31" t="s">
        <v>1018</v>
      </c>
      <c r="F913" s="37" t="s">
        <v>139</v>
      </c>
      <c r="G913" s="24"/>
      <c r="H913" s="24"/>
    </row>
    <row r="914" spans="1:8" ht="13.2">
      <c r="A914" s="65" t="str">
        <f>HYPERLINK("https://www.infoarena.ro/problema/sir3","infoarena sir3")</f>
        <v>infoarena sir3</v>
      </c>
      <c r="B914" s="20" t="s">
        <v>1017</v>
      </c>
      <c r="C914" s="24">
        <v>5.5</v>
      </c>
      <c r="D914" s="65" t="str">
        <f>HYPERLINK("https://github.com/stefdasca/CompetitiveProgramming/blob/master/Infoarena/sir3.cpp","Sol")</f>
        <v>Sol</v>
      </c>
      <c r="E914" s="31" t="s">
        <v>1018</v>
      </c>
      <c r="F914" s="37" t="s">
        <v>139</v>
      </c>
      <c r="G914" s="24"/>
      <c r="H914" s="24"/>
    </row>
    <row r="915" spans="1:8" ht="13.2">
      <c r="A915" s="65" t="str">
        <f>HYPERLINK("http://usaco.org/index.php?page=viewproblem2&amp;cpid=515","USACO 15jan-gold_movie")</f>
        <v>USACO 15jan-gold_movie</v>
      </c>
      <c r="B915" s="20" t="s">
        <v>6444</v>
      </c>
      <c r="C915" s="21">
        <v>5.5</v>
      </c>
      <c r="D915" s="69"/>
      <c r="E915" s="31" t="s">
        <v>6441</v>
      </c>
      <c r="F915" s="37" t="s">
        <v>139</v>
      </c>
      <c r="G915" s="24"/>
      <c r="H915" s="24"/>
    </row>
    <row r="916" spans="1:8" ht="13.2">
      <c r="A916" s="65" t="str">
        <f>HYPERLINK("https://cses.fi/problemset/task/1654","CSES 1654")</f>
        <v>CSES 1654</v>
      </c>
      <c r="B916" s="37" t="s">
        <v>6444</v>
      </c>
      <c r="C916" s="24">
        <v>5.5</v>
      </c>
      <c r="D916" s="65" t="str">
        <f>HYPERLINK("https://github.com/nikolapesic2802/Programming-Practice/blob/master/Bit%20problem/main.cpp","Sol")</f>
        <v>Sol</v>
      </c>
      <c r="E916" s="31" t="s">
        <v>6441</v>
      </c>
      <c r="F916" s="37" t="s">
        <v>139</v>
      </c>
      <c r="G916" s="24"/>
      <c r="H916" s="24"/>
    </row>
    <row r="917" spans="1:8" ht="13.2">
      <c r="A917" s="65" t="str">
        <f>HYPERLINK("https://oj.uz/problem/view/BOI19_kitchen","Baltic 19-kitchen")</f>
        <v>Baltic 19-kitchen</v>
      </c>
      <c r="B917" s="37" t="s">
        <v>1348</v>
      </c>
      <c r="C917" s="24">
        <v>5.5</v>
      </c>
      <c r="D917" s="65" t="str">
        <f>HYPERLINK("https://github.com/mostafa-saad/MyCompetitiveProgramming/tree/master/Olympiad/Baltic/official/boi2019_solutions","Editorial")</f>
        <v>Editorial</v>
      </c>
      <c r="E917" s="31" t="s">
        <v>1337</v>
      </c>
      <c r="F917" s="37" t="s">
        <v>139</v>
      </c>
      <c r="G917" s="24"/>
      <c r="H917" s="24"/>
    </row>
    <row r="918" spans="1:8" ht="13.2">
      <c r="A918" s="65" t="str">
        <f>HYPERLINK("https://oj.uz/problem/view/COCI17_vode","COCI 17-vode")</f>
        <v>COCI 17-vode</v>
      </c>
      <c r="B918" s="20" t="s">
        <v>6903</v>
      </c>
      <c r="C918" s="24">
        <v>5.5</v>
      </c>
      <c r="D918" s="65" t="str">
        <f>HYPERLINK("https://github.com/Rockbet/Problems/blob/master/COCI/COCI%202017-2018/Vode.cpp","Sol")</f>
        <v>Sol</v>
      </c>
      <c r="E918" s="31" t="s">
        <v>1337</v>
      </c>
      <c r="F918" s="37" t="s">
        <v>139</v>
      </c>
      <c r="G918" s="24"/>
      <c r="H918" s="24"/>
    </row>
    <row r="919" spans="1:8" ht="13.2">
      <c r="A919" s="65" t="str">
        <f>HYPERLINK("http://usaco.org/index.php?page=viewproblem2&amp;cpid=648","USACO 16mar-262144-plat")</f>
        <v>USACO 16mar-262144-plat</v>
      </c>
      <c r="B919" s="37" t="s">
        <v>1541</v>
      </c>
      <c r="C919" s="24">
        <v>5.5</v>
      </c>
      <c r="D919" s="69"/>
      <c r="E919" s="31" t="s">
        <v>1337</v>
      </c>
      <c r="F919" s="37" t="s">
        <v>139</v>
      </c>
      <c r="G919" s="24"/>
      <c r="H919" s="24"/>
    </row>
    <row r="920" spans="1:8" ht="13.2">
      <c r="A920" s="65" t="str">
        <f>HYPERLINK("https://szkopul.edu.pl/problemset/problem/_cVmDXXn2TjF0dF1rW6eazA0/site/", "POI 16-Johny")</f>
        <v>POI 16-Johny</v>
      </c>
      <c r="B920" s="37" t="s">
        <v>6904</v>
      </c>
      <c r="C920" s="24">
        <v>5.5</v>
      </c>
      <c r="D920" s="65" t="str">
        <f>HYPERLINK("https://github.com/mostafa-saad/MyCompetitiveProgramming/blob/master/Olympiad/POI/POI-05-Banknote.txt","Sol")</f>
        <v>Sol</v>
      </c>
      <c r="E920" s="31" t="s">
        <v>1337</v>
      </c>
      <c r="F920" s="37" t="s">
        <v>139</v>
      </c>
      <c r="G920" s="24"/>
      <c r="H920" s="24"/>
    </row>
    <row r="921" spans="1:8" ht="13.2">
      <c r="A921" s="65" t="str">
        <f>HYPERLINK("https://szkopul.edu.pl/problemset/problem/i3cF1qQtiXwmwOc_5qRB0ufC/site/", "POI 13-Bytecom")</f>
        <v>POI 13-Bytecom</v>
      </c>
      <c r="B921" s="20" t="s">
        <v>1348</v>
      </c>
      <c r="C921" s="17">
        <v>5.5</v>
      </c>
      <c r="D921" s="65" t="str">
        <f>HYPERLINK("https://www.dropbox.com/s/smryqdsty3vu5br/Bytecomputer.cpp?dl=0","Sol")</f>
        <v>Sol</v>
      </c>
      <c r="E921" s="31" t="s">
        <v>1337</v>
      </c>
      <c r="F921" s="37" t="s">
        <v>139</v>
      </c>
      <c r="G921" s="24"/>
      <c r="H921" s="24"/>
    </row>
    <row r="922" spans="1:8" ht="13.2">
      <c r="A922" s="65" t="str">
        <f>HYPERLINK("https://www.infoarena.ro/problema/amenzi","infoarena amenzi")</f>
        <v>infoarena amenzi</v>
      </c>
      <c r="B922" s="20" t="s">
        <v>6905</v>
      </c>
      <c r="C922" s="21">
        <v>5.5</v>
      </c>
      <c r="D922" s="65" t="str">
        <f>HYPERLINK("https://github.com/stefdasca/CompetitiveProgramming/blob/master/Infoarena/amenzi.cpp","Sol")</f>
        <v>Sol</v>
      </c>
      <c r="E922" s="31" t="s">
        <v>1337</v>
      </c>
      <c r="F922" s="37" t="s">
        <v>139</v>
      </c>
      <c r="G922" s="24"/>
      <c r="H922" s="24"/>
    </row>
    <row r="923" spans="1:8" ht="13.2">
      <c r="A923" s="65" t="str">
        <f>HYPERLINK("https://www.infoarena.ro/problema/peri","infoarena peri")</f>
        <v>infoarena peri</v>
      </c>
      <c r="B923" s="37" t="s">
        <v>6906</v>
      </c>
      <c r="C923" s="21">
        <v>5.5</v>
      </c>
      <c r="D923" s="65" t="str">
        <f>HYPERLINK("https://github.com/stefdasca/CompetitiveProgramming/blob/master/Infoarena/peri.cpp","Sol")</f>
        <v>Sol</v>
      </c>
      <c r="E923" s="31" t="s">
        <v>1337</v>
      </c>
      <c r="F923" s="37" t="s">
        <v>139</v>
      </c>
      <c r="G923" s="24"/>
      <c r="H923" s="24"/>
    </row>
    <row r="924" spans="1:8" ht="13.2">
      <c r="A924" s="65" t="str">
        <f>HYPERLINK("https://oj.uz/problem/view/COCI17_automobil","COCI 17-automobil")</f>
        <v>COCI 17-automobil</v>
      </c>
      <c r="B924" s="20" t="s">
        <v>1543</v>
      </c>
      <c r="C924" s="24">
        <v>5.5</v>
      </c>
      <c r="D924" s="65" t="str">
        <f>HYPERLINK("https://ideone.com/Ejf10T","Sol")</f>
        <v>Sol</v>
      </c>
      <c r="E924" s="31" t="s">
        <v>1337</v>
      </c>
      <c r="F924" s="37" t="s">
        <v>139</v>
      </c>
      <c r="G924" s="24"/>
      <c r="H924" s="24"/>
    </row>
    <row r="925" spans="1:8" ht="13.2">
      <c r="A925" s="65" t="str">
        <f>HYPERLINK("https://csacademy.com/contest/archive/task/circuits/","CSA circuits")</f>
        <v>CSA circuits</v>
      </c>
      <c r="B925" s="37" t="s">
        <v>1902</v>
      </c>
      <c r="C925" s="24">
        <v>5.5</v>
      </c>
      <c r="D925" s="65" t="str">
        <f>HYPERLINK("https://gist.github.com/luciocf/a551e013ef15b77288ff4786276d2dee","Sol")</f>
        <v>Sol</v>
      </c>
      <c r="E925" s="31" t="s">
        <v>1819</v>
      </c>
      <c r="F925" s="37" t="s">
        <v>139</v>
      </c>
      <c r="G925" s="24"/>
      <c r="H925" s="24"/>
    </row>
    <row r="926" spans="1:8" ht="13.2">
      <c r="A926" s="65" t="str">
        <f>HYPERLINK("https://oj.uz/problem/view/COI19_segway","COI 19-segway")</f>
        <v>COI 19-segway</v>
      </c>
      <c r="B926" s="37" t="s">
        <v>502</v>
      </c>
      <c r="C926" s="24">
        <v>5.5</v>
      </c>
      <c r="D926" s="65" t="str">
        <f>HYPERLINK("https://github.com/mostafa-saad/MyCompetitiveProgramming/blob/master/Olympiad/COI/COI-19-segway.txt","Sol")</f>
        <v>Sol</v>
      </c>
      <c r="E926" s="31" t="s">
        <v>503</v>
      </c>
      <c r="F926" s="37" t="s">
        <v>139</v>
      </c>
      <c r="G926" s="24"/>
      <c r="H926" s="24"/>
    </row>
    <row r="927" spans="1:8" ht="13.2">
      <c r="A927" s="65" t="str">
        <f>HYPERLINK("https://szkopul.edu.pl/problemset/problem/dIejmvqlAbsoU1hkjNbd4KtF/site/?key=statement","POI 96-wie")</f>
        <v>POI 96-wie</v>
      </c>
      <c r="B927" s="20" t="s">
        <v>2248</v>
      </c>
      <c r="C927" s="17">
        <v>5.5</v>
      </c>
      <c r="D927" s="65" t="str">
        <f>HYPERLINK("https://github.com/mostafa-saad/MyCompetitiveProgramming/blob/master/Olympiad/POI/POI-96-wie.txt","Sol")</f>
        <v>Sol</v>
      </c>
      <c r="E927" s="31" t="s">
        <v>2153</v>
      </c>
      <c r="F927" s="37" t="s">
        <v>139</v>
      </c>
      <c r="G927" s="24"/>
      <c r="H927" s="24"/>
    </row>
    <row r="928" spans="1:8" ht="13.2">
      <c r="A928" s="65" t="str">
        <f>HYPERLINK("https://oj.uz/problems/source/113","Balkan 11-Medians")</f>
        <v>Balkan 11-Medians</v>
      </c>
      <c r="B928" s="23" t="s">
        <v>7016</v>
      </c>
      <c r="C928" s="17">
        <v>5.5</v>
      </c>
      <c r="D928" s="65" t="str">
        <f>HYPERLINK("https://github.com/mostafa-saad/MyCompetitiveProgramming/blob/master/Olympiad/Balkan/Balkan-11-Medians.txt","Sol")</f>
        <v>Sol</v>
      </c>
      <c r="E928" s="31" t="s">
        <v>2153</v>
      </c>
      <c r="F928" s="37" t="s">
        <v>139</v>
      </c>
      <c r="G928" s="24"/>
      <c r="H928" s="24"/>
    </row>
    <row r="929" spans="1:8" ht="13.2">
      <c r="A929" s="65" t="str">
        <f>HYPERLINK("https://szkopul.edu.pl/problemset/problem/a9Oxizbg6JUS3CkEZr9BOd_H/site/?key=statement","CEOI 11-Hotel")</f>
        <v>CEOI 11-Hotel</v>
      </c>
      <c r="B929" s="18" t="s">
        <v>2163</v>
      </c>
      <c r="C929" s="17">
        <v>5.5</v>
      </c>
      <c r="D929" s="65" t="str">
        <f>HYPERLINK("https://github.com/mostafa-saad/MyCompetitiveProgramming/blob/master/Olympiad/CEOI/CEOI-11-Hotel.txt","Sol")</f>
        <v>Sol</v>
      </c>
      <c r="E929" s="31" t="s">
        <v>2153</v>
      </c>
      <c r="F929" s="37" t="s">
        <v>139</v>
      </c>
      <c r="G929" s="24"/>
      <c r="H929" s="24"/>
    </row>
    <row r="930" spans="1:8" ht="13.2">
      <c r="A930" s="65" t="str">
        <f>HYPERLINK("https://dmoj.ca/problem/coi06p1", "COI 06-Patrik")</f>
        <v>COI 06-Patrik</v>
      </c>
      <c r="B930" s="20" t="s">
        <v>6696</v>
      </c>
      <c r="C930" s="21">
        <v>5.5</v>
      </c>
      <c r="D930" s="65" t="str">
        <f>HYPERLINK("https://github.com/mostafa-saad/MyCompetitiveProgramming/blob/master/Olympiad/COI/COI-06-Patrik.txt","Sol")</f>
        <v>Sol</v>
      </c>
      <c r="E930" s="31" t="s">
        <v>575</v>
      </c>
      <c r="F930" s="37" t="s">
        <v>139</v>
      </c>
      <c r="G930" s="24"/>
      <c r="H930" s="24"/>
    </row>
    <row r="931" spans="1:8" ht="13.2">
      <c r="A931" s="65" t="str">
        <f>HYPERLINK("https://www.infoarena.ro/problema/permsort", "infoarena permsort")</f>
        <v>infoarena permsort</v>
      </c>
      <c r="B931" s="20" t="s">
        <v>587</v>
      </c>
      <c r="C931" s="17">
        <v>5.5</v>
      </c>
      <c r="D931" s="65" t="str">
        <f>HYPERLINK("https://github.com/mostafa-saad/MyCompetitiveProgramming/blob/master/Olympiad/infoarena/infoarena-permsort.txt","Sol")</f>
        <v>Sol</v>
      </c>
      <c r="E931" s="31" t="s">
        <v>575</v>
      </c>
      <c r="F931" s="37" t="s">
        <v>139</v>
      </c>
      <c r="G931" s="24"/>
      <c r="H931" s="24"/>
    </row>
    <row r="932" spans="1:8" ht="13.2">
      <c r="A932" s="65" t="str">
        <f>HYPERLINK("https://cses.fi/185/list/","CEOI 06-Antenna")</f>
        <v>CEOI 06-Antenna</v>
      </c>
      <c r="B932" s="20" t="s">
        <v>7110</v>
      </c>
      <c r="C932" s="24">
        <v>5.5</v>
      </c>
      <c r="D932" s="65" t="str">
        <f>HYPERLINK("https://github.com/mostafa-saad/MyCompetitiveProgramming/blob/master/Olympiad/CEOI/CEOI-06-Antenna.txt","Sol")</f>
        <v>Sol</v>
      </c>
      <c r="E932" s="31" t="s">
        <v>3140</v>
      </c>
      <c r="F932" s="37" t="s">
        <v>139</v>
      </c>
      <c r="G932" s="24"/>
      <c r="H932" s="24"/>
    </row>
    <row r="933" spans="1:8" ht="13.2">
      <c r="A933" s="65" t="str">
        <f>HYPERLINK("https://szkopul.edu.pl/problemset/problem/cB5m-M5ddsFOWLds2CwcYKge/site/", "POI 05-Double_Row")</f>
        <v>POI 05-Double_Row</v>
      </c>
      <c r="B933" s="23" t="s">
        <v>7156</v>
      </c>
      <c r="C933" s="24">
        <v>5.5</v>
      </c>
      <c r="D933" s="65" t="str">
        <f>HYPERLINK("https://github.com/mostafa-saad/MyCompetitiveProgramming/blob/master/Olympiad/POI/POI-05-Double_Row.txt","Sol")</f>
        <v>Sol</v>
      </c>
      <c r="E933" s="31" t="s">
        <v>3257</v>
      </c>
      <c r="F933" s="37" t="s">
        <v>139</v>
      </c>
      <c r="G933" s="24"/>
      <c r="H933" s="24"/>
    </row>
    <row r="934" spans="1:8" ht="13.2">
      <c r="A934" s="65" t="str">
        <f>HYPERLINK("http://usaco.org/index.php?page=viewproblem2&amp;cpid=230","USACO 13jan-island")</f>
        <v>USACO 13jan-island</v>
      </c>
      <c r="B934" s="37" t="s">
        <v>7252</v>
      </c>
      <c r="C934" s="24">
        <v>5.5</v>
      </c>
      <c r="D934" s="69"/>
      <c r="E934" s="31" t="s">
        <v>3998</v>
      </c>
      <c r="F934" s="37" t="s">
        <v>139</v>
      </c>
      <c r="G934" s="24"/>
      <c r="H934" s="24"/>
    </row>
    <row r="935" spans="1:8" ht="13.2">
      <c r="A935" s="65" t="str">
        <f>HYPERLINK("https://dmoj.ca/problem/coci07c2p5","COCI 07-Kemija")</f>
        <v>COCI 07-Kemija</v>
      </c>
      <c r="B935" s="15" t="s">
        <v>4535</v>
      </c>
      <c r="C935" s="24">
        <v>5.5</v>
      </c>
      <c r="D935" s="65" t="str">
        <f>HYPERLINK("https://github.com/mostafa-saad/MyCompetitiveProgramming/blob/master/Olympiad/COCI/COCI-07-Kemija.txt","Sol")</f>
        <v>Sol</v>
      </c>
      <c r="E935" s="31" t="s">
        <v>4531</v>
      </c>
      <c r="F935" s="37" t="s">
        <v>139</v>
      </c>
      <c r="G935" s="24"/>
      <c r="H935" s="24"/>
    </row>
    <row r="936" spans="1:8" ht="13.2">
      <c r="A936" s="65" t="str">
        <f>HYPERLINK("https://dmoj.ca/problem/coci07c6p3","COCI 07-Granica")</f>
        <v>COCI 07-Granica</v>
      </c>
      <c r="B936" s="15" t="s">
        <v>7335</v>
      </c>
      <c r="C936" s="24">
        <v>5.5</v>
      </c>
      <c r="D936" s="65" t="str">
        <f>HYPERLINK("https://github.com/mostafa-saad/MyCompetitiveProgramming/blob/master/Olympiad/COCI/COCI-07-Granica.txt","Sol")</f>
        <v>Sol</v>
      </c>
      <c r="E936" s="31" t="s">
        <v>4809</v>
      </c>
      <c r="F936" s="37" t="s">
        <v>139</v>
      </c>
      <c r="G936" s="24"/>
      <c r="H936" s="24"/>
    </row>
    <row r="937" spans="1:8" ht="13.2">
      <c r="A937" s="65" t="str">
        <f>HYPERLINK("https://cses.fi/114/list/","Baltic 08-Grid")</f>
        <v>Baltic 08-Grid</v>
      </c>
      <c r="B937" s="37" t="s">
        <v>6730</v>
      </c>
      <c r="C937" s="24">
        <v>5.5</v>
      </c>
      <c r="D937" s="65" t="str">
        <f>HYPERLINK("https://github.com/mostafa-saad/MyCompetitiveProgramming/blob/master/Olympiad/Baltic/Baltic-08-Grid.txt","Sol")</f>
        <v>Sol</v>
      </c>
      <c r="E937" s="31" t="s">
        <v>805</v>
      </c>
      <c r="F937" s="37" t="s">
        <v>139</v>
      </c>
      <c r="G937" s="24"/>
      <c r="H937" s="24"/>
    </row>
    <row r="938" spans="1:8" ht="13.2">
      <c r="A938" s="65" t="str">
        <f>HYPERLINK("https://szkopul.edu.pl/problemset/problem/Cs38m8lWFnOfDskXf43HR3lN/site/", "POI 14-Couriers")</f>
        <v>POI 14-Couriers</v>
      </c>
      <c r="B938" s="37" t="s">
        <v>6731</v>
      </c>
      <c r="C938" s="24">
        <v>5.5</v>
      </c>
      <c r="D938" s="65" t="str">
        <f>HYPERLINK("https://github.com/mostafa-saad/MyCompetitiveProgramming/blob/master/Olympiad/POI/POI-14-Couriers.txt","Sol")</f>
        <v>Sol</v>
      </c>
      <c r="E938" s="31" t="s">
        <v>805</v>
      </c>
      <c r="F938" s="37" t="s">
        <v>139</v>
      </c>
      <c r="G938" s="24"/>
      <c r="H938" s="24"/>
    </row>
    <row r="939" spans="1:8" ht="13.2">
      <c r="A939" s="65" t="str">
        <f>HYPERLINK("https://oj.uz/problem/view/IOI08_printer","IOI 08-printer")</f>
        <v>IOI 08-printer</v>
      </c>
      <c r="B939" s="18" t="s">
        <v>7375</v>
      </c>
      <c r="C939" s="17">
        <v>5.5</v>
      </c>
      <c r="D939" s="65" t="str">
        <f>HYPERLINK("https://github.com/updown2/OI-Practice/blob/master/IOI/IOI%202008/Type%20Printer.cpp","Sol")</f>
        <v>Sol</v>
      </c>
      <c r="E939" s="31" t="s">
        <v>5643</v>
      </c>
      <c r="F939" s="37" t="s">
        <v>201</v>
      </c>
      <c r="G939" s="24"/>
      <c r="H939" s="24"/>
    </row>
    <row r="940" spans="1:8" ht="13.2">
      <c r="A940" s="65" t="str">
        <f>HYPERLINK("https://oj.uz/problem/view/BOI14_friends","Baltic 14-friends")</f>
        <v>Baltic 14-friends</v>
      </c>
      <c r="B940" s="20" t="s">
        <v>7385</v>
      </c>
      <c r="C940" s="24">
        <v>5.5</v>
      </c>
      <c r="D940" s="65" t="str">
        <f>HYPERLINK("https://github.com/SpeedOfMagic/CompetitiveProgramming/blob/master/Baltic/14-friends.cpp","Sol")</f>
        <v>Sol</v>
      </c>
      <c r="E940" s="31" t="s">
        <v>5857</v>
      </c>
      <c r="F940" s="37" t="s">
        <v>201</v>
      </c>
      <c r="G940" s="24"/>
      <c r="H940" s="24"/>
    </row>
    <row r="941" spans="1:8" ht="13.2">
      <c r="A941" s="65" t="str">
        <f>HYPERLINK("https://szkopul.edu.pl/problemset/problem/GqRTa-xd7d9cGS5RL5Os-qTV/site/?key=statement","POI 96-kod")</f>
        <v>POI 96-kod</v>
      </c>
      <c r="B941" s="20" t="s">
        <v>5952</v>
      </c>
      <c r="C941" s="21">
        <v>5.5</v>
      </c>
      <c r="D941" s="65" t="str">
        <f>HYPERLINK("https://github.com/SpeedOfMagic/CompetitiveProgramming/blob/master/POI/96-kod.cpp","Sol")</f>
        <v>Sol</v>
      </c>
      <c r="E941" s="31" t="s">
        <v>5947</v>
      </c>
      <c r="F941" s="37" t="s">
        <v>201</v>
      </c>
      <c r="G941" s="24"/>
      <c r="H941" s="24"/>
    </row>
    <row r="942" spans="1:8" ht="13.2">
      <c r="A942" s="65" t="str">
        <f>HYPERLINK("https://oj.uz/problem/view/IOI16_molecules","IOI 16-molecules")</f>
        <v>IOI 16-molecules</v>
      </c>
      <c r="B942" s="18" t="s">
        <v>6047</v>
      </c>
      <c r="C942" s="17">
        <v>5.5</v>
      </c>
      <c r="D942" s="65" t="str">
        <f>HYPERLINK("https://github.com/mostafa-saad/MyCompetitiveProgramming/blob/master/Olympiad/IOI/official/2016","Editorial")</f>
        <v>Editorial</v>
      </c>
      <c r="E942" s="31" t="s">
        <v>6040</v>
      </c>
      <c r="F942" s="37" t="s">
        <v>201</v>
      </c>
      <c r="G942" s="24"/>
      <c r="H942" s="24"/>
    </row>
    <row r="943" spans="1:8" ht="13.2">
      <c r="A943" s="65" t="str">
        <f>HYPERLINK("https://codeforces.com/group/swEqtABRxe/contest/227531/problem/C", "EOI_IOI 18-QR-C")</f>
        <v>EOI_IOI 18-QR-C</v>
      </c>
      <c r="B943" s="37" t="s">
        <v>6054</v>
      </c>
      <c r="C943" s="24">
        <v>5.5</v>
      </c>
      <c r="D943" s="65" t="str">
        <f>HYPERLINK("https://ideone.com/iw7JBC", "Sol")</f>
        <v>Sol</v>
      </c>
      <c r="E943" s="31" t="s">
        <v>6040</v>
      </c>
      <c r="F943" s="37" t="s">
        <v>201</v>
      </c>
      <c r="G943" s="24"/>
      <c r="H943" s="24"/>
    </row>
    <row r="944" spans="1:8" ht="13.2">
      <c r="A944" s="65" t="str">
        <f>HYPERLINK("https://www.acmicpc.net/problem/7054","CEOI 03-Trip")</f>
        <v>CEOI 03-Trip</v>
      </c>
      <c r="B944" s="37" t="s">
        <v>7428</v>
      </c>
      <c r="C944" s="24">
        <v>5.5</v>
      </c>
      <c r="D944" s="65" t="str">
        <f>HYPERLINK("https://github.com/mostafa-saad/MyCompetitiveProgramming/tree/master/Olympiad/CEOI/official/2003","Editorial")</f>
        <v>Editorial</v>
      </c>
      <c r="E944" s="31" t="s">
        <v>6075</v>
      </c>
      <c r="F944" s="37" t="s">
        <v>201</v>
      </c>
      <c r="G944" s="24"/>
      <c r="H944" s="24"/>
    </row>
    <row r="945" spans="1:8" ht="13.2">
      <c r="A945" s="65" t="str">
        <f>HYPERLINK("https://oj.uz/problem/view/BOI13_numbers","Baltic 13-numbers")</f>
        <v>Baltic 13-numbers</v>
      </c>
      <c r="B945" s="20" t="s">
        <v>7433</v>
      </c>
      <c r="C945" s="24">
        <v>5.5</v>
      </c>
      <c r="D945" s="65" t="str">
        <f>HYPERLINK("https://github.com/mostafa-saad/MyCompetitiveProgramming/blob/master/Olympiad/Baltic/Baltic-13-numbers.txt","Sol")</f>
        <v>Sol</v>
      </c>
      <c r="E945" s="31" t="s">
        <v>6118</v>
      </c>
      <c r="F945" s="37" t="s">
        <v>201</v>
      </c>
      <c r="G945" s="24"/>
      <c r="H945" s="24"/>
    </row>
    <row r="946" spans="1:8" ht="13.2">
      <c r="A946" s="65" t="str">
        <f>HYPERLINK("https://dmoj.ca/problem/coci08c5p5","COCI 08-Tresnja")</f>
        <v>COCI 08-Tresnja</v>
      </c>
      <c r="B946" s="15" t="s">
        <v>6122</v>
      </c>
      <c r="C946" s="24">
        <v>5.5</v>
      </c>
      <c r="D946" s="65" t="str">
        <f>HYPERLINK("https://github.com/mostafa-saad/MyCompetitiveProgramming/blob/master/Olympiad/COCI/COCI-08-Tresnja.txt","Sol")</f>
        <v>Sol</v>
      </c>
      <c r="E946" s="31" t="s">
        <v>6118</v>
      </c>
      <c r="F946" s="37" t="s">
        <v>201</v>
      </c>
      <c r="G946" s="24"/>
      <c r="H946" s="24"/>
    </row>
    <row r="947" spans="1:8" ht="13.2">
      <c r="A947" s="65" t="str">
        <f>HYPERLINK("https://dmoj.ca/problem/coci07c3p5","COCI 07-Cudak")</f>
        <v>COCI 07-Cudak</v>
      </c>
      <c r="B947" s="15" t="s">
        <v>6122</v>
      </c>
      <c r="C947" s="24">
        <v>5.5</v>
      </c>
      <c r="D947" s="65" t="str">
        <f>HYPERLINK("https://github.com/mostafa-saad/MyCompetitiveProgramming/tree/master/Olympiad/COCI/official/2008/contest3_solutions","Editorial")</f>
        <v>Editorial</v>
      </c>
      <c r="E947" s="31" t="s">
        <v>6118</v>
      </c>
      <c r="F947" s="37" t="s">
        <v>201</v>
      </c>
      <c r="G947" s="24"/>
      <c r="H947" s="24"/>
    </row>
    <row r="948" spans="1:8" ht="13.2">
      <c r="A948" s="65" t="str">
        <f>HYPERLINK("http://usaco.org/index.php?page=viewproblem2&amp;cpid=900", "USACO 19jan-redistricting_plat")</f>
        <v>USACO 19jan-redistricting_plat</v>
      </c>
      <c r="B948" s="20" t="s">
        <v>1040</v>
      </c>
      <c r="C948" s="21">
        <v>5.5</v>
      </c>
      <c r="D948" s="69"/>
      <c r="E948" s="31" t="s">
        <v>1018</v>
      </c>
      <c r="F948" s="37" t="s">
        <v>201</v>
      </c>
      <c r="G948" s="24"/>
      <c r="H948" s="24"/>
    </row>
    <row r="949" spans="1:8" ht="13.2">
      <c r="A949" s="65" t="str">
        <f>HYPERLINK("https://oj.uz/problem/view/COCI17_poklon","COCI 17-poklon")</f>
        <v>COCI 17-poklon</v>
      </c>
      <c r="B949" s="20" t="s">
        <v>6794</v>
      </c>
      <c r="C949" s="24">
        <v>5.5</v>
      </c>
      <c r="D949" s="65" t="str">
        <f>HYPERLINK("https://github.com/mostafa-saad/MyCompetitiveProgramming/blob/master/Olympiad/COCI/official/2017/contest5_solutions","Editorial")</f>
        <v>Editorial</v>
      </c>
      <c r="E949" s="31" t="s">
        <v>1018</v>
      </c>
      <c r="F949" s="37" t="s">
        <v>201</v>
      </c>
      <c r="G949" s="24"/>
      <c r="H949" s="24"/>
    </row>
    <row r="950" spans="1:8" ht="13.2">
      <c r="A950" s="65" t="str">
        <f>HYPERLINK("https://cses.fi/109/list/","Baltic 06-Countries")</f>
        <v>Baltic 06-Countries</v>
      </c>
      <c r="B950" s="37" t="s">
        <v>6907</v>
      </c>
      <c r="C950" s="24">
        <v>5.5</v>
      </c>
      <c r="D950" s="65" t="str">
        <f>HYPERLINK("https://github.com/mostafa-saad/MyCompetitiveProgramming/blob/master/Olympiad/Baltic/Baltic-06-Countries.txt","Sol")</f>
        <v>Sol</v>
      </c>
      <c r="E950" s="31" t="s">
        <v>1337</v>
      </c>
      <c r="F950" s="37" t="s">
        <v>201</v>
      </c>
      <c r="G950" s="24"/>
      <c r="H950" s="24"/>
    </row>
    <row r="951" spans="1:8" ht="13.2">
      <c r="A951" s="65" t="str">
        <f>HYPERLINK("https://joi2015ho.contest.atcoder.jp/tasks/joi2015ho_b","JOI 15-Cake2")</f>
        <v>JOI 15-Cake2</v>
      </c>
      <c r="B951" s="20" t="s">
        <v>6908</v>
      </c>
      <c r="C951" s="17">
        <v>5.5</v>
      </c>
      <c r="D951" s="65" t="str">
        <f>HYPERLINK("https://github.com/nikolapesic2802/Programming-Practice/blob/master/Cake%20Division2/main.cpp","Sol")</f>
        <v>Sol</v>
      </c>
      <c r="E951" s="31" t="s">
        <v>1337</v>
      </c>
      <c r="F951" s="37" t="s">
        <v>201</v>
      </c>
      <c r="G951" s="24"/>
      <c r="H951" s="24"/>
    </row>
    <row r="952" spans="1:8" ht="13.2">
      <c r="A952" s="65" t="str">
        <f>HYPERLINK("https://cses.fi/101/list/","Baltic 11-Meetings")</f>
        <v>Baltic 11-Meetings</v>
      </c>
      <c r="B952" s="37" t="s">
        <v>6909</v>
      </c>
      <c r="C952" s="24">
        <v>5.5</v>
      </c>
      <c r="D952" s="65" t="str">
        <f>HYPERLINK("https://github.com/mostafa-saad/MyCompetitiveProgramming/blob/master/Olympiad/Baltic/Baltic-11-Meetings.txt","Sol")</f>
        <v>Sol</v>
      </c>
      <c r="E952" s="31" t="s">
        <v>1337</v>
      </c>
      <c r="F952" s="37" t="s">
        <v>201</v>
      </c>
      <c r="G952" s="24"/>
      <c r="H952" s="24"/>
    </row>
    <row r="953" spans="1:8" ht="13.2">
      <c r="A953" s="65" t="str">
        <f>HYPERLINK("https://oj.uz/problem/view/COI18_paprike","COI 18-paprike")</f>
        <v>COI 18-paprike</v>
      </c>
      <c r="B953" s="20" t="s">
        <v>2181</v>
      </c>
      <c r="C953" s="24">
        <v>5.5</v>
      </c>
      <c r="D953" s="69"/>
      <c r="E953" s="31" t="s">
        <v>2153</v>
      </c>
      <c r="F953" s="37" t="s">
        <v>201</v>
      </c>
      <c r="G953" s="24"/>
      <c r="H953" s="24"/>
    </row>
    <row r="954" spans="1:8" ht="13.2">
      <c r="A954" s="65" t="str">
        <f>HYPERLINK("https://contest.yandex.ru/ioi/contest/560/enter/","IOI 04-farmer")</f>
        <v>IOI 04-farmer</v>
      </c>
      <c r="B954" s="15" t="s">
        <v>2232</v>
      </c>
      <c r="C954" s="24">
        <v>5.5</v>
      </c>
      <c r="D954" s="65" t="str">
        <f>HYPERLINK("https://github.com/mostafa-saad/MyCompetitiveProgramming/blob/master/Olympiad/IOI/IOI-04-farmer.txt","Sol")</f>
        <v>Sol</v>
      </c>
      <c r="E954" s="31" t="s">
        <v>2153</v>
      </c>
      <c r="F954" s="37" t="s">
        <v>201</v>
      </c>
      <c r="G954" s="24"/>
      <c r="H954" s="24"/>
    </row>
    <row r="955" spans="1:8" ht="13.2">
      <c r="A955" s="65" t="str">
        <f>HYPERLINK("https://szkopul.edu.pl/problemset/problem/bNkLWTHzQeDyEuAUiKCwuxnG/site/","CEOI 04-Trips")</f>
        <v>CEOI 04-Trips</v>
      </c>
      <c r="B955" s="37" t="s">
        <v>7017</v>
      </c>
      <c r="C955" s="24">
        <v>5.5</v>
      </c>
      <c r="D955" s="65" t="str">
        <f>HYPERLINK("https://github.com/mostafa-saad/MyCompetitiveProgramming/blob/master/Olympiad/CEOI/CEOI-04-Trips.txt","Sol")</f>
        <v>Sol</v>
      </c>
      <c r="E955" s="31" t="s">
        <v>2153</v>
      </c>
      <c r="F955" s="37" t="s">
        <v>201</v>
      </c>
      <c r="G955" s="24"/>
      <c r="H955" s="24"/>
    </row>
    <row r="956" spans="1:8" ht="13.2">
      <c r="A956" s="65" t="str">
        <f>HYPERLINK("https://oj.uz/problem/view/POI13_usu","POI 13-Takeout")</f>
        <v>POI 13-Takeout</v>
      </c>
      <c r="B956" s="37" t="s">
        <v>7018</v>
      </c>
      <c r="C956" s="24">
        <v>5.5</v>
      </c>
      <c r="D956" s="65" t="str">
        <f>HYPERLINK("https://github.com/mostafa-saad/MyCompetitiveProgramming/blob/master/Olympiad/POI/POI-13-Takeout.txt","Sol")</f>
        <v>Sol</v>
      </c>
      <c r="E956" s="31" t="s">
        <v>2153</v>
      </c>
      <c r="F956" s="37" t="s">
        <v>201</v>
      </c>
      <c r="G956" s="24"/>
      <c r="H956" s="24"/>
    </row>
    <row r="957" spans="1:8" ht="13.2">
      <c r="A957" s="65" t="str">
        <f>HYPERLINK("http://usaco.org/index.php?page=viewproblem2&amp;cpid=577", "USACO 15dec-cardgame-plat")</f>
        <v>USACO 15dec-cardgame-plat</v>
      </c>
      <c r="B957" s="20" t="s">
        <v>7019</v>
      </c>
      <c r="C957" s="21">
        <v>5.5</v>
      </c>
      <c r="D957" s="69"/>
      <c r="E957" s="31" t="s">
        <v>2153</v>
      </c>
      <c r="F957" s="37" t="s">
        <v>201</v>
      </c>
      <c r="G957" s="24"/>
      <c r="H957" s="24"/>
    </row>
    <row r="958" spans="1:8" ht="13.2">
      <c r="A958" s="65" t="str">
        <f>HYPERLINK("https://www.infoarena.ro/problema/aranjare","Infoarena aranjare")</f>
        <v>Infoarena aranjare</v>
      </c>
      <c r="B958" s="20" t="s">
        <v>7020</v>
      </c>
      <c r="C958" s="21">
        <v>5.5</v>
      </c>
      <c r="D958" s="65" t="str">
        <f>HYPERLINK("https://github.com/stefdasca/CompetitiveProgramming/blob/master/Infoarena/aranjare.cpp","Sol")</f>
        <v>Sol</v>
      </c>
      <c r="E958" s="31" t="s">
        <v>2153</v>
      </c>
      <c r="F958" s="37" t="s">
        <v>201</v>
      </c>
      <c r="G958" s="24"/>
      <c r="H958" s="24"/>
    </row>
    <row r="959" spans="1:8" ht="13.2">
      <c r="A959" s="65" t="str">
        <f>HYPERLINK("https://oj.uz/problem/view/POI11_pat","POI 11-Sticks")</f>
        <v>POI 11-Sticks</v>
      </c>
      <c r="B959" s="25" t="s">
        <v>7021</v>
      </c>
      <c r="C959" s="24">
        <v>5.5</v>
      </c>
      <c r="D959" s="65" t="str">
        <f>HYPERLINK("https://github.com/mostafa-saad/MyCompetitiveProgramming/blob/master/Olympiad/POI/POI-11-Sticks.txt","Sol")</f>
        <v>Sol</v>
      </c>
      <c r="E959" s="31" t="s">
        <v>2153</v>
      </c>
      <c r="F959" s="37" t="s">
        <v>201</v>
      </c>
      <c r="G959" s="24"/>
      <c r="H959" s="24"/>
    </row>
    <row r="960" spans="1:8" ht="13.2">
      <c r="A960" s="65" t="str">
        <f>HYPERLINK("https://oj.uz/problem/view/JOI17_sparklers","JOISC 17-sparklers")</f>
        <v>JOISC 17-sparklers</v>
      </c>
      <c r="B960" s="20" t="s">
        <v>7022</v>
      </c>
      <c r="C960" s="24">
        <v>5.5</v>
      </c>
      <c r="D960" s="65" t="str">
        <f>HYPERLINK("https://github.com/nikolapesic2802/Programming-Practice/blob/master/Sparklersd/main.cpp","Sol")</f>
        <v>Sol</v>
      </c>
      <c r="E960" s="31" t="s">
        <v>2153</v>
      </c>
      <c r="F960" s="37" t="s">
        <v>201</v>
      </c>
      <c r="G960" s="24"/>
      <c r="H960" s="24"/>
    </row>
    <row r="961" spans="1:8" ht="13.2">
      <c r="A961" s="65" t="str">
        <f>HYPERLINK("https://dmoj.ca/problem/cco15p1","CCO 15-Hungry_Fox")</f>
        <v>CCO 15-Hungry_Fox</v>
      </c>
      <c r="B961" s="37" t="s">
        <v>2163</v>
      </c>
      <c r="C961" s="24">
        <v>5.5</v>
      </c>
      <c r="D961" s="69"/>
      <c r="E961" s="31" t="s">
        <v>2153</v>
      </c>
      <c r="F961" s="37" t="s">
        <v>201</v>
      </c>
      <c r="G961" s="24"/>
      <c r="H961" s="24"/>
    </row>
    <row r="962" spans="1:8" ht="13.2">
      <c r="A962" s="65" t="str">
        <f>HYPERLINK("https://oj.uz/problem/view/JOI19_examination", "JOISC 19-Examination")</f>
        <v>JOISC 19-Examination</v>
      </c>
      <c r="B962" s="20" t="s">
        <v>6697</v>
      </c>
      <c r="C962" s="21">
        <v>5.5</v>
      </c>
      <c r="D962" s="65" t="str">
        <f>HYPERLINK("https://github.com/Szawinis/CompetitiveProgramming/blob/master/Olympiad/JOI/JOISC19-examination.cpp","ACE")</f>
        <v>ACE</v>
      </c>
      <c r="E962" s="31" t="s">
        <v>575</v>
      </c>
      <c r="F962" s="37" t="s">
        <v>201</v>
      </c>
      <c r="G962" s="24"/>
      <c r="H962" s="24"/>
    </row>
    <row r="963" spans="1:8" ht="13.2">
      <c r="A963" s="65" t="str">
        <f>HYPERLINK("https://csacademy.com/contest/ejoi-2017-day-1/task/magic/","EJOI 17-magic")</f>
        <v>EJOI 17-magic</v>
      </c>
      <c r="B963" s="20" t="s">
        <v>616</v>
      </c>
      <c r="C963" s="24">
        <v>5.5</v>
      </c>
      <c r="D963" s="65" t="str">
        <f>HYPERLINK("https://github.com/Rockbet/Problems/blob/master/EJOI/2017/Day%201/Magic.cpp","Sol")</f>
        <v>Sol</v>
      </c>
      <c r="E963" s="31" t="s">
        <v>575</v>
      </c>
      <c r="F963" s="37" t="s">
        <v>201</v>
      </c>
      <c r="G963" s="24"/>
      <c r="H963" s="24"/>
    </row>
    <row r="964" spans="1:8" ht="13.2">
      <c r="A964" s="65" t="str">
        <f>HYPERLINK("http://www.usaco.org/index.php?page=viewproblem2&amp;cpid=645","USACO 16-usopen-split-gold")</f>
        <v>USACO 16-usopen-split-gold</v>
      </c>
      <c r="B964" s="20" t="s">
        <v>3139</v>
      </c>
      <c r="C964" s="17">
        <v>5.5</v>
      </c>
      <c r="D964" s="69"/>
      <c r="E964" s="31" t="s">
        <v>3140</v>
      </c>
      <c r="F964" s="37" t="s">
        <v>201</v>
      </c>
      <c r="G964" s="24"/>
      <c r="H964" s="24"/>
    </row>
    <row r="965" spans="1:8" ht="13.2">
      <c r="A965" s="65" t="str">
        <f>HYPERLINK("https://www.infoarena.ro/problema/color5","infoarena color5")</f>
        <v>infoarena color5</v>
      </c>
      <c r="B965" s="20" t="s">
        <v>3398</v>
      </c>
      <c r="C965" s="21">
        <v>5.5</v>
      </c>
      <c r="D965" s="69"/>
      <c r="E965" s="31" t="s">
        <v>3257</v>
      </c>
      <c r="F965" s="37" t="s">
        <v>201</v>
      </c>
      <c r="G965" s="24"/>
      <c r="H965" s="24"/>
    </row>
    <row r="966" spans="1:8" ht="13.2">
      <c r="A966" s="65" t="str">
        <f>HYPERLINK("https://oj.uz/problem/view/COCI17_portal","COCI 17-portal")</f>
        <v>COCI 17-portal</v>
      </c>
      <c r="B966" s="20" t="s">
        <v>7220</v>
      </c>
      <c r="C966" s="24">
        <v>5.5</v>
      </c>
      <c r="D966" s="65" t="str">
        <f>HYPERLINK("https://github.com/luciocf/OI-Problems/blob/master/COCI/COCI%202017-2018/portals.cpp","Sol")</f>
        <v>Sol</v>
      </c>
      <c r="E966" s="31" t="s">
        <v>3784</v>
      </c>
      <c r="F966" s="37" t="s">
        <v>201</v>
      </c>
      <c r="G966" s="24"/>
      <c r="H966" s="24"/>
    </row>
    <row r="967" spans="1:8" ht="13.2">
      <c r="A967" s="65" t="str">
        <f>HYPERLINK("https://dunjudge.me/analysis/problems/1824/","NOI 19-pilot")</f>
        <v>NOI 19-pilot</v>
      </c>
      <c r="B967" s="20" t="s">
        <v>7242</v>
      </c>
      <c r="C967" s="17">
        <v>5.5</v>
      </c>
      <c r="D967" s="65" t="str">
        <f>HYPERLINK("https://github.com/MohamedAhmed04/Competitive-programming/blob/master/SingaporeNOI/2019-Pilot.cpp", "AC")</f>
        <v>AC</v>
      </c>
      <c r="E967" s="31" t="s">
        <v>3883</v>
      </c>
      <c r="F967" s="37" t="s">
        <v>201</v>
      </c>
      <c r="G967" s="24"/>
      <c r="H967" s="24"/>
    </row>
    <row r="968" spans="1:8" ht="13.2">
      <c r="A968" s="65" t="str">
        <f>HYPERLINK("https://oj.uz/problem/view/COCI18_priglavci","COCI 18-priglavci")</f>
        <v>COCI 18-priglavci</v>
      </c>
      <c r="B968" s="20" t="s">
        <v>4196</v>
      </c>
      <c r="C968" s="24">
        <v>5.5</v>
      </c>
      <c r="D968" s="65" t="str">
        <f>HYPERLINK("https://github.com/farmerboy95/CompetitiveProgramming/blob/master/COCI/COCI%2018-priglavci.cpp","Sol")</f>
        <v>Sol</v>
      </c>
      <c r="E968" s="31" t="s">
        <v>4144</v>
      </c>
      <c r="F968" s="37" t="s">
        <v>201</v>
      </c>
      <c r="G968" s="24"/>
      <c r="H968" s="24"/>
    </row>
    <row r="969" spans="1:8" ht="13.2">
      <c r="A969" s="65" t="str">
        <f>HYPERLINK("http://usaco.org/index.php?page=viewproblem2&amp;cpid=516","USACO 15jan-grass")</f>
        <v>USACO 15jan-grass</v>
      </c>
      <c r="B969" s="20" t="s">
        <v>4346</v>
      </c>
      <c r="C969" s="17">
        <v>5.5</v>
      </c>
      <c r="D969" s="65" t="str">
        <f>HYPERLINK("https://github.com/updown2/OI-Practice/blob/master/USACO/2014-2015/January/Problem%203%20grass.cpp","Sol")</f>
        <v>Sol</v>
      </c>
      <c r="E969" s="31" t="s">
        <v>4344</v>
      </c>
      <c r="F969" s="37" t="s">
        <v>201</v>
      </c>
      <c r="G969" s="24"/>
      <c r="H969" s="24"/>
    </row>
    <row r="970" spans="1:8" ht="13.2">
      <c r="A970" s="65" t="str">
        <f>HYPERLINK("https://www.infoarena.ro/problema/cifru","infoarena cifru")</f>
        <v>infoarena cifru</v>
      </c>
      <c r="B970" s="20" t="s">
        <v>4964</v>
      </c>
      <c r="C970" s="21">
        <v>5.5</v>
      </c>
      <c r="D970" s="65" t="str">
        <f>HYPERLINK("https://github.com/stefdasca/CompetitiveProgramming/blob/master/Infoarena/cifru.cpp","Sol")</f>
        <v>Sol</v>
      </c>
      <c r="E970" s="31" t="s">
        <v>4958</v>
      </c>
      <c r="F970" s="37" t="s">
        <v>201</v>
      </c>
      <c r="G970" s="24"/>
      <c r="H970" s="24"/>
    </row>
    <row r="971" spans="1:8" ht="13.2">
      <c r="A971" s="65" t="str">
        <f>HYPERLINK("http://usaco.org/index.php?page=viewproblem2&amp;cpid=862","USACO 18dec-cowpatibility")</f>
        <v>USACO 18dec-cowpatibility</v>
      </c>
      <c r="B971" s="20" t="s">
        <v>7350</v>
      </c>
      <c r="C971" s="21">
        <v>5.5</v>
      </c>
      <c r="D971" s="69"/>
      <c r="E971" s="31" t="s">
        <v>5134</v>
      </c>
      <c r="F971" s="37" t="s">
        <v>201</v>
      </c>
      <c r="G971" s="24"/>
      <c r="H971" s="24"/>
    </row>
    <row r="972" spans="1:8" ht="13.2">
      <c r="A972" s="65" t="str">
        <f>HYPERLINK("https://www.hackerrank.com/contests/ioi-2014-practice-contest-2/challenges","IOIPractice 14-questions-i-ask-myself-ioi14")</f>
        <v>IOIPractice 14-questions-i-ask-myself-ioi14</v>
      </c>
      <c r="B972" s="15" t="s">
        <v>6732</v>
      </c>
      <c r="C972" s="17">
        <v>5.5</v>
      </c>
      <c r="D972" s="65" t="str">
        <f>HYPERLINK("https://github.com/Yehezkiel01/CompetitiveProgramming/blob/master/IOIPractice/IOIPractice-14-questions-i-ask-myself-ioi14.cpp","Sol")</f>
        <v>Sol</v>
      </c>
      <c r="E972" s="31" t="s">
        <v>805</v>
      </c>
      <c r="F972" s="37" t="s">
        <v>201</v>
      </c>
      <c r="G972" s="24"/>
      <c r="H972" s="24"/>
    </row>
    <row r="973" spans="1:8" ht="13.2">
      <c r="A973" s="65" t="str">
        <f>HYPERLINK("https://dmoj.ca/problem/phantom3","Dmoj TortureChamber")</f>
        <v>Dmoj TortureChamber</v>
      </c>
      <c r="B973" s="37" t="s">
        <v>7358</v>
      </c>
      <c r="C973" s="24">
        <v>5.5</v>
      </c>
      <c r="D973" s="69"/>
      <c r="E973" s="31" t="s">
        <v>5414</v>
      </c>
      <c r="F973" s="37" t="s">
        <v>201</v>
      </c>
      <c r="G973" s="24"/>
      <c r="H973" s="24"/>
    </row>
    <row r="974" spans="1:8" ht="13.2">
      <c r="A974" s="65" t="str">
        <f>HYPERLINK("http://usaco.org/index.php?page=viewproblem2&amp;cpid=720", "USACO 17feb-mincross-plat")</f>
        <v>USACO 17feb-mincross-plat</v>
      </c>
      <c r="B974" s="20" t="s">
        <v>124</v>
      </c>
      <c r="C974" s="21">
        <v>5.5</v>
      </c>
      <c r="D974" s="69"/>
      <c r="E974" s="31" t="s">
        <v>125</v>
      </c>
      <c r="F974" s="37" t="s">
        <v>242</v>
      </c>
      <c r="G974" s="24"/>
      <c r="H974" s="24"/>
    </row>
    <row r="975" spans="1:8" ht="13.2">
      <c r="A975" s="65" t="str">
        <f>HYPERLINK("https://oj.uz/problem/view/BOI14_network","Baltic 14-network")</f>
        <v>Baltic 14-network</v>
      </c>
      <c r="B975" s="20" t="s">
        <v>5961</v>
      </c>
      <c r="C975" s="24">
        <v>5.5</v>
      </c>
      <c r="D975" s="65" t="str">
        <f>HYPERLINK("https://github.com/mushisgosuuu/oj-solutions/blob/master/BOI/network2014.cpp","Sol")</f>
        <v>Sol</v>
      </c>
      <c r="E975" s="31" t="s">
        <v>5958</v>
      </c>
      <c r="F975" s="37" t="s">
        <v>242</v>
      </c>
      <c r="G975" s="24"/>
      <c r="H975" s="24"/>
    </row>
    <row r="976" spans="1:8" ht="13.2">
      <c r="A976" s="65" t="str">
        <f>HYPERLINK("https://dmoj.ca/problem/coci06c5p6","COCI 06-Dvaput")</f>
        <v>COCI 06-Dvaput</v>
      </c>
      <c r="B976" s="15" t="s">
        <v>7651</v>
      </c>
      <c r="C976" s="24">
        <v>5.5</v>
      </c>
      <c r="D976" s="65" t="str">
        <f>HYPERLINK("https://github.com/mostafa-saad/MyCompetitiveProgramming/blob/master/Olympiad/COCI/COCI-06-Dvaput.txt","Sol")</f>
        <v>Sol</v>
      </c>
      <c r="E976" s="31" t="s">
        <v>6505</v>
      </c>
      <c r="F976" s="37" t="s">
        <v>242</v>
      </c>
      <c r="G976" s="24"/>
      <c r="H976" s="24"/>
    </row>
    <row r="977" spans="1:8" ht="13.2">
      <c r="A977" s="65" t="str">
        <f>HYPERLINK("https://oj.uz/problem/view/IOI19_transfer","IOIPractice 19-Transfer")</f>
        <v>IOIPractice 19-Transfer</v>
      </c>
      <c r="B977" s="20" t="s">
        <v>6622</v>
      </c>
      <c r="C977" s="17">
        <v>5.5</v>
      </c>
      <c r="D977" s="65" t="str">
        <f>HYPERLINK("https://github.com/tmwilliamlin168/CompetitiveProgramming/blob/master/IOI/19P-Transfer.cpp", "Sol")</f>
        <v>Sol</v>
      </c>
      <c r="E977" s="31" t="s">
        <v>125</v>
      </c>
      <c r="F977" s="37"/>
      <c r="G977" s="24"/>
      <c r="H977" s="24"/>
    </row>
    <row r="978" spans="1:8" ht="13.2">
      <c r="A978" s="65" t="str">
        <f>HYPERLINK("https://szkopul.edu.pl/problemset/problem/Syg2bcb2gzeOcCBXcL4ap80b/site/", "POI 05-Bus")</f>
        <v>POI 05-Bus</v>
      </c>
      <c r="B978" s="37" t="s">
        <v>6623</v>
      </c>
      <c r="C978" s="24">
        <v>5.5</v>
      </c>
      <c r="D978" s="65" t="str">
        <f>HYPERLINK("https://github.com/mostafa-saad/MyCompetitiveProgramming/blob/master/Olympiad/POI/POI-05-Bus.txt","Sol")</f>
        <v>Sol</v>
      </c>
      <c r="E978" s="31" t="s">
        <v>125</v>
      </c>
      <c r="F978" s="37"/>
      <c r="G978" s="24"/>
      <c r="H978" s="24"/>
    </row>
    <row r="979" spans="1:8" ht="13.2">
      <c r="A979" s="65" t="str">
        <f>HYPERLINK("https://joisc2013-day3.contest.atcoder.jp/tasks/joisc2013_mountain","JOISC 13-Mountain")</f>
        <v>JOISC 13-Mountain</v>
      </c>
      <c r="B979" s="20" t="s">
        <v>6624</v>
      </c>
      <c r="C979" s="24">
        <v>5.5</v>
      </c>
      <c r="D979" s="69"/>
      <c r="E979" s="31" t="s">
        <v>125</v>
      </c>
      <c r="F979" s="37"/>
      <c r="G979" s="24"/>
      <c r="H979" s="24"/>
    </row>
    <row r="980" spans="1:8" ht="13.2">
      <c r="A980" s="65" t="str">
        <f>HYPERLINK("https://www.acmicpc.net/category/94","Balkan 15-UltimateTTT")</f>
        <v>Balkan 15-UltimateTTT</v>
      </c>
      <c r="B980" s="18" t="s">
        <v>7402</v>
      </c>
      <c r="C980" s="17">
        <v>5.5</v>
      </c>
      <c r="D980" s="69"/>
      <c r="E980" s="31" t="s">
        <v>5958</v>
      </c>
      <c r="F980" s="37"/>
      <c r="G980" s="24"/>
      <c r="H980" s="24"/>
    </row>
    <row r="981" spans="1:8" ht="13.2">
      <c r="A981" s="65" t="str">
        <f>HYPERLINK("https://joi2016ho.contest.atcoder.jp/tasks/joi2016ho_b","JOI 16-CollectingStamps2")</f>
        <v>JOI 16-CollectingStamps2</v>
      </c>
      <c r="B981" s="20" t="s">
        <v>7652</v>
      </c>
      <c r="C981" s="17">
        <v>5.5</v>
      </c>
      <c r="D981" s="65" t="str">
        <f>HYPERLINK("https://github.com/nikolapesic2802/Programming-Practice/blob/master/Collecting%20stamps/main.cpp","AC")</f>
        <v>AC</v>
      </c>
      <c r="E981" s="31" t="s">
        <v>5958</v>
      </c>
      <c r="F981" s="37"/>
      <c r="G981" s="24"/>
      <c r="H981" s="24"/>
    </row>
    <row r="982" spans="1:8" ht="13.2">
      <c r="A982" s="65" t="str">
        <f>HYPERLINK("https://dmoj.ca/problem/coci06c3p6","COCI 06-lista")</f>
        <v>COCI 06-lista</v>
      </c>
      <c r="B982" s="15" t="s">
        <v>7404</v>
      </c>
      <c r="C982" s="24">
        <v>5.5</v>
      </c>
      <c r="D982" s="65" t="str">
        <f>HYPERLINK("https://github.com/tsouza0/CompetitiveProgramming/blob/master/Olympiads/COCI/lista.cpp","Sol")</f>
        <v>Sol</v>
      </c>
      <c r="E982" s="31" t="s">
        <v>5958</v>
      </c>
      <c r="F982" s="37"/>
      <c r="G982" s="24"/>
      <c r="H982" s="24"/>
    </row>
    <row r="983" spans="1:8" ht="13.2">
      <c r="A983" s="65" t="str">
        <f>HYPERLINK("https://joi2014ho.contest.atcoder.jp/tasks/joi2014ho1","JOI 14-JOIEmblem")</f>
        <v>JOI 14-JOIEmblem</v>
      </c>
      <c r="B983" s="20" t="s">
        <v>7653</v>
      </c>
      <c r="C983" s="17">
        <v>5.5</v>
      </c>
      <c r="D983" s="69"/>
      <c r="E983" s="31" t="s">
        <v>5958</v>
      </c>
      <c r="F983" s="37"/>
      <c r="G983" s="24"/>
      <c r="H983" s="24"/>
    </row>
    <row r="984" spans="1:8" ht="13.2">
      <c r="A984" s="65" t="str">
        <f>HYPERLINK("https://oj.uz/problem/view/JOI17_semiexpress","JOI 17-semiexpress")</f>
        <v>JOI 17-semiexpress</v>
      </c>
      <c r="B984" s="20" t="s">
        <v>5961</v>
      </c>
      <c r="C984" s="17">
        <v>5.5</v>
      </c>
      <c r="D984" s="69"/>
      <c r="E984" s="31" t="s">
        <v>5958</v>
      </c>
      <c r="F984" s="37"/>
      <c r="G984" s="24"/>
      <c r="H984" s="24"/>
    </row>
    <row r="985" spans="1:8" ht="13.2">
      <c r="A985" s="65" t="str">
        <f>HYPERLINK("https://www.infoarena.ro/problema/drept2","infoarena drept2")</f>
        <v>infoarena drept2</v>
      </c>
      <c r="B985" s="20" t="s">
        <v>7418</v>
      </c>
      <c r="C985" s="21">
        <v>5.5</v>
      </c>
      <c r="D985" s="69"/>
      <c r="E985" s="31" t="s">
        <v>6040</v>
      </c>
      <c r="F985" s="37"/>
      <c r="G985" s="24"/>
      <c r="H985" s="24"/>
    </row>
    <row r="986" spans="1:8" ht="13.2">
      <c r="A986" s="65" t="str">
        <f>HYPERLINK("https://oj.uz/problem/view/COCI18_deblo","COCI 19-deblo")</f>
        <v>COCI 19-deblo</v>
      </c>
      <c r="B986" s="20" t="s">
        <v>7456</v>
      </c>
      <c r="C986" s="17">
        <v>5.5</v>
      </c>
      <c r="D986" s="65" t="str">
        <f>HYPERLINK("https://github.com/YazanZebak/CompetitiveProgramming/blob/master/Olympiad/COCI/COCI-18-DEBLO.cpp", "Sol")</f>
        <v>Sol</v>
      </c>
      <c r="E986" s="31" t="s">
        <v>6345</v>
      </c>
      <c r="F986" s="37"/>
      <c r="G986" s="24"/>
      <c r="H986" s="24"/>
    </row>
    <row r="987" spans="1:8" ht="13.2">
      <c r="A987" s="65" t="str">
        <f>HYPERLINK("https://szkopul.edu.pl/problemset/problem/b0BM0al2crQBt6zovEtJfOc6/site/?key=statement","POI 11-rod")</f>
        <v>POI 11-rod</v>
      </c>
      <c r="B987" s="25" t="s">
        <v>7470</v>
      </c>
      <c r="C987" s="24">
        <v>5.5</v>
      </c>
      <c r="D987" s="65" t="str">
        <f>HYPERLINK("https://github.com/Szawinis/CompetitiveProgramming/blob/master/Olympiad/POI/POI11-Rotation2.cpp","Sol - see editorials of rot for easier constraints")</f>
        <v>Sol - see editorials of rot for easier constraints</v>
      </c>
      <c r="E987" s="31" t="s">
        <v>6390</v>
      </c>
      <c r="F987" s="37"/>
      <c r="G987" s="24"/>
      <c r="H987" s="24"/>
    </row>
    <row r="988" spans="1:8" ht="13.2">
      <c r="A988" s="65" t="str">
        <f>HYPERLINK("https://joisc2013-day1.contest.atcoder.jp/tasks/joisc2013_collecting","JOISC 13-Collecting")</f>
        <v>JOISC 13-Collecting</v>
      </c>
      <c r="B988" s="20" t="s">
        <v>7654</v>
      </c>
      <c r="C988" s="24">
        <v>5.5</v>
      </c>
      <c r="D988" s="69"/>
      <c r="E988" s="31" t="s">
        <v>1018</v>
      </c>
      <c r="F988" s="37"/>
      <c r="G988" s="24"/>
      <c r="H988" s="24"/>
    </row>
    <row r="989" spans="1:8" ht="13.2">
      <c r="A989" s="65" t="str">
        <f>HYPERLINK("https://www.infoarena.ro/problema/arbore7","infoarena arbore7")</f>
        <v>infoarena arbore7</v>
      </c>
      <c r="B989" s="20" t="s">
        <v>6458</v>
      </c>
      <c r="C989" s="17">
        <v>5.5</v>
      </c>
      <c r="D989" s="65" t="str">
        <f>HYPERLINK("https://github.com/mostafa-saad/MyCompetitiveProgramming/blob/master/Olympiad/infoarena/infoarena-arbore7.txt","Sol")</f>
        <v>Sol</v>
      </c>
      <c r="E989" s="31" t="s">
        <v>6459</v>
      </c>
      <c r="F989" s="37"/>
      <c r="G989" s="24"/>
      <c r="H989" s="24"/>
    </row>
    <row r="990" spans="1:8" ht="13.2">
      <c r="A990" s="65" t="str">
        <f>HYPERLINK("http://usaco.org/index.php?page=viewproblem2&amp;cpid=195", "USACO 12nov-btree-gold")</f>
        <v>USACO 12nov-btree-gold</v>
      </c>
      <c r="B990" s="20" t="s">
        <v>6458</v>
      </c>
      <c r="C990" s="21">
        <v>5.5</v>
      </c>
      <c r="D990" s="69"/>
      <c r="E990" s="31" t="s">
        <v>6459</v>
      </c>
      <c r="F990" s="37"/>
      <c r="G990" s="24"/>
      <c r="H990" s="24"/>
    </row>
    <row r="991" spans="1:8" ht="13.2">
      <c r="A991" s="65" t="str">
        <f>HYPERLINK("http://usaco.org/index.php?page=viewproblem2&amp;cpid=696", "USACO 17jan-promote-plat")</f>
        <v>USACO 17jan-promote-plat</v>
      </c>
      <c r="B991" s="20" t="s">
        <v>6817</v>
      </c>
      <c r="C991" s="21">
        <v>5.5</v>
      </c>
      <c r="D991" s="69"/>
      <c r="E991" s="31" t="s">
        <v>1223</v>
      </c>
      <c r="F991" s="37"/>
      <c r="G991" s="24"/>
      <c r="H991" s="24"/>
    </row>
    <row r="992" spans="1:8" ht="13.2">
      <c r="A992" s="65" t="str">
        <f>HYPERLINK("http://usaco.org/index.php?page=viewproblem2&amp;cpid=91", "USACO 11nov-median-gold")</f>
        <v>USACO 11nov-median-gold</v>
      </c>
      <c r="B992" s="20" t="s">
        <v>1222</v>
      </c>
      <c r="C992" s="21">
        <v>5.5</v>
      </c>
      <c r="D992" s="69"/>
      <c r="E992" s="31" t="s">
        <v>1223</v>
      </c>
      <c r="F992" s="37"/>
      <c r="G992" s="24"/>
      <c r="H992" s="24"/>
    </row>
    <row r="993" spans="1:8" ht="13.2">
      <c r="A993" s="65" t="str">
        <f>HYPERLINK("https://oj.uz/problem/view/BOI13_ballmachine","Baltic 13-ballmachine")</f>
        <v>Baltic 13-ballmachine</v>
      </c>
      <c r="B993" s="20" t="s">
        <v>6910</v>
      </c>
      <c r="C993" s="24">
        <v>5.5</v>
      </c>
      <c r="D993" s="65" t="str">
        <f>HYPERLINK("https://github.com/SpeedOfMagic/CompetitiveProgramming/blob/master/Baltic/13-ballmachine.cpp","Sol")</f>
        <v>Sol</v>
      </c>
      <c r="E993" s="31" t="s">
        <v>1337</v>
      </c>
      <c r="F993" s="37"/>
      <c r="G993" s="24"/>
      <c r="H993" s="24"/>
    </row>
    <row r="994" spans="1:8" ht="13.2">
      <c r="A994" s="65" t="str">
        <f>HYPERLINK("https://www.acmicpc.net/problem/1752","IOI 02-Frog")</f>
        <v>IOI 02-Frog</v>
      </c>
      <c r="B994" s="20" t="s">
        <v>6911</v>
      </c>
      <c r="C994" s="24">
        <v>5.5</v>
      </c>
      <c r="D994" s="65" t="str">
        <f>HYPERLINK("https://github.com/mostafa-saad/MyCompetitiveProgramming/blob/master/Olympiad/IOI/IOI-02-Frog.txt","Sol")</f>
        <v>Sol</v>
      </c>
      <c r="E994" s="31" t="s">
        <v>1337</v>
      </c>
      <c r="F994" s="37"/>
      <c r="G994" s="24"/>
      <c r="H994" s="24"/>
    </row>
    <row r="995" spans="1:8" ht="13.2">
      <c r="A995" s="65" t="str">
        <f>HYPERLINK("http://usaco.org/index.php?page=viewproblem2&amp;cpid=285","USACO 13open-photo")</f>
        <v>USACO 13open-photo</v>
      </c>
      <c r="B995" s="20" t="s">
        <v>1348</v>
      </c>
      <c r="C995" s="21">
        <v>5.5</v>
      </c>
      <c r="D995" s="69"/>
      <c r="E995" s="31" t="s">
        <v>1337</v>
      </c>
      <c r="F995" s="37"/>
      <c r="G995" s="24"/>
      <c r="H995" s="24"/>
    </row>
    <row r="996" spans="1:8" ht="13.2">
      <c r="A996" s="65" t="str">
        <f>HYPERLINK("https://oj.uz/problem/view/COI15_kovanice","COI 15-kovanice")</f>
        <v>COI 15-kovanice</v>
      </c>
      <c r="B996" s="20" t="s">
        <v>6912</v>
      </c>
      <c r="C996" s="24">
        <v>5.5</v>
      </c>
      <c r="D996" s="65" t="str">
        <f>HYPERLINK("https://github.com/tmwilliamlin168/CompetitiveProgramming/blob/master/COI/15-Koviance.cpp","Sol")</f>
        <v>Sol</v>
      </c>
      <c r="E996" s="31" t="s">
        <v>1337</v>
      </c>
      <c r="F996" s="37"/>
      <c r="G996" s="24"/>
      <c r="H996" s="24"/>
    </row>
    <row r="997" spans="1:8" ht="13.2">
      <c r="A997" s="65" t="str">
        <f>HYPERLINK("https://boi18-practice-open.kattis.com/problems","BalticPractice 18-Citations")</f>
        <v>BalticPractice 18-Citations</v>
      </c>
      <c r="B997" s="18" t="s">
        <v>6913</v>
      </c>
      <c r="C997" s="17">
        <v>5.5</v>
      </c>
      <c r="D997" s="65" t="str">
        <f>HYPERLINK("https://github.com/updown2/OI-Practice/blob/master/BOI/2018/Citations%20(Practice%20Session).txt","Sol")</f>
        <v>Sol</v>
      </c>
      <c r="E997" s="31" t="s">
        <v>1337</v>
      </c>
      <c r="F997" s="37"/>
      <c r="G997" s="24"/>
      <c r="H997" s="24"/>
    </row>
    <row r="998" spans="1:8" ht="13.2">
      <c r="A998" s="65" t="str">
        <f>HYPERLINK("https://www.infoarena.ro/problema/asmin","infoarena asmin")</f>
        <v>infoarena asmin</v>
      </c>
      <c r="B998" s="20" t="s">
        <v>6914</v>
      </c>
      <c r="C998" s="21">
        <v>5.5</v>
      </c>
      <c r="D998" s="65" t="str">
        <f>HYPERLINK("https://github.com/stefdasca/CompetitiveProgramming/blob/master/Infoarena/asmin.cpp","Sol")</f>
        <v>Sol</v>
      </c>
      <c r="E998" s="31" t="s">
        <v>1337</v>
      </c>
      <c r="F998" s="37"/>
      <c r="G998" s="24"/>
      <c r="H998" s="24"/>
    </row>
    <row r="999" spans="1:8" ht="13.2">
      <c r="A999" s="65" t="str">
        <f>HYPERLINK("https://www.infoarena.ro/problema/nkbiti","infoarena nkbiti")</f>
        <v>infoarena nkbiti</v>
      </c>
      <c r="B999" s="20" t="s">
        <v>6915</v>
      </c>
      <c r="C999" s="21">
        <v>5.5</v>
      </c>
      <c r="D999" s="65" t="str">
        <f>HYPERLINK("https://github.com/stefdasca/CompetitiveProgramming/blob/master/Infoarena/nkbiti.cpp","Sol")</f>
        <v>Sol</v>
      </c>
      <c r="E999" s="31" t="s">
        <v>1337</v>
      </c>
      <c r="F999" s="37"/>
      <c r="G999" s="24"/>
      <c r="H999" s="24"/>
    </row>
    <row r="1000" spans="1:8" ht="13.2">
      <c r="A1000" s="65" t="str">
        <f>HYPERLINK("https://www.infoarena.ro/problema/profit","infoarena profit")</f>
        <v>infoarena profit</v>
      </c>
      <c r="B1000" s="20" t="s">
        <v>6859</v>
      </c>
      <c r="C1000" s="17">
        <v>5.5</v>
      </c>
      <c r="D1000" s="65" t="str">
        <f>HYPERLINK("https://github.com/stefdasca/CompetitiveProgramming/blob/master/Infoarena/profit.cpp","Sol")</f>
        <v>Sol</v>
      </c>
      <c r="E1000" s="31" t="s">
        <v>1337</v>
      </c>
      <c r="F1000" s="37"/>
      <c r="G1000" s="24"/>
      <c r="H1000" s="24"/>
    </row>
    <row r="1001" spans="1:8" ht="13.2">
      <c r="A1001" s="65" t="str">
        <f>HYPERLINK("https://www.infoarena.ro/problema/zip","infoarena zip")</f>
        <v>infoarena zip</v>
      </c>
      <c r="B1001" s="20" t="s">
        <v>6916</v>
      </c>
      <c r="C1001" s="21">
        <v>5.5</v>
      </c>
      <c r="D1001" s="65" t="str">
        <f>HYPERLINK("https://github.com/stefdasca/CompetitiveProgramming/blob/master/Infoarena/zip.cpp","Sol")</f>
        <v>Sol</v>
      </c>
      <c r="E1001" s="31" t="s">
        <v>1337</v>
      </c>
      <c r="F1001" s="37"/>
      <c r="G1001" s="24"/>
      <c r="H1001" s="24"/>
    </row>
    <row r="1002" spans="1:8" ht="13.2">
      <c r="A1002" s="65" t="str">
        <f>HYPERLINK("https://www.infoarena.ro/problema/zmeu","infoarena zmeu")</f>
        <v>infoarena zmeu</v>
      </c>
      <c r="B1002" s="20" t="s">
        <v>6917</v>
      </c>
      <c r="C1002" s="17">
        <v>5.5</v>
      </c>
      <c r="D1002" s="65" t="str">
        <f>HYPERLINK("https://github.com/stefdasca/CompetitiveProgramming/blob/master/Infoarena/zmeu.cpp","Sol")</f>
        <v>Sol</v>
      </c>
      <c r="E1002" s="31" t="s">
        <v>1337</v>
      </c>
      <c r="F1002" s="37"/>
      <c r="G1002" s="24"/>
      <c r="H1002" s="24"/>
    </row>
    <row r="1003" spans="1:8" ht="13.2">
      <c r="A1003" s="65" t="str">
        <f>HYPERLINK("https://csacademy.com/contest/ioi-2016-training-round-5/task/lights-out/","IOIPractice 16-lights-out")</f>
        <v>IOIPractice 16-lights-out</v>
      </c>
      <c r="B1003" s="37" t="s">
        <v>1348</v>
      </c>
      <c r="C1003" s="24">
        <v>5.5</v>
      </c>
      <c r="D1003" s="69"/>
      <c r="E1003" s="31" t="s">
        <v>1337</v>
      </c>
      <c r="F1003" s="37"/>
      <c r="G1003" s="24"/>
      <c r="H1003" s="24"/>
    </row>
    <row r="1004" spans="1:8" ht="13.2">
      <c r="A1004" s="65" t="str">
        <f>HYPERLINK("https://joisc2013-day2.contest.atcoder.jp/tasks/joisc2013_mascots","JOISC 13-Mascots")</f>
        <v>JOISC 13-Mascots</v>
      </c>
      <c r="B1004" s="20" t="s">
        <v>7655</v>
      </c>
      <c r="C1004" s="24">
        <v>5.5</v>
      </c>
      <c r="D1004" s="69"/>
      <c r="E1004" s="31" t="s">
        <v>1337</v>
      </c>
      <c r="F1004" s="37"/>
      <c r="G1004" s="24"/>
      <c r="H1004" s="24"/>
    </row>
    <row r="1005" spans="1:8" ht="13.2">
      <c r="A1005" s="65" t="str">
        <f>HYPERLINK("https://szkopul.edu.pl/problemset/problem/qDH9CkBHZKHY4vbKRBlXPrA7/site/", "POI 10-Frog")</f>
        <v>POI 10-Frog</v>
      </c>
      <c r="B1005" s="37" t="s">
        <v>7527</v>
      </c>
      <c r="C1005" s="24">
        <v>5.5</v>
      </c>
      <c r="D1005" s="65" t="str">
        <f>HYPERLINK("https://github.com/mostafa-saad/MyCompetitiveProgramming/blob/master/Olympiad/POI/official/find_editorial_sols_guidelines.txt","Editorial")</f>
        <v>Editorial</v>
      </c>
      <c r="E1005" s="31" t="s">
        <v>7525</v>
      </c>
      <c r="F1005" s="37"/>
      <c r="G1005" s="24"/>
      <c r="H1005" s="24"/>
    </row>
    <row r="1006" spans="1:8" ht="13.2">
      <c r="A1006" s="65" t="str">
        <f>HYPERLINK("https://dmoj.ca/problem/gfssoc2s4","Dmoj MostlyTalking")</f>
        <v>Dmoj MostlyTalking</v>
      </c>
      <c r="B1006" s="37" t="s">
        <v>7527</v>
      </c>
      <c r="C1006" s="24">
        <v>5.5</v>
      </c>
      <c r="D1006" s="69"/>
      <c r="E1006" s="31" t="s">
        <v>7525</v>
      </c>
      <c r="F1006" s="37"/>
      <c r="G1006" s="24"/>
      <c r="H1006" s="24"/>
    </row>
    <row r="1007" spans="1:8" ht="13.2">
      <c r="A1007" s="65" t="str">
        <f>HYPERLINK("https://dmoj.ca/problem/dmopc14c4p6","DMOPC 14-SaveNagato")</f>
        <v>DMOPC 14-SaveNagato</v>
      </c>
      <c r="B1007" s="37" t="s">
        <v>7527</v>
      </c>
      <c r="C1007" s="24">
        <v>5.5</v>
      </c>
      <c r="D1007" s="69"/>
      <c r="E1007" s="31" t="s">
        <v>7525</v>
      </c>
      <c r="F1007" s="37"/>
      <c r="G1007" s="24"/>
      <c r="H1007" s="24"/>
    </row>
    <row r="1008" spans="1:8" ht="13.2">
      <c r="A1008" s="65" t="str">
        <f>HYPERLINK("https://dmoj.ca/problem/dmpg16s4","DMPG 16-MMORPGII")</f>
        <v>DMPG 16-MMORPGII</v>
      </c>
      <c r="B1008" s="37" t="s">
        <v>7527</v>
      </c>
      <c r="C1008" s="24">
        <v>5.5</v>
      </c>
      <c r="D1008" s="69"/>
      <c r="E1008" s="31" t="s">
        <v>7525</v>
      </c>
      <c r="F1008" s="37"/>
      <c r="G1008" s="24"/>
      <c r="H1008" s="24"/>
    </row>
    <row r="1009" spans="1:8" ht="13.2">
      <c r="A1009" s="65" t="str">
        <f>HYPERLINK("https://dmoj.ca/problem/utso18p2","UTSOpen 18-ABCs")</f>
        <v>UTSOpen 18-ABCs</v>
      </c>
      <c r="B1009" s="37" t="s">
        <v>7588</v>
      </c>
      <c r="C1009" s="24">
        <v>5.5</v>
      </c>
      <c r="D1009" s="69"/>
      <c r="E1009" s="31" t="s">
        <v>7525</v>
      </c>
      <c r="F1009" s="37"/>
      <c r="G1009" s="24"/>
      <c r="H1009" s="24"/>
    </row>
    <row r="1010" spans="1:8" ht="13.2">
      <c r="A1010" s="65" t="str">
        <f>HYPERLINK("https://dmoj.ca/problem/utso18p1","UTSOpen 18-LoveTriangle")</f>
        <v>UTSOpen 18-LoveTriangle</v>
      </c>
      <c r="B1010" s="37" t="s">
        <v>7588</v>
      </c>
      <c r="C1010" s="24">
        <v>5.5</v>
      </c>
      <c r="D1010" s="69"/>
      <c r="E1010" s="31" t="s">
        <v>7525</v>
      </c>
      <c r="F1010" s="37"/>
      <c r="G1010" s="24"/>
      <c r="H1010" s="24"/>
    </row>
    <row r="1011" spans="1:8" ht="13.2">
      <c r="A1011" s="65" t="str">
        <f>HYPERLINK("https://szkopul.edu.pl/problemset/problem/d30xri2XGeuQ45CDrB7DWijK/site/", "POI 14-Salad")</f>
        <v>POI 14-Salad</v>
      </c>
      <c r="B1011" s="37" t="s">
        <v>7527</v>
      </c>
      <c r="C1011" s="24">
        <v>5.5</v>
      </c>
      <c r="D1011" s="65" t="str">
        <f>HYPERLINK("https://github.com/mostafa-saad/MyCompetitiveProgramming/blob/master/Olympiad/POI/official/find_editorial_sols_guidelines.txt","Editorial")</f>
        <v>Editorial</v>
      </c>
      <c r="E1011" s="31" t="s">
        <v>7525</v>
      </c>
      <c r="F1011" s="37"/>
      <c r="G1011" s="24"/>
      <c r="H1011" s="24"/>
    </row>
    <row r="1012" spans="1:8" ht="13.2">
      <c r="A1012" s="65" t="str">
        <f>HYPERLINK("https://joisc2014.contest.atcoder.jp/tasks/joisc2014_f","JOISC 14-Friends")</f>
        <v>JOISC 14-Friends</v>
      </c>
      <c r="B1012" s="20" t="s">
        <v>7656</v>
      </c>
      <c r="C1012" s="24">
        <v>5.5</v>
      </c>
      <c r="D1012" s="69"/>
      <c r="E1012" s="31" t="s">
        <v>7525</v>
      </c>
      <c r="F1012" s="37"/>
      <c r="G1012" s="24"/>
      <c r="H1012" s="24"/>
    </row>
    <row r="1013" spans="1:8" ht="13.2">
      <c r="A1013" s="65" t="str">
        <f>HYPERLINK("https://joisc2015.contest.atcoder.jp/tasks/joisc2015_a","JOISC 15-Copypaste2")</f>
        <v>JOISC 15-Copypaste2</v>
      </c>
      <c r="B1013" s="20" t="s">
        <v>7657</v>
      </c>
      <c r="C1013" s="24">
        <v>5.5</v>
      </c>
      <c r="D1013" s="69"/>
      <c r="E1013" s="31" t="s">
        <v>7525</v>
      </c>
      <c r="F1013" s="37"/>
      <c r="G1013" s="24"/>
      <c r="H1013" s="24"/>
    </row>
    <row r="1014" spans="1:8" ht="13.2">
      <c r="A1014" s="65" t="str">
        <f>HYPERLINK("https://joisc2015.contest.atcoder.jp/tasks/joisc2015_g","JOISC 15-Road")</f>
        <v>JOISC 15-Road</v>
      </c>
      <c r="B1014" s="20" t="s">
        <v>7658</v>
      </c>
      <c r="C1014" s="24">
        <v>5.5</v>
      </c>
      <c r="D1014" s="69"/>
      <c r="E1014" s="31" t="s">
        <v>7525</v>
      </c>
      <c r="F1014" s="37"/>
      <c r="G1014" s="24"/>
      <c r="H1014" s="24"/>
    </row>
    <row r="1015" spans="1:8" ht="13.2">
      <c r="A1015" s="65" t="str">
        <f>HYPERLINK("https://dunjudge.me/analysis/problems/976/","MCO 16-cropharvesting")</f>
        <v>MCO 16-cropharvesting</v>
      </c>
      <c r="B1015" s="37" t="s">
        <v>7527</v>
      </c>
      <c r="C1015" s="24">
        <v>5.5</v>
      </c>
      <c r="D1015" s="69"/>
      <c r="E1015" s="31" t="s">
        <v>7525</v>
      </c>
      <c r="F1015" s="37"/>
      <c r="G1015" s="24"/>
      <c r="H1015" s="24"/>
    </row>
    <row r="1016" spans="1:8" ht="13.2">
      <c r="A1016" s="65" t="str">
        <f>HYPERLINK("https://dmoj.ca/problem/coci08c5p4","COCI 08-Lubenica")</f>
        <v>COCI 08-Lubenica</v>
      </c>
      <c r="B1016" s="15" t="s">
        <v>1818</v>
      </c>
      <c r="C1016" s="24">
        <v>5.5</v>
      </c>
      <c r="D1016" s="65" t="str">
        <f>HYPERLINK("https://github.com/mostafa-saad/MyCompetitiveProgramming/blob/master/Olympiad/COCI/COCI-08-Lubenica.txt","Sol")</f>
        <v>Sol</v>
      </c>
      <c r="E1016" s="31" t="s">
        <v>1819</v>
      </c>
      <c r="F1016" s="37"/>
      <c r="G1016" s="24"/>
      <c r="H1016" s="24"/>
    </row>
    <row r="1017" spans="1:8" ht="13.2">
      <c r="A1017" s="65" t="str">
        <f>HYPERLINK("https://dmoj.ca/problem/coci06c6p5","COCI 06-V")</f>
        <v>COCI 06-V</v>
      </c>
      <c r="B1017" s="15" t="s">
        <v>1913</v>
      </c>
      <c r="C1017" s="24">
        <v>5.5</v>
      </c>
      <c r="D1017" s="65" t="str">
        <f>HYPERLINK("https://github.com/mostafa-saad/MyCompetitiveProgramming/tree/master/Olympiad/COCI/official/2007/contest6_solutions","Editorial")</f>
        <v>Editorial</v>
      </c>
      <c r="E1017" s="31" t="s">
        <v>1909</v>
      </c>
      <c r="F1017" s="37"/>
      <c r="G1017" s="24"/>
      <c r="H1017" s="24"/>
    </row>
    <row r="1018" spans="1:8" ht="13.2">
      <c r="A1018" s="65" t="str">
        <f>HYPERLINK("https://oj.uz/problem/view/IZhO17_money","IZhO 17-money")</f>
        <v>IZhO 17-money</v>
      </c>
      <c r="B1018" s="23" t="s">
        <v>2163</v>
      </c>
      <c r="C1018" s="24">
        <v>5.5</v>
      </c>
      <c r="D1018" s="65" t="str">
        <f>HYPERLINK("https://github.com/stefdasca/CompetitiveProgramming/blob/master/IZhO/IZhO%2017-money.cpp","Sol")</f>
        <v>Sol</v>
      </c>
      <c r="E1018" s="31" t="s">
        <v>2153</v>
      </c>
      <c r="F1018" s="37"/>
      <c r="G1018" s="24"/>
      <c r="H1018" s="24"/>
    </row>
    <row r="1019" spans="1:8" ht="13.2">
      <c r="A1019" s="65" t="str">
        <f>HYPERLINK("http://www.spoj.com/problems/MCAMP/","APIOPractice 14-mcamp")</f>
        <v>APIOPractice 14-mcamp</v>
      </c>
      <c r="B1019" s="20" t="s">
        <v>7023</v>
      </c>
      <c r="C1019" s="17">
        <v>5.5</v>
      </c>
      <c r="D1019" s="65" t="str">
        <f>HYPERLINK("https://github.com/mostafa-saad/MyCompetitiveProgramming/blob/master/Olympiad/APIO/APIOPractice-14-mcamp.txt","Sol")</f>
        <v>Sol</v>
      </c>
      <c r="E1019" s="31" t="s">
        <v>2153</v>
      </c>
      <c r="F1019" s="37"/>
      <c r="G1019" s="24"/>
      <c r="H1019" s="24"/>
    </row>
    <row r="1020" spans="1:8" ht="13.2">
      <c r="A1020" s="65" t="str">
        <f>HYPERLINK("https://github.com/mostafa-saad/MyCompetitiveProgramming/blob/master/Olympiad/POI/POI-15-Seals-desc.txt","POI 15-Seals")</f>
        <v>POI 15-Seals</v>
      </c>
      <c r="B1020" s="37" t="s">
        <v>2225</v>
      </c>
      <c r="C1020" s="24">
        <v>5.5</v>
      </c>
      <c r="D1020" s="65" t="str">
        <f>HYPERLINK("https://github.com/mostafa-saad/MyCompetitiveProgramming/blob/master/Olympiad/POI/POI-15-Seals.txt","Sol")</f>
        <v>Sol</v>
      </c>
      <c r="E1020" s="31" t="s">
        <v>2153</v>
      </c>
      <c r="F1020" s="37"/>
      <c r="G1020" s="24"/>
      <c r="H1020" s="24"/>
    </row>
    <row r="1021" spans="1:8" ht="13.2">
      <c r="A1021" s="65" t="str">
        <f>HYPERLINK("https://training.ia-toki.org/problemsets/87/problems/447/","TOKIOpen 17-Magic")</f>
        <v>TOKIOpen 17-Magic</v>
      </c>
      <c r="B1021" s="37" t="s">
        <v>7024</v>
      </c>
      <c r="C1021" s="24">
        <v>5.5</v>
      </c>
      <c r="D1021" s="65" t="str">
        <f>HYPERLINK("https://github.com/win11905/submission/tree/master/TOKI/17/magic","Sol")</f>
        <v>Sol</v>
      </c>
      <c r="E1021" s="31" t="s">
        <v>2153</v>
      </c>
      <c r="F1021" s="37"/>
      <c r="G1021" s="24"/>
      <c r="H1021" s="24"/>
    </row>
    <row r="1022" spans="1:8" ht="13.2">
      <c r="A1022" s="65" t="str">
        <f>HYPERLINK("https://oj.uz/problem/view/COCI16_kvalitetni","COCI 16-kvalitetni")</f>
        <v>COCI 16-kvalitetni</v>
      </c>
      <c r="B1022" s="15" t="s">
        <v>7025</v>
      </c>
      <c r="C1022" s="24">
        <v>5.5</v>
      </c>
      <c r="D1022" s="65" t="str">
        <f>HYPERLINK("https://github.com/mostafa-saad/MyCompetitiveProgramming/blob/master/Olympiad/COCI/official/2017/contest3_solutions","Editorial")</f>
        <v>Editorial</v>
      </c>
      <c r="E1022" s="31" t="s">
        <v>2153</v>
      </c>
      <c r="F1022" s="37"/>
      <c r="G1022" s="24"/>
      <c r="H1022" s="24"/>
    </row>
    <row r="1023" spans="1:8" ht="13.2">
      <c r="A1023" s="65" t="str">
        <f>HYPERLINK("https://contest.yandex.ru/ioi/contest/566/enter/","IOI 05-game")</f>
        <v>IOI 05-game</v>
      </c>
      <c r="B1023" s="15" t="s">
        <v>7057</v>
      </c>
      <c r="C1023" s="24">
        <v>5.5</v>
      </c>
      <c r="D1023" s="65" t="str">
        <f>HYPERLINK("https://github.com/mostafa-saad/MyCompetitiveProgramming/blob/master/Olympiad/IOI/IOI-05-game.txt","Sol")</f>
        <v>Sol</v>
      </c>
      <c r="E1023" s="31" t="s">
        <v>2394</v>
      </c>
      <c r="F1023" s="37"/>
      <c r="G1023" s="24"/>
      <c r="H1023" s="24"/>
    </row>
    <row r="1024" spans="1:8" ht="13.2">
      <c r="A1024" s="65" t="str">
        <f>HYPERLINK("https://www.infoarena.ro/problema/euclid1","infoarena cuiburi")</f>
        <v>infoarena cuiburi</v>
      </c>
      <c r="B1024" s="20" t="s">
        <v>7078</v>
      </c>
      <c r="C1024" s="17">
        <v>5.5</v>
      </c>
      <c r="D1024" s="65" t="str">
        <f>HYPERLINK("https://github.com/stefdasca/CompetitiveProgramming/blob/master/Infoarena/cuiburi.cpp","Sol")</f>
        <v>Sol</v>
      </c>
      <c r="E1024" s="31" t="s">
        <v>2510</v>
      </c>
      <c r="F1024" s="37"/>
      <c r="G1024" s="24"/>
      <c r="H1024" s="24"/>
    </row>
    <row r="1025" spans="1:8" ht="13.2">
      <c r="A1025" s="65" t="str">
        <f>HYPERLINK("http://usaco.org/index.php?page=viewproblem2&amp;cpid=495","USACO 14dec-marathon")</f>
        <v>USACO 14dec-marathon</v>
      </c>
      <c r="B1025" s="20" t="s">
        <v>6698</v>
      </c>
      <c r="C1025" s="21">
        <v>5.5</v>
      </c>
      <c r="D1025" s="65" t="str">
        <f>HYPERLINK("https://github.com/SpeedOfMagic/CompetitiveProgramming/blob/master/USACO/USACO%2014dec-marathon.cpp","Sol")</f>
        <v>Sol</v>
      </c>
      <c r="E1025" s="31" t="s">
        <v>575</v>
      </c>
      <c r="F1025" s="37"/>
      <c r="G1025" s="24"/>
      <c r="H1025" s="24"/>
    </row>
    <row r="1026" spans="1:8" ht="13.2">
      <c r="A1026" s="65" t="str">
        <f>HYPERLINK("https://github.com/stefdasca/CompetitiveProgramming/blob/master/Info1Cup/National%20Round/Simple%20(Ro)%20(1).pdf","Info1Cup 19-Simple")</f>
        <v>Info1Cup 19-Simple</v>
      </c>
      <c r="B1026" s="20" t="s">
        <v>6699</v>
      </c>
      <c r="C1026" s="21">
        <v>5.5</v>
      </c>
      <c r="D1026" s="65" t="str">
        <f>HYPERLINK("https://github.com/stefdasca/CompetitiveProgramming/blob/master/Info1Cup/National%20Round/simple.cpp","Sol")</f>
        <v>Sol</v>
      </c>
      <c r="E1026" s="31" t="s">
        <v>575</v>
      </c>
      <c r="F1026" s="37"/>
      <c r="G1026" s="24"/>
      <c r="H1026" s="24"/>
    </row>
    <row r="1027" spans="1:8" ht="13.2">
      <c r="A1027" s="65" t="str">
        <f>HYPERLINK("https://www.infoarena.ro/problema/omizi","infoarena omizi")</f>
        <v>infoarena omizi</v>
      </c>
      <c r="B1027" s="20" t="s">
        <v>6700</v>
      </c>
      <c r="C1027" s="17">
        <v>5.5</v>
      </c>
      <c r="D1027" s="65" t="str">
        <f>HYPERLINK("https://github.com/stefdasca/CompetitiveProgramming/blob/master/Infoarena/omizi.cpp","Sol")</f>
        <v>Sol</v>
      </c>
      <c r="E1027" s="31" t="s">
        <v>575</v>
      </c>
      <c r="F1027" s="37"/>
      <c r="G1027" s="24"/>
      <c r="H1027" s="24"/>
    </row>
    <row r="1028" spans="1:8" ht="13.2">
      <c r="A1028" s="65" t="str">
        <f>HYPERLINK("https://dunjudge.me/analysis/problems/727/","IOI 00-car")</f>
        <v>IOI 00-car</v>
      </c>
      <c r="B1028" s="20" t="s">
        <v>7157</v>
      </c>
      <c r="C1028" s="24">
        <v>5.5</v>
      </c>
      <c r="D1028" s="65" t="str">
        <f>HYPERLINK("https://github.com/mostafa-saad/MyCompetitiveProgramming/blob/master/Olympiad/IOI/official/2000","Editorial")</f>
        <v>Editorial</v>
      </c>
      <c r="E1028" s="31" t="s">
        <v>3257</v>
      </c>
      <c r="F1028" s="37"/>
      <c r="G1028" s="24"/>
      <c r="H1028" s="24"/>
    </row>
    <row r="1029" spans="1:8" ht="13.2">
      <c r="A1029" s="65" t="str">
        <f>HYPERLINK("https://www.infoarena.ro/problema/grea","Infoarena grea")</f>
        <v>Infoarena grea</v>
      </c>
      <c r="B1029" s="20" t="s">
        <v>7177</v>
      </c>
      <c r="C1029" s="21">
        <v>5.5</v>
      </c>
      <c r="D1029" s="65" t="str">
        <f>HYPERLINK("https://github.com/stefdasca/CompetitiveProgramming/blob/master/Infoarena/grea.cpp","Sol")</f>
        <v>Sol</v>
      </c>
      <c r="E1029" s="31" t="s">
        <v>3467</v>
      </c>
      <c r="F1029" s="37"/>
      <c r="G1029" s="24"/>
      <c r="H1029" s="24"/>
    </row>
    <row r="1030" spans="1:8" ht="13.2">
      <c r="A1030" s="65" t="str">
        <f>HYPERLINK("https://szkopul.edu.pl/problemset/problem/EijIYL4qkxxGJGHaVVnvdmgY/site/", "POI 06-Professor")</f>
        <v>POI 06-Professor</v>
      </c>
      <c r="B1030" s="37" t="s">
        <v>3488</v>
      </c>
      <c r="C1030" s="24">
        <v>5.5</v>
      </c>
      <c r="D1030" s="65" t="str">
        <f t="shared" ref="D1030:D1031" si="3">HYPERLINK("https://github.com/mostafa-saad/MyCompetitiveProgramming/blob/master/Olympiad/POI/official/find_editorial_sols_guidelines.txt","Editorial")</f>
        <v>Editorial</v>
      </c>
      <c r="E1030" s="31" t="s">
        <v>3467</v>
      </c>
      <c r="F1030" s="37"/>
      <c r="G1030" s="24"/>
      <c r="H1030" s="24"/>
    </row>
    <row r="1031" spans="1:8" ht="13.2">
      <c r="A1031" s="65" t="str">
        <f>HYPERLINK("https://szkopul.edu.pl/problemset/problem/gDw3iFkeVm7ZA3j_16-XR7jI/site/", "POI 14-Hotels")</f>
        <v>POI 14-Hotels</v>
      </c>
      <c r="B1031" s="37" t="s">
        <v>3466</v>
      </c>
      <c r="C1031" s="24">
        <v>5.5</v>
      </c>
      <c r="D1031" s="65" t="str">
        <f t="shared" si="3"/>
        <v>Editorial</v>
      </c>
      <c r="E1031" s="31" t="s">
        <v>3467</v>
      </c>
      <c r="F1031" s="37"/>
      <c r="G1031" s="24"/>
      <c r="H1031" s="24"/>
    </row>
    <row r="1032" spans="1:8" ht="13.2">
      <c r="A1032" s="65" t="str">
        <f>HYPERLINK("https://joi2016ho.contest.atcoder.jp/tasks/joi2016ho_c","JOI 16-TrainFare")</f>
        <v>JOI 16-TrainFare</v>
      </c>
      <c r="B1032" s="20" t="s">
        <v>7659</v>
      </c>
      <c r="C1032" s="17">
        <v>5.5</v>
      </c>
      <c r="D1032" s="69"/>
      <c r="E1032" s="31" t="s">
        <v>3650</v>
      </c>
      <c r="F1032" s="37"/>
      <c r="G1032" s="24"/>
      <c r="H1032" s="24"/>
    </row>
    <row r="1033" spans="1:8" ht="13.2">
      <c r="A1033" s="65" t="str">
        <f>HYPERLINK("https://joisc2013-day2.contest.atcoder.jp/tasks/joisc2013_spy","JOISC 13-Spy")</f>
        <v>JOISC 13-Spy</v>
      </c>
      <c r="B1033" s="20" t="s">
        <v>7660</v>
      </c>
      <c r="C1033" s="24">
        <v>5.5</v>
      </c>
      <c r="D1033" s="69"/>
      <c r="E1033" s="31" t="s">
        <v>3650</v>
      </c>
      <c r="F1033" s="37"/>
      <c r="G1033" s="24"/>
      <c r="H1033" s="24"/>
    </row>
    <row r="1034" spans="1:8" ht="13.2">
      <c r="A1034" s="65" t="str">
        <f>HYPERLINK("https://joi2015ho.contest.atcoder.jp/tasks/joi2015ho_c","JOI 15-JOIPark")</f>
        <v>JOI 15-JOIPark</v>
      </c>
      <c r="B1034" s="20" t="s">
        <v>7661</v>
      </c>
      <c r="C1034" s="17">
        <v>5.5</v>
      </c>
      <c r="D1034" s="69"/>
      <c r="E1034" s="31" t="s">
        <v>3784</v>
      </c>
      <c r="F1034" s="37"/>
      <c r="G1034" s="24"/>
      <c r="H1034" s="24"/>
    </row>
    <row r="1035" spans="1:8" ht="13.2">
      <c r="A1035" s="65" t="str">
        <f>HYPERLINK("https://oj.uz/problem/view/NOI14_sightseeing","NOI 14-sightseeing")</f>
        <v>NOI 14-sightseeing</v>
      </c>
      <c r="B1035" s="37" t="s">
        <v>4279</v>
      </c>
      <c r="C1035" s="24">
        <v>5.5</v>
      </c>
      <c r="D1035" s="65" t="str">
        <f>HYPERLINK("https://github.com/mostafa-saad/MyCompetitiveProgramming/blob/master/Olympiad/NOI/official","Editorial")</f>
        <v>Editorial</v>
      </c>
      <c r="E1035" s="31" t="s">
        <v>4275</v>
      </c>
      <c r="F1035" s="37"/>
      <c r="G1035" s="24"/>
      <c r="H1035" s="24"/>
    </row>
    <row r="1036" spans="1:8" ht="13.2">
      <c r="A1036" s="65" t="str">
        <f>HYPERLINK("https://training.ia-toki.org/problemsets/87/problems/445/","TOKIOpen 17-Beauty")</f>
        <v>TOKIOpen 17-Beauty</v>
      </c>
      <c r="B1036" s="20" t="s">
        <v>7289</v>
      </c>
      <c r="C1036" s="24">
        <v>5.5</v>
      </c>
      <c r="D1036" s="65" t="str">
        <f>HYPERLINK("https://github.com/win11905/submission/blob/master/TOKI/17/beauty/beauty.cpp","Sol")</f>
        <v>Sol</v>
      </c>
      <c r="E1036" s="31" t="s">
        <v>4423</v>
      </c>
      <c r="F1036" s="37"/>
      <c r="G1036" s="24"/>
      <c r="H1036" s="24"/>
    </row>
    <row r="1037" spans="1:8" ht="13.2">
      <c r="A1037" s="65" t="str">
        <f>HYPERLINK("http://usaco.org/index.php?page=viewproblem2&amp;cpid=576", "USACO 15dec-maxflow-plat")</f>
        <v>USACO 15dec-maxflow-plat</v>
      </c>
      <c r="B1037" s="20" t="s">
        <v>7300</v>
      </c>
      <c r="C1037" s="21">
        <v>5.5</v>
      </c>
      <c r="D1037" s="69"/>
      <c r="E1037" s="31" t="s">
        <v>4454</v>
      </c>
      <c r="F1037" s="37"/>
      <c r="G1037" s="24"/>
      <c r="H1037" s="24"/>
    </row>
    <row r="1038" spans="1:8" ht="13.2">
      <c r="A1038" s="65" t="str">
        <f>HYPERLINK("https://csacademy.com/contest/ceoi-2017-day-1/tasks/","CEOI 17-mousetrap")</f>
        <v>CEOI 17-mousetrap</v>
      </c>
      <c r="B1038" s="18" t="s">
        <v>6733</v>
      </c>
      <c r="C1038" s="24">
        <v>5.5</v>
      </c>
      <c r="D1038" s="65" t="str">
        <f>HYPERLINK("https://github.com/mostafa-saad/MyCompetitiveProgramming/tree/master/Olympiad/JOI/CEOI/official/2017","Editorial")</f>
        <v>Editorial</v>
      </c>
      <c r="E1038" s="31" t="s">
        <v>805</v>
      </c>
      <c r="F1038" s="37"/>
      <c r="G1038" s="24"/>
      <c r="H1038" s="24"/>
    </row>
    <row r="1039" spans="1:8" ht="13.2">
      <c r="A1039" s="65" t="str">
        <f>HYPERLINK("https://joi2013ho.contest.atcoder.jp/tasks/joi2013ho4","JOI 13-Tower")</f>
        <v>JOI 13-Tower</v>
      </c>
      <c r="B1039" s="20" t="s">
        <v>7662</v>
      </c>
      <c r="C1039" s="24">
        <v>5.5</v>
      </c>
      <c r="D1039" s="69"/>
      <c r="E1039" s="31" t="s">
        <v>805</v>
      </c>
      <c r="F1039" s="37"/>
      <c r="G1039" s="24"/>
      <c r="H1039" s="24"/>
    </row>
    <row r="1040" spans="1:8" ht="13.2">
      <c r="A1040" s="65" t="str">
        <f>HYPERLINK("https://joi2014ho.contest.atcoder.jp/tasks/joi2014ho3","JOI 14-Baumkuchen")</f>
        <v>JOI 14-Baumkuchen</v>
      </c>
      <c r="B1040" s="20" t="s">
        <v>7663</v>
      </c>
      <c r="C1040" s="17">
        <v>5.5</v>
      </c>
      <c r="D1040" s="69"/>
      <c r="E1040" s="31" t="s">
        <v>805</v>
      </c>
      <c r="F1040" s="37"/>
      <c r="G1040" s="24"/>
      <c r="H1040" s="24"/>
    </row>
    <row r="1041" spans="1:8" ht="13.2">
      <c r="A1041" s="65" t="str">
        <f>HYPERLINK("https://oj.uz/problem/view/IOI16_tetris","IOI 16-tetris")</f>
        <v>IOI 16-tetris</v>
      </c>
      <c r="B1041" s="20" t="s">
        <v>6625</v>
      </c>
      <c r="C1041" s="24">
        <v>5.25</v>
      </c>
      <c r="D1041" s="65" t="str">
        <f>HYPERLINK("https://github.com/mostafa-saad/MyCompetitiveProgramming/blob/master/Olympiad/IOI/IOI-16-tetris.txt","Sol")</f>
        <v>Sol</v>
      </c>
      <c r="E1041" s="31" t="s">
        <v>125</v>
      </c>
      <c r="F1041" s="37" t="s">
        <v>139</v>
      </c>
      <c r="G1041" s="24"/>
      <c r="H1041" s="24"/>
    </row>
    <row r="1042" spans="1:8" ht="13.2">
      <c r="A1042" s="65" t="str">
        <f>HYPERLINK("https://dmoj.ca/problem/coci07c2p4","COCI 07-Turbo")</f>
        <v>COCI 07-Turbo</v>
      </c>
      <c r="B1042" s="15" t="s">
        <v>1222</v>
      </c>
      <c r="C1042" s="24">
        <v>5.25</v>
      </c>
      <c r="D1042" s="65" t="str">
        <f>HYPERLINK("https://github.com/mostafa-saad/MyCompetitiveProgramming/tree/master/Olympiad/COCI/official/2008/contest2_solutions","Editorial")</f>
        <v>Editorial</v>
      </c>
      <c r="E1042" s="31" t="s">
        <v>1223</v>
      </c>
      <c r="F1042" s="37" t="s">
        <v>139</v>
      </c>
      <c r="G1042" s="24"/>
      <c r="H1042" s="24"/>
    </row>
    <row r="1043" spans="1:8" ht="13.2">
      <c r="A1043" s="65" t="str">
        <f>HYPERLINK("https://wcipeg.com/problem/coci097p5","COCI 09-Kraljevi")</f>
        <v>COCI 09-Kraljevi</v>
      </c>
      <c r="B1043" s="15" t="s">
        <v>1348</v>
      </c>
      <c r="C1043" s="24">
        <v>5.25</v>
      </c>
      <c r="D1043" s="65" t="str">
        <f>HYPERLINK("https://github.com/mostafa-saad/MyCompetitiveProgramming/blob/master/Olympiad/COCI/official/2010/contest7_solutions","Editorial")</f>
        <v>Editorial</v>
      </c>
      <c r="E1043" s="31" t="s">
        <v>1337</v>
      </c>
      <c r="F1043" s="37" t="s">
        <v>139</v>
      </c>
      <c r="G1043" s="24"/>
      <c r="H1043" s="24"/>
    </row>
    <row r="1044" spans="1:8" ht="13.2">
      <c r="A1044" s="65" t="str">
        <f>HYPERLINK("https://contest.yandex.ru/ioi/contest/560/enter/","IOI 04-phidias")</f>
        <v>IOI 04-phidias</v>
      </c>
      <c r="B1044" s="15" t="s">
        <v>1348</v>
      </c>
      <c r="C1044" s="24">
        <v>5.25</v>
      </c>
      <c r="D1044" s="65" t="str">
        <f t="shared" ref="D1044:D1045" si="4">HYPERLINK("https://github.com/mostafa-saad/MyCompetitiveProgramming/blob/master/Olympiad/IOI/official/2004","Editorial")</f>
        <v>Editorial</v>
      </c>
      <c r="E1044" s="31" t="s">
        <v>1337</v>
      </c>
      <c r="F1044" s="37" t="s">
        <v>139</v>
      </c>
      <c r="G1044" s="24"/>
      <c r="H1044" s="24"/>
    </row>
    <row r="1045" spans="1:8" ht="13.2">
      <c r="A1045" s="65" t="str">
        <f>HYPERLINK("https://contest.yandex.ru/ioi/contest/560/enter/","IOI 04-hermes")</f>
        <v>IOI 04-hermes</v>
      </c>
      <c r="B1045" s="23" t="s">
        <v>1574</v>
      </c>
      <c r="C1045" s="24">
        <v>5.25</v>
      </c>
      <c r="D1045" s="65" t="str">
        <f t="shared" si="4"/>
        <v>Editorial</v>
      </c>
      <c r="E1045" s="31" t="s">
        <v>1337</v>
      </c>
      <c r="F1045" s="37" t="s">
        <v>139</v>
      </c>
      <c r="G1045" s="24"/>
      <c r="H1045" s="24"/>
    </row>
    <row r="1046" spans="1:8" ht="13.2">
      <c r="A1046" s="65" t="str">
        <f>HYPERLINK("https://contest.yandex.ru/snss2018/contest/8760/problems/B","SNSS 18-R2-B")</f>
        <v>SNSS 18-R2-B</v>
      </c>
      <c r="B1046" s="20" t="s">
        <v>6658</v>
      </c>
      <c r="C1046" s="21">
        <v>5.25</v>
      </c>
      <c r="D1046" s="69" t="s">
        <v>7810</v>
      </c>
      <c r="E1046" s="31" t="s">
        <v>332</v>
      </c>
      <c r="F1046" s="37" t="s">
        <v>139</v>
      </c>
      <c r="G1046" s="24"/>
      <c r="H1046" s="24"/>
    </row>
    <row r="1047" spans="1:8" ht="13.2">
      <c r="A1047" s="65" t="str">
        <f>HYPERLINK("https://dmoj.ca/problem/coci07c6p5","COCI 07-Princeza")</f>
        <v>COCI 07-Princeza</v>
      </c>
      <c r="B1047" s="15" t="s">
        <v>2514</v>
      </c>
      <c r="C1047" s="24">
        <v>5.25</v>
      </c>
      <c r="D1047" s="65" t="str">
        <f>HYPERLINK("https://github.com/mostafa-saad/MyCompetitiveProgramming/tree/master/Olympiad/COCI/official/2008/contest6_solutions","Editorial")</f>
        <v>Editorial</v>
      </c>
      <c r="E1047" s="31" t="s">
        <v>2510</v>
      </c>
      <c r="F1047" s="37" t="s">
        <v>139</v>
      </c>
      <c r="G1047" s="24"/>
      <c r="H1047" s="24"/>
    </row>
    <row r="1048" spans="1:8" ht="13.2">
      <c r="A1048" s="65" t="str">
        <f>HYPERLINK("https://dmoj.ca/problem/coci06c4p5","COCI 06-Jogurt")</f>
        <v>COCI 06-Jogurt</v>
      </c>
      <c r="B1048" s="15" t="s">
        <v>3264</v>
      </c>
      <c r="C1048" s="24">
        <v>5.25</v>
      </c>
      <c r="D1048" s="65" t="str">
        <f>HYPERLINK("https://github.com/mostafa-saad/MyCompetitiveProgramming/blob/master/Olympiad/COCI/COCI-06-Jogurt.txt","Sol")</f>
        <v>Sol</v>
      </c>
      <c r="E1048" s="31" t="s">
        <v>3257</v>
      </c>
      <c r="F1048" s="37" t="s">
        <v>139</v>
      </c>
      <c r="G1048" s="24"/>
      <c r="H1048" s="24"/>
    </row>
    <row r="1049" spans="1:8" ht="13.2">
      <c r="A1049" s="65" t="str">
        <f>HYPERLINK("https://cses.fi/100/list/","Baltic 11-Lamp")</f>
        <v>Baltic 11-Lamp</v>
      </c>
      <c r="B1049" s="20" t="s">
        <v>7178</v>
      </c>
      <c r="C1049" s="24">
        <v>5.25</v>
      </c>
      <c r="D1049" s="65" t="str">
        <f>HYPERLINK("https://github.com/mostafa-saad/MyCompetitiveProgramming/blob/master/Olympiad/Baltic/Baltic-11-Lamp.txt","Sol")</f>
        <v>Sol</v>
      </c>
      <c r="E1049" s="31" t="s">
        <v>3467</v>
      </c>
      <c r="F1049" s="37" t="s">
        <v>139</v>
      </c>
      <c r="G1049" s="24"/>
      <c r="H1049" s="24"/>
    </row>
    <row r="1050" spans="1:8" ht="13.2">
      <c r="A1050" s="65" t="str">
        <f>HYPERLINK("https://dmoj.ca/problem/coci06c6p4","COCI 06-Kamen")</f>
        <v>COCI 06-Kamen</v>
      </c>
      <c r="B1050" s="15" t="s">
        <v>3649</v>
      </c>
      <c r="C1050" s="24">
        <v>5.25</v>
      </c>
      <c r="D1050" s="65" t="str">
        <f>HYPERLINK("https://github.com/mostafa-saad/MyCompetitiveProgramming/blob/master/Olympiad/CEOI/COCI-06-Kamen.txt","Sol")</f>
        <v>Sol</v>
      </c>
      <c r="E1050" s="31" t="s">
        <v>3650</v>
      </c>
      <c r="F1050" s="37" t="s">
        <v>139</v>
      </c>
      <c r="G1050" s="24"/>
      <c r="H1050" s="24"/>
    </row>
    <row r="1051" spans="1:8" ht="13.2">
      <c r="A1051" s="65" t="str">
        <f>HYPERLINK("https://szkopul.edu.pl/problemset/problem/w3YAoAT3ej27YeiaNWjK57_G/site/", "POI 08-Mafia")</f>
        <v>POI 08-Mafia</v>
      </c>
      <c r="B1051" s="37" t="s">
        <v>3660</v>
      </c>
      <c r="C1051" s="24">
        <v>5.25</v>
      </c>
      <c r="D1051" s="65" t="str">
        <f>HYPERLINK("https://github.com/mostafa-saad/MyCompetitiveProgramming/blob/master/Olympiad/POI/POI-08-Mafia.txt","Sol")</f>
        <v>Sol</v>
      </c>
      <c r="E1051" s="31" t="s">
        <v>3650</v>
      </c>
      <c r="F1051" s="37" t="s">
        <v>139</v>
      </c>
      <c r="G1051" s="24"/>
      <c r="H1051" s="24"/>
    </row>
    <row r="1052" spans="1:8" ht="13.2">
      <c r="A1052" s="65" t="str">
        <f>HYPERLINK("https://cses.fi/231/task/D","Datatähti Open19-D")</f>
        <v>Datatähti Open19-D</v>
      </c>
      <c r="B1052" s="20" t="s">
        <v>7342</v>
      </c>
      <c r="C1052" s="24">
        <v>5.25</v>
      </c>
      <c r="D1052" s="69"/>
      <c r="E1052" s="31" t="s">
        <v>4958</v>
      </c>
      <c r="F1052" s="37" t="s">
        <v>139</v>
      </c>
      <c r="G1052" s="24"/>
      <c r="H1052" s="24"/>
    </row>
    <row r="1053" spans="1:8" ht="13.2">
      <c r="A1053" s="65" t="str">
        <f>HYPERLINK("https://dmoj.ca/problem/coci07c5p5","COCI 07-Barica")</f>
        <v>COCI 07-Barica</v>
      </c>
      <c r="B1053" s="15" t="s">
        <v>6919</v>
      </c>
      <c r="C1053" s="24">
        <v>5.25</v>
      </c>
      <c r="D1053" s="65" t="str">
        <f>HYPERLINK("https://github.com/mostafa-saad/MyCompetitiveProgramming/blob/master/Olympiad/COCI/COCI-07-Barica.txt","Sol")</f>
        <v>Sol</v>
      </c>
      <c r="E1053" s="31" t="s">
        <v>1337</v>
      </c>
      <c r="F1053" s="37" t="s">
        <v>201</v>
      </c>
      <c r="G1053" s="24"/>
      <c r="H1053" s="24"/>
    </row>
    <row r="1054" spans="1:8" ht="13.2">
      <c r="A1054" s="65" t="str">
        <f>HYPERLINK("https://dunjudge.me/analysis/problems/1226/","NOI 17-best_place")</f>
        <v>NOI 17-best_place</v>
      </c>
      <c r="B1054" s="37" t="s">
        <v>285</v>
      </c>
      <c r="C1054" s="24">
        <v>5.25</v>
      </c>
      <c r="D1054" s="65" t="str">
        <f>HYPERLINK("https://github.com/mostafa-saad/MyCompetitiveProgramming/blob/master/Olympiad/NOI/official","Editorial")</f>
        <v>Editorial</v>
      </c>
      <c r="E1054" s="31" t="s">
        <v>125</v>
      </c>
      <c r="F1054" s="37"/>
      <c r="G1054" s="24"/>
      <c r="H1054" s="24"/>
    </row>
    <row r="1055" spans="1:8" ht="13.2">
      <c r="A1055" s="65" t="str">
        <f>HYPERLINK("https://codeforces.com/group/swEqtABRxe/contest/243438/problem/C", "IOIQ 19-d2-C")</f>
        <v>IOIQ 19-d2-C</v>
      </c>
      <c r="B1055" s="20" t="s">
        <v>6920</v>
      </c>
      <c r="C1055" s="17">
        <v>5.25</v>
      </c>
      <c r="D1055" s="69"/>
      <c r="E1055" s="31" t="s">
        <v>1337</v>
      </c>
      <c r="F1055" s="37"/>
      <c r="G1055" s="24"/>
      <c r="H1055" s="24"/>
    </row>
    <row r="1056" spans="1:8" ht="13.2">
      <c r="A1056" s="65" t="str">
        <f>HYPERLINK("https://dunjudge.me/analysis/problems/1385/","COCI 12-jedan")</f>
        <v>COCI 12-jedan</v>
      </c>
      <c r="B1056" s="15" t="s">
        <v>6921</v>
      </c>
      <c r="C1056" s="24">
        <v>5.25</v>
      </c>
      <c r="D1056" s="65" t="str">
        <f>HYPERLINK("https://github.com/mostafa-saad/MyCompetitiveProgramming/blob/master/Olympiad/COCI/official/2013/contest6_solutions","Editorial")</f>
        <v>Editorial</v>
      </c>
      <c r="E1056" s="31" t="s">
        <v>1337</v>
      </c>
      <c r="F1056" s="37"/>
      <c r="G1056" s="24"/>
      <c r="H1056" s="24"/>
    </row>
    <row r="1057" spans="1:8" ht="13.2">
      <c r="A1057" s="65" t="str">
        <f>HYPERLINK("https://dunjudge.me/analysis/problems/699/","NOIMOCK 15-rooms")</f>
        <v>NOIMOCK 15-rooms</v>
      </c>
      <c r="B1057" s="37" t="s">
        <v>1358</v>
      </c>
      <c r="C1057" s="24">
        <v>5.25</v>
      </c>
      <c r="D1057" s="69"/>
      <c r="E1057" s="31" t="s">
        <v>1337</v>
      </c>
      <c r="F1057" s="37"/>
      <c r="G1057" s="24"/>
      <c r="H1057" s="24"/>
    </row>
    <row r="1058" spans="1:8" ht="13.2">
      <c r="A1058" s="65" t="str">
        <f>HYPERLINK("http://poj.org/problem?id=1196","IOI 01-Twofive")</f>
        <v>IOI 01-Twofive</v>
      </c>
      <c r="B1058" s="20" t="s">
        <v>7527</v>
      </c>
      <c r="C1058" s="24">
        <v>5.25</v>
      </c>
      <c r="D1058" s="65" t="str">
        <f>HYPERLINK("https://github.com/mostafa-saad/MyCompetitiveProgramming/blob/master/Olympiad/IOI/official/2001","Editorial")</f>
        <v>Editorial</v>
      </c>
      <c r="E1058" s="31" t="s">
        <v>7525</v>
      </c>
      <c r="F1058" s="37"/>
      <c r="G1058" s="24"/>
      <c r="H1058" s="24"/>
    </row>
    <row r="1059" spans="1:8" ht="13.2">
      <c r="A1059" s="65" t="str">
        <f>HYPERLINK("https://dmoj.ca/problem/coci08c2p4","COCI 08-Svada")</f>
        <v>COCI 08-Svada</v>
      </c>
      <c r="B1059" s="15" t="s">
        <v>814</v>
      </c>
      <c r="C1059" s="24">
        <v>5.25</v>
      </c>
      <c r="D1059" s="65" t="str">
        <f>HYPERLINK("https://github.com/mostafa-saad/MyCompetitiveProgramming/blob/master/Olympiad/COCI/official/2009/contest2_solutions","Editorial")</f>
        <v>Editorial</v>
      </c>
      <c r="E1059" s="31" t="s">
        <v>805</v>
      </c>
      <c r="F1059" s="37"/>
      <c r="G1059" s="24"/>
      <c r="H1059" s="24"/>
    </row>
    <row r="1060" spans="1:8" ht="13.2">
      <c r="A1060" s="65" t="str">
        <f>HYPERLINK("https://dmoj.ca/problem/coci08c3p5","COCI 08-BST")</f>
        <v>COCI 08-BST</v>
      </c>
      <c r="B1060" s="15" t="s">
        <v>7158</v>
      </c>
      <c r="C1060" s="24">
        <v>5.0999999999999996</v>
      </c>
      <c r="D1060" s="65" t="str">
        <f>HYPERLINK("https://github.com/mostafa-saad/MyCompetitiveProgramming/blob/master/Olympiad/COCI/COCI-08-BST.txt","Sol")</f>
        <v>Sol</v>
      </c>
      <c r="E1060" s="31" t="s">
        <v>3257</v>
      </c>
      <c r="F1060" s="37" t="s">
        <v>139</v>
      </c>
      <c r="G1060" s="24"/>
      <c r="H1060" s="24"/>
    </row>
    <row r="1061" spans="1:8" ht="13.2">
      <c r="A1061" s="65" t="str">
        <f>HYPERLINK("https://szkopul.edu.pl/problemset/problem/TJVrS_hRC8W5Q6ZBW6mETAIm/site/", "POI 10-Railway")</f>
        <v>POI 10-Railway</v>
      </c>
      <c r="B1061" s="37" t="s">
        <v>3340</v>
      </c>
      <c r="C1061" s="24">
        <v>5</v>
      </c>
      <c r="D1061" s="65" t="str">
        <f>HYPERLINK("https://github.com/mostafa-saad/MyCompetitiveProgramming/blob/master/Olympiad/POI/official/find_editorial_sols_guidelines.txt","Editorial")</f>
        <v>Editorial</v>
      </c>
      <c r="E1061" s="31" t="s">
        <v>3257</v>
      </c>
      <c r="F1061" s="37" t="s">
        <v>154</v>
      </c>
      <c r="G1061" s="24"/>
      <c r="H1061" s="24"/>
    </row>
    <row r="1062" spans="1:8" ht="13.2">
      <c r="A1062" s="65" t="str">
        <f>HYPERLINK("https://oj.uz/problem/view/COCI17_poklon7","COCI 17-poklon7-r7")</f>
        <v>COCI 17-poklon7-r7</v>
      </c>
      <c r="B1062" s="20" t="s">
        <v>3675</v>
      </c>
      <c r="C1062" s="24">
        <v>5</v>
      </c>
      <c r="D1062" s="65" t="str">
        <f>HYPERLINK("https://github.com/mostafa-saad/MyCompetitiveProgramming/blob/master/Olympiad/COCI/official/2017/contest7_solutions","Editorial")</f>
        <v>Editorial</v>
      </c>
      <c r="E1062" s="31" t="s">
        <v>3650</v>
      </c>
      <c r="F1062" s="37" t="s">
        <v>154</v>
      </c>
      <c r="G1062" s="24"/>
      <c r="H1062" s="24"/>
    </row>
    <row r="1063" spans="1:8" ht="13.2">
      <c r="A1063" s="65" t="str">
        <f>HYPERLINK("https://contest.yandex.ru/ioi/contest/570/problems/C/","IOI 10-quality")</f>
        <v>IOI 10-quality</v>
      </c>
      <c r="B1063" s="18" t="s">
        <v>6626</v>
      </c>
      <c r="C1063" s="17">
        <v>5</v>
      </c>
      <c r="D1063" s="65" t="str">
        <f>HYPERLINK("https://github.com/mostafa-saad/MyCompetitiveProgramming/blob/master/Olympiad/IOI/IOI-10-quality.txt","Sol")</f>
        <v>Sol</v>
      </c>
      <c r="E1063" s="31" t="s">
        <v>125</v>
      </c>
      <c r="F1063" s="37" t="s">
        <v>196</v>
      </c>
      <c r="G1063" s="24"/>
      <c r="H1063" s="24"/>
    </row>
    <row r="1064" spans="1:8" ht="13.2">
      <c r="A1064" s="65" t="str">
        <f>HYPERLINK("https://oj.uz/problem/view/BOI15_net","Baltic 15-net")</f>
        <v>Baltic 15-net</v>
      </c>
      <c r="B1064" s="23" t="s">
        <v>7026</v>
      </c>
      <c r="C1064" s="24">
        <v>5</v>
      </c>
      <c r="D1064" s="65" t="str">
        <f>HYPERLINK("https://github.com/mostafa-saad/MyCompetitiveProgramming/blob/master/Olympiad/Baltic/Baltic-15-net.txt","Sol")</f>
        <v>Sol</v>
      </c>
      <c r="E1064" s="31" t="s">
        <v>2153</v>
      </c>
      <c r="F1064" s="37" t="s">
        <v>196</v>
      </c>
      <c r="G1064" s="24"/>
      <c r="H1064" s="24"/>
    </row>
    <row r="1065" spans="1:8" ht="13.2">
      <c r="A1065" s="65" t="str">
        <f>HYPERLINK("https://oj.uz/problem/view/IOI13_cave","IOI 13-cave")</f>
        <v>IOI 13-cave</v>
      </c>
      <c r="B1065" s="18" t="s">
        <v>6736</v>
      </c>
      <c r="C1065" s="17">
        <v>5</v>
      </c>
      <c r="D1065" s="65" t="str">
        <f>HYPERLINK("https://github.com/mostafa-saad/MyCompetitiveProgramming/blob/master/Olympiad/IOI/IOI-13-cave.txt","Sol")</f>
        <v>Sol</v>
      </c>
      <c r="E1065" s="31" t="s">
        <v>805</v>
      </c>
      <c r="F1065" s="37" t="s">
        <v>196</v>
      </c>
      <c r="G1065" s="24"/>
      <c r="H1065" s="24"/>
    </row>
    <row r="1066" spans="1:8" ht="13.2">
      <c r="A1066" s="65" t="str">
        <f>HYPERLINK("https://szkopul.edu.pl/problemset/problem/70gcrAV-ccXlJa6gMBpOqV1u/site/", "POI 12-Warehouse")</f>
        <v>POI 12-Warehouse</v>
      </c>
      <c r="B1066" s="20" t="s">
        <v>7027</v>
      </c>
      <c r="C1066" s="21">
        <v>5</v>
      </c>
      <c r="D1066" s="65" t="str">
        <f>HYPERLINK("https://github.com/mostafa-saad/MyCompetitiveProgramming/blob/master/Olympiad/POI/POI-12-WarehouseStore.txt","Sol")</f>
        <v>Sol</v>
      </c>
      <c r="E1066" s="31" t="s">
        <v>2153</v>
      </c>
      <c r="F1066" s="37" t="s">
        <v>1112</v>
      </c>
      <c r="G1066" s="24"/>
      <c r="H1066" s="24"/>
    </row>
    <row r="1067" spans="1:8" ht="13.2">
      <c r="A1067" s="65" t="str">
        <f>HYPERLINK("http://usaco.org/index.php?page=viewproblem2&amp;cpid=100", "USACO 11dec-photo-gold")</f>
        <v>USACO 11dec-photo-gold</v>
      </c>
      <c r="B1067" s="20" t="s">
        <v>6627</v>
      </c>
      <c r="C1067" s="21">
        <v>5</v>
      </c>
      <c r="D1067" s="69"/>
      <c r="E1067" s="31" t="s">
        <v>125</v>
      </c>
      <c r="F1067" s="37" t="s">
        <v>139</v>
      </c>
      <c r="G1067" s="24"/>
      <c r="H1067" s="24"/>
    </row>
    <row r="1068" spans="1:8" ht="13.2">
      <c r="A1068" s="65" t="str">
        <f>HYPERLINK("https://dmoj.ca/problem/coci13c1p2","COCI 13-Kusac")</f>
        <v>COCI 13-Kusac</v>
      </c>
      <c r="B1068" s="15" t="s">
        <v>124</v>
      </c>
      <c r="C1068" s="24">
        <v>5</v>
      </c>
      <c r="D1068" s="65" t="str">
        <f>HYPERLINK("https://github.com/mostafa-saad/MyCompetitiveProgramming/blob/master/Olympiad/COCI/official/2014/contest1_solutions","Editorial")</f>
        <v>Editorial</v>
      </c>
      <c r="E1068" s="31" t="s">
        <v>125</v>
      </c>
      <c r="F1068" s="37" t="s">
        <v>139</v>
      </c>
      <c r="G1068" s="24"/>
      <c r="H1068" s="24"/>
    </row>
    <row r="1069" spans="1:8" ht="13.2">
      <c r="A1069" s="65" t="str">
        <f>HYPERLINK("https://cses.fi/191/list/","CEOI 05-keys")</f>
        <v>CEOI 05-keys</v>
      </c>
      <c r="B1069" s="37" t="s">
        <v>124</v>
      </c>
      <c r="C1069" s="24">
        <v>5</v>
      </c>
      <c r="D1069" s="65" t="str">
        <f>HYPERLINK("https://github.com/mostafa-saad/MyCompetitiveProgramming/blob/master/Olympiad/CEOI/CEOI-05-keys.txt","Sol")</f>
        <v>Sol</v>
      </c>
      <c r="E1069" s="31" t="s">
        <v>125</v>
      </c>
      <c r="F1069" s="37" t="s">
        <v>139</v>
      </c>
      <c r="G1069" s="24"/>
      <c r="H1069" s="24"/>
    </row>
    <row r="1070" spans="1:8" ht="14.25" customHeight="1">
      <c r="A1070" s="65" t="str">
        <f>HYPERLINK("https://www.infoarena.ro/problema/bitcost","infoarena bitcost")</f>
        <v>infoarena bitcost</v>
      </c>
      <c r="B1070" s="20" t="s">
        <v>6628</v>
      </c>
      <c r="C1070" s="21">
        <v>5</v>
      </c>
      <c r="D1070" s="65" t="str">
        <f>HYPERLINK("https://github.com/stefdasca/CompetitiveProgramming/blob/master/Infoarena/bitcost.cpp","Sol")</f>
        <v>Sol</v>
      </c>
      <c r="E1070" s="31" t="s">
        <v>125</v>
      </c>
      <c r="F1070" s="37" t="s">
        <v>139</v>
      </c>
      <c r="G1070" s="24"/>
      <c r="H1070" s="24"/>
    </row>
    <row r="1071" spans="1:8" ht="13.2">
      <c r="A1071" s="65" t="str">
        <f>HYPERLINK("https://oj.uz/problem/view/COCI15_topovi","COCI 15-topovi")</f>
        <v>COCI 15-topovi</v>
      </c>
      <c r="B1071" s="20" t="s">
        <v>6004</v>
      </c>
      <c r="C1071" s="24">
        <v>5</v>
      </c>
      <c r="D1071" s="65" t="str">
        <f>HYPERLINK("https://github.com/mostafa-saad/MyCompetitiveProgramming/blob/master/Olympiad/COCI/COCI-15-topovi.txt","Sol")</f>
        <v>Sol</v>
      </c>
      <c r="E1071" s="31" t="s">
        <v>5958</v>
      </c>
      <c r="F1071" s="37" t="s">
        <v>139</v>
      </c>
      <c r="G1071" s="24"/>
      <c r="H1071" s="24"/>
    </row>
    <row r="1072" spans="1:8" ht="13.2">
      <c r="A1072" s="65" t="str">
        <f>HYPERLINK("https://boi18-day1-open.kattis.com/problems","Baltic 18-MartianDNA")</f>
        <v>Baltic 18-MartianDNA</v>
      </c>
      <c r="B1072" s="18" t="s">
        <v>7419</v>
      </c>
      <c r="C1072" s="17">
        <v>5</v>
      </c>
      <c r="D1072" s="65" t="str">
        <f>HYPERLINK("https://github.com/mostafa-saad/MyCompetitiveProgramming/blob/master/Olympiad/Baltic/Baltic-18-MartianDNA.txt","Sol")</f>
        <v>Sol</v>
      </c>
      <c r="E1072" s="31" t="s">
        <v>6040</v>
      </c>
      <c r="F1072" s="37" t="s">
        <v>139</v>
      </c>
      <c r="G1072" s="24"/>
      <c r="H1072" s="24"/>
    </row>
    <row r="1073" spans="1:8" ht="13.2">
      <c r="A1073" s="65" t="str">
        <f>HYPERLINK("https://csacademy.com/contest/ejoi-2017-day-2/task/game/","EJOI 17-game")</f>
        <v>EJOI 17-game</v>
      </c>
      <c r="B1073" s="20" t="s">
        <v>6054</v>
      </c>
      <c r="C1073" s="24">
        <v>5</v>
      </c>
      <c r="D1073" s="65" t="str">
        <f>HYPERLINK("https://github.com/Rockbet/Problems/blob/master/EJOI/2017/Day%202/Game.cpp","Sol")</f>
        <v>Sol</v>
      </c>
      <c r="E1073" s="31" t="s">
        <v>6040</v>
      </c>
      <c r="F1073" s="37" t="s">
        <v>139</v>
      </c>
      <c r="G1073" s="24"/>
      <c r="H1073" s="24"/>
    </row>
    <row r="1074" spans="1:8" ht="13.2">
      <c r="A1074" s="65" t="str">
        <f>HYPERLINK("https://cses.fi/106/list/","Baltic 10-Bins")</f>
        <v>Baltic 10-Bins</v>
      </c>
      <c r="B1074" s="23" t="s">
        <v>7420</v>
      </c>
      <c r="C1074" s="24">
        <v>5</v>
      </c>
      <c r="D1074" s="65" t="str">
        <f>HYPERLINK("https://github.com/mostafa-saad/MyCompetitiveProgramming/blob/master/Olympiad/Baltic/Baltic-10-Bins.txt","Sol")</f>
        <v>Sol</v>
      </c>
      <c r="E1074" s="31" t="s">
        <v>6040</v>
      </c>
      <c r="F1074" s="37" t="s">
        <v>139</v>
      </c>
      <c r="G1074" s="24"/>
      <c r="H1074" s="24"/>
    </row>
    <row r="1075" spans="1:8" ht="13.2">
      <c r="A1075" s="65" t="str">
        <f>HYPERLINK("https://oj.uz/problem/view/JOI17_foehn_phenomena","JOI 17-foehnPhenomena")</f>
        <v>JOI 17-foehnPhenomena</v>
      </c>
      <c r="B1075" s="23" t="s">
        <v>1027</v>
      </c>
      <c r="C1075" s="24">
        <v>5</v>
      </c>
      <c r="D1075" s="65" t="str">
        <f>HYPERLINK("https://github.com/nikolapesic2802/Programming-Practice/blob/master/Foehn%20Phenomena/main.cpp","Sol")</f>
        <v>Sol</v>
      </c>
      <c r="E1075" s="31" t="s">
        <v>1018</v>
      </c>
      <c r="F1075" s="37" t="s">
        <v>139</v>
      </c>
      <c r="G1075" s="24"/>
      <c r="H1075" s="24"/>
    </row>
    <row r="1076" spans="1:8" ht="13.2">
      <c r="A1076" s="65" t="str">
        <f>HYPERLINK("https://cses.fi/231/task/C","Datatähti Open19-C")</f>
        <v>Datatähti Open19-C</v>
      </c>
      <c r="B1076" s="20" t="s">
        <v>6818</v>
      </c>
      <c r="C1076" s="24">
        <v>5</v>
      </c>
      <c r="D1076" s="69"/>
      <c r="E1076" s="31" t="s">
        <v>1223</v>
      </c>
      <c r="F1076" s="37" t="s">
        <v>139</v>
      </c>
      <c r="G1076" s="24"/>
      <c r="H1076" s="24"/>
    </row>
    <row r="1077" spans="1:8" ht="13.2">
      <c r="A1077" s="65" t="str">
        <f>HYPERLINK("https://cses.fi/105/list/","Baltic 10-PCB")</f>
        <v>Baltic 10-PCB</v>
      </c>
      <c r="B1077" s="37" t="s">
        <v>6922</v>
      </c>
      <c r="C1077" s="24">
        <v>5</v>
      </c>
      <c r="D1077" s="65" t="str">
        <f>HYPERLINK("https://github.com/mostafa-saad/MyCompetitiveProgramming/blob/master/Olympiad/Baltic/Baltic-10-PCB.txt","Sol")</f>
        <v>Sol</v>
      </c>
      <c r="E1077" s="31" t="s">
        <v>1337</v>
      </c>
      <c r="F1077" s="37" t="s">
        <v>139</v>
      </c>
      <c r="G1077" s="24"/>
      <c r="H1077" s="24"/>
    </row>
    <row r="1078" spans="1:8" ht="13.2">
      <c r="A1078" s="65" t="str">
        <f>HYPERLINK("https://dunjudge.me/analysis/problems/1417/","COCI 13-domine")</f>
        <v>COCI 13-domine</v>
      </c>
      <c r="B1078" s="20" t="s">
        <v>6923</v>
      </c>
      <c r="C1078" s="24">
        <v>5</v>
      </c>
      <c r="D1078" s="65" t="str">
        <f>HYPERLINK("https://github.com/mostafa-saad/MyCompetitiveProgramming/blob/master/Olympiad/COCI/official/2014/contest5_solutions","Editorial")</f>
        <v>Editorial</v>
      </c>
      <c r="E1078" s="31" t="s">
        <v>1337</v>
      </c>
      <c r="F1078" s="37" t="s">
        <v>139</v>
      </c>
      <c r="G1078" s="24"/>
      <c r="H1078" s="24"/>
    </row>
    <row r="1079" spans="1:8" ht="13.2">
      <c r="A1079" s="65" t="str">
        <f>HYPERLINK("https://dmoj.ca/problem/coci14c4p5","COCI 14-Sabor")</f>
        <v>COCI 14-Sabor</v>
      </c>
      <c r="B1079" s="20" t="s">
        <v>6659</v>
      </c>
      <c r="C1079" s="24">
        <v>5</v>
      </c>
      <c r="D1079" s="65" t="str">
        <f>HYPERLINK("https://github.com/mostafa-saad/MyCompetitiveProgramming/blob/master/Olympiad/COCI/COCI-14-Sabor.txt","Sol")</f>
        <v>Sol</v>
      </c>
      <c r="E1079" s="31" t="s">
        <v>332</v>
      </c>
      <c r="F1079" s="37" t="s">
        <v>139</v>
      </c>
      <c r="G1079" s="24"/>
      <c r="H1079" s="24"/>
    </row>
    <row r="1080" spans="1:8" ht="13.2">
      <c r="A1080" s="65" t="str">
        <f>HYPERLINK("https://dmoj.ca/problem/cco08p5","CCO 08-Candy")</f>
        <v>CCO 08-Candy</v>
      </c>
      <c r="B1080" s="37" t="s">
        <v>7527</v>
      </c>
      <c r="C1080" s="24">
        <v>5</v>
      </c>
      <c r="D1080" s="69"/>
      <c r="E1080" s="31" t="s">
        <v>7525</v>
      </c>
      <c r="F1080" s="37" t="s">
        <v>139</v>
      </c>
      <c r="G1080" s="24"/>
      <c r="H1080" s="24"/>
    </row>
    <row r="1081" spans="1:8" ht="13.2">
      <c r="A1081" s="65" t="str">
        <f>HYPERLINK("https://dmoj.ca/problem/dmopc17c5p4","DMOPC 17-IntersectingArcs")</f>
        <v>DMOPC 17-IntersectingArcs</v>
      </c>
      <c r="B1081" s="37" t="s">
        <v>7527</v>
      </c>
      <c r="C1081" s="24">
        <v>5</v>
      </c>
      <c r="D1081" s="69"/>
      <c r="E1081" s="31" t="s">
        <v>7525</v>
      </c>
      <c r="F1081" s="37" t="s">
        <v>139</v>
      </c>
      <c r="G1081" s="24"/>
      <c r="H1081" s="24"/>
    </row>
    <row r="1082" spans="1:8" ht="13.2">
      <c r="A1082" s="65" t="str">
        <f>HYPERLINK("https://dmoj.ca/problem/dmopc17c1p5","DMOPC 17-IntimidatingArrays")</f>
        <v>DMOPC 17-IntimidatingArrays</v>
      </c>
      <c r="B1082" s="37" t="s">
        <v>7527</v>
      </c>
      <c r="C1082" s="24">
        <v>5</v>
      </c>
      <c r="D1082" s="69"/>
      <c r="E1082" s="31" t="s">
        <v>7525</v>
      </c>
      <c r="F1082" s="37" t="s">
        <v>139</v>
      </c>
      <c r="G1082" s="24"/>
      <c r="H1082" s="24"/>
    </row>
    <row r="1083" spans="1:8" ht="13.2">
      <c r="A1083" s="65" t="str">
        <f>HYPERLINK("https://oj.uz/problem/view/IZhO12_beauty","IZhO 12-beauty")</f>
        <v>IZhO 12-beauty</v>
      </c>
      <c r="B1083" s="20" t="s">
        <v>1818</v>
      </c>
      <c r="C1083" s="24">
        <v>5</v>
      </c>
      <c r="D1083" s="65" t="str">
        <f>HYPERLINK("https://github.com/ShabdanBatyrkulov/codee/blob/master/IZhO%2012-beauty.cpp", "Sol")</f>
        <v>Sol</v>
      </c>
      <c r="E1083" s="31" t="s">
        <v>1819</v>
      </c>
      <c r="F1083" s="37" t="s">
        <v>139</v>
      </c>
      <c r="G1083" s="24"/>
      <c r="H1083" s="24"/>
    </row>
    <row r="1084" spans="1:8" ht="13.2">
      <c r="A1084" s="65" t="str">
        <f>HYPERLINK("https://oj.uz/problem/view/COCI18_maja","COCI 19-maja")</f>
        <v>COCI 19-maja</v>
      </c>
      <c r="B1084" s="20" t="s">
        <v>1913</v>
      </c>
      <c r="C1084" s="17">
        <v>5</v>
      </c>
      <c r="D1084" s="65" t="str">
        <f>HYPERLINK("https://github.com/sofhiasouza/CompetitiveProgramming/blob/master/COCI/2018-2019/Contest%20%232/maja.cpp","Sol")</f>
        <v>Sol</v>
      </c>
      <c r="E1084" s="31" t="s">
        <v>1909</v>
      </c>
      <c r="F1084" s="37" t="s">
        <v>139</v>
      </c>
      <c r="G1084" s="24"/>
      <c r="H1084" s="24"/>
    </row>
    <row r="1085" spans="1:8" ht="13.2">
      <c r="A1085" s="65" t="str">
        <f>HYPERLINK("https://szkopul.edu.pl/problemset/problem/XZhW8DteK37aYwrB_JoHxd2E/site/","CEOI 11-Similarity")</f>
        <v>CEOI 11-Similarity</v>
      </c>
      <c r="B1085" s="20" t="s">
        <v>6972</v>
      </c>
      <c r="C1085" s="24">
        <v>5</v>
      </c>
      <c r="D1085" s="65" t="str">
        <f>HYPERLINK("https://github.com/mostafa-saad/MyCompetitiveProgramming/blob/master/Olympiad/CEOI/CEOI-11-Similarity.txt","Sol")</f>
        <v>Sol</v>
      </c>
      <c r="E1085" s="31" t="s">
        <v>1909</v>
      </c>
      <c r="F1085" s="37" t="s">
        <v>139</v>
      </c>
      <c r="G1085" s="24"/>
      <c r="H1085" s="24"/>
    </row>
    <row r="1086" spans="1:8" ht="13.2">
      <c r="A1086" s="65" t="str">
        <f>HYPERLINK("https://oj.uz/problem/view/COCI18_cover","COCI 18-cover")</f>
        <v>COCI 18-cover</v>
      </c>
      <c r="B1086" s="20" t="s">
        <v>2112</v>
      </c>
      <c r="C1086" s="24">
        <v>5</v>
      </c>
      <c r="D1086" s="65" t="str">
        <f>HYPERLINK("https://github.com/luciocf/OI-Problems/blob/master/COCI/COCI%202017-2018/cover.cpp","Sol")</f>
        <v>Sol</v>
      </c>
      <c r="E1086" s="31" t="s">
        <v>2113</v>
      </c>
      <c r="F1086" s="37" t="s">
        <v>139</v>
      </c>
      <c r="G1086" s="24"/>
      <c r="H1086" s="24"/>
    </row>
    <row r="1087" spans="1:8" ht="13.2">
      <c r="A1087" s="65" t="str">
        <f>HYPERLINK("https://tioj.ck.tp.edu.tw/problems/1740","APIO 08-Roads")</f>
        <v>APIO 08-Roads</v>
      </c>
      <c r="B1087" s="20" t="s">
        <v>7028</v>
      </c>
      <c r="C1087" s="17">
        <v>5</v>
      </c>
      <c r="D1087" s="65" t="str">
        <f>HYPERLINK("https://github.com/mostafa-saad/MyCompetitiveProgramming/blob/master/Olympiad/APIO/APIO-08-Roads.txt","Sol")</f>
        <v>Sol</v>
      </c>
      <c r="E1087" s="31" t="s">
        <v>2153</v>
      </c>
      <c r="F1087" s="37" t="s">
        <v>139</v>
      </c>
      <c r="G1087" s="24"/>
      <c r="H1087" s="24"/>
    </row>
    <row r="1088" spans="1:8" ht="13.2">
      <c r="A1088" s="65" t="str">
        <f>HYPERLINK("https://www.infoarena.ro/problema/borcane","infoarena borcane")</f>
        <v>infoarena borcane</v>
      </c>
      <c r="B1088" s="20" t="s">
        <v>7029</v>
      </c>
      <c r="C1088" s="21">
        <v>5</v>
      </c>
      <c r="D1088" s="65" t="str">
        <f>HYPERLINK("https://github.com/stefdasca/CompetitiveProgramming/blob/master/Infoarena/borcane.cpp","Sol")</f>
        <v>Sol</v>
      </c>
      <c r="E1088" s="31" t="s">
        <v>2153</v>
      </c>
      <c r="F1088" s="37" t="s">
        <v>139</v>
      </c>
      <c r="G1088" s="24"/>
      <c r="H1088" s="24"/>
    </row>
    <row r="1089" spans="1:8" ht="13.2">
      <c r="A1089" s="65" t="str">
        <f>HYPERLINK("https://dmoj.ca/problem/coci07c5p4","COCI 07-Avogadro")</f>
        <v>COCI 07-Avogadro</v>
      </c>
      <c r="B1089" s="15" t="s">
        <v>2163</v>
      </c>
      <c r="C1089" s="24">
        <v>5</v>
      </c>
      <c r="D1089" s="65" t="str">
        <f>HYPERLINK("https://github.com/mostafa-saad/MyCompetitiveProgramming/tree/master/Olympiad/COCI/official/2008/contest5_solutions","Editorial")</f>
        <v>Editorial</v>
      </c>
      <c r="E1089" s="31" t="s">
        <v>2153</v>
      </c>
      <c r="F1089" s="37" t="s">
        <v>139</v>
      </c>
      <c r="G1089" s="24"/>
      <c r="H1089" s="24"/>
    </row>
    <row r="1090" spans="1:8" ht="13.2">
      <c r="A1090" s="65" t="str">
        <f>HYPERLINK("https://infoarena.ro/problema/metrouri","infoarena metrouri")</f>
        <v>infoarena metrouri</v>
      </c>
      <c r="B1090" s="20" t="s">
        <v>7030</v>
      </c>
      <c r="C1090" s="17">
        <v>5</v>
      </c>
      <c r="D1090" s="65" t="str">
        <f>HYPERLINK("https://github.com/stefdasca/CompetitiveProgramming/blob/master/Infoarena/metrouri.cpp","Sol")</f>
        <v>Sol</v>
      </c>
      <c r="E1090" s="31" t="s">
        <v>2153</v>
      </c>
      <c r="F1090" s="37" t="s">
        <v>139</v>
      </c>
      <c r="G1090" s="24"/>
      <c r="H1090" s="24"/>
    </row>
    <row r="1091" spans="1:8" ht="13.2">
      <c r="A1091" s="65" t="str">
        <f>HYPERLINK("https://oj.uz/problem/view/COCI17_doktor","COCI 17-doktor")</f>
        <v>COCI 17-doktor</v>
      </c>
      <c r="B1091" s="20" t="s">
        <v>7084</v>
      </c>
      <c r="C1091" s="24">
        <v>5</v>
      </c>
      <c r="D1091" s="65" t="str">
        <f>HYPERLINK("https://github.com/mostafa-saad/MyCompetitiveProgramming/blob/master/Olympiad/COCI/official/2018/contest2_solutions","Editorial")</f>
        <v>Editorial</v>
      </c>
      <c r="E1091" s="31" t="s">
        <v>2798</v>
      </c>
      <c r="F1091" s="37" t="s">
        <v>139</v>
      </c>
      <c r="G1091" s="24"/>
      <c r="H1091" s="24"/>
    </row>
    <row r="1092" spans="1:8" ht="13.2">
      <c r="A1092" s="65" t="str">
        <f>HYPERLINK("https://szkopul.edu.pl/problemset/problem/big2NUEzhdCqgGj0wGBjbw14/site/", "POI 07-Megalopolis")</f>
        <v>POI 07-Megalopolis</v>
      </c>
      <c r="B1092" s="37" t="s">
        <v>7159</v>
      </c>
      <c r="C1092" s="24">
        <v>5</v>
      </c>
      <c r="D1092" s="65" t="str">
        <f>HYPERLINK("https://github.com/mostafa-saad/MyCompetitiveProgramming/blob/master/Olympiad/POI/POI-07-Megalopolis.txt","Sol")</f>
        <v>Sol</v>
      </c>
      <c r="E1092" s="31" t="s">
        <v>3257</v>
      </c>
      <c r="F1092" s="37" t="s">
        <v>139</v>
      </c>
      <c r="G1092" s="24"/>
      <c r="H1092" s="24"/>
    </row>
    <row r="1093" spans="1:8" ht="13.2">
      <c r="A1093" s="65" t="str">
        <f>HYPERLINK("https://oj.uz/problem/view/COCI17_ronald","COCI 17-ronald")</f>
        <v>COCI 17-ronald</v>
      </c>
      <c r="B1093" s="15" t="s">
        <v>3748</v>
      </c>
      <c r="C1093" s="24">
        <v>5</v>
      </c>
      <c r="D1093" s="65" t="str">
        <f>HYPERLINK("https://github.com/mostafa-saad/MyCompetitiveProgramming/blob/master/Olympiad/COCI/official/2017/contest5_solutions","Editorial")</f>
        <v>Editorial</v>
      </c>
      <c r="E1093" s="31" t="s">
        <v>3650</v>
      </c>
      <c r="F1093" s="37" t="s">
        <v>139</v>
      </c>
      <c r="G1093" s="24"/>
      <c r="H1093" s="24"/>
    </row>
    <row r="1094" spans="1:8" ht="13.2">
      <c r="A1094" s="65" t="str">
        <f>HYPERLINK("https://wcipeg.com/problem/coci092p4","COCI 09-Vuk")</f>
        <v>COCI 09-Vuk</v>
      </c>
      <c r="B1094" s="15" t="s">
        <v>3830</v>
      </c>
      <c r="C1094" s="24">
        <v>5</v>
      </c>
      <c r="D1094" s="65" t="str">
        <f>HYPERLINK("https://github.com/mostafa-saad/MyCompetitiveProgramming/blob/master/Olympiad/COCI/official/2010/contest2_solutions","Editorial")</f>
        <v>Editorial</v>
      </c>
      <c r="E1094" s="31" t="s">
        <v>3784</v>
      </c>
      <c r="F1094" s="37" t="s">
        <v>139</v>
      </c>
      <c r="G1094" s="24"/>
      <c r="H1094" s="24"/>
    </row>
    <row r="1095" spans="1:8" ht="13.2">
      <c r="A1095" s="65" t="str">
        <f>HYPERLINK("https://www.hackerrank.com/contests/ioi-2014-practice-contest-2/challenges/world-peace-ioi14","IOIPractice 14-world-peace-ioi14")</f>
        <v>IOIPractice 14-world-peace-ioi14</v>
      </c>
      <c r="B1095" s="15" t="s">
        <v>7243</v>
      </c>
      <c r="C1095" s="24">
        <v>5</v>
      </c>
      <c r="D1095" s="65" t="str">
        <f>HYPERLINK("https://github.com/updown2/OI-Practice/blob/master/IOI/IOI%202014/World%20Peace%20%5BPractice%5D.cpp","Sol")</f>
        <v>Sol</v>
      </c>
      <c r="E1095" s="31" t="s">
        <v>3883</v>
      </c>
      <c r="F1095" s="37" t="s">
        <v>139</v>
      </c>
      <c r="G1095" s="24"/>
      <c r="H1095" s="24"/>
    </row>
    <row r="1096" spans="1:8" ht="13.2">
      <c r="A1096" s="65" t="str">
        <f>HYPERLINK("https://dmoj.ca/problem/cco07p6","CCO 07-RoadConstruction")</f>
        <v>CCO 07-RoadConstruction</v>
      </c>
      <c r="B1096" s="37" t="s">
        <v>7244</v>
      </c>
      <c r="C1096" s="24">
        <v>5</v>
      </c>
      <c r="D1096" s="65" t="str">
        <f>HYPERLINK("https://github.com/win11905/submission/blob/61c76f8b073e5e5446e7688626c487a4dcbfcd9e/CCO/14/RoadConstruction.cpp","Sol")</f>
        <v>Sol</v>
      </c>
      <c r="E1096" s="31" t="s">
        <v>3883</v>
      </c>
      <c r="F1096" s="37" t="s">
        <v>139</v>
      </c>
      <c r="G1096" s="24"/>
      <c r="H1096" s="24"/>
    </row>
    <row r="1097" spans="1:8" ht="13.2">
      <c r="A1097" s="65" t="str">
        <f>HYPERLINK("https://dmoj.ca/problem/mmcc15p1","Dmoj Inaho")</f>
        <v>Dmoj Inaho</v>
      </c>
      <c r="B1097" s="37" t="s">
        <v>7245</v>
      </c>
      <c r="C1097" s="24">
        <v>5</v>
      </c>
      <c r="D1097" s="69"/>
      <c r="E1097" s="31" t="s">
        <v>3883</v>
      </c>
      <c r="F1097" s="37" t="s">
        <v>139</v>
      </c>
      <c r="G1097" s="24"/>
      <c r="H1097" s="24"/>
    </row>
    <row r="1098" spans="1:8" ht="13.2">
      <c r="A1098" s="65" t="str">
        <f>HYPERLINK("https://training.ia-toki.org/problemsets/113/problems/632/","TOKIOpen 18-CellsTour")</f>
        <v>TOKIOpen 18-CellsTour</v>
      </c>
      <c r="B1098" s="20" t="s">
        <v>7259</v>
      </c>
      <c r="C1098" s="21">
        <v>5</v>
      </c>
      <c r="D1098" s="65" t="str">
        <f>HYPERLINK("https://github.com/timpostuvan/CompetitiveProgramming/blob/master/Olympiad/TOKI/CellsTour2018.cpp","Sol")</f>
        <v>Sol</v>
      </c>
      <c r="E1098" s="31" t="s">
        <v>4144</v>
      </c>
      <c r="F1098" s="37" t="s">
        <v>139</v>
      </c>
      <c r="G1098" s="24"/>
      <c r="H1098" s="24"/>
    </row>
    <row r="1099" spans="1:8" ht="13.2">
      <c r="A1099" s="65" t="str">
        <f>HYPERLINK("https://szkopul.edu.pl/problemset/problem/dABzva_j1-BvzKMsyxkuRoue/site/", "POI 16-Hedge")</f>
        <v>POI 16-Hedge</v>
      </c>
      <c r="B1099" s="37" t="s">
        <v>7270</v>
      </c>
      <c r="C1099" s="24">
        <v>5</v>
      </c>
      <c r="D1099" s="65" t="str">
        <f>HYPERLINK("https://github.com/mostafa-saad/MyCompetitiveProgramming/blob/master/Olympiad/POI/POI-16-Hedge.txt","Sol")</f>
        <v>Sol</v>
      </c>
      <c r="E1099" s="31" t="s">
        <v>4275</v>
      </c>
      <c r="F1099" s="37" t="s">
        <v>139</v>
      </c>
      <c r="G1099" s="24"/>
      <c r="H1099" s="24"/>
    </row>
    <row r="1100" spans="1:8" ht="13.2">
      <c r="A1100" s="65" t="str">
        <f>HYPERLINK("https://dmoj.ca/problem/coci14c3p5","COCI 14-Stogovi")</f>
        <v>COCI 14-Stogovi</v>
      </c>
      <c r="B1100" s="23" t="s">
        <v>7301</v>
      </c>
      <c r="C1100" s="24">
        <v>5</v>
      </c>
      <c r="D1100" s="65" t="str">
        <f>HYPERLINK("https://github.com/mostafa-saad/MyCompetitiveProgramming/blob/master/Olympiad/COCI/COCI-14-Stogovi.txt","Sol")</f>
        <v>Sol</v>
      </c>
      <c r="E1100" s="31" t="s">
        <v>4454</v>
      </c>
      <c r="F1100" s="37" t="s">
        <v>139</v>
      </c>
      <c r="G1100" s="24"/>
      <c r="H1100" s="24"/>
    </row>
    <row r="1101" spans="1:8" ht="13.2">
      <c r="A1101" s="65" t="str">
        <f>HYPERLINK("https://dmoj.ca/problem/utso15p5","UTSOpen 15-DistributionChannel")</f>
        <v>UTSOpen 15-DistributionChannel</v>
      </c>
      <c r="B1101" s="23" t="s">
        <v>4456</v>
      </c>
      <c r="C1101" s="24">
        <v>5</v>
      </c>
      <c r="D1101" s="65" t="str">
        <f>HYPERLINK("https://github.com/win11905/submission/blob/61c76f8b073e5e5446e7688626c487a4dcbfcd9e/Dmoj/utso15p5.cpp","Sol")</f>
        <v>Sol</v>
      </c>
      <c r="E1101" s="31" t="s">
        <v>4454</v>
      </c>
      <c r="F1101" s="37" t="s">
        <v>139</v>
      </c>
      <c r="G1101" s="24"/>
      <c r="H1101" s="24"/>
    </row>
    <row r="1102" spans="1:8" ht="13.2">
      <c r="A1102" s="65" t="str">
        <f>HYPERLINK("https://dunjudge.me/analysis/problems/1413/","COCI 13-cokolade")</f>
        <v>COCI 13-cokolade</v>
      </c>
      <c r="B1102" s="15" t="s">
        <v>7326</v>
      </c>
      <c r="C1102" s="24">
        <v>5</v>
      </c>
      <c r="D1102" s="65" t="str">
        <f>HYPERLINK("https://github.com/mostafa-saad/MyCompetitiveProgramming/blob/master/Olympiad/COCI/COCI-13-cokolade.txt","Sol")</f>
        <v>Sol</v>
      </c>
      <c r="E1102" s="31" t="s">
        <v>4531</v>
      </c>
      <c r="F1102" s="37" t="s">
        <v>139</v>
      </c>
      <c r="G1102" s="24"/>
      <c r="H1102" s="24"/>
    </row>
    <row r="1103" spans="1:8" ht="13.2">
      <c r="A1103" s="65" t="str">
        <f>HYPERLINK("https://oj.uz/problems/source/120", "CEOI 14-carnival")</f>
        <v>CEOI 14-carnival</v>
      </c>
      <c r="B1103" s="20" t="s">
        <v>6737</v>
      </c>
      <c r="C1103" s="17">
        <v>5</v>
      </c>
      <c r="D1103" s="65" t="str">
        <f>HYPERLINK("https://github.com/mostafa-saad/MyCompetitiveProgramming/blob/master/Olympiad/CEOI/CEOI-14-carnival.txt","Sol")</f>
        <v>Sol</v>
      </c>
      <c r="E1103" s="31" t="s">
        <v>805</v>
      </c>
      <c r="F1103" s="37" t="s">
        <v>139</v>
      </c>
      <c r="G1103" s="24"/>
      <c r="H1103" s="24"/>
    </row>
    <row r="1104" spans="1:8" ht="13.2">
      <c r="A1104" s="65" t="str">
        <f>HYPERLINK("https://wcipeg.com/problem/coi07p1","COI 07-Glasnici")</f>
        <v>COI 07-Glasnici</v>
      </c>
      <c r="B1104" s="15" t="s">
        <v>814</v>
      </c>
      <c r="C1104" s="24">
        <v>5</v>
      </c>
      <c r="D1104" s="65" t="str">
        <f>HYPERLINK("https://github.com/mostafa-saad/MyCompetitiveProgramming/tree/master/Olympiad/COCI/official/2008/olympiad_solutions","Editorial")</f>
        <v>Editorial</v>
      </c>
      <c r="E1104" s="31" t="s">
        <v>805</v>
      </c>
      <c r="F1104" s="37" t="s">
        <v>139</v>
      </c>
      <c r="G1104" s="24"/>
      <c r="H1104" s="24"/>
    </row>
    <row r="1105" spans="1:8" ht="13.2">
      <c r="A1105" s="65" t="str">
        <f>HYPERLINK("https://oj.uz/problem/view/IOI07_aliens","IOI 07-aliens")</f>
        <v>IOI 07-aliens</v>
      </c>
      <c r="B1105" s="23" t="s">
        <v>6738</v>
      </c>
      <c r="C1105" s="24">
        <v>5</v>
      </c>
      <c r="D1105" s="65" t="str">
        <f>HYPERLINK("https://github.com/mostafa-saad/MyCompetitiveProgramming/blob/master/Olympiad/IOI/official/2007","Editorial")</f>
        <v>Editorial</v>
      </c>
      <c r="E1105" s="31" t="s">
        <v>805</v>
      </c>
      <c r="F1105" s="37" t="s">
        <v>613</v>
      </c>
      <c r="G1105" s="24"/>
      <c r="H1105" s="24"/>
    </row>
    <row r="1106" spans="1:8" ht="13.2">
      <c r="A1106" s="65" t="str">
        <f>HYPERLINK("https://oj.uz/problem/view/NOI13_gw","NOI 13-gw")</f>
        <v>NOI 13-gw</v>
      </c>
      <c r="B1106" s="20" t="s">
        <v>6629</v>
      </c>
      <c r="C1106" s="24">
        <v>5</v>
      </c>
      <c r="D1106" s="65" t="str">
        <f>HYPERLINK("https://github.com/sjhuang26/competitive-programming/blob/master/noi/NOI%2013-gw.cpp","Sol")</f>
        <v>Sol</v>
      </c>
      <c r="E1106" s="31" t="s">
        <v>125</v>
      </c>
      <c r="F1106" s="37" t="s">
        <v>201</v>
      </c>
      <c r="G1106" s="24"/>
      <c r="H1106" s="24"/>
    </row>
    <row r="1107" spans="1:8" ht="13.2">
      <c r="A1107" s="65" t="str">
        <f>HYPERLINK("https://dmoj.ca/problem/coci15c3p4","COCI 15-Slon")</f>
        <v>COCI 15-Slon</v>
      </c>
      <c r="B1107" s="15" t="s">
        <v>6630</v>
      </c>
      <c r="C1107" s="24">
        <v>5</v>
      </c>
      <c r="D1107" s="65" t="str">
        <f>HYPERLINK("https://github.com/mostafa-saad/MyCompetitiveProgramming/blob/master/Olympiad/COCI/official/2016/contest3_solutions","Editorial")</f>
        <v>Editorial</v>
      </c>
      <c r="E1107" s="31" t="s">
        <v>125</v>
      </c>
      <c r="F1107" s="37" t="s">
        <v>201</v>
      </c>
      <c r="G1107" s="24"/>
      <c r="H1107" s="24"/>
    </row>
    <row r="1108" spans="1:8" ht="13.2">
      <c r="A1108" s="65" t="str">
        <f>HYPERLINK("https://wcipeg.com/problem/coci091p4","COCI 09-Mali")</f>
        <v>COCI 09-Mali</v>
      </c>
      <c r="B1108" s="15" t="s">
        <v>124</v>
      </c>
      <c r="C1108" s="24">
        <v>5</v>
      </c>
      <c r="D1108" s="65" t="str">
        <f>HYPERLINK("https://github.com/mostafa-saad/MyCompetitiveProgramming/blob/master/Olympiad/COCI/official/2010/contest1_solutions","Editorial")</f>
        <v>Editorial</v>
      </c>
      <c r="E1108" s="31" t="s">
        <v>125</v>
      </c>
      <c r="F1108" s="37" t="s">
        <v>201</v>
      </c>
      <c r="G1108" s="24"/>
      <c r="H1108" s="24"/>
    </row>
    <row r="1109" spans="1:8" ht="13.2">
      <c r="A1109" s="65" t="str">
        <f>HYPERLINK("https://dmoj.ca/problem/coci14c5p5","COCI 14-Jabuke")</f>
        <v>COCI 14-Jabuke</v>
      </c>
      <c r="B1109" s="15" t="s">
        <v>6631</v>
      </c>
      <c r="C1109" s="24">
        <v>5</v>
      </c>
      <c r="D1109" s="65" t="str">
        <f>HYPERLINK("https://github.com/mostafa-saad/MyCompetitiveProgramming/blob/master/Olympiad/COCI/official/2015/contest5_solutions","Editorial")</f>
        <v>Editorial</v>
      </c>
      <c r="E1109" s="31" t="s">
        <v>125</v>
      </c>
      <c r="F1109" s="37" t="s">
        <v>201</v>
      </c>
      <c r="G1109" s="24"/>
      <c r="H1109" s="24"/>
    </row>
    <row r="1110" spans="1:8" ht="13.2">
      <c r="A1110" s="65" t="str">
        <f>HYPERLINK("http://usaco.org/index.php?page=viewproblem2&amp;cpid=923","USACO 19feb-gold-paintbarn")</f>
        <v>USACO 19feb-gold-paintbarn</v>
      </c>
      <c r="B1110" s="37" t="s">
        <v>245</v>
      </c>
      <c r="C1110" s="24">
        <v>5</v>
      </c>
      <c r="D1110" s="69"/>
      <c r="E1110" s="31" t="s">
        <v>125</v>
      </c>
      <c r="F1110" s="37" t="s">
        <v>201</v>
      </c>
      <c r="G1110" s="24"/>
      <c r="H1110" s="24"/>
    </row>
    <row r="1111" spans="1:8" ht="13.2">
      <c r="A1111" s="65" t="str">
        <f>HYPERLINK("https://oj.uz/problem/view/NOI14_orchard","NOI 14-orchard")</f>
        <v>NOI 14-orchard</v>
      </c>
      <c r="B1111" s="37" t="s">
        <v>7406</v>
      </c>
      <c r="C1111" s="24">
        <v>5</v>
      </c>
      <c r="D1111" s="65" t="str">
        <f>HYPERLINK("https://github.com/mostafa-saad/MyCompetitiveProgramming/blob/master/Olympiad/NOI/official","Editorial")</f>
        <v>Editorial</v>
      </c>
      <c r="E1111" s="31" t="s">
        <v>5958</v>
      </c>
      <c r="F1111" s="37" t="s">
        <v>201</v>
      </c>
      <c r="G1111" s="24"/>
      <c r="H1111" s="24"/>
    </row>
    <row r="1112" spans="1:8" ht="13.2">
      <c r="A1112" s="65" t="str">
        <f>HYPERLINK("http://usaco.org/index.php?page=viewproblem2&amp;cpid=924","USACO 19feb-cowdate-plat")</f>
        <v>USACO 19feb-cowdate-plat</v>
      </c>
      <c r="B1112" s="23" t="s">
        <v>7421</v>
      </c>
      <c r="C1112" s="24">
        <v>5</v>
      </c>
      <c r="D1112" s="69"/>
      <c r="E1112" s="31" t="s">
        <v>6040</v>
      </c>
      <c r="F1112" s="37" t="s">
        <v>201</v>
      </c>
      <c r="G1112" s="24"/>
      <c r="H1112" s="24"/>
    </row>
    <row r="1113" spans="1:8" ht="13.2">
      <c r="A1113" s="65" t="str">
        <f>HYPERLINK("https://www.infoarena.ro/problema/vmin","Infoarena vmin")</f>
        <v>Infoarena vmin</v>
      </c>
      <c r="B1113" s="37" t="s">
        <v>7468</v>
      </c>
      <c r="C1113" s="24">
        <v>5</v>
      </c>
      <c r="D1113" s="65" t="str">
        <f>HYPERLINK("https://github.com/mostafa-saad/MyCompetitiveProgramming/blob/master/Olympiad/infoarena/Infoarena_vmin.txt","Sol")</f>
        <v>Sol</v>
      </c>
      <c r="E1113" s="31" t="s">
        <v>6362</v>
      </c>
      <c r="F1113" s="37" t="s">
        <v>201</v>
      </c>
      <c r="G1113" s="24"/>
      <c r="H1113" s="24"/>
    </row>
    <row r="1114" spans="1:8" ht="13.2">
      <c r="A1114" s="65" t="str">
        <f>HYPERLINK("https://oj.uz/problem/view/POI11_rot","POI 11-Rotation")</f>
        <v>POI 11-Rotation</v>
      </c>
      <c r="B1114" s="25" t="s">
        <v>7471</v>
      </c>
      <c r="C1114" s="24">
        <v>5</v>
      </c>
      <c r="D1114" s="65" t="str">
        <f>HYPERLINK("https://github.com/mostafa-saad/MyCompetitiveProgramming/blob/master/Olympiad/POI/official/find_editorial_sols_guidelines.txt","Editorial")</f>
        <v>Editorial</v>
      </c>
      <c r="E1114" s="31" t="s">
        <v>6390</v>
      </c>
      <c r="F1114" s="37" t="s">
        <v>201</v>
      </c>
      <c r="G1114" s="24"/>
      <c r="H1114" s="24"/>
    </row>
    <row r="1115" spans="1:8" ht="13.2">
      <c r="A1115" s="65" t="str">
        <f>HYPERLINK("https://dmoj.ca/problem/ccoprep16c2q3","Dmoj HopScotch")</f>
        <v>Dmoj HopScotch</v>
      </c>
      <c r="B1115" s="37" t="s">
        <v>7484</v>
      </c>
      <c r="C1115" s="24">
        <v>5</v>
      </c>
      <c r="D1115" s="69"/>
      <c r="E1115" s="31" t="s">
        <v>6397</v>
      </c>
      <c r="F1115" s="37" t="s">
        <v>201</v>
      </c>
      <c r="G1115" s="24"/>
      <c r="H1115" s="24"/>
    </row>
    <row r="1116" spans="1:8" ht="13.2">
      <c r="A1116" s="65" t="str">
        <f>HYPERLINK("https://oj.uz/problem/view/COCI17_deda","COCI 17-deda")</f>
        <v>COCI 17-deda</v>
      </c>
      <c r="B1116" s="20" t="s">
        <v>1027</v>
      </c>
      <c r="C1116" s="24">
        <v>5</v>
      </c>
      <c r="D1116" s="65" t="str">
        <f>HYPERLINK("https://github.com/mostafa-saad/MyCompetitiveProgramming/blob/master/Olympiad/COCI/COCI-17-deda.txt","Sol")</f>
        <v>Sol</v>
      </c>
      <c r="E1116" s="31" t="s">
        <v>1018</v>
      </c>
      <c r="F1116" s="37" t="s">
        <v>201</v>
      </c>
      <c r="G1116" s="24"/>
      <c r="H1116" s="24"/>
    </row>
    <row r="1117" spans="1:8" ht="13.2">
      <c r="A1117" s="65" t="str">
        <f>HYPERLINK("https://oj.uz/problem/view/JOI15_sterilizing","JOIOC 15-sterilizing")</f>
        <v>JOIOC 15-sterilizing</v>
      </c>
      <c r="B1117" s="23" t="s">
        <v>1017</v>
      </c>
      <c r="C1117" s="24">
        <v>5</v>
      </c>
      <c r="D1117" s="65" t="str">
        <f>HYPERLINK("https://github.com/SpeedOfMagic/CompetitiveProgramming/blob/master/JOIOC/15-sterilizing.cpp","Sol")</f>
        <v>Sol</v>
      </c>
      <c r="E1117" s="31" t="s">
        <v>1018</v>
      </c>
      <c r="F1117" s="37" t="s">
        <v>201</v>
      </c>
      <c r="G1117" s="24"/>
      <c r="H1117" s="24"/>
    </row>
    <row r="1118" spans="1:8" ht="13.2">
      <c r="A1118" s="65" t="str">
        <f>HYPERLINK("https://szkopul.edu.pl/problemset/problem/lR_LabSUC2n7EMmDHpw-wk_b/site/", "POI 17-Strikes")</f>
        <v>POI 17-Strikes</v>
      </c>
      <c r="B1118" s="37" t="s">
        <v>6796</v>
      </c>
      <c r="C1118" s="24">
        <v>5</v>
      </c>
      <c r="D1118" s="65" t="str">
        <f>HYPERLINK("https://github.com/Shash-Wat/competitive-programming/blob/master/POI/poi_strike.cpp","Sol (no editorial)")</f>
        <v>Sol (no editorial)</v>
      </c>
      <c r="E1118" s="31" t="s">
        <v>1018</v>
      </c>
      <c r="F1118" s="37" t="s">
        <v>201</v>
      </c>
      <c r="G1118" s="24"/>
      <c r="H1118" s="24"/>
    </row>
    <row r="1119" spans="1:8" ht="13.2">
      <c r="A1119" s="65" t="str">
        <f>HYPERLINK("https://oj.uz/problem/view/COCI17_krov","COCI 17-krov")</f>
        <v>COCI 17-krov</v>
      </c>
      <c r="B1119" s="20" t="s">
        <v>6819</v>
      </c>
      <c r="C1119" s="24">
        <v>5</v>
      </c>
      <c r="D1119" s="69"/>
      <c r="E1119" s="31" t="s">
        <v>1223</v>
      </c>
      <c r="F1119" s="37" t="s">
        <v>201</v>
      </c>
      <c r="G1119" s="24"/>
      <c r="H1119" s="24"/>
    </row>
    <row r="1120" spans="1:8" ht="13.2">
      <c r="A1120" s="65" t="str">
        <f>HYPERLINK("https://wcipeg.com/problem/coci063p4","COCI 06-Tenkici")</f>
        <v>COCI 06-Tenkici</v>
      </c>
      <c r="B1120" s="15" t="s">
        <v>6820</v>
      </c>
      <c r="C1120" s="24">
        <v>5</v>
      </c>
      <c r="D1120" s="65" t="str">
        <f>HYPERLINK("https://github.com/mostafa-saad/MyCompetitiveProgramming/blob/master/Olympiad/CEOI/COCI-06-Tenkici","Sol")</f>
        <v>Sol</v>
      </c>
      <c r="E1120" s="31" t="s">
        <v>1223</v>
      </c>
      <c r="F1120" s="37" t="s">
        <v>201</v>
      </c>
      <c r="G1120" s="24"/>
      <c r="H1120" s="24"/>
    </row>
    <row r="1121" spans="1:8" ht="13.2">
      <c r="A1121" s="65" t="str">
        <f>HYPERLINK("https://wcipeg.com/problem/coci077p4","COCI 07-Jednakost")</f>
        <v>COCI 07-Jednakost</v>
      </c>
      <c r="B1121" s="15" t="s">
        <v>1348</v>
      </c>
      <c r="C1121" s="24">
        <v>5</v>
      </c>
      <c r="D1121" s="65" t="str">
        <f>HYPERLINK("https://github.com/mostafa-saad/MyCompetitiveProgramming/blob/master/Olympiad/COCI/COCI-07-Jednakost.txt","Sol")</f>
        <v>Sol</v>
      </c>
      <c r="E1121" s="31" t="s">
        <v>1337</v>
      </c>
      <c r="F1121" s="37" t="s">
        <v>201</v>
      </c>
      <c r="G1121" s="24"/>
      <c r="H1121" s="24"/>
    </row>
    <row r="1122" spans="1:8" ht="13.2">
      <c r="A1122" s="65" t="str">
        <f>HYPERLINK("https://dmoj.ca/problem/coci07c1p4","COCI 07-Zapis")</f>
        <v>COCI 07-Zapis</v>
      </c>
      <c r="B1122" s="15" t="s">
        <v>1348</v>
      </c>
      <c r="C1122" s="24">
        <v>5</v>
      </c>
      <c r="D1122" s="65" t="str">
        <f>HYPERLINK("https://github.com/mostafa-saad/MyCompetitiveProgramming/tree/master/Olympiad/COCI/official/2008/contest1_solutions","Editorial")</f>
        <v>Editorial</v>
      </c>
      <c r="E1122" s="31" t="s">
        <v>1337</v>
      </c>
      <c r="F1122" s="37" t="s">
        <v>201</v>
      </c>
      <c r="G1122" s="24"/>
      <c r="H1122" s="24"/>
    </row>
    <row r="1123" spans="1:8" ht="13.2">
      <c r="A1123" s="65" t="str">
        <f>HYPERLINK("http://usaco.org/index.php?page=viewproblem2&amp;cpid=673", "USACO 16dec-team-plat")</f>
        <v>USACO 16dec-team-plat</v>
      </c>
      <c r="B1123" s="20" t="s">
        <v>1348</v>
      </c>
      <c r="C1123" s="21">
        <v>5</v>
      </c>
      <c r="D1123" s="69"/>
      <c r="E1123" s="31" t="s">
        <v>1337</v>
      </c>
      <c r="F1123" s="37" t="s">
        <v>201</v>
      </c>
      <c r="G1123" s="24"/>
      <c r="H1123" s="24"/>
    </row>
    <row r="1124" spans="1:8" ht="13.2">
      <c r="A1124" s="65" t="str">
        <f>HYPERLINK("https://oj.uz/problem/view/COCI18_go","COCI 18-go")</f>
        <v>COCI 18-go</v>
      </c>
      <c r="B1124" s="20" t="s">
        <v>1348</v>
      </c>
      <c r="C1124" s="24">
        <v>5</v>
      </c>
      <c r="D1124" s="65" t="str">
        <f>HYPERLINK("https://ideone.com/xq3cEb","Sol")</f>
        <v>Sol</v>
      </c>
      <c r="E1124" s="31" t="s">
        <v>1337</v>
      </c>
      <c r="F1124" s="37" t="s">
        <v>201</v>
      </c>
      <c r="G1124" s="24"/>
      <c r="H1124" s="24"/>
    </row>
    <row r="1125" spans="1:8" ht="13.2">
      <c r="A1125" s="65" t="str">
        <f>HYPERLINK("https://dmoj.ca/problem/ccc16s4","CCC 16-Combining_Riceballs")</f>
        <v>CCC 16-Combining_Riceballs</v>
      </c>
      <c r="B1125" s="37" t="s">
        <v>1348</v>
      </c>
      <c r="C1125" s="24">
        <v>5</v>
      </c>
      <c r="D1125" s="69"/>
      <c r="E1125" s="31" t="s">
        <v>1337</v>
      </c>
      <c r="F1125" s="37" t="s">
        <v>201</v>
      </c>
      <c r="G1125" s="24"/>
      <c r="H1125" s="24"/>
    </row>
    <row r="1126" spans="1:8" ht="13.2">
      <c r="A1126" s="65" t="str">
        <f>HYPERLINK("https://dmoj.ca/problem/ccc18s4","CCC 18-Balanced_Trees")</f>
        <v>CCC 18-Balanced_Trees</v>
      </c>
      <c r="B1126" s="37" t="s">
        <v>1348</v>
      </c>
      <c r="C1126" s="24">
        <v>5</v>
      </c>
      <c r="D1126" s="69"/>
      <c r="E1126" s="31" t="s">
        <v>1337</v>
      </c>
      <c r="F1126" s="37" t="s">
        <v>201</v>
      </c>
      <c r="G1126" s="24"/>
      <c r="H1126" s="24"/>
    </row>
    <row r="1127" spans="1:8" ht="13.2">
      <c r="A1127" s="65" t="str">
        <f>HYPERLINK("http://poj.org/problem?id=1160","IOI 00-Post")</f>
        <v>IOI 00-Post</v>
      </c>
      <c r="B1127" s="20" t="s">
        <v>2112</v>
      </c>
      <c r="C1127" s="24">
        <v>5</v>
      </c>
      <c r="D1127" s="65" t="str">
        <f>HYPERLINK("https://github.com/mostafa-saad/MyCompetitiveProgramming/blob/master/Olympiad/IOI/official/2000","Editorial. Google POJ 1160 for codes")</f>
        <v>Editorial. Google POJ 1160 for codes</v>
      </c>
      <c r="E1127" s="31" t="s">
        <v>2113</v>
      </c>
      <c r="F1127" s="37" t="s">
        <v>201</v>
      </c>
      <c r="G1127" s="24"/>
      <c r="H1127" s="24"/>
    </row>
    <row r="1128" spans="1:8" ht="13.2">
      <c r="A1128" s="65" t="str">
        <f>HYPERLINK("http://usaco.org/index.php?page=viewproblem2&amp;cpid=496","USACO 14dec-cowjog")</f>
        <v>USACO 14dec-cowjog</v>
      </c>
      <c r="B1128" s="20" t="s">
        <v>2163</v>
      </c>
      <c r="C1128" s="21">
        <v>5</v>
      </c>
      <c r="D1128" s="69"/>
      <c r="E1128" s="31" t="s">
        <v>2153</v>
      </c>
      <c r="F1128" s="37" t="s">
        <v>201</v>
      </c>
      <c r="G1128" s="24"/>
      <c r="H1128" s="24"/>
    </row>
    <row r="1129" spans="1:8" ht="13.2">
      <c r="A1129" s="65" t="str">
        <f>HYPERLINK("https://www.infoarena.ro/problema/cuplaje","infoarena cuplaje")</f>
        <v>infoarena cuplaje</v>
      </c>
      <c r="B1129" s="20" t="s">
        <v>2248</v>
      </c>
      <c r="C1129" s="21">
        <v>5</v>
      </c>
      <c r="D1129" s="69"/>
      <c r="E1129" s="31" t="s">
        <v>2153</v>
      </c>
      <c r="F1129" s="37" t="s">
        <v>201</v>
      </c>
      <c r="G1129" s="24"/>
      <c r="H1129" s="24"/>
    </row>
    <row r="1130" spans="1:8" ht="13.2">
      <c r="A1130" s="65" t="str">
        <f>HYPERLINK("https://www.hackerrank.com/contests/ioi-2014-practice-contest-1/challenges","IOIPractice 14-bounce-bounce-bounce-ioi14")</f>
        <v>IOIPractice 14-bounce-bounce-bounce-ioi14</v>
      </c>
      <c r="B1130" s="15" t="s">
        <v>7085</v>
      </c>
      <c r="C1130" s="17">
        <v>5</v>
      </c>
      <c r="D1130" s="65" t="str">
        <f>HYPERLINK("https://github.com/tmwilliamlin168/CompetitiveProgramming/blob/master/HackerRank/bounce-bounce-bounce-ioi14.cpp", "Sol")</f>
        <v>Sol</v>
      </c>
      <c r="E1130" s="31" t="s">
        <v>2798</v>
      </c>
      <c r="F1130" s="37" t="s">
        <v>201</v>
      </c>
      <c r="G1130" s="24"/>
      <c r="H1130" s="24"/>
    </row>
    <row r="1131" spans="1:8" ht="13.2">
      <c r="A1131" s="65" t="str">
        <f>HYPERLINK("https://wcipeg.com/problem/coci067p4","COCI 06-Circle")</f>
        <v>COCI 06-Circle</v>
      </c>
      <c r="B1131" s="15" t="s">
        <v>7086</v>
      </c>
      <c r="C1131" s="24">
        <v>5</v>
      </c>
      <c r="D1131" s="65" t="str">
        <f>HYPERLINK("https://github.com/mostafa-saad/MyCompetitiveProgramming/blob/master/Olympiad/COCI/COCI-06-Circle.txt","Sol")</f>
        <v>Sol</v>
      </c>
      <c r="E1131" s="31" t="s">
        <v>2798</v>
      </c>
      <c r="F1131" s="37" t="s">
        <v>201</v>
      </c>
      <c r="G1131" s="24"/>
      <c r="H1131" s="24"/>
    </row>
    <row r="1132" spans="1:8" ht="13.2">
      <c r="A1132" s="65" t="str">
        <f>HYPERLINK("https://dunjudge.me/analysis/problems/1227/","NOI 17-roadside_adverts")</f>
        <v>NOI 17-roadside_adverts</v>
      </c>
      <c r="B1132" s="37" t="s">
        <v>7160</v>
      </c>
      <c r="C1132" s="24">
        <v>5</v>
      </c>
      <c r="D1132" s="65" t="str">
        <f>HYPERLINK("https://github.com/mostafa-saad/MyCompetitiveProgramming/blob/master/Olympiad/NOI/official","Editorial")</f>
        <v>Editorial</v>
      </c>
      <c r="E1132" s="31" t="s">
        <v>3257</v>
      </c>
      <c r="F1132" s="37" t="s">
        <v>201</v>
      </c>
      <c r="G1132" s="24"/>
      <c r="H1132" s="24"/>
    </row>
    <row r="1133" spans="1:8" ht="13.2">
      <c r="A1133" s="65" t="str">
        <f>HYPERLINK("https://oj.uz/problem/view/COI16_dijament","COI 16-dijament")</f>
        <v>COI 16-dijament</v>
      </c>
      <c r="B1133" s="20" t="s">
        <v>7161</v>
      </c>
      <c r="C1133" s="24">
        <v>5</v>
      </c>
      <c r="D1133" s="65" t="str">
        <f>HYPERLINK("https://github.com/mostafa-saad/MyCompetitiveProgramming/tree/master/Olympiad/COI/official/2016","Editorial")</f>
        <v>Editorial</v>
      </c>
      <c r="E1133" s="31" t="s">
        <v>3257</v>
      </c>
      <c r="F1133" s="37" t="s">
        <v>201</v>
      </c>
      <c r="G1133" s="24"/>
      <c r="H1133" s="24"/>
    </row>
    <row r="1134" spans="1:8" ht="13.2">
      <c r="A1134" s="65" t="str">
        <f>HYPERLINK("https://dunjudge.me/analysis/problems/1228/","NOI 17-hotspot")</f>
        <v>NOI 17-hotspot</v>
      </c>
      <c r="B1134" s="37" t="s">
        <v>7222</v>
      </c>
      <c r="C1134" s="24">
        <v>5</v>
      </c>
      <c r="D1134" s="65" t="str">
        <f>HYPERLINK("https://github.com/mostafa-saad/MyCompetitiveProgramming/blob/master/Olympiad/NOI/official","Editorial")</f>
        <v>Editorial</v>
      </c>
      <c r="E1134" s="31" t="s">
        <v>3784</v>
      </c>
      <c r="F1134" s="37" t="s">
        <v>201</v>
      </c>
      <c r="G1134" s="24"/>
      <c r="H1134" s="24"/>
    </row>
    <row r="1135" spans="1:8" ht="13.2">
      <c r="A1135" s="65" t="str">
        <f>HYPERLINK("https://oj.uz/problem/view/COCI16_prosjecni","COCI 16-prosjecni")</f>
        <v>COCI 16-prosjecni</v>
      </c>
      <c r="B1135" s="15" t="s">
        <v>4658</v>
      </c>
      <c r="C1135" s="24">
        <v>5</v>
      </c>
      <c r="D1135" s="65" t="str">
        <f>HYPERLINK("https://github.com/mostafa-saad/MyCompetitiveProgramming/blob/master/Olympiad/COCI/official/2017/contest2_solutions","Editorial")</f>
        <v>Editorial</v>
      </c>
      <c r="E1135" s="31" t="s">
        <v>4531</v>
      </c>
      <c r="F1135" s="37" t="s">
        <v>201</v>
      </c>
      <c r="G1135" s="24"/>
      <c r="H1135" s="24"/>
    </row>
    <row r="1136" spans="1:8" ht="13.2">
      <c r="A1136" s="65" t="str">
        <f>HYPERLINK("https://dmoj.ca/problem/coci15c4p4","COCI 15-Chewbacca")</f>
        <v>COCI 15-Chewbacca</v>
      </c>
      <c r="B1136" s="20" t="s">
        <v>4530</v>
      </c>
      <c r="C1136" s="24">
        <v>5</v>
      </c>
      <c r="D1136" s="69"/>
      <c r="E1136" s="31" t="s">
        <v>4531</v>
      </c>
      <c r="F1136" s="37" t="s">
        <v>201</v>
      </c>
      <c r="G1136" s="24"/>
      <c r="H1136" s="24"/>
    </row>
    <row r="1137" spans="1:8" ht="13.2">
      <c r="A1137" s="65" t="str">
        <f>HYPERLINK("https://dmoj.ca/problem/fibonacci2","Dmoj FibonacciSequenceHarder")</f>
        <v>Dmoj FibonacciSequenceHarder</v>
      </c>
      <c r="B1137" s="37" t="s">
        <v>4658</v>
      </c>
      <c r="C1137" s="24">
        <v>5</v>
      </c>
      <c r="D1137" s="69"/>
      <c r="E1137" s="31" t="s">
        <v>4531</v>
      </c>
      <c r="F1137" s="37" t="s">
        <v>201</v>
      </c>
      <c r="G1137" s="24"/>
      <c r="H1137" s="24"/>
    </row>
    <row r="1138" spans="1:8" ht="13.2">
      <c r="A1138" s="65" t="str">
        <f>HYPERLINK("https://contest.yandex.ru/contest/8699/problems/A","SNSS 18-R1-A")</f>
        <v>SNSS 18-R1-A</v>
      </c>
      <c r="B1138" s="20" t="s">
        <v>7327</v>
      </c>
      <c r="C1138" s="21">
        <v>5</v>
      </c>
      <c r="D1138" s="65" t="str">
        <f>HYPERLINK("https://github.com/SpeedOfMagic/CompetitiveProgramming/blob/master/SNSS/18-R1-A.cpp","Sol")</f>
        <v>Sol</v>
      </c>
      <c r="E1138" s="31" t="s">
        <v>4531</v>
      </c>
      <c r="F1138" s="37" t="s">
        <v>201</v>
      </c>
      <c r="G1138" s="24"/>
      <c r="H1138" s="24"/>
    </row>
    <row r="1139" spans="1:8" ht="13.2">
      <c r="A1139" s="65" t="str">
        <f>HYPERLINK("https://training.ia-toki.org/problemsets/3/problems/9/","OSN 15-2C")</f>
        <v>OSN 15-2C</v>
      </c>
      <c r="B1139" s="20" t="s">
        <v>814</v>
      </c>
      <c r="C1139" s="17">
        <v>5</v>
      </c>
      <c r="D1139" s="65" t="str">
        <f>HYPERLINK("https://github.com/win11905/submission/blob/master/OCN/15/2C.cpp","Sol")</f>
        <v>Sol</v>
      </c>
      <c r="E1139" s="31" t="s">
        <v>805</v>
      </c>
      <c r="F1139" s="37" t="s">
        <v>201</v>
      </c>
      <c r="G1139" s="24"/>
      <c r="H1139" s="24"/>
    </row>
    <row r="1140" spans="1:8" ht="13.2">
      <c r="A1140" s="65" t="str">
        <f>HYPERLINK("https://dmoj.ca/problem/stnbd4","Dmoj EllisFahrengart")</f>
        <v>Dmoj EllisFahrengart</v>
      </c>
      <c r="B1140" s="37" t="s">
        <v>7485</v>
      </c>
      <c r="C1140" s="24">
        <v>5</v>
      </c>
      <c r="D1140" s="65" t="str">
        <f>HYPERLINK("https://github.com/win11905/submission/blob/master/Dmoj/EllisFahrengart.cpp","Sol")</f>
        <v>Sol</v>
      </c>
      <c r="E1140" s="31" t="s">
        <v>6397</v>
      </c>
      <c r="F1140" s="37" t="s">
        <v>242</v>
      </c>
      <c r="G1140" s="24"/>
      <c r="H1140" s="24"/>
    </row>
    <row r="1141" spans="1:8" ht="13.2">
      <c r="A1141" s="65" t="str">
        <f>HYPERLINK("http://poj.org/problem?id=1161","IOI 00-walls")</f>
        <v>IOI 00-walls</v>
      </c>
      <c r="B1141" s="20" t="s">
        <v>7253</v>
      </c>
      <c r="C1141" s="24">
        <v>5</v>
      </c>
      <c r="D1141" s="65" t="str">
        <f>HYPERLINK("https://github.com/mostafa-saad/MyCompetitiveProgramming/blob/master/Olympiad/IOI/IOI-00-walls.txt","Sol")</f>
        <v>Sol</v>
      </c>
      <c r="E1141" s="31" t="s">
        <v>3998</v>
      </c>
      <c r="F1141" s="37" t="s">
        <v>242</v>
      </c>
      <c r="G1141" s="24"/>
      <c r="H1141" s="24"/>
    </row>
    <row r="1142" spans="1:8" ht="13.2">
      <c r="A1142" s="65" t="str">
        <f>HYPERLINK("https://cses.fi/192/list/","CEOI 05-Net")</f>
        <v>CEOI 05-Net</v>
      </c>
      <c r="B1142" s="37" t="s">
        <v>4427</v>
      </c>
      <c r="C1142" s="24">
        <v>5</v>
      </c>
      <c r="D1142" s="65" t="str">
        <f>HYPERLINK("https://github.com/mostafa-saad/MyCompetitiveProgramming/blob/master/Olympiad/CEOI/CEOI-05-Net.txt","Sol")</f>
        <v>Sol</v>
      </c>
      <c r="E1142" s="31" t="s">
        <v>4423</v>
      </c>
      <c r="F1142" s="37" t="s">
        <v>242</v>
      </c>
      <c r="G1142" s="24"/>
      <c r="H1142" s="24"/>
    </row>
    <row r="1143" spans="1:8" ht="13.2">
      <c r="A1143" s="65" t="str">
        <f>HYPERLINK("https://oj.uz/problem/view/IOI14_gondola","IOI 14-gondola")</f>
        <v>IOI 14-gondola</v>
      </c>
      <c r="B1143" s="18" t="s">
        <v>6632</v>
      </c>
      <c r="C1143" s="17">
        <v>5</v>
      </c>
      <c r="D1143" s="65" t="str">
        <f>HYPERLINK("http://blog.brucemerry.org.za/2014/07/","Editorial")</f>
        <v>Editorial</v>
      </c>
      <c r="E1143" s="31" t="s">
        <v>125</v>
      </c>
      <c r="F1143" s="37"/>
      <c r="G1143" s="24"/>
      <c r="H1143" s="24"/>
    </row>
    <row r="1144" spans="1:8" ht="13.2">
      <c r="A1144" s="65" t="str">
        <f>HYPERLINK("https://oj.uz/problems/source/56","JOIOC 14-secret")</f>
        <v>JOIOC 14-secret</v>
      </c>
      <c r="B1144" s="15" t="s">
        <v>210</v>
      </c>
      <c r="C1144" s="24">
        <v>5</v>
      </c>
      <c r="D1144" s="65" t="str">
        <f>HYPERLINK("https://github.com/Yehezkiel01/CompetitiveProgramming/blob/master/JOIOC/JOIOC-14-secret.cpp","Sol")</f>
        <v>Sol</v>
      </c>
      <c r="E1144" s="31" t="s">
        <v>125</v>
      </c>
      <c r="F1144" s="37"/>
      <c r="G1144" s="24"/>
      <c r="H1144" s="24"/>
    </row>
    <row r="1145" spans="1:8" ht="13.2">
      <c r="A1145" s="65" t="str">
        <f>HYPERLINK("https://szkopul.edu.pl/problemset/problem/iiSZmNzhLW2p6YVBDu0gIf4G/site/", "POI 10-Beads")</f>
        <v>POI 10-Beads</v>
      </c>
      <c r="B1145" s="37" t="s">
        <v>6633</v>
      </c>
      <c r="C1145" s="24">
        <v>5</v>
      </c>
      <c r="D1145" s="65" t="str">
        <f>HYPERLINK("https://github.com/peon-pasado/CompetitiveProgramming/blob/master/szkoput/POI-10-Beads.cpp","Sol")</f>
        <v>Sol</v>
      </c>
      <c r="E1145" s="31" t="s">
        <v>125</v>
      </c>
      <c r="F1145" s="37"/>
      <c r="G1145" s="24"/>
      <c r="H1145" s="24"/>
    </row>
    <row r="1146" spans="1:8" ht="13.2">
      <c r="A1146" s="65" t="str">
        <f>HYPERLINK("https://www.hackerrank.com/contests/ioi-2014-practice-contest-1/challenges","IOIPractice 14-color-grid-ioi14")</f>
        <v>IOIPractice 14-color-grid-ioi14</v>
      </c>
      <c r="B1146" s="15" t="s">
        <v>6634</v>
      </c>
      <c r="C1146" s="17">
        <v>5</v>
      </c>
      <c r="D1146" s="65" t="str">
        <f>HYPERLINK("https://github.com/mostafa-saad/MyCompetitiveProgramming/blob/master/Olympiad/IOI/IOIPractice-14-color-grid-ioi14.txt","Sol")</f>
        <v>Sol</v>
      </c>
      <c r="E1146" s="31" t="s">
        <v>125</v>
      </c>
      <c r="F1146" s="37"/>
      <c r="G1146" s="24"/>
      <c r="H1146" s="24"/>
    </row>
    <row r="1147" spans="1:8" ht="13.2">
      <c r="A1147" s="65" t="str">
        <f>HYPERLINK("https://dmoj.ca/problem/dmpg15s5","DMPG 15-BlackWhite")</f>
        <v>DMPG 15-BlackWhite</v>
      </c>
      <c r="B1147" s="37" t="s">
        <v>6635</v>
      </c>
      <c r="C1147" s="24">
        <v>5</v>
      </c>
      <c r="D1147" s="69"/>
      <c r="E1147" s="31" t="s">
        <v>125</v>
      </c>
      <c r="F1147" s="37"/>
      <c r="G1147" s="24"/>
      <c r="H1147" s="24"/>
    </row>
    <row r="1148" spans="1:8" ht="13.2">
      <c r="A1148" s="65" t="str">
        <f>HYPERLINK("https://www.hackerrank.com/contests/ioi-2014-practice-contest-1/challenges","IOIPractice 14-christopher-candy-ioi14")</f>
        <v>IOIPractice 14-christopher-candy-ioi14</v>
      </c>
      <c r="B1148" s="15" t="s">
        <v>6636</v>
      </c>
      <c r="C1148" s="17">
        <v>5</v>
      </c>
      <c r="D1148" s="65" t="str">
        <f>HYPERLINK("https://github.com/Yehezkiel01/CompetitiveProgramming/blob/master/IOIPractice/IOIPractice-14-christopher-candy-ioi14.cpp","Sol")</f>
        <v>Sol</v>
      </c>
      <c r="E1148" s="31" t="s">
        <v>125</v>
      </c>
      <c r="F1148" s="37"/>
      <c r="G1148" s="24"/>
      <c r="H1148" s="24"/>
    </row>
    <row r="1149" spans="1:8" ht="13.2">
      <c r="A1149" s="65" t="str">
        <f>HYPERLINK("https://www.infoarena.ro/problema/covor","infoarena covor")</f>
        <v>infoarena covor</v>
      </c>
      <c r="B1149" s="20" t="s">
        <v>6637</v>
      </c>
      <c r="C1149" s="17">
        <v>5</v>
      </c>
      <c r="D1149" s="65" t="str">
        <f>HYPERLINK("https://github.com/stefdasca/CompetitiveProgramming/blob/master/Infoarena/covor","Sol")</f>
        <v>Sol</v>
      </c>
      <c r="E1149" s="31" t="s">
        <v>125</v>
      </c>
      <c r="F1149" s="37"/>
      <c r="G1149" s="24"/>
      <c r="H1149" s="24"/>
    </row>
    <row r="1150" spans="1:8" ht="13.2">
      <c r="A1150" s="65" t="str">
        <f>HYPERLINK("https://www.infoarena.ro/problema/greutati","infoarena greutati")</f>
        <v>infoarena greutati</v>
      </c>
      <c r="B1150" s="20" t="s">
        <v>6616</v>
      </c>
      <c r="C1150" s="17">
        <v>5</v>
      </c>
      <c r="D1150" s="65" t="str">
        <f>HYPERLINK("https://github.com/stefdasca/CompetitiveProgramming/blob/master/Infoarena/greutati.cpp","Sol")</f>
        <v>Sol</v>
      </c>
      <c r="E1150" s="31" t="s">
        <v>125</v>
      </c>
      <c r="F1150" s="37"/>
      <c r="G1150" s="24"/>
      <c r="H1150" s="24"/>
    </row>
    <row r="1151" spans="1:8" ht="13.2">
      <c r="A1151" s="65" t="str">
        <f>HYPERLINK("https://cses.fi/115/list/","Baltic 05-Camp")</f>
        <v>Baltic 05-Camp</v>
      </c>
      <c r="B1151" s="37" t="s">
        <v>6638</v>
      </c>
      <c r="C1151" s="24">
        <v>5</v>
      </c>
      <c r="D1151" s="65" t="str">
        <f>HYPERLINK("https://github.com/mostafa-saad/MyCompetitiveProgramming/blob/master/Olympiad/Baltic/official/boi2005_solutions","Editorial")</f>
        <v>Editorial</v>
      </c>
      <c r="E1151" s="31" t="s">
        <v>125</v>
      </c>
      <c r="F1151" s="37"/>
      <c r="G1151" s="24"/>
      <c r="H1151" s="24"/>
    </row>
    <row r="1152" spans="1:8" ht="13.2">
      <c r="A1152" s="65" t="str">
        <f>HYPERLINK("https://szkopul.edu.pl/problemset/problem/k9UKIj11V6iPRc3LaiYQYHyi/site/", "POI 06-Periods")</f>
        <v>POI 06-Periods</v>
      </c>
      <c r="B1152" s="37" t="s">
        <v>124</v>
      </c>
      <c r="C1152" s="24">
        <v>5</v>
      </c>
      <c r="D1152" s="65" t="str">
        <f>HYPERLINK("https://github.com/mostafa-saad/MyCompetitiveProgramming/blob/master/Olympiad/POI/official/find_editorial_sols_guidelines.txt","Editorial")</f>
        <v>Editorial</v>
      </c>
      <c r="E1152" s="31" t="s">
        <v>125</v>
      </c>
      <c r="F1152" s="37"/>
      <c r="G1152" s="24"/>
      <c r="H1152" s="24"/>
    </row>
    <row r="1153" spans="1:8" ht="13.2">
      <c r="A1153" s="65" t="str">
        <f>HYPERLINK("https://dmoj.ca/problem/coci06c5p5","COCI 06-Ivana")</f>
        <v>COCI 06-Ivana</v>
      </c>
      <c r="B1153" s="15" t="s">
        <v>124</v>
      </c>
      <c r="C1153" s="24">
        <v>5</v>
      </c>
      <c r="D1153" s="65" t="str">
        <f>HYPERLINK("https://github.com/mostafa-saad/MyCompetitiveProgramming/tree/master/Olympiad/COCI/official/2007/contest5_solutions","Editorial")</f>
        <v>Editorial</v>
      </c>
      <c r="E1153" s="31" t="s">
        <v>125</v>
      </c>
      <c r="F1153" s="37"/>
      <c r="G1153" s="24"/>
      <c r="H1153" s="24"/>
    </row>
    <row r="1154" spans="1:8" ht="13.2">
      <c r="A1154" s="65" t="str">
        <f>HYPERLINK("https://dmoj.ca/problem/coci07c4p4","COCI 07-Muzicari")</f>
        <v>COCI 07-Muzicari</v>
      </c>
      <c r="B1154" s="15" t="s">
        <v>124</v>
      </c>
      <c r="C1154" s="24">
        <v>5</v>
      </c>
      <c r="D1154" s="65" t="str">
        <f>HYPERLINK("https://github.com/mostafa-saad/MyCompetitiveProgramming/tree/master/Olympiad/COCI/official/2008/contest4_solutions","Editorial")</f>
        <v>Editorial</v>
      </c>
      <c r="E1154" s="31" t="s">
        <v>125</v>
      </c>
      <c r="F1154" s="37"/>
      <c r="G1154" s="24"/>
      <c r="H1154" s="24"/>
    </row>
    <row r="1155" spans="1:8" ht="13.2">
      <c r="A1155" s="65" t="str">
        <f>HYPERLINK("https://oj.uz/problem/view/COCI18_kocka","COCI 19-kocka")</f>
        <v>COCI 19-kocka</v>
      </c>
      <c r="B1155" s="20" t="s">
        <v>124</v>
      </c>
      <c r="C1155" s="17">
        <v>5</v>
      </c>
      <c r="D1155" s="65" t="str">
        <f>HYPERLINK("https://github.com/ZeyadKhattab/Competitive-Programming/blob/master/Problems/COCI%2019-kocka.java","Sol")</f>
        <v>Sol</v>
      </c>
      <c r="E1155" s="31" t="s">
        <v>125</v>
      </c>
      <c r="F1155" s="37"/>
      <c r="G1155" s="24"/>
      <c r="H1155" s="24"/>
    </row>
    <row r="1156" spans="1:8" ht="13.2">
      <c r="A1156" s="65" t="str">
        <f>HYPERLINK("https://dmoj.ca/problem/ccc16s5","CCC 16-Circle_Life")</f>
        <v>CCC 16-Circle_Life</v>
      </c>
      <c r="B1156" s="37" t="s">
        <v>124</v>
      </c>
      <c r="C1156" s="24">
        <v>5</v>
      </c>
      <c r="D1156" s="69"/>
      <c r="E1156" s="31" t="s">
        <v>125</v>
      </c>
      <c r="F1156" s="37"/>
      <c r="G1156" s="24"/>
      <c r="H1156" s="24"/>
    </row>
    <row r="1157" spans="1:8" ht="13.2">
      <c r="A1157" s="65" t="str">
        <f>HYPERLINK("http://usaco.org/index.php?page=viewproblem2&amp;cpid=946","USACO 19mar-walk-gold")</f>
        <v>USACO 19mar-walk-gold</v>
      </c>
      <c r="B1157" s="20" t="s">
        <v>124</v>
      </c>
      <c r="C1157" s="17">
        <v>5</v>
      </c>
      <c r="D1157" s="69"/>
      <c r="E1157" s="31" t="s">
        <v>125</v>
      </c>
      <c r="F1157" s="37"/>
      <c r="G1157" s="24"/>
      <c r="H1157" s="24"/>
    </row>
    <row r="1158" spans="1:8" ht="13.2">
      <c r="A1158" s="65" t="str">
        <f>HYPERLINK("https://szkopul.edu.pl/problemset/problem/S-cyTRH8ScRh-XfLPAsXCQ0e/site/", "POI 12-Well")</f>
        <v>POI 12-Well</v>
      </c>
      <c r="B1158" s="37" t="s">
        <v>147</v>
      </c>
      <c r="C1158" s="24">
        <v>5</v>
      </c>
      <c r="D1158" s="65" t="str">
        <f>HYPERLINK("https://github.com/mostafa-saad/MyCompetitiveProgramming/blob/master/Olympiad/POI/official/find_editorial_sols_guidelines.txt","Editorial")</f>
        <v>Editorial</v>
      </c>
      <c r="E1158" s="31" t="s">
        <v>125</v>
      </c>
      <c r="F1158" s="37"/>
      <c r="G1158" s="24"/>
      <c r="H1158" s="24"/>
    </row>
    <row r="1159" spans="1:8" ht="13.2">
      <c r="A1159" s="65" t="str">
        <f>HYPERLINK("https://dunjudge.me/analysis/problems/963/","MCO 16-painting")</f>
        <v>MCO 16-painting</v>
      </c>
      <c r="B1159" s="37" t="s">
        <v>124</v>
      </c>
      <c r="C1159" s="24">
        <v>5</v>
      </c>
      <c r="D1159" s="65" t="str">
        <f>HYPERLINK("https://github.com/mostafa-saad/MyCompetitiveProgramming/tree/master/Olympiad/MCO/official","Editorial")</f>
        <v>Editorial</v>
      </c>
      <c r="E1159" s="31" t="s">
        <v>125</v>
      </c>
      <c r="F1159" s="37"/>
      <c r="G1159" s="24"/>
      <c r="H1159" s="24"/>
    </row>
    <row r="1160" spans="1:8" ht="13.2">
      <c r="A1160" s="65" t="str">
        <f>HYPERLINK("https://dunjudge.me/analysis/problems/553/","MCO 14-swaps")</f>
        <v>MCO 14-swaps</v>
      </c>
      <c r="B1160" s="37" t="s">
        <v>6639</v>
      </c>
      <c r="C1160" s="24">
        <v>5</v>
      </c>
      <c r="D1160" s="65" t="str">
        <f>HYPERLINK("https://github.com/mostafa-saad/MyCompetitiveProgramming/tree/master/Olympiad/MCO/official/2014","Sol No Editorial")</f>
        <v>Sol No Editorial</v>
      </c>
      <c r="E1160" s="31" t="s">
        <v>125</v>
      </c>
      <c r="F1160" s="37"/>
      <c r="G1160" s="24"/>
      <c r="H1160" s="24"/>
    </row>
    <row r="1161" spans="1:8" ht="13.2">
      <c r="A1161" s="65" t="str">
        <f>HYPERLINK("https://dunjudge.me/analysis/problems/701/","NOIMOCK 15-dynamite")</f>
        <v>NOIMOCK 15-dynamite</v>
      </c>
      <c r="B1161" s="37" t="s">
        <v>6640</v>
      </c>
      <c r="C1161" s="24">
        <v>5</v>
      </c>
      <c r="D1161" s="69"/>
      <c r="E1161" s="31" t="s">
        <v>125</v>
      </c>
      <c r="F1161" s="37"/>
      <c r="G1161" s="24"/>
      <c r="H1161" s="24"/>
    </row>
    <row r="1162" spans="1:8" ht="13.2">
      <c r="A1162" s="65" t="str">
        <f>HYPERLINK("https://oj.uz/problem/view/BOI11_grow","Baltic 11-grow")</f>
        <v>Baltic 11-grow</v>
      </c>
      <c r="B1162" s="20" t="s">
        <v>7386</v>
      </c>
      <c r="C1162" s="24">
        <v>5</v>
      </c>
      <c r="D1162" s="65" t="str">
        <f>HYPERLINK("https://github.com/mostafa-saad/MyCompetitiveProgramming/blob/master/Olympiad/Baltic/Baltic-11-grow.txt","Sol")</f>
        <v>Sol</v>
      </c>
      <c r="E1162" s="31" t="s">
        <v>5874</v>
      </c>
      <c r="F1162" s="37"/>
      <c r="G1162" s="24"/>
      <c r="H1162" s="24"/>
    </row>
    <row r="1163" spans="1:8" ht="13.2">
      <c r="A1163" s="65" t="str">
        <f>HYPERLINK("https://joisc2013-day4.contest.atcoder.jp/tasks/joisc2013_spaceships","JOISC 13-Spaceships")</f>
        <v>JOISC 13-Spaceships</v>
      </c>
      <c r="B1163" s="20" t="s">
        <v>7664</v>
      </c>
      <c r="C1163" s="24">
        <v>5</v>
      </c>
      <c r="D1163" s="69"/>
      <c r="E1163" s="31" t="s">
        <v>5874</v>
      </c>
      <c r="F1163" s="37"/>
      <c r="G1163" s="24"/>
      <c r="H1163" s="24"/>
    </row>
    <row r="1164" spans="1:8" ht="13.2">
      <c r="A1164" s="65" t="str">
        <f>HYPERLINK("https://infoarena.ro/problema/poarta2","infoarena poarta2")</f>
        <v>infoarena poarta2</v>
      </c>
      <c r="B1164" s="20" t="s">
        <v>7407</v>
      </c>
      <c r="C1164" s="21">
        <v>5</v>
      </c>
      <c r="D1164" s="65" t="str">
        <f>HYPERLINK("https://github.com/stefdasca/CompetitiveProgramming/blob/master/Infoarena/poarta2.cpp","Sol")</f>
        <v>Sol</v>
      </c>
      <c r="E1164" s="31" t="s">
        <v>5958</v>
      </c>
      <c r="F1164" s="37"/>
      <c r="G1164" s="24"/>
      <c r="H1164" s="24"/>
    </row>
    <row r="1165" spans="1:8" ht="13.2">
      <c r="A1165" s="65" t="str">
        <f>HYPERLINK("https://codeforces.com/group/swEqtABRxe/contest/243427/problem/C", "EOIQ 18-r2-C")</f>
        <v>EOIQ 18-r2-C</v>
      </c>
      <c r="B1165" s="20" t="s">
        <v>5961</v>
      </c>
      <c r="C1165" s="17">
        <v>5</v>
      </c>
      <c r="D1165" s="69"/>
      <c r="E1165" s="31" t="s">
        <v>5958</v>
      </c>
      <c r="F1165" s="37"/>
      <c r="G1165" s="24"/>
      <c r="H1165" s="24"/>
    </row>
    <row r="1166" spans="1:8" ht="13.2">
      <c r="A1166" s="65" t="str">
        <f>HYPERLINK("https://szkopul.edu.pl/problemset/problem/NuGiXg5BO8iuLFU7vmhCmNWK/site/", "POI 09-Brigade")</f>
        <v>POI 09-Brigade</v>
      </c>
      <c r="B1166" s="37" t="s">
        <v>5961</v>
      </c>
      <c r="C1166" s="24">
        <v>5</v>
      </c>
      <c r="D1166" s="65" t="str">
        <f t="shared" ref="D1166:D1167" si="5">HYPERLINK("https://github.com/mostafa-saad/MyCompetitiveProgramming/blob/master/Olympiad/POI/official/find_editorial_sols_guidelines.txt","Editorial")</f>
        <v>Editorial</v>
      </c>
      <c r="E1166" s="31" t="s">
        <v>5958</v>
      </c>
      <c r="F1166" s="37"/>
      <c r="G1166" s="24"/>
      <c r="H1166" s="24"/>
    </row>
    <row r="1167" spans="1:8" ht="13.2">
      <c r="A1167" s="65" t="str">
        <f>HYPERLINK("https://szkopul.edu.pl/problemset/problem/70I-ks8dXjgq3xwzRzLV1w4p/site/", "POI 16-Water_Park")</f>
        <v>POI 16-Water_Park</v>
      </c>
      <c r="B1167" s="37" t="s">
        <v>5961</v>
      </c>
      <c r="C1167" s="24">
        <v>5</v>
      </c>
      <c r="D1167" s="65" t="str">
        <f t="shared" si="5"/>
        <v>Editorial</v>
      </c>
      <c r="E1167" s="31" t="s">
        <v>5958</v>
      </c>
      <c r="F1167" s="37"/>
      <c r="G1167" s="24"/>
      <c r="H1167" s="24"/>
    </row>
    <row r="1168" spans="1:8" ht="13.2">
      <c r="A1168" s="65" t="str">
        <f>HYPERLINK("https://oj.uz/problem/view/IZhO19_stones","IZhO 19-stones")</f>
        <v>IZhO 19-stones</v>
      </c>
      <c r="B1168" s="20" t="s">
        <v>5961</v>
      </c>
      <c r="C1168" s="24">
        <v>5</v>
      </c>
      <c r="D1168" s="69"/>
      <c r="E1168" s="31" t="s">
        <v>5958</v>
      </c>
      <c r="F1168" s="37"/>
      <c r="G1168" s="24"/>
      <c r="H1168" s="24"/>
    </row>
    <row r="1169" spans="1:8" ht="13.2">
      <c r="A1169" s="65" t="str">
        <f>HYPERLINK("https://joisc2013-day1.contest.atcoder.jp/tasks/joisc2013_joi_poster","JOISC 13-Poster")</f>
        <v>JOISC 13-Poster</v>
      </c>
      <c r="B1169" s="20" t="s">
        <v>7665</v>
      </c>
      <c r="C1169" s="24">
        <v>5</v>
      </c>
      <c r="D1169" s="69"/>
      <c r="E1169" s="31" t="s">
        <v>5958</v>
      </c>
      <c r="F1169" s="37"/>
      <c r="G1169" s="24"/>
      <c r="H1169" s="24"/>
    </row>
    <row r="1170" spans="1:8" ht="13.2">
      <c r="A1170" s="65" t="str">
        <f>HYPERLINK("https://oj.uz/problem/view/JOI19_ho_t2","JOI 19-ExhibitionBatch")</f>
        <v>JOI 19-ExhibitionBatch</v>
      </c>
      <c r="B1170" s="37" t="s">
        <v>7422</v>
      </c>
      <c r="C1170" s="24">
        <v>5</v>
      </c>
      <c r="D1170" s="69"/>
      <c r="E1170" s="31" t="s">
        <v>6040</v>
      </c>
      <c r="F1170" s="37"/>
      <c r="G1170" s="24"/>
      <c r="H1170" s="24"/>
    </row>
    <row r="1171" spans="1:8" ht="13.2">
      <c r="A1171" s="65" t="str">
        <f>HYPERLINK("http://usaco.org/index.php?page=viewproblem2&amp;cpid=229","USACO 13jan-lineup")</f>
        <v>USACO 13jan-lineup</v>
      </c>
      <c r="B1171" s="20" t="s">
        <v>6054</v>
      </c>
      <c r="C1171" s="21">
        <v>5</v>
      </c>
      <c r="D1171" s="65" t="str">
        <f>HYPERLINK("https://github.com/mostafa-saad/MyCompetitiveProgramming/blob/master/Olympiad/USACO/USACO-13jan-lineup.txt","Sol")</f>
        <v>Sol</v>
      </c>
      <c r="E1171" s="31" t="s">
        <v>6040</v>
      </c>
      <c r="F1171" s="37"/>
      <c r="G1171" s="24"/>
      <c r="H1171" s="24"/>
    </row>
    <row r="1172" spans="1:8" ht="13.2">
      <c r="A1172" s="65" t="str">
        <f>HYPERLINK("https://szkopul.edu.pl/problemset/problem/SXtZ8jxPUjMD5cLWqCI1EZLT/site/", "POI 13-Colorful")</f>
        <v>POI 13-Colorful</v>
      </c>
      <c r="B1172" s="20" t="s">
        <v>6054</v>
      </c>
      <c r="C1172" s="17">
        <v>5</v>
      </c>
      <c r="D1172" s="65" t="str">
        <f>HYPERLINK("https://github.com/mostafa-saad/MyCompetitiveProgramming/blob/master/Olympiad/POI/official/find_editorial_sols_guidelines.txt","Editorial")</f>
        <v>Editorial</v>
      </c>
      <c r="E1172" s="31" t="s">
        <v>6040</v>
      </c>
      <c r="F1172" s="37"/>
      <c r="G1172" s="24"/>
      <c r="H1172" s="24"/>
    </row>
    <row r="1173" spans="1:8" ht="13.2">
      <c r="A1173" s="65" t="str">
        <f>HYPERLINK("https://www.infoarena.ro/problema/cifra4","infoarena cifra4")</f>
        <v>infoarena cifra4</v>
      </c>
      <c r="B1173" s="20" t="s">
        <v>7434</v>
      </c>
      <c r="C1173" s="21">
        <v>5</v>
      </c>
      <c r="D1173" s="65" t="str">
        <f>HYPERLINK("https://github.com/stefdasca/CompetitiveProgramming/blob/master/Infoarena/cifra4.cpp","Sol")</f>
        <v>Sol</v>
      </c>
      <c r="E1173" s="31" t="s">
        <v>6118</v>
      </c>
      <c r="F1173" s="37"/>
      <c r="G1173" s="24"/>
      <c r="H1173" s="24"/>
    </row>
    <row r="1174" spans="1:8" ht="13.2">
      <c r="A1174" s="65" t="str">
        <f>HYPERLINK("http://usaco.org/index.php?page=viewproblem2&amp;cpid=921","USACO 19feb-gold-cowland")</f>
        <v>USACO 19feb-gold-cowland</v>
      </c>
      <c r="B1174" s="37" t="s">
        <v>6320</v>
      </c>
      <c r="C1174" s="24">
        <v>5</v>
      </c>
      <c r="D1174" s="69"/>
      <c r="E1174" s="31" t="s">
        <v>6311</v>
      </c>
      <c r="F1174" s="37"/>
      <c r="G1174" s="24"/>
      <c r="H1174" s="24"/>
    </row>
    <row r="1175" spans="1:8" ht="13.2">
      <c r="A1175" s="65" t="str">
        <f>HYPERLINK("https://dmoj.ca/problem/dmpg18s5","DMPG 18-MimiDivision")</f>
        <v>DMPG 18-MimiDivision</v>
      </c>
      <c r="B1175" s="37" t="s">
        <v>6398</v>
      </c>
      <c r="C1175" s="24">
        <v>5</v>
      </c>
      <c r="D1175" s="69"/>
      <c r="E1175" s="31" t="s">
        <v>6397</v>
      </c>
      <c r="F1175" s="37"/>
      <c r="G1175" s="24"/>
      <c r="H1175" s="24"/>
    </row>
    <row r="1176" spans="1:8" ht="13.2">
      <c r="A1176" s="65" t="str">
        <f>HYPERLINK("https://dmoj.ca/problem/coci07c3p6","COCI 07-Redoks")</f>
        <v>COCI 07-Redoks</v>
      </c>
      <c r="B1176" s="15" t="s">
        <v>1043</v>
      </c>
      <c r="C1176" s="24">
        <v>5</v>
      </c>
      <c r="D1176" s="65" t="str">
        <f>HYPERLINK("https://github.com/mostafa-saad/MyCompetitiveProgramming/blob/master/Olympiad/COCI/COCI-07-Redoks.txt","Sol")</f>
        <v>Sol</v>
      </c>
      <c r="E1176" s="31" t="s">
        <v>1018</v>
      </c>
      <c r="F1176" s="37"/>
      <c r="G1176" s="24"/>
      <c r="H1176" s="24"/>
    </row>
    <row r="1177" spans="1:8" ht="13.2">
      <c r="A1177" s="65" t="str">
        <f>HYPERLINK("https://codeforces.com/group/swEqtABRxe/contest/243435/problem/A", "IOIQ 19-r2-A")</f>
        <v>IOIQ 19-r2-A</v>
      </c>
      <c r="B1177" s="20" t="s">
        <v>6797</v>
      </c>
      <c r="C1177" s="17">
        <v>5</v>
      </c>
      <c r="D1177" s="69"/>
      <c r="E1177" s="31" t="s">
        <v>1018</v>
      </c>
      <c r="F1177" s="37"/>
      <c r="G1177" s="24"/>
      <c r="H1177" s="24"/>
    </row>
    <row r="1178" spans="1:8" ht="13.2">
      <c r="A1178" s="65" t="str">
        <f>HYPERLINK("https://wcipeg.com/problem/coci087p6","COI 08-Cvjetici")</f>
        <v>COI 08-Cvjetici</v>
      </c>
      <c r="B1178" s="15" t="s">
        <v>6798</v>
      </c>
      <c r="C1178" s="24">
        <v>5</v>
      </c>
      <c r="D1178" s="65" t="str">
        <f>HYPERLINK("https://github.com/mostafa-saad/MyCompetitiveProgramming/blob/master/Olympiad/COI/COI-08-Cvjetici.txt","Sol")</f>
        <v>Sol</v>
      </c>
      <c r="E1178" s="31" t="s">
        <v>1018</v>
      </c>
      <c r="F1178" s="37"/>
      <c r="G1178" s="24"/>
      <c r="H1178" s="24"/>
    </row>
    <row r="1179" spans="1:8" ht="13.2">
      <c r="A1179" s="65" t="str">
        <f>HYPERLINK("https://csacademy.com/contest/junior-challenge-2017-day-1/task/remove-update","ROJS 17-remove_update")</f>
        <v>ROJS 17-remove_update</v>
      </c>
      <c r="B1179" s="37" t="s">
        <v>6799</v>
      </c>
      <c r="C1179" s="24">
        <v>5</v>
      </c>
      <c r="D1179" s="65" t="str">
        <f>HYPERLINK("https://github.com/nikolapesic2802/Programming-Practice/blob/master/Remove%20Update/main.cpp","Sol")</f>
        <v>Sol</v>
      </c>
      <c r="E1179" s="31" t="s">
        <v>1018</v>
      </c>
      <c r="F1179" s="37"/>
      <c r="G1179" s="24"/>
      <c r="H1179" s="24"/>
    </row>
    <row r="1180" spans="1:8" ht="13.2">
      <c r="A1180" s="65" t="str">
        <f>HYPERLINK("https://dmoj.ca/problem/cco13p2","CCO 13-Tourney")</f>
        <v>CCO 13-Tourney</v>
      </c>
      <c r="B1180" s="37" t="s">
        <v>1017</v>
      </c>
      <c r="C1180" s="24">
        <v>5</v>
      </c>
      <c r="D1180" s="69"/>
      <c r="E1180" s="31" t="s">
        <v>1018</v>
      </c>
      <c r="F1180" s="37"/>
      <c r="G1180" s="24"/>
      <c r="H1180" s="24"/>
    </row>
    <row r="1181" spans="1:8" ht="13.2">
      <c r="A1181" s="65" t="str">
        <f>HYPERLINK("https://dmoj.ca/problem/dmopc18c4p4","DMOPC 18-HenriLabData")</f>
        <v>DMOPC 18-HenriLabData</v>
      </c>
      <c r="B1181" s="37" t="s">
        <v>1017</v>
      </c>
      <c r="C1181" s="24">
        <v>5</v>
      </c>
      <c r="D1181" s="69"/>
      <c r="E1181" s="31" t="s">
        <v>1018</v>
      </c>
      <c r="F1181" s="37"/>
      <c r="G1181" s="24"/>
      <c r="H1181" s="24"/>
    </row>
    <row r="1182" spans="1:8" ht="13.2">
      <c r="A1182" s="65" t="str">
        <f>HYPERLINK("http://usaco.org/index.php?page=viewproblem2&amp;cpid=578", "USACO 15dec-haybales-plat")</f>
        <v>USACO 15dec-haybales-plat</v>
      </c>
      <c r="B1182" s="20" t="s">
        <v>1017</v>
      </c>
      <c r="C1182" s="21">
        <v>5</v>
      </c>
      <c r="D1182" s="69"/>
      <c r="E1182" s="31" t="s">
        <v>1018</v>
      </c>
      <c r="F1182" s="37"/>
      <c r="G1182" s="24"/>
      <c r="H1182" s="24"/>
    </row>
    <row r="1183" spans="1:8" ht="13.2">
      <c r="A1183" s="65" t="str">
        <f>HYPERLINK("http://hsin.hr/coci/archive/2011_2012/","COCI 12-KOSARE")</f>
        <v>COCI 12-KOSARE</v>
      </c>
      <c r="B1183" s="76" t="s">
        <v>7497</v>
      </c>
      <c r="C1183" s="62">
        <v>5</v>
      </c>
      <c r="D1183" s="65" t="str">
        <f>HYPERLINK("https://github.com/mostafa-saad/MyCompetitiveProgramming/tree/master/Olympiad/COCI/official/2012/contest6_solutions","Editorial")</f>
        <v>Editorial</v>
      </c>
      <c r="E1183" s="31" t="s">
        <v>6441</v>
      </c>
      <c r="F1183" s="37"/>
      <c r="G1183" s="24"/>
      <c r="H1183" s="24"/>
    </row>
    <row r="1184" spans="1:8" ht="13.2">
      <c r="A1184" s="65" t="str">
        <f>HYPERLINK("https://infoarena.ro/problema/posta2","infoarena posta2")</f>
        <v>infoarena posta2</v>
      </c>
      <c r="B1184" s="20" t="s">
        <v>6458</v>
      </c>
      <c r="C1184" s="21">
        <v>5</v>
      </c>
      <c r="D1184" s="65" t="str">
        <f>HYPERLINK("https://github.com/stefdasca/CompetitiveProgramming/blob/master/Infoarena/posta2.cpp","Sol")</f>
        <v>Sol</v>
      </c>
      <c r="E1184" s="31" t="s">
        <v>6459</v>
      </c>
      <c r="F1184" s="37"/>
      <c r="G1184" s="24"/>
      <c r="H1184" s="24"/>
    </row>
    <row r="1185" spans="1:8" ht="13.2">
      <c r="A1185" s="65" t="str">
        <f>HYPERLINK("https://szkopul.edu.pl/problemset/problem/1QaUWE_ePAmitZjgAszOVD1U/site/", "POI 16-Parade")</f>
        <v>POI 16-Parade</v>
      </c>
      <c r="B1185" s="25" t="s">
        <v>7514</v>
      </c>
      <c r="C1185" s="24">
        <v>5</v>
      </c>
      <c r="D1185" s="65" t="str">
        <f>HYPERLINK("https://github.com/win11905/submission/blob/master/POI/parade.cpp","Sol")</f>
        <v>Sol</v>
      </c>
      <c r="E1185" s="31" t="s">
        <v>6459</v>
      </c>
      <c r="F1185" s="37"/>
      <c r="G1185" s="24"/>
      <c r="H1185" s="24"/>
    </row>
    <row r="1186" spans="1:8" ht="13.2">
      <c r="A1186" s="65" t="str">
        <f>HYPERLINK("http://usaco.org/index.php?page=viewproblem2&amp;cpid=814","USACO 18feb-dirtraverse-gold")</f>
        <v>USACO 18feb-dirtraverse-gold</v>
      </c>
      <c r="B1186" s="37" t="s">
        <v>7515</v>
      </c>
      <c r="C1186" s="24">
        <v>5</v>
      </c>
      <c r="D1186" s="69"/>
      <c r="E1186" s="31" t="s">
        <v>6459</v>
      </c>
      <c r="F1186" s="37"/>
      <c r="G1186" s="24"/>
      <c r="H1186" s="24"/>
    </row>
    <row r="1187" spans="1:8" ht="13.2">
      <c r="A1187" s="65" t="str">
        <f>HYPERLINK("https://dunjudge.me/analysis/problems/725/","MCO 15-secret")</f>
        <v>MCO 15-secret</v>
      </c>
      <c r="B1187" s="37" t="s">
        <v>7523</v>
      </c>
      <c r="C1187" s="24">
        <v>5</v>
      </c>
      <c r="D1187" s="65" t="str">
        <f>HYPERLINK("https://github.com/mostafa-saad/MyCompetitiveProgramming/tree/master/Olympiad/MCO/official/2015","Sol No Editorial")</f>
        <v>Sol No Editorial</v>
      </c>
      <c r="E1187" s="31" t="s">
        <v>6505</v>
      </c>
      <c r="F1187" s="37"/>
      <c r="G1187" s="24"/>
      <c r="H1187" s="24"/>
    </row>
    <row r="1188" spans="1:8" ht="13.2">
      <c r="A1188" s="65" t="str">
        <f>HYPERLINK("https://oj.uz/problem/view/IZhO17_game","IZhO 17-GAME")</f>
        <v>IZhO 17-GAME</v>
      </c>
      <c r="B1188" s="20" t="s">
        <v>1222</v>
      </c>
      <c r="C1188" s="24">
        <v>5</v>
      </c>
      <c r="D1188" s="69"/>
      <c r="E1188" s="31" t="s">
        <v>1223</v>
      </c>
      <c r="F1188" s="37"/>
      <c r="G1188" s="24"/>
      <c r="H1188" s="24"/>
    </row>
    <row r="1189" spans="1:8" ht="13.2">
      <c r="A1189" s="65" t="str">
        <f>HYPERLINK("http://usaco.org/index.php?page=viewproblem2&amp;cpid=102", "USACO 11dec-grassplant-gold")</f>
        <v>USACO 11dec-grassplant-gold</v>
      </c>
      <c r="B1189" s="20" t="s">
        <v>6821</v>
      </c>
      <c r="C1189" s="21">
        <v>5</v>
      </c>
      <c r="D1189" s="69"/>
      <c r="E1189" s="31" t="s">
        <v>1223</v>
      </c>
      <c r="F1189" s="37"/>
      <c r="G1189" s="24"/>
      <c r="H1189" s="24"/>
    </row>
    <row r="1190" spans="1:8" ht="13.2">
      <c r="A1190" s="65" t="str">
        <f>HYPERLINK("https://oj.uz/problem/view/IZhO19_sortbooks","IZhO 19-sortbooks")</f>
        <v>IZhO 19-sortbooks</v>
      </c>
      <c r="B1190" s="20" t="s">
        <v>1222</v>
      </c>
      <c r="C1190" s="24">
        <v>5</v>
      </c>
      <c r="D1190" s="69"/>
      <c r="E1190" s="31" t="s">
        <v>1223</v>
      </c>
      <c r="F1190" s="37"/>
      <c r="G1190" s="24"/>
      <c r="H1190" s="24"/>
    </row>
    <row r="1191" spans="1:8" ht="13.2">
      <c r="A1191" s="65" t="str">
        <f>HYPERLINK("https://oj.uz/problems/source/307","JOI 18-art")</f>
        <v>JOI 18-art</v>
      </c>
      <c r="B1191" s="15" t="s">
        <v>6924</v>
      </c>
      <c r="C1191" s="17">
        <v>5</v>
      </c>
      <c r="D1191" s="65" t="str">
        <f>HYPERLINK("https://github.com/updown2/OI-Practice/blob/master/JOI/2018/Art.cpp", "Sol")</f>
        <v>Sol</v>
      </c>
      <c r="E1191" s="31" t="s">
        <v>1337</v>
      </c>
      <c r="F1191" s="37"/>
      <c r="G1191" s="24"/>
      <c r="H1191" s="24"/>
    </row>
    <row r="1192" spans="1:8" ht="13.2">
      <c r="A1192" s="65" t="str">
        <f>HYPERLINK("https://boi18-day2-open.kattis.com/problems","Baltic 18-Paths")</f>
        <v>Baltic 18-Paths</v>
      </c>
      <c r="B1192" s="18" t="s">
        <v>6925</v>
      </c>
      <c r="C1192" s="17">
        <v>5</v>
      </c>
      <c r="D1192" s="65" t="str">
        <f>HYPERLINK("https://github.com/mostafa-saad/MyCompetitiveProgramming/blob/master/Olympiad/Baltic/Baltic-18-Paths.txt","Sol")</f>
        <v>Sol</v>
      </c>
      <c r="E1192" s="31" t="s">
        <v>1337</v>
      </c>
      <c r="F1192" s="37"/>
      <c r="G1192" s="24"/>
      <c r="H1192" s="24"/>
    </row>
    <row r="1193" spans="1:8" ht="13.2">
      <c r="A1193" s="65" t="str">
        <f>HYPERLINK("https://oj.uz/problems/source/6","JOIOC 13-watching")</f>
        <v>JOIOC 13-watching</v>
      </c>
      <c r="B1193" s="15" t="s">
        <v>1374</v>
      </c>
      <c r="C1193" s="17">
        <v>5</v>
      </c>
      <c r="D1193" s="65" t="str">
        <f>HYPERLINK("https://github.com/mostafa-saad/MyCompetitiveProgramming/blob/master/Olympiad/JOI/JOIOC-13-Watching.txt","Sol")</f>
        <v>Sol</v>
      </c>
      <c r="E1193" s="31" t="s">
        <v>1337</v>
      </c>
      <c r="F1193" s="37"/>
      <c r="G1193" s="24"/>
      <c r="H1193" s="24"/>
    </row>
    <row r="1194" spans="1:8" ht="13.2">
      <c r="A1194" s="65" t="str">
        <f>HYPERLINK("http://usaco.org/index.php?page=viewproblem2&amp;cpid=494","USACO 14dec-guard")</f>
        <v>USACO 14dec-guard</v>
      </c>
      <c r="B1194" s="20" t="s">
        <v>6926</v>
      </c>
      <c r="C1194" s="21">
        <v>5</v>
      </c>
      <c r="D1194" s="65" t="str">
        <f>HYPERLINK("https://github.com/goar5670/CompetitiveProgramming/blob/master/USACO%2014dec-guard.cpp","Sol")</f>
        <v>Sol</v>
      </c>
      <c r="E1194" s="31" t="s">
        <v>1337</v>
      </c>
      <c r="F1194" s="37"/>
      <c r="G1194" s="24"/>
      <c r="H1194" s="24"/>
    </row>
    <row r="1195" spans="1:8" ht="13.2">
      <c r="A1195" s="65" t="str">
        <f>HYPERLINK("https://contest.yandex.ru/ioi/contest/570/enter/","IOI 10-traffic")</f>
        <v>IOI 10-traffic</v>
      </c>
      <c r="B1195" s="18" t="s">
        <v>6927</v>
      </c>
      <c r="C1195" s="17">
        <v>5</v>
      </c>
      <c r="D1195" s="65" t="str">
        <f>HYPERLINK("https://github.com/mostafa-saad/MyCompetitiveProgramming/blob/master/Olympiad/IOI/IOI-10-traffic.txt","Sol")</f>
        <v>Sol</v>
      </c>
      <c r="E1195" s="31" t="s">
        <v>1337</v>
      </c>
      <c r="F1195" s="37"/>
      <c r="G1195" s="24"/>
      <c r="H1195" s="24"/>
    </row>
    <row r="1196" spans="1:8" ht="13.2">
      <c r="A1196" s="65" t="str">
        <f>HYPERLINK("https://oj.uz/problem/view/JOI20_ho_t3","JOI 20-CollectingStamps3")</f>
        <v>JOI 20-CollectingStamps3</v>
      </c>
      <c r="B1196" s="25" t="s">
        <v>6928</v>
      </c>
      <c r="C1196" s="24">
        <v>5</v>
      </c>
      <c r="D1196" s="65" t="str">
        <f>HYPERLINK("https://github.com/mostafa-saad/MyCompetitiveProgramming/blob/master/Olympiad/JOI/JOI-20-CollectingStamps3.txt","Sol")</f>
        <v>Sol</v>
      </c>
      <c r="E1196" s="31" t="s">
        <v>1337</v>
      </c>
      <c r="F1196" s="37"/>
      <c r="G1196" s="24"/>
      <c r="H1196" s="24"/>
    </row>
    <row r="1197" spans="1:8" ht="13.2">
      <c r="A1197" s="65" t="str">
        <f>HYPERLINK("https://dmoj.ca/problem/coci06c2p5","COCI 06-Stol")</f>
        <v>COCI 06-Stol</v>
      </c>
      <c r="B1197" s="15" t="s">
        <v>1348</v>
      </c>
      <c r="C1197" s="24">
        <v>5</v>
      </c>
      <c r="D1197" s="65" t="str">
        <f>HYPERLINK("https://github.com/mostafa-saad/MyCompetitiveProgramming/tree/master/Olympiad/COCI/official/2007/contest2_solutions","Editorial")</f>
        <v>Editorial</v>
      </c>
      <c r="E1197" s="31" t="s">
        <v>1337</v>
      </c>
      <c r="F1197" s="37"/>
      <c r="G1197" s="24"/>
      <c r="H1197" s="24"/>
    </row>
    <row r="1198" spans="1:8" ht="13.2">
      <c r="A1198" s="65" t="str">
        <f>HYPERLINK("https://dunjudge.me/analysis/problems/13/","NOI 10-landscape")</f>
        <v>NOI 10-landscape</v>
      </c>
      <c r="B1198" s="37" t="s">
        <v>1348</v>
      </c>
      <c r="C1198" s="24">
        <v>5</v>
      </c>
      <c r="D1198" s="69"/>
      <c r="E1198" s="31" t="s">
        <v>1337</v>
      </c>
      <c r="F1198" s="37"/>
      <c r="G1198" s="24"/>
      <c r="H1198" s="24"/>
    </row>
    <row r="1199" spans="1:8" ht="13.2">
      <c r="A1199" s="65" t="str">
        <f>HYPERLINK("https://www.infoarena.ro/problema/panza","infoarena panza")</f>
        <v>infoarena panza</v>
      </c>
      <c r="B1199" s="20" t="s">
        <v>6929</v>
      </c>
      <c r="C1199" s="21">
        <v>5</v>
      </c>
      <c r="D1199" s="65" t="str">
        <f>HYPERLINK("https://github.com/stefdasca/CompetitiveProgramming/blob/master/Infoarena/panza.cpp","Sol")</f>
        <v>Sol</v>
      </c>
      <c r="E1199" s="31" t="s">
        <v>1337</v>
      </c>
      <c r="F1199" s="37"/>
      <c r="G1199" s="24"/>
      <c r="H1199" s="24"/>
    </row>
    <row r="1200" spans="1:8" ht="13.2">
      <c r="A1200" s="65" t="str">
        <f>HYPERLINK("https://cses.fi/114/list/","Baltic 08-Elections")</f>
        <v>Baltic 08-Elections</v>
      </c>
      <c r="B1200" s="37" t="s">
        <v>1366</v>
      </c>
      <c r="C1200" s="24">
        <v>5</v>
      </c>
      <c r="D1200" s="65" t="str">
        <f>HYPERLINK("https://github.com/mostafa-saad/MyCompetitiveProgramming/blob/master/Olympiad/Baltic/official/boi2008_solutions","Editorial")</f>
        <v>Editorial</v>
      </c>
      <c r="E1200" s="31" t="s">
        <v>1337</v>
      </c>
      <c r="F1200" s="37"/>
      <c r="G1200" s="24"/>
      <c r="H1200" s="24"/>
    </row>
    <row r="1201" spans="1:8" ht="13.2">
      <c r="A1201" s="65" t="str">
        <f>HYPERLINK("https://dmoj.ca/problem/coci08c2p5","COCI 08-Setnja")</f>
        <v>COCI 08-Setnja</v>
      </c>
      <c r="B1201" s="15" t="s">
        <v>6930</v>
      </c>
      <c r="C1201" s="24">
        <v>5</v>
      </c>
      <c r="D1201" s="65" t="str">
        <f>HYPERLINK("https://github.com/mostafa-saad/MyCompetitiveProgramming/blob/master/Olympiad/COCI/official/2009/contest2_solutions","Editorial")</f>
        <v>Editorial</v>
      </c>
      <c r="E1201" s="31" t="s">
        <v>1337</v>
      </c>
      <c r="F1201" s="37"/>
      <c r="G1201" s="24"/>
      <c r="H1201" s="24"/>
    </row>
    <row r="1202" spans="1:8" ht="13.2">
      <c r="A1202" s="65" t="str">
        <f>HYPERLINK("https://dunjudge.me/analysis/problems/134/","NOI 07-street")</f>
        <v>NOI 07-street</v>
      </c>
      <c r="B1202" s="37" t="s">
        <v>1348</v>
      </c>
      <c r="C1202" s="24">
        <v>5</v>
      </c>
      <c r="D1202" s="65" t="str">
        <f t="shared" ref="D1202:D1204" si="6">HYPERLINK("https://github.com/mostafa-saad/MyCompetitiveProgramming/blob/master/Olympiad/NOI/official","Editorial")</f>
        <v>Editorial</v>
      </c>
      <c r="E1202" s="31" t="s">
        <v>1337</v>
      </c>
      <c r="F1202" s="37"/>
      <c r="G1202" s="24"/>
      <c r="H1202" s="24"/>
    </row>
    <row r="1203" spans="1:8" ht="13.2">
      <c r="A1203" s="65" t="str">
        <f>HYPERLINK("https://dunjudge.me/analysis/problems/67/","NOI 08-housing")</f>
        <v>NOI 08-housing</v>
      </c>
      <c r="B1203" s="37" t="s">
        <v>1348</v>
      </c>
      <c r="C1203" s="24">
        <v>5</v>
      </c>
      <c r="D1203" s="65" t="str">
        <f t="shared" si="6"/>
        <v>Editorial</v>
      </c>
      <c r="E1203" s="31" t="s">
        <v>1337</v>
      </c>
      <c r="F1203" s="37"/>
      <c r="G1203" s="24"/>
      <c r="H1203" s="24"/>
    </row>
    <row r="1204" spans="1:8" ht="13.2">
      <c r="A1204" s="65" t="str">
        <f>HYPERLINK("https://dunjudge.me/analysis/problems/703/","NOI 15-askonegetonefree")</f>
        <v>NOI 15-askonegetonefree</v>
      </c>
      <c r="B1204" s="37" t="s">
        <v>1348</v>
      </c>
      <c r="C1204" s="24">
        <v>5</v>
      </c>
      <c r="D1204" s="65" t="str">
        <f t="shared" si="6"/>
        <v>Editorial</v>
      </c>
      <c r="E1204" s="31" t="s">
        <v>1337</v>
      </c>
      <c r="F1204" s="37"/>
      <c r="G1204" s="24"/>
      <c r="H1204" s="24"/>
    </row>
    <row r="1205" spans="1:8" ht="13.2">
      <c r="A1205" s="65" t="str">
        <f>HYPERLINK("https://dmoj.ca/problem/ccoprep16q1","Dmoj City_Game")</f>
        <v>Dmoj City_Game</v>
      </c>
      <c r="B1205" s="37" t="s">
        <v>1348</v>
      </c>
      <c r="C1205" s="24">
        <v>5</v>
      </c>
      <c r="D1205" s="69"/>
      <c r="E1205" s="31" t="s">
        <v>1337</v>
      </c>
      <c r="F1205" s="37"/>
      <c r="G1205" s="24"/>
      <c r="H1205" s="24"/>
    </row>
    <row r="1206" spans="1:8" ht="13.2">
      <c r="A1206" s="65" t="str">
        <f>HYPERLINK("https://oj.uz/problem/view/info1cup18_maxcomp","info1cup 18-maxcomp")</f>
        <v>info1cup 18-maxcomp</v>
      </c>
      <c r="B1206" s="37" t="s">
        <v>1348</v>
      </c>
      <c r="C1206" s="24">
        <v>5</v>
      </c>
      <c r="D1206" s="69"/>
      <c r="E1206" s="31" t="s">
        <v>1337</v>
      </c>
      <c r="F1206" s="37"/>
      <c r="G1206" s="24"/>
      <c r="H1206" s="24"/>
    </row>
    <row r="1207" spans="1:8" ht="13.2">
      <c r="A1207" s="65" t="str">
        <f>HYPERLINK("http://usaco.org/index.php?page=viewproblem2&amp;cpid=945","USACO 19mar-snakes-gold")</f>
        <v>USACO 19mar-snakes-gold</v>
      </c>
      <c r="B1207" s="20" t="s">
        <v>1348</v>
      </c>
      <c r="C1207" s="17">
        <v>5</v>
      </c>
      <c r="D1207" s="69"/>
      <c r="E1207" s="31" t="s">
        <v>1337</v>
      </c>
      <c r="F1207" s="37"/>
      <c r="G1207" s="24"/>
      <c r="H1207" s="24"/>
    </row>
    <row r="1208" spans="1:8" ht="13.2">
      <c r="A1208" s="65" t="str">
        <f>HYPERLINK("https://cses.fi/110/list/","Baltic 06-Jump")</f>
        <v>Baltic 06-Jump</v>
      </c>
      <c r="B1208" s="70" t="s">
        <v>7666</v>
      </c>
      <c r="C1208" s="66">
        <v>5</v>
      </c>
      <c r="D1208" s="65" t="str">
        <f>HYPERLINK("https://github.com/mostafa-saad/MyCompetitiveProgramming/blob/master/Olympiad/Baltic/official/boi2006_solutions","Editorial")</f>
        <v>Editorial</v>
      </c>
      <c r="E1208" s="31" t="s">
        <v>1337</v>
      </c>
      <c r="F1208" s="37"/>
      <c r="G1208" s="24"/>
      <c r="H1208" s="24"/>
    </row>
    <row r="1209" spans="1:8" ht="13.2">
      <c r="A1209" s="65" t="str">
        <f>HYPERLINK("https://dunjudge.me/analysis/problems/958/","NOI 16-unlucky_floors")</f>
        <v>NOI 16-unlucky_floors</v>
      </c>
      <c r="B1209" s="37" t="s">
        <v>1348</v>
      </c>
      <c r="C1209" s="24">
        <v>5</v>
      </c>
      <c r="D1209" s="65" t="str">
        <f>HYPERLINK("https://github.com/mostafa-saad/MyCompetitiveProgramming/blob/master/Olympiad/NOI/official","Editorial")</f>
        <v>Editorial</v>
      </c>
      <c r="E1209" s="31" t="s">
        <v>1337</v>
      </c>
      <c r="F1209" s="37"/>
      <c r="G1209" s="24"/>
      <c r="H1209" s="24"/>
    </row>
    <row r="1210" spans="1:8" ht="13.2">
      <c r="A1210" s="65" t="str">
        <f>HYPERLINK("https://szkopul.edu.pl/problemset/problem/uABxo7lIMMVDn0-HB1wCE02w/site/", "POI 09-Inspector")</f>
        <v>POI 09-Inspector</v>
      </c>
      <c r="B1210" s="37" t="s">
        <v>1348</v>
      </c>
      <c r="C1210" s="24">
        <v>5</v>
      </c>
      <c r="D1210" s="65" t="str">
        <f t="shared" ref="D1210:D1213" si="7">HYPERLINK("https://github.com/mostafa-saad/MyCompetitiveProgramming/blob/master/Olympiad/POI/official/find_editorial_sols_guidelines.txt","Editorial")</f>
        <v>Editorial</v>
      </c>
      <c r="E1210" s="31" t="s">
        <v>1337</v>
      </c>
      <c r="F1210" s="37"/>
      <c r="G1210" s="24"/>
      <c r="H1210" s="24"/>
    </row>
    <row r="1211" spans="1:8" ht="13.2">
      <c r="A1211" s="65" t="str">
        <f>HYPERLINK("https://szkopul.edu.pl/problemset/problem/xmyBMI5AsEiW30_RyePNSXiG/site/", "POI 11-Difference")</f>
        <v>POI 11-Difference</v>
      </c>
      <c r="B1211" s="25" t="s">
        <v>6932</v>
      </c>
      <c r="C1211" s="17">
        <v>5</v>
      </c>
      <c r="D1211" s="65" t="str">
        <f t="shared" si="7"/>
        <v>Editorial</v>
      </c>
      <c r="E1211" s="31" t="s">
        <v>1337</v>
      </c>
      <c r="F1211" s="37"/>
      <c r="G1211" s="24"/>
      <c r="H1211" s="24"/>
    </row>
    <row r="1212" spans="1:8" ht="13.2">
      <c r="A1212" s="65" t="str">
        <f>HYPERLINK("https://oj.uz/problem/view/POI13_luk","POI 13-luk")</f>
        <v>POI 13-luk</v>
      </c>
      <c r="B1212" s="37" t="s">
        <v>1346</v>
      </c>
      <c r="C1212" s="24">
        <v>5</v>
      </c>
      <c r="D1212" s="65" t="str">
        <f t="shared" si="7"/>
        <v>Editorial</v>
      </c>
      <c r="E1212" s="31" t="s">
        <v>1337</v>
      </c>
      <c r="F1212" s="37"/>
      <c r="G1212" s="24"/>
      <c r="H1212" s="24"/>
    </row>
    <row r="1213" spans="1:8" ht="13.2">
      <c r="A1213" s="65" t="str">
        <f>HYPERLINK("https://oj.uz/problem/view/POI13_mor","POI 13-mor")</f>
        <v>POI 13-mor</v>
      </c>
      <c r="B1213" s="37" t="s">
        <v>1348</v>
      </c>
      <c r="C1213" s="24">
        <v>5</v>
      </c>
      <c r="D1213" s="65" t="str">
        <f t="shared" si="7"/>
        <v>Editorial</v>
      </c>
      <c r="E1213" s="31" t="s">
        <v>1337</v>
      </c>
      <c r="F1213" s="37"/>
      <c r="G1213" s="24"/>
      <c r="H1213" s="24"/>
    </row>
    <row r="1214" spans="1:8" ht="13.2">
      <c r="A1214" s="65" t="str">
        <f>HYPERLINK("https://joi2014ho.contest.atcoder.jp/tasks/joi2014ho2","JOI 14-IOIManju")</f>
        <v>JOI 14-IOIManju</v>
      </c>
      <c r="B1214" s="20" t="s">
        <v>7667</v>
      </c>
      <c r="C1214" s="17">
        <v>5</v>
      </c>
      <c r="D1214" s="69"/>
      <c r="E1214" s="31" t="s">
        <v>1337</v>
      </c>
      <c r="F1214" s="37"/>
      <c r="G1214" s="24"/>
      <c r="H1214" s="24"/>
    </row>
    <row r="1215" spans="1:8" ht="13.2">
      <c r="A1215" s="65" t="str">
        <f>HYPERLINK("https://dunjudge.me/analysis/problems/700/","NOIMOCK 15-battleship")</f>
        <v>NOIMOCK 15-battleship</v>
      </c>
      <c r="B1215" s="37" t="s">
        <v>1348</v>
      </c>
      <c r="C1215" s="24">
        <v>5</v>
      </c>
      <c r="D1215" s="69"/>
      <c r="E1215" s="31" t="s">
        <v>1337</v>
      </c>
      <c r="F1215" s="37"/>
      <c r="G1215" s="24"/>
      <c r="H1215" s="24"/>
    </row>
    <row r="1216" spans="1:8" ht="13.2">
      <c r="A1216" s="65" t="str">
        <f>HYPERLINK("https://www.infoarena.ro/problema/cartite","infoarena cartite")</f>
        <v>infoarena cartite</v>
      </c>
      <c r="B1216" s="20" t="s">
        <v>6660</v>
      </c>
      <c r="C1216" s="21">
        <v>5</v>
      </c>
      <c r="D1216" s="65" t="str">
        <f>HYPERLINK("https://github.com/stefdasca/CompetitiveProgramming/blob/master/Infoarena/cartite.cpp","Sol")</f>
        <v>Sol</v>
      </c>
      <c r="E1216" s="31" t="s">
        <v>332</v>
      </c>
      <c r="F1216" s="37"/>
      <c r="G1216" s="24"/>
      <c r="H1216" s="24"/>
    </row>
    <row r="1217" spans="1:8" ht="13.2">
      <c r="A1217" s="65" t="str">
        <f>HYPERLINK("https://dmoj.ca/problem/coci08c5p6","COCI 08-Kruska")</f>
        <v>COCI 08-Kruska</v>
      </c>
      <c r="B1217" s="15" t="s">
        <v>6661</v>
      </c>
      <c r="C1217" s="24">
        <v>5</v>
      </c>
      <c r="D1217" s="65" t="str">
        <f>HYPERLINK("https://github.com/mostafa-saad/MyCompetitiveProgramming/blob/master/Olympiad/COCI/official/2009/contest5_solutions","Editorial")</f>
        <v>Editorial</v>
      </c>
      <c r="E1217" s="31" t="s">
        <v>332</v>
      </c>
      <c r="F1217" s="37"/>
      <c r="G1217" s="24"/>
      <c r="H1217" s="24"/>
    </row>
    <row r="1218" spans="1:8" ht="13.2">
      <c r="A1218" s="65" t="str">
        <f>HYPERLINK("https://dmoj.ca/problem/coci07c4p3","COCI 07-Lektira")</f>
        <v>COCI 07-Lektira</v>
      </c>
      <c r="B1218" s="15" t="s">
        <v>359</v>
      </c>
      <c r="C1218" s="24">
        <v>5</v>
      </c>
      <c r="D1218" s="65" t="str">
        <f>HYPERLINK("https://github.com/mostafa-saad/MyCompetitiveProgramming/tree/master/Olympiad/COCI/official/2008/contest4_solutions","Editorial")</f>
        <v>Editorial</v>
      </c>
      <c r="E1218" s="31" t="s">
        <v>332</v>
      </c>
      <c r="F1218" s="37"/>
      <c r="G1218" s="24"/>
      <c r="H1218" s="24"/>
    </row>
    <row r="1219" spans="1:8" ht="13.2">
      <c r="A1219" s="83" t="s">
        <v>6662</v>
      </c>
      <c r="B1219" s="20" t="s">
        <v>6663</v>
      </c>
      <c r="C1219" s="17">
        <v>5</v>
      </c>
      <c r="D1219" s="69"/>
      <c r="E1219" s="31" t="s">
        <v>332</v>
      </c>
      <c r="F1219" s="37"/>
      <c r="G1219" s="24"/>
      <c r="H1219" s="24"/>
    </row>
    <row r="1220" spans="1:8" ht="13.2">
      <c r="A1220" s="65" t="str">
        <f>HYPERLINK("https://dmoj.ca/problem/coci08c1p5","COCI 08-Skakavac")</f>
        <v>COCI 08-Skakavac</v>
      </c>
      <c r="B1220" s="15" t="s">
        <v>7527</v>
      </c>
      <c r="C1220" s="24">
        <v>5</v>
      </c>
      <c r="D1220" s="65" t="str">
        <f>HYPERLINK("https://github.com/mostafa-saad/MyCompetitiveProgramming/blob/master/Olympiad/COCI/official/2009/contest1_solutions","Editorial")</f>
        <v>Editorial</v>
      </c>
      <c r="E1220" s="31" t="s">
        <v>7525</v>
      </c>
      <c r="F1220" s="37"/>
      <c r="G1220" s="24"/>
      <c r="H1220" s="24"/>
    </row>
    <row r="1221" spans="1:8" ht="13.2">
      <c r="A1221" s="65" t="str">
        <f>HYPERLINK("https://wcipeg.com/problem/coci095p3","COCI 09-Kletva")</f>
        <v>COCI 09-Kletva</v>
      </c>
      <c r="B1221" s="15" t="s">
        <v>7527</v>
      </c>
      <c r="C1221" s="24">
        <v>5</v>
      </c>
      <c r="D1221" s="65" t="str">
        <f>HYPERLINK("https://github.com/mostafa-saad/MyCompetitiveProgramming/blob/master/Olympiad/COCI/official/2010/contest5_solutions","Editorial")</f>
        <v>Editorial</v>
      </c>
      <c r="E1221" s="31" t="s">
        <v>7525</v>
      </c>
      <c r="F1221" s="37"/>
      <c r="G1221" s="24"/>
      <c r="H1221" s="24"/>
    </row>
    <row r="1222" spans="1:8" ht="13.2">
      <c r="A1222" s="65" t="str">
        <f>HYPERLINK("https://wcipeg.com/problem/coci097p3","COCI 09-Bakice")</f>
        <v>COCI 09-Bakice</v>
      </c>
      <c r="B1222" s="15" t="s">
        <v>7527</v>
      </c>
      <c r="C1222" s="24">
        <v>5</v>
      </c>
      <c r="D1222" s="65" t="str">
        <f>HYPERLINK("https://github.com/mostafa-saad/MyCompetitiveProgramming/blob/master/Olympiad/COCI/official/2010/contest7_solutions","Editorial")</f>
        <v>Editorial</v>
      </c>
      <c r="E1222" s="31" t="s">
        <v>7525</v>
      </c>
      <c r="F1222" s="37"/>
      <c r="G1222" s="24"/>
      <c r="H1222" s="24"/>
    </row>
    <row r="1223" spans="1:8" ht="13.2">
      <c r="A1223" s="65" t="str">
        <f>HYPERLINK("https://dmoj.ca/problem/coci14c5p4","COCI 14-Zgodan")</f>
        <v>COCI 14-Zgodan</v>
      </c>
      <c r="B1223" s="15" t="s">
        <v>7527</v>
      </c>
      <c r="C1223" s="24">
        <v>5</v>
      </c>
      <c r="D1223" s="65" t="str">
        <f>HYPERLINK("https://github.com/mostafa-saad/MyCompetitiveProgramming/blob/master/Olympiad/COCI/official/2015/contest5_solutions","Editorial")</f>
        <v>Editorial</v>
      </c>
      <c r="E1223" s="31" t="s">
        <v>7525</v>
      </c>
      <c r="F1223" s="37"/>
      <c r="G1223" s="24"/>
      <c r="H1223" s="24"/>
    </row>
    <row r="1224" spans="1:8" ht="13.2">
      <c r="A1224" s="65" t="str">
        <f>HYPERLINK("https://dunjudge.me/analysis/problems/957/","NOI 16-pandaski")</f>
        <v>NOI 16-pandaski</v>
      </c>
      <c r="B1224" s="37" t="s">
        <v>7527</v>
      </c>
      <c r="C1224" s="24">
        <v>5</v>
      </c>
      <c r="D1224" s="65" t="str">
        <f>HYPERLINK("https://github.com/mostafa-saad/MyCompetitiveProgramming/blob/master/Olympiad/NOI/official","Editorial")</f>
        <v>Editorial</v>
      </c>
      <c r="E1224" s="31" t="s">
        <v>7525</v>
      </c>
      <c r="F1224" s="37"/>
      <c r="G1224" s="24"/>
      <c r="H1224" s="24"/>
    </row>
    <row r="1225" spans="1:8" ht="13.2">
      <c r="A1225" s="65" t="str">
        <f>HYPERLINK("https://dmoj.ca/problem/cco07p1","CCO 07-Cows")</f>
        <v>CCO 07-Cows</v>
      </c>
      <c r="B1225" s="37" t="s">
        <v>7527</v>
      </c>
      <c r="C1225" s="24">
        <v>5</v>
      </c>
      <c r="D1225" s="69"/>
      <c r="E1225" s="31" t="s">
        <v>7525</v>
      </c>
      <c r="F1225" s="37"/>
      <c r="G1225" s="24"/>
      <c r="H1225" s="24"/>
    </row>
    <row r="1226" spans="1:8" ht="13.2">
      <c r="A1226" s="65" t="str">
        <f>HYPERLINK("https://www.acmicpc.net/problem/1760","CEOI 02-NRook")</f>
        <v>CEOI 02-NRook</v>
      </c>
      <c r="B1226" s="37" t="s">
        <v>7528</v>
      </c>
      <c r="C1226" s="24">
        <v>5</v>
      </c>
      <c r="D1226" s="69"/>
      <c r="E1226" s="31" t="s">
        <v>7525</v>
      </c>
      <c r="F1226" s="37"/>
      <c r="G1226" s="24"/>
      <c r="H1226" s="24"/>
    </row>
    <row r="1227" spans="1:8" ht="13.2">
      <c r="A1227" s="65" t="str">
        <f>HYPERLINK("https://wcipeg.com/problem/coci094p3","COCI 09-Iks")</f>
        <v>COCI 09-Iks</v>
      </c>
      <c r="B1227" s="15" t="s">
        <v>7527</v>
      </c>
      <c r="C1227" s="24">
        <v>5</v>
      </c>
      <c r="D1227" s="69"/>
      <c r="E1227" s="31" t="s">
        <v>7525</v>
      </c>
      <c r="F1227" s="37"/>
      <c r="G1227" s="24"/>
      <c r="H1227" s="24"/>
    </row>
    <row r="1228" spans="1:8" ht="13.2">
      <c r="A1228" s="83" t="s">
        <v>7536</v>
      </c>
      <c r="B1228" s="37" t="s">
        <v>7527</v>
      </c>
      <c r="C1228" s="24">
        <v>5</v>
      </c>
      <c r="D1228" s="69"/>
      <c r="E1228" s="31" t="s">
        <v>7525</v>
      </c>
      <c r="F1228" s="37"/>
      <c r="G1228" s="24"/>
      <c r="H1228" s="24"/>
    </row>
    <row r="1229" spans="1:8" ht="13.2">
      <c r="A1229" s="83" t="s">
        <v>7537</v>
      </c>
      <c r="B1229" s="37" t="s">
        <v>7527</v>
      </c>
      <c r="C1229" s="24">
        <v>5</v>
      </c>
      <c r="D1229" s="69"/>
      <c r="E1229" s="31" t="s">
        <v>7525</v>
      </c>
      <c r="F1229" s="37"/>
      <c r="G1229" s="24"/>
      <c r="H1229" s="24"/>
    </row>
    <row r="1230" spans="1:8" ht="13.2">
      <c r="A1230" s="65" t="str">
        <f>HYPERLINK("https://wcipeg.com/problem/coi09p1","COI 09-Hrastovi")</f>
        <v>COI 09-Hrastovi</v>
      </c>
      <c r="B1230" s="37" t="s">
        <v>7527</v>
      </c>
      <c r="C1230" s="24">
        <v>5</v>
      </c>
      <c r="D1230" s="65" t="str">
        <f>HYPERLINK("https://github.com/mostafa-saad/MyCompetitiveProgramming/blob/master/COI/official/2010","Editorial")</f>
        <v>Editorial</v>
      </c>
      <c r="E1230" s="31" t="s">
        <v>7525</v>
      </c>
      <c r="F1230" s="37"/>
      <c r="G1230" s="24"/>
      <c r="H1230" s="24"/>
    </row>
    <row r="1231" spans="1:8" ht="13.2">
      <c r="A1231" s="65" t="str">
        <f>HYPERLINK("https://wcipeg.com/problem/coci087p4","COI 08-Tablica")</f>
        <v>COI 08-Tablica</v>
      </c>
      <c r="B1231" s="15" t="s">
        <v>7527</v>
      </c>
      <c r="C1231" s="24">
        <v>5</v>
      </c>
      <c r="D1231" s="65" t="str">
        <f>HYPERLINK("https://github.com/mostafa-saad/MyCompetitiveProgramming/blob/master/Olympiad/COCI/official/2009/regional_solutions","Editorial")</f>
        <v>Editorial</v>
      </c>
      <c r="E1231" s="31" t="s">
        <v>7525</v>
      </c>
      <c r="F1231" s="37"/>
      <c r="G1231" s="24"/>
      <c r="H1231" s="24"/>
    </row>
    <row r="1232" spans="1:8" ht="13.2">
      <c r="A1232" s="65" t="str">
        <f>HYPERLINK("https://szkopul.edu.pl/problemset/problem/xfTByTABS18uZ1lmg4wQkVf2/site/", "POI 12-Vouchers")</f>
        <v>POI 12-Vouchers</v>
      </c>
      <c r="B1232" s="37" t="s">
        <v>7527</v>
      </c>
      <c r="C1232" s="24">
        <v>5</v>
      </c>
      <c r="D1232" s="65" t="str">
        <f>HYPERLINK("https://github.com/mostafa-saad/MyCompetitiveProgramming/blob/master/Olympiad/POI/official/find_editorial_sols_guidelines.txt","Editorial")</f>
        <v>Editorial</v>
      </c>
      <c r="E1232" s="31" t="s">
        <v>7525</v>
      </c>
      <c r="F1232" s="37"/>
      <c r="G1232" s="24"/>
      <c r="H1232" s="24"/>
    </row>
    <row r="1233" spans="1:8" ht="13.2">
      <c r="A1233" s="65" t="str">
        <f>HYPERLINK("https://dunjudge.me/analysis/problems/723/","MCO 15-bitcoin")</f>
        <v>MCO 15-bitcoin</v>
      </c>
      <c r="B1233" s="37" t="s">
        <v>7527</v>
      </c>
      <c r="C1233" s="24">
        <v>5</v>
      </c>
      <c r="D1233" s="65" t="str">
        <f>HYPERLINK("https://github.com/mostafa-saad/MyCompetitiveProgramming/tree/master/Olympiad/MCO/official/2015","Sol No Editorial")</f>
        <v>Sol No Editorial</v>
      </c>
      <c r="E1233" s="31" t="s">
        <v>7525</v>
      </c>
      <c r="F1233" s="37"/>
      <c r="G1233" s="24"/>
      <c r="H1233" s="24"/>
    </row>
    <row r="1234" spans="1:8" ht="13.2">
      <c r="A1234" s="65" t="str">
        <f>HYPERLINK("https://joisc2014.contest.atcoder.jp/tasks/joisc2014_a","JOISC 14-Bus")</f>
        <v>JOISC 14-Bus</v>
      </c>
      <c r="B1234" s="20" t="s">
        <v>7668</v>
      </c>
      <c r="C1234" s="24">
        <v>5</v>
      </c>
      <c r="D1234" s="69"/>
      <c r="E1234" s="31" t="s">
        <v>7525</v>
      </c>
      <c r="F1234" s="37"/>
      <c r="G1234" s="24"/>
      <c r="H1234" s="24"/>
    </row>
    <row r="1235" spans="1:8" ht="13.2">
      <c r="A1235" s="65" t="str">
        <f>HYPERLINK("https://joisc2014.contest.atcoder.jp/tasks/joisc2014_m","JOISC 14-Straps")</f>
        <v>JOISC 14-Straps</v>
      </c>
      <c r="B1235" s="20" t="s">
        <v>7669</v>
      </c>
      <c r="C1235" s="24">
        <v>5</v>
      </c>
      <c r="D1235" s="69"/>
      <c r="E1235" s="31" t="s">
        <v>7525</v>
      </c>
      <c r="F1235" s="37"/>
      <c r="G1235" s="24"/>
      <c r="H1235" s="24"/>
    </row>
    <row r="1236" spans="1:8" ht="13.2">
      <c r="A1236" s="65" t="str">
        <f>HYPERLINK("https://joisc2014.contest.atcoder.jp/tasks/joisc2014_b","JOISC 14-Vegetable")</f>
        <v>JOISC 14-Vegetable</v>
      </c>
      <c r="B1236" s="20" t="s">
        <v>7670</v>
      </c>
      <c r="C1236" s="24">
        <v>5</v>
      </c>
      <c r="D1236" s="69"/>
      <c r="E1236" s="31" t="s">
        <v>7525</v>
      </c>
      <c r="F1236" s="37"/>
      <c r="G1236" s="24"/>
      <c r="H1236" s="24"/>
    </row>
    <row r="1237" spans="1:8" ht="13.2">
      <c r="A1237" s="65" t="str">
        <f>HYPERLINK("https://joisc2015.contest.atcoder.jp/tasks/joisc2015_b","JOISC 15-Logo")</f>
        <v>JOISC 15-Logo</v>
      </c>
      <c r="B1237" s="20" t="s">
        <v>7671</v>
      </c>
      <c r="C1237" s="24">
        <v>5</v>
      </c>
      <c r="D1237" s="69"/>
      <c r="E1237" s="31" t="s">
        <v>7525</v>
      </c>
      <c r="F1237" s="37"/>
      <c r="G1237" s="24"/>
      <c r="H1237" s="24"/>
    </row>
    <row r="1238" spans="1:8" ht="13.2">
      <c r="A1238" s="65" t="str">
        <f>HYPERLINK("https://csacademy.com/contest/ceoi-2017-day-2/","CEOI 17-Palindromic")</f>
        <v>CEOI 17-Palindromic</v>
      </c>
      <c r="B1238" s="18" t="s">
        <v>7031</v>
      </c>
      <c r="C1238" s="17">
        <v>5</v>
      </c>
      <c r="D1238" s="69"/>
      <c r="E1238" s="31" t="s">
        <v>2153</v>
      </c>
      <c r="F1238" s="37"/>
      <c r="G1238" s="24"/>
      <c r="H1238" s="24"/>
    </row>
    <row r="1239" spans="1:8" ht="13.2">
      <c r="A1239" s="65" t="str">
        <f>HYPERLINK("https://csacademy.com/contest/ceoi-2017-day-1/tasks/","CEOI 17-sure")</f>
        <v>CEOI 17-sure</v>
      </c>
      <c r="B1239" s="18" t="s">
        <v>7032</v>
      </c>
      <c r="C1239" s="24">
        <v>5</v>
      </c>
      <c r="D1239" s="65" t="str">
        <f>HYPERLINK("https://github.com/tmwilliamlin168/CompetitiveProgramming/blob/master/CEOI/17-Sure.cpp", "Sol")</f>
        <v>Sol</v>
      </c>
      <c r="E1239" s="31" t="s">
        <v>2153</v>
      </c>
      <c r="F1239" s="37"/>
      <c r="G1239" s="24"/>
      <c r="H1239" s="24"/>
    </row>
    <row r="1240" spans="1:8" ht="13.2">
      <c r="A1240" s="65" t="str">
        <f>HYPERLINK("http://www.spoj.com/problems/MOBILE2/","APIO 07-MOBILE2")</f>
        <v>APIO 07-MOBILE2</v>
      </c>
      <c r="B1240" s="25" t="s">
        <v>7033</v>
      </c>
      <c r="C1240" s="24">
        <v>5</v>
      </c>
      <c r="D1240" s="65" t="str">
        <f>HYPERLINK("https://github.com/cacophonix/SPOJ/blob/master/MOBILE2.cpp","Sol")</f>
        <v>Sol</v>
      </c>
      <c r="E1240" s="31" t="s">
        <v>2153</v>
      </c>
      <c r="F1240" s="37"/>
      <c r="G1240" s="24"/>
      <c r="H1240" s="24"/>
    </row>
    <row r="1241" spans="1:8" ht="13.2">
      <c r="A1241" s="65" t="str">
        <f>HYPERLINK("https://www.infoarena.ro/problema/asmin","infoarena danger")</f>
        <v>infoarena danger</v>
      </c>
      <c r="B1241" s="20" t="s">
        <v>7034</v>
      </c>
      <c r="C1241" s="21">
        <v>5</v>
      </c>
      <c r="D1241" s="65" t="str">
        <f>HYPERLINK("https://github.com/stefdasca/CompetitiveProgramming/blob/master/Infoarena/danger.cpp","Sol")</f>
        <v>Sol</v>
      </c>
      <c r="E1241" s="31" t="s">
        <v>2153</v>
      </c>
      <c r="F1241" s="37"/>
      <c r="G1241" s="24"/>
      <c r="H1241" s="24"/>
    </row>
    <row r="1242" spans="1:8" ht="13.2">
      <c r="A1242" s="65" t="str">
        <f>HYPERLINK("https://cses.fi/112/list/","Baltic 07-Sequence")</f>
        <v>Baltic 07-Sequence</v>
      </c>
      <c r="B1242" s="37" t="s">
        <v>2163</v>
      </c>
      <c r="C1242" s="24">
        <v>5</v>
      </c>
      <c r="D1242" s="65" t="str">
        <f>HYPERLINK("https://github.com/mostafa-saad/MyCompetitiveProgramming/blob/master/Olympiad/Baltic/Baltic-07-Sequence.txt","Sol")</f>
        <v>Sol</v>
      </c>
      <c r="E1242" s="31" t="s">
        <v>2153</v>
      </c>
      <c r="F1242" s="37"/>
      <c r="G1242" s="24"/>
      <c r="H1242" s="24"/>
    </row>
    <row r="1243" spans="1:8" ht="13.2">
      <c r="A1243" s="65" t="str">
        <f>HYPERLINK("https://oj.uz/problem/view/COCI17_hokej","COCI 17-hokej")</f>
        <v>COCI 17-hokej</v>
      </c>
      <c r="B1243" s="15" t="s">
        <v>7035</v>
      </c>
      <c r="C1243" s="24">
        <v>5</v>
      </c>
      <c r="D1243" s="65" t="str">
        <f>HYPERLINK("https://github.com/mostafa-saad/MyCompetitiveProgramming/blob/master/Olympiad/COCI/official/2018/contest1_solutions","Editorial")</f>
        <v>Editorial</v>
      </c>
      <c r="E1243" s="31" t="s">
        <v>2153</v>
      </c>
      <c r="F1243" s="37"/>
      <c r="G1243" s="24"/>
      <c r="H1243" s="24"/>
    </row>
    <row r="1244" spans="1:8" ht="13.2">
      <c r="A1244" s="65" t="str">
        <f>HYPERLINK("https://cses.fi/115/list/","Baltic 05-Magic")</f>
        <v>Baltic 05-Magic</v>
      </c>
      <c r="B1244" s="37" t="s">
        <v>7036</v>
      </c>
      <c r="C1244" s="24">
        <v>5</v>
      </c>
      <c r="D1244" s="65" t="str">
        <f>HYPERLINK("https://github.com/mostafa-saad/MyCompetitiveProgramming/blob/master/Olympiad/JOI/Baltic/Baltic-05-Magic.txt","Sol")</f>
        <v>Sol</v>
      </c>
      <c r="E1244" s="31" t="s">
        <v>2153</v>
      </c>
      <c r="F1244" s="37"/>
      <c r="G1244" s="24"/>
      <c r="H1244" s="24"/>
    </row>
    <row r="1245" spans="1:8" ht="13.2">
      <c r="A1245" s="65" t="str">
        <f>HYPERLINK("https://szkopul.edu.pl/problemset/problem/TPo3Eb_q2NKymvHo6kNvd5yx/site/", "POI 05-ToyCars")</f>
        <v>POI 05-ToyCars</v>
      </c>
      <c r="B1245" s="37" t="s">
        <v>7037</v>
      </c>
      <c r="C1245" s="24">
        <v>5</v>
      </c>
      <c r="D1245" s="65" t="str">
        <f>HYPERLINK("https://github.com/mostafa-saad/MyCompetitiveProgramming/blob/master/Olympiad/POI/official/find_editorial_sols_guidelines.txt","Editorial")</f>
        <v>Editorial</v>
      </c>
      <c r="E1245" s="31" t="s">
        <v>2153</v>
      </c>
      <c r="F1245" s="37"/>
      <c r="G1245" s="24"/>
      <c r="H1245" s="24"/>
    </row>
    <row r="1246" spans="1:8" ht="13.2">
      <c r="A1246" s="65" t="str">
        <f>HYPERLINK("https://szkopul.edu.pl/problemset/problem/hepq5oWcHLsMo3oOy-dp3OZC/site/", "POI 14-Bricks")</f>
        <v>POI 14-Bricks</v>
      </c>
      <c r="B1246" s="37" t="s">
        <v>2248</v>
      </c>
      <c r="C1246" s="24">
        <v>5</v>
      </c>
      <c r="D1246" s="65" t="str">
        <f>HYPERLINK("https://github.com/peon-pasado/CompetitiveProgramming/blob/master/szkoput/POI-14-Bricks.cpp","Sl")</f>
        <v>Sl</v>
      </c>
      <c r="E1246" s="31" t="s">
        <v>2153</v>
      </c>
      <c r="F1246" s="37"/>
      <c r="G1246" s="24"/>
      <c r="H1246" s="24"/>
    </row>
    <row r="1247" spans="1:8" ht="13.2">
      <c r="A1247" s="65" t="str">
        <f>HYPERLINK("https://csacademy.com/contest/round-80/task/shampoo-exchange/","ROUSelection 18-shampoo_exchange")</f>
        <v>ROUSelection 18-shampoo_exchange</v>
      </c>
      <c r="B1247" s="37" t="s">
        <v>2163</v>
      </c>
      <c r="C1247" s="24">
        <v>5</v>
      </c>
      <c r="D1247" s="69"/>
      <c r="E1247" s="31" t="s">
        <v>2153</v>
      </c>
      <c r="F1247" s="37"/>
      <c r="G1247" s="24"/>
      <c r="H1247" s="24"/>
    </row>
    <row r="1248" spans="1:8" ht="13.2">
      <c r="A1248" s="65" t="str">
        <f>HYPERLINK("https://cses.fi/108/list/","Baltic 09-Rectangle")</f>
        <v>Baltic 09-Rectangle</v>
      </c>
      <c r="B1248" s="37" t="s">
        <v>2543</v>
      </c>
      <c r="C1248" s="24">
        <v>5</v>
      </c>
      <c r="D1248" s="65" t="str">
        <f>HYPERLINK("https://github.com/mostafa-saad/MyCompetitiveProgramming/blob/master/Olympiad/Baltic/Baltic-09-Rectangle.txt","Sol")</f>
        <v>Sol</v>
      </c>
      <c r="E1248" s="31" t="s">
        <v>2510</v>
      </c>
      <c r="F1248" s="37"/>
      <c r="G1248" s="24"/>
      <c r="H1248" s="24"/>
    </row>
    <row r="1249" spans="1:8" ht="13.2">
      <c r="A1249" s="65" t="str">
        <f>HYPERLINK("https://szkopul.edu.pl/problemset/problem/XcJ1RDGPzzspbYBm4xHCVpWM/site/", "POI 08-Mirror")</f>
        <v>POI 08-Mirror</v>
      </c>
      <c r="B1249" s="37" t="s">
        <v>2509</v>
      </c>
      <c r="C1249" s="24">
        <v>5</v>
      </c>
      <c r="D1249" s="65" t="str">
        <f>HYPERLINK("https://github.com/mostafa-saad/MyCompetitiveProgramming/blob/master/Olympiad/POI/official/find_editorial_sols_guidelines.txt","Editorial")</f>
        <v>Editorial</v>
      </c>
      <c r="E1249" s="31" t="s">
        <v>2510</v>
      </c>
      <c r="F1249" s="37"/>
      <c r="G1249" s="24"/>
      <c r="H1249" s="24"/>
    </row>
    <row r="1250" spans="1:8" ht="13.2">
      <c r="A1250" s="65" t="str">
        <f>HYPERLINK("https://contest.yandex.ru/ioi/contest/558/enter/","IOI 03-boundary")</f>
        <v>IOI 03-boundary</v>
      </c>
      <c r="B1250" s="15" t="s">
        <v>7079</v>
      </c>
      <c r="C1250" s="24">
        <v>5</v>
      </c>
      <c r="D1250" s="65" t="str">
        <f>HYPERLINK("https://github.com/mostafa-saad/MyCompetitiveProgramming/blob/master/Olympiad/IOI/official/2003","Editorial")</f>
        <v>Editorial</v>
      </c>
      <c r="E1250" s="31" t="s">
        <v>2510</v>
      </c>
      <c r="F1250" s="37"/>
      <c r="G1250" s="24"/>
      <c r="H1250" s="24"/>
    </row>
    <row r="1251" spans="1:8" ht="13.2">
      <c r="A1251" s="65" t="str">
        <f>HYPERLINK("https://open.kattis.com/problem-sources/Baltic%20Olympiad%20in%20Informatics%202017%2C%20Warmup","BalticWarmup 17-Toast")</f>
        <v>BalticWarmup 17-Toast</v>
      </c>
      <c r="B1251" s="15" t="s">
        <v>7087</v>
      </c>
      <c r="C1251" s="17">
        <v>5</v>
      </c>
      <c r="D1251" s="65" t="str">
        <f>HYPERLINK("https://github.com/mostafa-saad/MyCompetitiveProgramming/blob/master/Olympiad/Baltic/BalticWarmup-17-Toast.txt", "Sol")</f>
        <v>Sol</v>
      </c>
      <c r="E1251" s="31" t="s">
        <v>2798</v>
      </c>
      <c r="F1251" s="37"/>
      <c r="G1251" s="24"/>
      <c r="H1251" s="24"/>
    </row>
    <row r="1252" spans="1:8" ht="13.2">
      <c r="A1252" s="65" t="str">
        <f>HYPERLINK("https://dmoj.ca/problem/dmopc15c1p6","DMOPC 15-LeleiandContest")</f>
        <v>DMOPC 15-LeleiandContest</v>
      </c>
      <c r="B1252" s="37" t="s">
        <v>6701</v>
      </c>
      <c r="C1252" s="24">
        <v>5</v>
      </c>
      <c r="D1252" s="69"/>
      <c r="E1252" s="31" t="s">
        <v>575</v>
      </c>
      <c r="F1252" s="37"/>
      <c r="G1252" s="24"/>
      <c r="H1252" s="24"/>
    </row>
    <row r="1253" spans="1:8" ht="13.2">
      <c r="A1253" s="65" t="str">
        <f>HYPERLINK("https://www.infoarena.ro/problema/troll","infoarena troll")</f>
        <v>infoarena troll</v>
      </c>
      <c r="B1253" s="20" t="s">
        <v>6702</v>
      </c>
      <c r="C1253" s="21">
        <v>5</v>
      </c>
      <c r="D1253" s="65" t="str">
        <f>HYPERLINK("https://github.com/stefdasca/CompetitiveProgramming/blob/master/Infoarena/troll.cpp","Sol")</f>
        <v>Sol</v>
      </c>
      <c r="E1253" s="31" t="s">
        <v>575</v>
      </c>
      <c r="F1253" s="37"/>
      <c r="G1253" s="24"/>
      <c r="H1253" s="24"/>
    </row>
    <row r="1254" spans="1:8" ht="13.2">
      <c r="A1254" s="65" t="str">
        <f>HYPERLINK("https://dunjudge.me/analysis/problems/959/","MCO 16-cablecar")</f>
        <v>MCO 16-cablecar</v>
      </c>
      <c r="B1254" s="37" t="s">
        <v>6703</v>
      </c>
      <c r="C1254" s="24">
        <v>5</v>
      </c>
      <c r="D1254" s="65" t="str">
        <f>HYPERLINK("https://github.com/mostafa-saad/MyCompetitiveProgramming/tree/master/Olympiad/MCO/official","Editorial")</f>
        <v>Editorial</v>
      </c>
      <c r="E1254" s="31" t="s">
        <v>575</v>
      </c>
      <c r="F1254" s="37"/>
      <c r="G1254" s="24"/>
      <c r="H1254" s="24"/>
    </row>
    <row r="1255" spans="1:8" ht="13.2">
      <c r="A1255" s="65" t="str">
        <f>HYPERLINK("https://dmoj.ca/problem/ccc15s4","CCC 15-Convex_Hull")</f>
        <v>CCC 15-Convex_Hull</v>
      </c>
      <c r="B1255" s="37" t="s">
        <v>3256</v>
      </c>
      <c r="C1255" s="24">
        <v>5</v>
      </c>
      <c r="D1255" s="69"/>
      <c r="E1255" s="31" t="s">
        <v>3257</v>
      </c>
      <c r="F1255" s="37"/>
      <c r="G1255" s="24"/>
      <c r="H1255" s="24"/>
    </row>
    <row r="1256" spans="1:8" ht="13.2">
      <c r="A1256" s="65" t="str">
        <f>HYPERLINK("https://dmoj.ca/problem/dmopc14ce1p4","DMOPC 14-ExamDelay")</f>
        <v>DMOPC 14-ExamDelay</v>
      </c>
      <c r="B1256" s="37" t="s">
        <v>3256</v>
      </c>
      <c r="C1256" s="24">
        <v>5</v>
      </c>
      <c r="D1256" s="69"/>
      <c r="E1256" s="31" t="s">
        <v>3257</v>
      </c>
      <c r="F1256" s="37"/>
      <c r="G1256" s="24"/>
      <c r="H1256" s="24"/>
    </row>
    <row r="1257" spans="1:8" ht="13.2">
      <c r="A1257" s="65" t="str">
        <f>HYPERLINK("https://dmoj.ca/problem/dmpg15s6","DMPG 15-ApplesOranges")</f>
        <v>DMPG 15-ApplesOranges</v>
      </c>
      <c r="B1257" s="37" t="s">
        <v>3256</v>
      </c>
      <c r="C1257" s="24">
        <v>5</v>
      </c>
      <c r="D1257" s="69"/>
      <c r="E1257" s="31" t="s">
        <v>3257</v>
      </c>
      <c r="F1257" s="37"/>
      <c r="G1257" s="24"/>
      <c r="H1257" s="24"/>
    </row>
    <row r="1258" spans="1:8" ht="16.5" customHeight="1">
      <c r="A1258" s="65" t="str">
        <f>HYPERLINK("https://dmoj.ca/problem/ioi97p1","IOI 97-Mars")</f>
        <v>IOI 97-Mars</v>
      </c>
      <c r="B1258" s="20" t="s">
        <v>7162</v>
      </c>
      <c r="C1258" s="24">
        <v>5</v>
      </c>
      <c r="D1258" s="65" t="str">
        <f>HYPERLINK("http://olympiads.win.tue.nl/ioi/ioi97/contest/index.html","Editorial")</f>
        <v>Editorial</v>
      </c>
      <c r="E1258" s="31" t="s">
        <v>3257</v>
      </c>
      <c r="F1258" s="37"/>
      <c r="G1258" s="24"/>
      <c r="H1258" s="24"/>
    </row>
    <row r="1259" spans="1:8" ht="13.2">
      <c r="A1259" s="65" t="str">
        <f>HYPERLINK("https://szkopul.edu.pl/problemset/problem/Phel_x2Ny30OUh7z1RhCtzEG/site/", "POI 12-Distance")</f>
        <v>POI 12-Distance</v>
      </c>
      <c r="B1259" s="37" t="s">
        <v>3256</v>
      </c>
      <c r="C1259" s="24">
        <v>5</v>
      </c>
      <c r="D1259" s="65" t="str">
        <f>HYPERLINK("https://github.com/mostafa-saad/MyCompetitiveProgramming/blob/master/Olympiad/POI/official/find_editorial_sols_guidelines.txt","Editorial")</f>
        <v>Editorial</v>
      </c>
      <c r="E1259" s="31" t="s">
        <v>3257</v>
      </c>
      <c r="F1259" s="37"/>
      <c r="G1259" s="24"/>
      <c r="H1259" s="24"/>
    </row>
    <row r="1260" spans="1:8" ht="13.2">
      <c r="A1260" s="65" t="str">
        <f>HYPERLINK("https://dunjudge.me/analysis/problems/150/","NOI 09-lazycat")</f>
        <v>NOI 09-lazycat</v>
      </c>
      <c r="B1260" s="37" t="s">
        <v>7179</v>
      </c>
      <c r="C1260" s="24">
        <v>5</v>
      </c>
      <c r="D1260" s="65" t="str">
        <f>HYPERLINK("https://github.com/mostafa-saad/MyCompetitiveProgramming/blob/master/Olympiad/NOI/official","Editorial")</f>
        <v>Editorial</v>
      </c>
      <c r="E1260" s="31" t="s">
        <v>3467</v>
      </c>
      <c r="F1260" s="37"/>
      <c r="G1260" s="24"/>
      <c r="H1260" s="24"/>
    </row>
    <row r="1261" spans="1:8" ht="13.2">
      <c r="A1261" s="65" t="str">
        <f>HYPERLINK("https://oj.uz/problem/view/NOI12_pancake","NOI 12-pancake")</f>
        <v>NOI 12-pancake</v>
      </c>
      <c r="B1261" s="70" t="s">
        <v>7180</v>
      </c>
      <c r="C1261" s="66">
        <v>5</v>
      </c>
      <c r="D1261" s="65" t="str">
        <f>HYPERLINK("https://www.comp.nus.edu.sg/~noi/2012/2012_soln.pdf","Editorial")</f>
        <v>Editorial</v>
      </c>
      <c r="E1261" s="31" t="s">
        <v>3467</v>
      </c>
      <c r="F1261" s="37"/>
      <c r="G1261" s="24"/>
      <c r="H1261" s="24"/>
    </row>
    <row r="1262" spans="1:8" ht="13.2">
      <c r="A1262" s="65" t="str">
        <f>HYPERLINK("https://codeforces.com/group/swEqtABRxe/contest/243430/problem/B", "EOI 19-d2-B")</f>
        <v>EOI 19-d2-B</v>
      </c>
      <c r="B1262" s="20" t="s">
        <v>7181</v>
      </c>
      <c r="C1262" s="17">
        <v>5</v>
      </c>
      <c r="D1262" s="69"/>
      <c r="E1262" s="31" t="s">
        <v>3467</v>
      </c>
      <c r="F1262" s="37"/>
      <c r="G1262" s="24"/>
      <c r="H1262" s="24"/>
    </row>
    <row r="1263" spans="1:8" ht="13.2">
      <c r="A1263" s="65" t="str">
        <f>HYPERLINK("https://codeforces.com/group/swEqtABRxe/contest/227527/problem/A", "IOIQ 18-r1-A")</f>
        <v>IOIQ 18-r1-A</v>
      </c>
      <c r="B1263" s="20" t="s">
        <v>6712</v>
      </c>
      <c r="C1263" s="17">
        <v>5</v>
      </c>
      <c r="D1263" s="65" t="str">
        <f>HYPERLINK("https://ideone.com/gbGHt9", "Sol")</f>
        <v>Sol</v>
      </c>
      <c r="E1263" s="31" t="s">
        <v>655</v>
      </c>
      <c r="F1263" s="37"/>
      <c r="G1263" s="24"/>
      <c r="H1263" s="24"/>
    </row>
    <row r="1264" spans="1:8" ht="13.2">
      <c r="A1264" s="65" t="str">
        <f>HYPERLINK("https://oj.uz/problem/view/BOI13_tracks","Baltic 13-tracks")</f>
        <v>Baltic 13-tracks</v>
      </c>
      <c r="B1264" s="20" t="s">
        <v>7198</v>
      </c>
      <c r="C1264" s="24">
        <v>5</v>
      </c>
      <c r="D1264" s="65" t="str">
        <f>HYPERLINK("https://github.com/mostafa-saad/MyCompetitiveProgramming/blob/master/Olympiad/Baltic/Baltic-13-tracks.txt","Sol")</f>
        <v>Sol</v>
      </c>
      <c r="E1264" s="31" t="s">
        <v>3650</v>
      </c>
      <c r="F1264" s="37"/>
      <c r="G1264" s="24"/>
      <c r="H1264" s="24"/>
    </row>
    <row r="1265" spans="1:8" ht="13.2">
      <c r="A1265" s="65" t="str">
        <f>HYPERLINK("https://oj.uz/problem/view/POI11_ins","POI 11-ins")</f>
        <v>POI 11-ins</v>
      </c>
      <c r="B1265" s="20" t="s">
        <v>7199</v>
      </c>
      <c r="C1265" s="17">
        <v>5</v>
      </c>
      <c r="D1265" s="65" t="str">
        <f>HYPERLINK("https://github.com/mostafa-saad/MyCompetitiveProgramming/blob/master/Olympiad/POI/POI-11-ins.txt","Sol")</f>
        <v>Sol</v>
      </c>
      <c r="E1265" s="31" t="s">
        <v>3650</v>
      </c>
      <c r="F1265" s="37"/>
      <c r="G1265" s="24"/>
      <c r="H1265" s="24"/>
    </row>
    <row r="1266" spans="1:8" ht="13.2">
      <c r="A1266" s="65" t="str">
        <f>HYPERLINK("https://dunjudge.me/analysis/problems/960/","MCO 16-penghulu")</f>
        <v>MCO 16-penghulu</v>
      </c>
      <c r="B1266" s="37" t="s">
        <v>7200</v>
      </c>
      <c r="C1266" s="24">
        <v>5</v>
      </c>
      <c r="D1266" s="65" t="str">
        <f>HYPERLINK("https://github.com/mostafa-saad/MyCompetitiveProgramming/tree/master/Olympiad/MCO/official","Editorial")</f>
        <v>Editorial</v>
      </c>
      <c r="E1266" s="31" t="s">
        <v>3650</v>
      </c>
      <c r="F1266" s="37"/>
      <c r="G1266" s="24"/>
      <c r="H1266" s="24"/>
    </row>
    <row r="1267" spans="1:8" ht="13.2">
      <c r="A1267" s="65" t="str">
        <f>HYPERLINK("https://oj.uz/problem/view/NOI12_forensic","NOI 12-forensic")</f>
        <v>NOI 12-forensic</v>
      </c>
      <c r="B1267" s="37" t="s">
        <v>7201</v>
      </c>
      <c r="C1267" s="24">
        <v>5</v>
      </c>
      <c r="D1267" s="65" t="str">
        <f>HYPERLINK("https://github.com/mostafa-saad/MyCompetitiveProgramming/blob/master/Olympiad/NOI/official/2011.pptx","Editorial")</f>
        <v>Editorial</v>
      </c>
      <c r="E1267" s="31" t="s">
        <v>3650</v>
      </c>
      <c r="F1267" s="37"/>
      <c r="G1267" s="24"/>
      <c r="H1267" s="24"/>
    </row>
    <row r="1268" spans="1:8" ht="13.2">
      <c r="A1268" s="65" t="str">
        <f>HYPERLINK("https://szkopul.edu.pl/problemset/problem/sKmyIHBMNi9EV3WO6GQ4xoFt/site/", "POI 16-Transmit")</f>
        <v>POI 16-Transmit</v>
      </c>
      <c r="B1268" s="37" t="s">
        <v>3682</v>
      </c>
      <c r="C1268" s="24">
        <v>5</v>
      </c>
      <c r="D1268" s="65" t="str">
        <f>HYPERLINK("https://github.com/mostafa-saad/MyCompetitiveProgramming/blob/master/Olympiad/POI/official/find_editorial_sols_guidelines.txt","Editorial")</f>
        <v>Editorial</v>
      </c>
      <c r="E1268" s="31" t="s">
        <v>3650</v>
      </c>
      <c r="F1268" s="37"/>
      <c r="G1268" s="24"/>
      <c r="H1268" s="24"/>
    </row>
    <row r="1269" spans="1:8" ht="13.2">
      <c r="A1269" s="65" t="str">
        <f>HYPERLINK("https://www.infoarena.ro/problema/pesaptecarari","infoarena pesaptecarari")</f>
        <v>infoarena pesaptecarari</v>
      </c>
      <c r="B1269" s="37" t="s">
        <v>7223</v>
      </c>
      <c r="C1269" s="21">
        <v>5</v>
      </c>
      <c r="D1269" s="65" t="str">
        <f>HYPERLINK("https://github.com/stefdasca/CompetitiveProgramming/blob/master/Infoarena/pesaptecarari.cpp","Sol")</f>
        <v>Sol</v>
      </c>
      <c r="E1269" s="31" t="s">
        <v>3784</v>
      </c>
      <c r="F1269" s="37"/>
      <c r="G1269" s="24"/>
      <c r="H1269" s="24"/>
    </row>
    <row r="1270" spans="1:8" ht="13.2">
      <c r="A1270" s="65" t="str">
        <f>HYPERLINK("https://oj.uz/problem/view/NOI13_ferries","NOI 13-ferries")</f>
        <v>NOI 13-ferries</v>
      </c>
      <c r="B1270" s="20" t="s">
        <v>3791</v>
      </c>
      <c r="C1270" s="24">
        <v>5</v>
      </c>
      <c r="D1270" s="69"/>
      <c r="E1270" s="31" t="s">
        <v>3784</v>
      </c>
      <c r="F1270" s="37"/>
      <c r="G1270" s="24"/>
      <c r="H1270" s="24"/>
    </row>
    <row r="1271" spans="1:8" ht="13.2">
      <c r="A1271" s="65" t="str">
        <f>HYPERLINK("https://szkopul.edu.pl/problemset/problem/Jnq0pGf9q3nVm-b1h6Bg23G9/site/", "POI 04-Competition")</f>
        <v>POI 04-Competition</v>
      </c>
      <c r="B1271" s="37" t="s">
        <v>7224</v>
      </c>
      <c r="C1271" s="24">
        <v>5</v>
      </c>
      <c r="D1271" s="65" t="str">
        <f>HYPERLINK("https://github.com/mostafa-saad/MyCompetitiveProgramming/blob/master/Olympiad/POI/official/find_editorial_sols_guidelines.txt","Editorial")</f>
        <v>Editorial</v>
      </c>
      <c r="E1271" s="31" t="s">
        <v>3784</v>
      </c>
      <c r="F1271" s="37"/>
      <c r="G1271" s="24"/>
      <c r="H1271" s="24"/>
    </row>
    <row r="1272" spans="1:8" ht="13.2">
      <c r="A1272" s="65" t="str">
        <f>HYPERLINK("https://dunjudge.me/analysis/problems/962/","MCO 16-relayrace")</f>
        <v>MCO 16-relayrace</v>
      </c>
      <c r="B1272" s="37" t="s">
        <v>3791</v>
      </c>
      <c r="C1272" s="24">
        <v>5</v>
      </c>
      <c r="D1272" s="65" t="str">
        <f>HYPERLINK("https://github.com/mostafa-saad/MyCompetitiveProgramming/tree/master/Olympiad/MCO/official","Editorial")</f>
        <v>Editorial</v>
      </c>
      <c r="E1272" s="31" t="s">
        <v>3784</v>
      </c>
      <c r="F1272" s="37"/>
      <c r="G1272" s="24"/>
      <c r="H1272" s="24"/>
    </row>
    <row r="1273" spans="1:8" ht="13.2">
      <c r="A1273" s="65" t="str">
        <f>HYPERLINK("https://joi2013ho.contest.atcoder.jp/tasks/joi2013ho3","JOI 13-ModernMansion")</f>
        <v>JOI 13-ModernMansion</v>
      </c>
      <c r="B1273" s="20" t="s">
        <v>3791</v>
      </c>
      <c r="C1273" s="17">
        <v>5</v>
      </c>
      <c r="D1273" s="69"/>
      <c r="E1273" s="31" t="s">
        <v>3784</v>
      </c>
      <c r="F1273" s="37"/>
      <c r="G1273" s="24"/>
      <c r="H1273" s="24"/>
    </row>
    <row r="1274" spans="1:8" ht="13.2">
      <c r="A1274" s="65" t="str">
        <f>HYPERLINK("https://www.infoarena.ro/problema/secvmax","infoarena secvmax")</f>
        <v>infoarena secvmax</v>
      </c>
      <c r="B1274" s="20" t="s">
        <v>7246</v>
      </c>
      <c r="C1274" s="17">
        <v>5</v>
      </c>
      <c r="D1274" s="65" t="str">
        <f>HYPERLINK("https://github.com/stefdasca/CompetitiveProgramming/blob/master/Infoarena/secvmax.cpp","Sol")</f>
        <v>Sol</v>
      </c>
      <c r="E1274" s="31" t="s">
        <v>3883</v>
      </c>
      <c r="F1274" s="37"/>
      <c r="G1274" s="24"/>
      <c r="H1274" s="24"/>
    </row>
    <row r="1275" spans="1:8" ht="13.2">
      <c r="A1275" s="65" t="str">
        <f>HYPERLINK("https://szkopul.edu.pl/problemset/problem/G-ZVHDa7y3xWk2PQM27uNq3n/site/", "POI 07-Offices")</f>
        <v>POI 07-Offices</v>
      </c>
      <c r="B1275" s="37" t="s">
        <v>3886</v>
      </c>
      <c r="C1275" s="24">
        <v>5</v>
      </c>
      <c r="D1275" s="65" t="str">
        <f>HYPERLINK("https://github.com/mostafa-saad/MyCompetitiveProgramming/blob/master/Olympiad/POI/official/find_editorial_sols_guidelines.txt","Editorial")</f>
        <v>Editorial</v>
      </c>
      <c r="E1275" s="31" t="s">
        <v>3883</v>
      </c>
      <c r="F1275" s="37"/>
      <c r="G1275" s="24"/>
      <c r="H1275" s="24"/>
    </row>
    <row r="1276" spans="1:8" ht="13.2">
      <c r="A1276" s="65" t="str">
        <f>HYPERLINK("https://dunjudge.me/analysis/problems/956/","NOI 16-rock_climbing")</f>
        <v>NOI 16-rock_climbing</v>
      </c>
      <c r="B1276" s="37" t="s">
        <v>4149</v>
      </c>
      <c r="C1276" s="24">
        <v>5</v>
      </c>
      <c r="D1276" s="65" t="str">
        <f>HYPERLINK("https://github.com/mostafa-saad/MyCompetitiveProgramming/blob/master/Olympiad/NOI/official","Editorial")</f>
        <v>Editorial</v>
      </c>
      <c r="E1276" s="31" t="s">
        <v>4144</v>
      </c>
      <c r="F1276" s="37"/>
      <c r="G1276" s="24"/>
      <c r="H1276" s="24"/>
    </row>
    <row r="1277" spans="1:8" ht="13.2">
      <c r="A1277" s="65" t="str">
        <f>HYPERLINK("https://dmoj.ca/problem/crci07p3","COCI 07-Kuhar")</f>
        <v>COCI 07-Kuhar</v>
      </c>
      <c r="B1277" s="15" t="s">
        <v>4653</v>
      </c>
      <c r="C1277" s="24">
        <v>5</v>
      </c>
      <c r="D1277" s="65" t="str">
        <f>HYPERLINK("https://github.com/mostafa-saad/MyCompetitiveProgramming/tree/master/Olympiad/COCI/official/2008/regional_solutions","Editorial")</f>
        <v>Editorial</v>
      </c>
      <c r="E1277" s="31" t="s">
        <v>4531</v>
      </c>
      <c r="F1277" s="37"/>
      <c r="G1277" s="24"/>
      <c r="H1277" s="24"/>
    </row>
    <row r="1278" spans="1:8" ht="13.2">
      <c r="A1278" s="65" t="str">
        <f>HYPERLINK("https://contest.yandex.ru/ioi/contest/566/enter/","IOI 05-mean")</f>
        <v>IOI 05-mean</v>
      </c>
      <c r="B1278" s="23" t="s">
        <v>4654</v>
      </c>
      <c r="C1278" s="24">
        <v>5</v>
      </c>
      <c r="D1278" s="65" t="str">
        <f>HYPERLINK("https://www.oi.edu.pl/old/ioi/downloads/ioi2005-tasks-and-solutions-a5.pdf","Editorial")</f>
        <v>Editorial</v>
      </c>
      <c r="E1278" s="31" t="s">
        <v>4531</v>
      </c>
      <c r="F1278" s="37"/>
      <c r="G1278" s="24"/>
      <c r="H1278" s="24"/>
    </row>
    <row r="1279" spans="1:8" ht="13.2">
      <c r="A1279" s="65" t="str">
        <f>HYPERLINK("https://dunjudge.me/analysis/problems/705/","NOI 15-radioactive")</f>
        <v>NOI 15-radioactive</v>
      </c>
      <c r="B1279" s="37" t="s">
        <v>4530</v>
      </c>
      <c r="C1279" s="24">
        <v>5</v>
      </c>
      <c r="D1279" s="65" t="str">
        <f>HYPERLINK("https://github.com/mostafa-saad/MyCompetitiveProgramming/blob/master/Olympiad/NOI/official","Editorial")</f>
        <v>Editorial</v>
      </c>
      <c r="E1279" s="31" t="s">
        <v>4531</v>
      </c>
      <c r="F1279" s="37"/>
      <c r="G1279" s="24"/>
      <c r="H1279" s="24"/>
    </row>
    <row r="1280" spans="1:8" ht="13.2">
      <c r="A1280" s="65" t="str">
        <f>HYPERLINK("https://szkopul.edu.pl/problemset/problem/v6-xa-25AJSF4_oV5LAKvz7H/site/","CEOI 10-PIN")</f>
        <v>CEOI 10-PIN</v>
      </c>
      <c r="B1280" s="20" t="s">
        <v>7351</v>
      </c>
      <c r="C1280" s="24">
        <v>5</v>
      </c>
      <c r="D1280" s="65" t="str">
        <f>HYPERLINK("https://github.com/mostafa-saad/MyCompetitiveProgramming/blob/master/Olympiad/CEOI/CEOI%2010-pin.cpp","Sol")</f>
        <v>Sol</v>
      </c>
      <c r="E1280" s="31" t="s">
        <v>5134</v>
      </c>
      <c r="F1280" s="37"/>
      <c r="G1280" s="24"/>
      <c r="H1280" s="24"/>
    </row>
    <row r="1281" spans="1:8" ht="13.2">
      <c r="A1281" s="65" t="str">
        <f>HYPERLINK("https://codeforces.com/group/swEqtABRxe/contest/243438/problem/A", "IOIQ 19-d2-A")</f>
        <v>IOIQ 19-d2-A</v>
      </c>
      <c r="B1281" s="20" t="s">
        <v>814</v>
      </c>
      <c r="C1281" s="17">
        <v>5</v>
      </c>
      <c r="D1281" s="65" t="str">
        <f>HYPERLINK("https://github.com/ahmedibrahim404/CompetitiveProgramming/blob/master/EOI/IOI_Quals'19/D2_A/main.cpp","Sol")</f>
        <v>Sol</v>
      </c>
      <c r="E1281" s="31" t="s">
        <v>805</v>
      </c>
      <c r="F1281" s="37"/>
      <c r="G1281" s="24"/>
      <c r="H1281" s="24"/>
    </row>
    <row r="1282" spans="1:8" ht="13.2">
      <c r="A1282" s="65" t="str">
        <f>HYPERLINK("https://codeforces.com/group/swEqtABRxe/contest/243437/problem/A", "IOIQ 19-d1-A")</f>
        <v>IOIQ 19-d1-A</v>
      </c>
      <c r="B1282" s="20" t="s">
        <v>6739</v>
      </c>
      <c r="C1282" s="17">
        <v>5</v>
      </c>
      <c r="D1282" s="69"/>
      <c r="E1282" s="31" t="s">
        <v>805</v>
      </c>
      <c r="F1282" s="37"/>
      <c r="G1282" s="24"/>
      <c r="H1282" s="24"/>
    </row>
    <row r="1283" spans="1:8" ht="13.2">
      <c r="A1283" s="65" t="str">
        <f>HYPERLINK("https://www.acmicpc.net/problem/7053","CEOI 03-Register")</f>
        <v>CEOI 03-Register</v>
      </c>
      <c r="B1283" s="37" t="s">
        <v>5326</v>
      </c>
      <c r="C1283" s="24">
        <v>5</v>
      </c>
      <c r="D1283" s="65" t="str">
        <f>HYPERLINK("https://github.com/mostafa-saad/MyCompetitiveProgramming/tree/master/Olympiad/CEOI/official/2003","Editorial")</f>
        <v>Editorial</v>
      </c>
      <c r="E1283" s="31" t="s">
        <v>5310</v>
      </c>
      <c r="F1283" s="37"/>
      <c r="G1283" s="24"/>
      <c r="H1283" s="24"/>
    </row>
    <row r="1284" spans="1:8" ht="13.2">
      <c r="A1284" s="65" t="str">
        <f>HYPERLINK("https://dmoj.ca/problem/bf3hard","Dmoj NextPrimeHard")</f>
        <v>Dmoj NextPrimeHard</v>
      </c>
      <c r="B1284" s="37" t="s">
        <v>7359</v>
      </c>
      <c r="C1284" s="24">
        <v>5</v>
      </c>
      <c r="D1284" s="69"/>
      <c r="E1284" s="31" t="s">
        <v>5414</v>
      </c>
      <c r="F1284" s="37"/>
      <c r="G1284" s="24"/>
      <c r="H1284" s="24"/>
    </row>
    <row r="1285" spans="1:8" ht="13.2">
      <c r="A1285" s="65" t="str">
        <f>HYPERLINK("https://szkopul.edu.pl/problemset/problem/MVjuhH4JZu17rusHweyEdyJx/site/", "POI 07-Queries")</f>
        <v>POI 07-Queries</v>
      </c>
      <c r="B1285" s="37" t="s">
        <v>7360</v>
      </c>
      <c r="C1285" s="24">
        <v>5</v>
      </c>
      <c r="D1285" s="65" t="str">
        <f t="shared" ref="D1285:D1286" si="8">HYPERLINK("https://github.com/mostafa-saad/MyCompetitiveProgramming/blob/master/Olympiad/POI/official/find_editorial_sols_guidelines.txt","Editorial")</f>
        <v>Editorial</v>
      </c>
      <c r="E1285" s="31" t="s">
        <v>5414</v>
      </c>
      <c r="F1285" s="37"/>
      <c r="G1285" s="24"/>
      <c r="H1285" s="24"/>
    </row>
    <row r="1286" spans="1:8" ht="13.2">
      <c r="A1286" s="65" t="str">
        <f>HYPERLINK("https://szkopul.edu.pl/problemset/problem/hOwg83Xw_OnTpfQ9SroS0OJA/site/", "POI 10-Divisor")</f>
        <v>POI 10-Divisor</v>
      </c>
      <c r="B1286" s="37" t="s">
        <v>7361</v>
      </c>
      <c r="C1286" s="24">
        <v>5</v>
      </c>
      <c r="D1286" s="65" t="str">
        <f t="shared" si="8"/>
        <v>Editorial</v>
      </c>
      <c r="E1286" s="31" t="s">
        <v>5414</v>
      </c>
      <c r="F1286" s="37"/>
      <c r="G1286" s="24"/>
      <c r="H1286" s="24"/>
    </row>
    <row r="1287" spans="1:8" ht="13.2">
      <c r="A1287" s="65" t="str">
        <f>HYPERLINK("https://dunjudge.me/analysis/problems/270/","NOI 09-invest")</f>
        <v>NOI 09-invest</v>
      </c>
      <c r="B1287" s="37" t="s">
        <v>6934</v>
      </c>
      <c r="C1287" s="24">
        <v>4.75</v>
      </c>
      <c r="D1287" s="65" t="str">
        <f>HYPERLINK("https://github.com/mostafa-saad/MyCompetitiveProgramming/blob/master/Olympiad/NOI/official","Editorial")</f>
        <v>Editorial</v>
      </c>
      <c r="E1287" s="31" t="s">
        <v>1337</v>
      </c>
      <c r="F1287" s="37" t="s">
        <v>139</v>
      </c>
      <c r="G1287" s="24"/>
      <c r="H1287" s="24"/>
    </row>
    <row r="1288" spans="1:8" ht="13.2">
      <c r="A1288" s="65" t="str">
        <f>HYPERLINK("https://dmoj.ca/problem/coci06c3p5","COCI 06-Bicikli")</f>
        <v>COCI 06-Bicikli</v>
      </c>
      <c r="B1288" s="15" t="s">
        <v>7280</v>
      </c>
      <c r="C1288" s="24">
        <v>4.5</v>
      </c>
      <c r="D1288" s="65" t="str">
        <f>HYPERLINK("https://github.com/mostafa-saad/MyCompetitiveProgramming/blob/master/Olympiad/CEOI/06-Bicikli.txt","Sol")</f>
        <v>Sol</v>
      </c>
      <c r="E1288" s="31" t="s">
        <v>4344</v>
      </c>
      <c r="F1288" s="37" t="s">
        <v>196</v>
      </c>
      <c r="G1288" s="24"/>
      <c r="H1288" s="24"/>
    </row>
    <row r="1289" spans="1:8" ht="13.2">
      <c r="A1289" s="65" t="str">
        <f>HYPERLINK("https://dmoj.ca/problem/coci13c1p5","COCI 13-Organizator")</f>
        <v>COCI 13-Organizator</v>
      </c>
      <c r="B1289" s="15" t="s">
        <v>6641</v>
      </c>
      <c r="C1289" s="24">
        <v>4.5</v>
      </c>
      <c r="D1289" s="65" t="str">
        <f>HYPERLINK("https://github.com/mostafa-saad/MyCompetitiveProgramming/blob/master/Olympiad/COCI/official/2014/contest1_solutions","Editorial")</f>
        <v>Editorial</v>
      </c>
      <c r="E1289" s="31" t="s">
        <v>125</v>
      </c>
      <c r="F1289" s="37" t="s">
        <v>139</v>
      </c>
      <c r="G1289" s="24"/>
      <c r="H1289" s="24"/>
    </row>
    <row r="1290" spans="1:8" ht="13.2">
      <c r="A1290" s="65" t="str">
        <f>HYPERLINK("https://dmoj.ca/problem/coci06c4p4","COCI 06-Zbrka")</f>
        <v>COCI 06-Zbrka</v>
      </c>
      <c r="B1290" s="15" t="s">
        <v>1348</v>
      </c>
      <c r="C1290" s="24">
        <v>4.5</v>
      </c>
      <c r="D1290" s="65" t="str">
        <f>HYPERLINK("https://github.com/mostafa-saad/MyCompetitiveProgramming/tree/master/Olympiad/COCI/official/2007/contest4_solutions","Editorial")</f>
        <v>Editorial</v>
      </c>
      <c r="E1290" s="31" t="s">
        <v>1337</v>
      </c>
      <c r="F1290" s="37" t="s">
        <v>139</v>
      </c>
      <c r="G1290" s="24"/>
      <c r="H1290" s="24"/>
    </row>
    <row r="1291" spans="1:8" ht="13.2">
      <c r="A1291" s="65" t="str">
        <f>HYPERLINK("https://dmoj.ca/problem/coci06c1p5","COCI 06-Bond")</f>
        <v>COCI 06-Bond</v>
      </c>
      <c r="B1291" s="15" t="s">
        <v>6962</v>
      </c>
      <c r="C1291" s="24">
        <v>4.5</v>
      </c>
      <c r="D1291" s="65" t="str">
        <f>HYPERLINK("https://github.com/mostafa-saad/MyCompetitiveProgramming/tree/master/Olympiad/COCI/official/2007/contest1_solutions","Editorial")</f>
        <v>Editorial</v>
      </c>
      <c r="E1291" s="31" t="s">
        <v>1819</v>
      </c>
      <c r="F1291" s="37" t="s">
        <v>139</v>
      </c>
      <c r="G1291" s="24"/>
      <c r="H1291" s="24"/>
    </row>
    <row r="1292" spans="1:8" ht="13.2">
      <c r="A1292" s="65" t="str">
        <f>HYPERLINK("https://oj.uz/problem/view/BOI16_bosses","Baltic 16-bosses")</f>
        <v>Baltic 16-bosses</v>
      </c>
      <c r="B1292" s="18" t="s">
        <v>7163</v>
      </c>
      <c r="C1292" s="17">
        <v>4.5</v>
      </c>
      <c r="D1292" s="65" t="str">
        <f>HYPERLINK("https://github.com/mostafa-saad/MyCompetitiveProgramming/blob/master/Olympiad/Baltic/Baltic-16-bosses.txt","Sol")</f>
        <v>Sol</v>
      </c>
      <c r="E1292" s="31" t="s">
        <v>3257</v>
      </c>
      <c r="F1292" s="37" t="s">
        <v>139</v>
      </c>
      <c r="G1292" s="24"/>
      <c r="H1292" s="24"/>
    </row>
    <row r="1293" spans="1:8" ht="13.2">
      <c r="A1293" s="65" t="str">
        <f>HYPERLINK("https://dunjudge.me/analysis/problems/146/","NOI 07-hole")</f>
        <v>NOI 07-hole</v>
      </c>
      <c r="B1293" s="37" t="s">
        <v>908</v>
      </c>
      <c r="C1293" s="24">
        <v>4.5</v>
      </c>
      <c r="D1293" s="65" t="str">
        <f>HYPERLINK("https://github.com/mostafa-saad/MyCompetitiveProgramming/blob/master/Olympiad/NOI/NOI-07-hole.txt","Sol")</f>
        <v>Sol</v>
      </c>
      <c r="E1293" s="31" t="s">
        <v>805</v>
      </c>
      <c r="F1293" s="37" t="s">
        <v>139</v>
      </c>
      <c r="G1293" s="24"/>
      <c r="H1293" s="24"/>
    </row>
    <row r="1294" spans="1:8" ht="13.2">
      <c r="A1294" s="65" t="str">
        <f>HYPERLINK("https://dmoj.ca/problem/coci13c1p3","COCI 13-Ratar")</f>
        <v>COCI 13-Ratar</v>
      </c>
      <c r="B1294" s="20" t="s">
        <v>7409</v>
      </c>
      <c r="C1294" s="24">
        <v>4.5</v>
      </c>
      <c r="D1294" s="65" t="str">
        <f>HYPERLINK("https://github.com/mostafa-saad/MyCompetitiveProgramming/blob/master/Olympiad/COCI/official/2014/contest1_solutions","Editorial")</f>
        <v>Editorial</v>
      </c>
      <c r="E1294" s="31" t="s">
        <v>5958</v>
      </c>
      <c r="F1294" s="37" t="s">
        <v>201</v>
      </c>
      <c r="G1294" s="24"/>
      <c r="H1294" s="24"/>
    </row>
    <row r="1295" spans="1:8" ht="13.2">
      <c r="A1295" s="65" t="str">
        <f>HYPERLINK("https://contest.yandex.ru/snss2018/contest/8703/problems/A","SNSS 18-R5-A")</f>
        <v>SNSS 18-R5-A</v>
      </c>
      <c r="B1295" s="20" t="s">
        <v>1348</v>
      </c>
      <c r="C1295" s="21">
        <v>4.5</v>
      </c>
      <c r="D1295" s="65" t="str">
        <f>HYPERLINK("https://github.com/SpeedOfMagic/CompetitiveProgramming/blob/master/SNSS/18-R5-A.cpp","Sol")</f>
        <v>Sol</v>
      </c>
      <c r="E1295" s="31" t="s">
        <v>1337</v>
      </c>
      <c r="F1295" s="37" t="s">
        <v>201</v>
      </c>
      <c r="G1295" s="24"/>
      <c r="H1295" s="24"/>
    </row>
    <row r="1296" spans="1:8" ht="13.2">
      <c r="A1296" s="65" t="str">
        <f>HYPERLINK("https://csacademy.com/contest/junior-challenge-2017-day-2/task/set-subtraction","ROJS 17-set_subtraction")</f>
        <v>ROJS 17-set_subtraction</v>
      </c>
      <c r="B1296" s="37" t="s">
        <v>2163</v>
      </c>
      <c r="C1296" s="24">
        <v>4.5</v>
      </c>
      <c r="D1296" s="69"/>
      <c r="E1296" s="31" t="s">
        <v>2153</v>
      </c>
      <c r="F1296" s="37" t="s">
        <v>201</v>
      </c>
      <c r="G1296" s="24"/>
      <c r="H1296" s="24"/>
    </row>
    <row r="1297" spans="1:8" ht="13.2">
      <c r="A1297" s="65" t="str">
        <f>HYPERLINK("https://dunjudge.me/analysis/problems/281/","NOI 13-diesel")</f>
        <v>NOI 13-diesel</v>
      </c>
      <c r="B1297" s="37" t="s">
        <v>7164</v>
      </c>
      <c r="C1297" s="24">
        <v>4.5</v>
      </c>
      <c r="D1297" s="65" t="str">
        <f>HYPERLINK("https://github.com/mostafa-saad/MyCompetitiveProgramming/blob/master/Olympiad/NOI/official","Sol")</f>
        <v>Sol</v>
      </c>
      <c r="E1297" s="31" t="s">
        <v>3257</v>
      </c>
      <c r="F1297" s="37" t="s">
        <v>201</v>
      </c>
      <c r="G1297" s="24"/>
      <c r="H1297" s="24"/>
    </row>
    <row r="1298" spans="1:8" ht="13.2">
      <c r="A1298" s="65" t="str">
        <f>HYPERLINK("https://wcipeg.com/problem/coci087p5","COI 08-Reljef")</f>
        <v>COI 08-Reljef</v>
      </c>
      <c r="B1298" s="15" t="s">
        <v>3649</v>
      </c>
      <c r="C1298" s="24">
        <v>4.5</v>
      </c>
      <c r="D1298" s="65" t="str">
        <f>HYPERLINK("https://github.com/mostafa-saad/MyCompetitiveProgramming/blob/master/Olympiad/COCI/official/2009/regional_solutions","Editorial")</f>
        <v>Editorial</v>
      </c>
      <c r="E1298" s="31" t="s">
        <v>3650</v>
      </c>
      <c r="F1298" s="37" t="s">
        <v>201</v>
      </c>
      <c r="G1298" s="24"/>
      <c r="H1298" s="24"/>
    </row>
    <row r="1299" spans="1:8" ht="13.2">
      <c r="A1299" s="65" t="str">
        <f>HYPERLINK("https://szkopul.edu.pl/problemset/problem/p5XIDH2wrPz6KrUOJCv2RjGq/site/", "POI 05-Cash")</f>
        <v>POI 05-Cash</v>
      </c>
      <c r="B1299" s="37" t="s">
        <v>814</v>
      </c>
      <c r="C1299" s="24">
        <v>4.5</v>
      </c>
      <c r="D1299" s="65" t="str">
        <f>HYPERLINK("https://github.com/sofhiasouza/CompetitiveProgramming/blob/master/POI/cash.cpp","Sol")</f>
        <v>Sol</v>
      </c>
      <c r="E1299" s="31" t="s">
        <v>805</v>
      </c>
      <c r="F1299" s="37" t="s">
        <v>201</v>
      </c>
      <c r="G1299" s="24"/>
      <c r="H1299" s="24"/>
    </row>
    <row r="1300" spans="1:8" ht="13.2">
      <c r="A1300" s="65" t="str">
        <f>HYPERLINK("https://www.infoarena.ro/problema/bile6","infoarena bile6")</f>
        <v>infoarena bile6</v>
      </c>
      <c r="B1300" s="20" t="s">
        <v>6642</v>
      </c>
      <c r="C1300" s="17">
        <v>4.5</v>
      </c>
      <c r="D1300" s="65" t="str">
        <f>HYPERLINK("https://github.com/stefdasca/CompetitiveProgramming/blob/master/Infoarena/bile6.cpp","Sol")</f>
        <v>Sol</v>
      </c>
      <c r="E1300" s="31" t="s">
        <v>125</v>
      </c>
      <c r="F1300" s="37"/>
      <c r="G1300" s="24"/>
      <c r="H1300" s="24"/>
    </row>
    <row r="1301" spans="1:8" ht="13.2">
      <c r="A1301" s="65" t="str">
        <f>HYPERLINK("https://oj.uz/problem/view/COCI18_preokret","COCI 19-preokret")</f>
        <v>COCI 19-preokret</v>
      </c>
      <c r="B1301" s="20" t="s">
        <v>124</v>
      </c>
      <c r="C1301" s="17">
        <v>4.5</v>
      </c>
      <c r="D1301" s="69"/>
      <c r="E1301" s="31" t="s">
        <v>125</v>
      </c>
      <c r="F1301" s="37"/>
      <c r="G1301" s="24"/>
      <c r="H1301" s="24"/>
    </row>
    <row r="1302" spans="1:8" ht="13.2">
      <c r="A1302" s="65" t="str">
        <f>HYPERLINK("https://codeforces.com/group/swEqtABRxe/contest/243427/problem/A", "EOIQ 18-r2-A")</f>
        <v>EOIQ 18-r2-A</v>
      </c>
      <c r="B1302" s="20" t="s">
        <v>5961</v>
      </c>
      <c r="C1302" s="17">
        <v>4.5</v>
      </c>
      <c r="D1302" s="69"/>
      <c r="E1302" s="31" t="s">
        <v>5958</v>
      </c>
      <c r="F1302" s="37"/>
      <c r="G1302" s="24"/>
      <c r="H1302" s="24"/>
    </row>
    <row r="1303" spans="1:8" ht="13.2">
      <c r="A1303" s="65" t="str">
        <f>HYPERLINK("https://www.e-olymp.com/en/problems/7482","IZhO 13-Trading")</f>
        <v>IZhO 13-Trading</v>
      </c>
      <c r="B1303" s="20" t="s">
        <v>6800</v>
      </c>
      <c r="C1303" s="24">
        <v>4.5</v>
      </c>
      <c r="D1303" s="65" t="str">
        <f>HYPERLINK("https://github.com/tmwilliamlin168/CompetitiveProgramming/blob/master/IZHO/13-Trading.cpp","Sol")</f>
        <v>Sol</v>
      </c>
      <c r="E1303" s="31" t="s">
        <v>1018</v>
      </c>
      <c r="F1303" s="37"/>
      <c r="G1303" s="24"/>
      <c r="H1303" s="24"/>
    </row>
    <row r="1304" spans="1:8" ht="13.2">
      <c r="A1304" s="65" t="str">
        <f>HYPERLINK("https://www.infoarena.ro/problema/nrsec","infoarena nrsec")</f>
        <v>infoarena nrsec</v>
      </c>
      <c r="B1304" s="20" t="s">
        <v>1273</v>
      </c>
      <c r="C1304" s="21">
        <v>4.5</v>
      </c>
      <c r="D1304" s="65" t="str">
        <f>HYPERLINK("https://github.com/stefdasca/CompetitiveProgramming/blob/master/Infoarena/nrsec.cpp","Sol")</f>
        <v>Sol</v>
      </c>
      <c r="E1304" s="31" t="s">
        <v>1223</v>
      </c>
      <c r="F1304" s="37"/>
      <c r="G1304" s="24"/>
      <c r="H1304" s="24"/>
    </row>
    <row r="1305" spans="1:8" ht="13.2">
      <c r="A1305" s="65" t="str">
        <f>HYPERLINK("https://dmoj.ca/problem/ioi01p1","IOI 01-mobile")</f>
        <v>IOI 01-mobile</v>
      </c>
      <c r="B1305" s="20" t="s">
        <v>1329</v>
      </c>
      <c r="C1305" s="24">
        <v>4.5</v>
      </c>
      <c r="D1305" s="65" t="str">
        <f>HYPERLINK("https://github.com/mostafa-saad/MyCompetitiveProgramming/blob/master/Olympiad/IOI/official/2001","Editorial")</f>
        <v>Editorial</v>
      </c>
      <c r="E1305" s="31" t="s">
        <v>1223</v>
      </c>
      <c r="F1305" s="37"/>
      <c r="G1305" s="24"/>
      <c r="H1305" s="24"/>
    </row>
    <row r="1306" spans="1:8" ht="13.2">
      <c r="A1306" s="65" t="str">
        <f>HYPERLINK("https://cses.fi/116/list/","Baltic 05-Ancient")</f>
        <v>Baltic 05-Ancient</v>
      </c>
      <c r="B1306" s="37" t="s">
        <v>6935</v>
      </c>
      <c r="C1306" s="24">
        <v>4.5</v>
      </c>
      <c r="D1306" s="65" t="str">
        <f>HYPERLINK("https://github.com/mostafa-saad/MyCompetitiveProgramming/blob/master/Olympiad/Baltic/official/boi2005_solutions","Editorial")</f>
        <v>Editorial</v>
      </c>
      <c r="E1306" s="31" t="s">
        <v>1337</v>
      </c>
      <c r="F1306" s="37"/>
      <c r="G1306" s="24"/>
      <c r="H1306" s="24"/>
    </row>
    <row r="1307" spans="1:8" ht="13.2">
      <c r="A1307" s="65" t="str">
        <f>HYPERLINK("https://joi2016ho.contest.atcoder.jp/tasks/joi2016ho_a","JOI 16-Oranges")</f>
        <v>JOI 16-Oranges</v>
      </c>
      <c r="B1307" s="20" t="s">
        <v>7672</v>
      </c>
      <c r="C1307" s="17">
        <v>4.5</v>
      </c>
      <c r="D1307" s="65" t="str">
        <f>HYPERLINK("https://github.com/nikolapesic2802/Programming-Practice/blob/master/Oranges/main.cpp","AC")</f>
        <v>AC</v>
      </c>
      <c r="E1307" s="31" t="s">
        <v>1337</v>
      </c>
      <c r="F1307" s="37"/>
      <c r="G1307" s="24"/>
      <c r="H1307" s="24"/>
    </row>
    <row r="1308" spans="1:8" ht="13.2">
      <c r="A1308" s="65" t="str">
        <f>HYPERLINK("https://www.infoarena.ro/problema/tablou","infoarena tablou")</f>
        <v>infoarena tablou</v>
      </c>
      <c r="B1308" s="20" t="s">
        <v>6937</v>
      </c>
      <c r="C1308" s="21">
        <v>4.5</v>
      </c>
      <c r="D1308" s="65" t="str">
        <f>HYPERLINK("https://github.com/stefdasca/CompetitiveProgramming/blob/master/Infoarena/tablou.cpp","Sol")</f>
        <v>Sol</v>
      </c>
      <c r="E1308" s="31" t="s">
        <v>1337</v>
      </c>
      <c r="F1308" s="37"/>
      <c r="G1308" s="24"/>
      <c r="H1308" s="24"/>
    </row>
    <row r="1309" spans="1:8" ht="13.2">
      <c r="A1309" s="65" t="str">
        <f>HYPERLINK("http://usaco.org/index.php?page=viewproblem2&amp;cpid=193", "USACO 12nov-bbreeds-gold")</f>
        <v>USACO 12nov-bbreeds-gold</v>
      </c>
      <c r="B1309" s="20" t="s">
        <v>1348</v>
      </c>
      <c r="C1309" s="21">
        <v>4.5</v>
      </c>
      <c r="D1309" s="69"/>
      <c r="E1309" s="31" t="s">
        <v>1337</v>
      </c>
      <c r="F1309" s="37"/>
      <c r="G1309" s="24"/>
      <c r="H1309" s="24"/>
    </row>
    <row r="1310" spans="1:8" ht="13.2">
      <c r="A1310" s="65" t="str">
        <f>HYPERLINK("https://dunjudge.me/analysis/problems/695/","NOIMOCK 15-toblerone")</f>
        <v>NOIMOCK 15-toblerone</v>
      </c>
      <c r="B1310" s="37" t="s">
        <v>1348</v>
      </c>
      <c r="C1310" s="24">
        <v>4.5</v>
      </c>
      <c r="D1310" s="69"/>
      <c r="E1310" s="31" t="s">
        <v>1337</v>
      </c>
      <c r="F1310" s="37"/>
      <c r="G1310" s="24"/>
      <c r="H1310" s="24"/>
    </row>
    <row r="1311" spans="1:8" ht="13.2">
      <c r="A1311" s="65" t="str">
        <f>HYPERLINK("https://dmoj.ca/problem/coci06c5p3","COCI 06-Tenis")</f>
        <v>COCI 06-Tenis</v>
      </c>
      <c r="B1311" s="15" t="s">
        <v>7527</v>
      </c>
      <c r="C1311" s="24">
        <v>4.5</v>
      </c>
      <c r="D1311" s="65" t="str">
        <f>HYPERLINK("https://github.com/mostafa-saad/MyCompetitiveProgramming/tree/master/Olympiad/COCI/official/2007/contest5_solutions","Editorial")</f>
        <v>Editorial</v>
      </c>
      <c r="E1311" s="31" t="s">
        <v>7525</v>
      </c>
      <c r="F1311" s="37"/>
      <c r="G1311" s="24"/>
      <c r="H1311" s="24"/>
    </row>
    <row r="1312" spans="1:8" ht="13.2">
      <c r="A1312" s="65" t="str">
        <f>HYPERLINK("https://dmoj.ca/problem/coci08c1p4","COCI 08-Jez")</f>
        <v>COCI 08-Jez</v>
      </c>
      <c r="B1312" s="15" t="s">
        <v>7527</v>
      </c>
      <c r="C1312" s="24">
        <v>4.5</v>
      </c>
      <c r="D1312" s="65" t="str">
        <f>HYPERLINK("https://github.com/mostafa-saad/MyCompetitiveProgramming/blob/master/Olympiad/COCI/official/2009/contest1_solutions","Editorial")</f>
        <v>Editorial</v>
      </c>
      <c r="E1312" s="31" t="s">
        <v>7525</v>
      </c>
      <c r="F1312" s="37"/>
      <c r="G1312" s="24"/>
      <c r="H1312" s="24"/>
    </row>
    <row r="1313" spans="1:8" ht="13.2">
      <c r="A1313" s="65" t="str">
        <f>HYPERLINK("https://dmoj.ca/problem/coci08c6p4","COCI 08-Cuskija")</f>
        <v>COCI 08-Cuskija</v>
      </c>
      <c r="B1313" s="15" t="s">
        <v>7527</v>
      </c>
      <c r="C1313" s="24">
        <v>4.5</v>
      </c>
      <c r="D1313" s="65" t="str">
        <f>HYPERLINK("https://github.com/mostafa-saad/MyCompetitiveProgramming/blob/master/Olympiad/COCI/official/2009/contest6_solutions","Editorial")</f>
        <v>Editorial</v>
      </c>
      <c r="E1313" s="31" t="s">
        <v>7525</v>
      </c>
      <c r="F1313" s="37"/>
      <c r="G1313" s="24"/>
      <c r="H1313" s="24"/>
    </row>
    <row r="1314" spans="1:8" ht="13.2">
      <c r="A1314" s="65" t="str">
        <f>HYPERLINK("https://wcipeg.com/problem/coci065p4","COCI 06-Liga")</f>
        <v>COCI 06-Liga</v>
      </c>
      <c r="B1314" s="15" t="s">
        <v>7527</v>
      </c>
      <c r="C1314" s="24">
        <v>4.5</v>
      </c>
      <c r="D1314" s="65" t="str">
        <f>HYPERLINK("https://github.com/mostafa-saad/MyCompetitiveProgramming/tree/master/Olympiad/COCI/official/2007/contest5_solutions","Editorial")</f>
        <v>Editorial</v>
      </c>
      <c r="E1314" s="31" t="s">
        <v>7525</v>
      </c>
      <c r="F1314" s="37"/>
      <c r="G1314" s="24"/>
      <c r="H1314" s="24"/>
    </row>
    <row r="1315" spans="1:8" ht="13.2">
      <c r="A1315" s="65" t="str">
        <f>HYPERLINK("https://codeforces.com/group/swEqtABRxe/contest/243429/problem/B", "EOI 18-d1-B")</f>
        <v>EOI 18-d1-B</v>
      </c>
      <c r="B1315" s="20" t="s">
        <v>7038</v>
      </c>
      <c r="C1315" s="17">
        <v>4.5</v>
      </c>
      <c r="D1315" s="69"/>
      <c r="E1315" s="31" t="s">
        <v>2153</v>
      </c>
      <c r="F1315" s="37"/>
      <c r="G1315" s="24"/>
      <c r="H1315" s="24"/>
    </row>
    <row r="1316" spans="1:8" ht="13.2">
      <c r="A1316" s="65" t="str">
        <f>HYPERLINK("https://www.infoarena.ro/problema/copii2","infoarena copii2")</f>
        <v>infoarena copii2</v>
      </c>
      <c r="B1316" s="75" t="s">
        <v>7039</v>
      </c>
      <c r="C1316" s="17">
        <v>4.5</v>
      </c>
      <c r="D1316" s="65" t="str">
        <f>HYPERLINK("https://github.com/stefdasca/CompetitiveProgramming/blob/master/Infoarena/copii2.cpp","Sol")</f>
        <v>Sol</v>
      </c>
      <c r="E1316" s="31" t="s">
        <v>2153</v>
      </c>
      <c r="F1316" s="37"/>
      <c r="G1316" s="24"/>
      <c r="H1316" s="24"/>
    </row>
    <row r="1317" spans="1:8" ht="13.2">
      <c r="A1317" s="65" t="str">
        <f>HYPERLINK("https://www.infoarena.ro/problema/sir42","Infoarena sir42")</f>
        <v>Infoarena sir42</v>
      </c>
      <c r="B1317" s="20" t="s">
        <v>7040</v>
      </c>
      <c r="C1317" s="21">
        <v>4.5</v>
      </c>
      <c r="D1317" s="65" t="str">
        <f>HYPERLINK("https://github.com/stefdasca/CompetitiveProgramming/blob/master/Infoarena/sir42.cpp","Sol")</f>
        <v>Sol</v>
      </c>
      <c r="E1317" s="31" t="s">
        <v>2153</v>
      </c>
      <c r="F1317" s="37"/>
      <c r="G1317" s="24"/>
      <c r="H1317" s="24"/>
    </row>
    <row r="1318" spans="1:8" ht="13.2">
      <c r="A1318" s="65" t="str">
        <f>HYPERLINK("https://www.infoarena.ro/problema/incurcatura","infoarena incurcatura")</f>
        <v>infoarena incurcatura</v>
      </c>
      <c r="B1318" s="20" t="s">
        <v>7165</v>
      </c>
      <c r="C1318" s="17">
        <v>4.5</v>
      </c>
      <c r="D1318" s="65" t="str">
        <f>HYPERLINK("https://github.com/stefdasca/CompetitiveProgramming/blob/master/Infoarena/incurcatura.cpp","Sol")</f>
        <v>Sol</v>
      </c>
      <c r="E1318" s="31" t="s">
        <v>3257</v>
      </c>
      <c r="F1318" s="37"/>
      <c r="G1318" s="24"/>
      <c r="H1318" s="24"/>
    </row>
    <row r="1319" spans="1:8" ht="13.2">
      <c r="A1319" s="65" t="str">
        <f>HYPERLINK("https://infoarena.ro/problema/abx","infoarena abx")</f>
        <v>infoarena abx</v>
      </c>
      <c r="B1319" s="20" t="s">
        <v>7328</v>
      </c>
      <c r="C1319" s="21">
        <v>4.5</v>
      </c>
      <c r="D1319" s="65" t="str">
        <f>HYPERLINK("https://github.com/stefdasca/CompetitiveProgramming/blob/master/Infoarena/abx.cpp","Sol")</f>
        <v>Sol</v>
      </c>
      <c r="E1319" s="31" t="s">
        <v>4531</v>
      </c>
      <c r="F1319" s="37"/>
      <c r="G1319" s="24"/>
      <c r="H1319" s="24"/>
    </row>
    <row r="1320" spans="1:8" ht="13.2">
      <c r="A1320" s="65" t="str">
        <f>HYPERLINK("https://dunjudge.me/analysis/problems/552/","MCO 14-random")</f>
        <v>MCO 14-random</v>
      </c>
      <c r="B1320" s="37" t="s">
        <v>7329</v>
      </c>
      <c r="C1320" s="24">
        <v>4.5</v>
      </c>
      <c r="D1320" s="65" t="str">
        <f>HYPERLINK("https://github.com/mostafa-saad/MyCompetitiveProgramming/tree/master/Olympiad/MCO/official/2014","Sol No Editorial")</f>
        <v>Sol No Editorial</v>
      </c>
      <c r="E1320" s="31" t="s">
        <v>4531</v>
      </c>
      <c r="F1320" s="37"/>
      <c r="G1320" s="24"/>
      <c r="H1320" s="24"/>
    </row>
    <row r="1321" spans="1:8" ht="13.2">
      <c r="A1321" s="65" t="str">
        <f>HYPERLINK("https://www.infoarena.ro/problema/color","infoarena color")</f>
        <v>infoarena color</v>
      </c>
      <c r="B1321" s="20" t="s">
        <v>4964</v>
      </c>
      <c r="C1321" s="21">
        <v>4.5</v>
      </c>
      <c r="D1321" s="65" t="str">
        <f>HYPERLINK("https://github.com/stefdasca/CompetitiveProgramming/blob/master/Infoarena/color.cpp","Sol")</f>
        <v>Sol</v>
      </c>
      <c r="E1321" s="31" t="s">
        <v>4958</v>
      </c>
      <c r="F1321" s="37"/>
      <c r="G1321" s="24"/>
      <c r="H1321" s="24"/>
    </row>
    <row r="1322" spans="1:8" ht="13.2">
      <c r="A1322" s="65" t="str">
        <f>HYPERLINK("https://oj.uz/problem/view/COCI18_karte","COCI 18-karte")</f>
        <v>COCI 18-karte</v>
      </c>
      <c r="B1322" s="20" t="s">
        <v>7041</v>
      </c>
      <c r="C1322" s="24">
        <v>4</v>
      </c>
      <c r="D1322" s="65" t="str">
        <f>HYPERLINK("https://github.com/mostafa-saad/MyCompetitiveProgramming/blob/master/Olympiad/COCI/COCI-18-karte.txt","Sol")</f>
        <v>Sol</v>
      </c>
      <c r="E1322" s="31" t="s">
        <v>2153</v>
      </c>
      <c r="F1322" s="37" t="s">
        <v>1112</v>
      </c>
      <c r="G1322" s="24"/>
      <c r="H1322" s="24"/>
    </row>
    <row r="1323" spans="1:8" ht="13.2">
      <c r="A1323" s="65" t="str">
        <f>HYPERLINK("https://oj.uz/problem/view/COCI17_igra","COCI 17-igra")</f>
        <v>COCI 17-igra</v>
      </c>
      <c r="B1323" s="20" t="s">
        <v>6643</v>
      </c>
      <c r="C1323" s="24">
        <v>4</v>
      </c>
      <c r="D1323" s="65" t="str">
        <f>HYPERLINK("https://github.com/mostafa-saad/MyCompetitiveProgramming/blob/master/Olympiad/COCI/official/2017/contest7_solutions","Editorial")</f>
        <v>Editorial</v>
      </c>
      <c r="E1323" s="31" t="s">
        <v>125</v>
      </c>
      <c r="F1323" s="37" t="s">
        <v>139</v>
      </c>
      <c r="G1323" s="24"/>
      <c r="H1323" s="24"/>
    </row>
    <row r="1324" spans="1:8" ht="13.2">
      <c r="A1324" s="65" t="str">
        <f>HYPERLINK("https://dunjudge.me/analysis/problems/1825/","NOI 19-lasers")</f>
        <v>NOI 19-lasers</v>
      </c>
      <c r="B1324" s="20" t="s">
        <v>124</v>
      </c>
      <c r="C1324" s="17">
        <v>4</v>
      </c>
      <c r="D1324" s="69"/>
      <c r="E1324" s="31" t="s">
        <v>125</v>
      </c>
      <c r="F1324" s="37" t="s">
        <v>139</v>
      </c>
      <c r="G1324" s="24"/>
      <c r="H1324" s="24"/>
    </row>
    <row r="1325" spans="1:8" ht="13.2">
      <c r="A1325" s="65" t="str">
        <f>HYPERLINK("https://oj.uz/problem/view/COCI14_studentsko","COCI 14-studentsko")</f>
        <v>COCI 14-studentsko</v>
      </c>
      <c r="B1325" s="20" t="s">
        <v>6938</v>
      </c>
      <c r="C1325" s="24">
        <v>4</v>
      </c>
      <c r="D1325" s="65" t="str">
        <f>HYPERLINK("https://github.com/mostafa-saad/MyCompetitiveProgramming/blob/master/Olympiad/COCI/COCI-14-studentsko.txt","Sol")</f>
        <v>Sol</v>
      </c>
      <c r="E1325" s="31" t="s">
        <v>1337</v>
      </c>
      <c r="F1325" s="37" t="s">
        <v>139</v>
      </c>
      <c r="G1325" s="24"/>
      <c r="H1325" s="24"/>
    </row>
    <row r="1326" spans="1:8" ht="13.2">
      <c r="A1326" s="65" t="str">
        <f>HYPERLINK("https://oj.uz/problem/view/POI11_tem","POI 11-Temp")</f>
        <v>POI 11-Temp</v>
      </c>
      <c r="B1326" s="25" t="s">
        <v>6704</v>
      </c>
      <c r="C1326" s="24">
        <v>4</v>
      </c>
      <c r="D1326" s="65" t="str">
        <f>HYPERLINK("https://github.com/nikolapesic2802/Programming-Practice/blob/master/Temperature/main.cpp","Sol")</f>
        <v>Sol</v>
      </c>
      <c r="E1326" s="31" t="s">
        <v>575</v>
      </c>
      <c r="F1326" s="37" t="s">
        <v>139</v>
      </c>
      <c r="G1326" s="24"/>
      <c r="H1326" s="24"/>
    </row>
    <row r="1327" spans="1:8" ht="13.2">
      <c r="A1327" s="65" t="str">
        <f>HYPERLINK("https://dunjudge.me/analysis/problems/777/","COCI 13-ladice")</f>
        <v>COCI 13-ladice</v>
      </c>
      <c r="B1327" s="20" t="s">
        <v>7247</v>
      </c>
      <c r="C1327" s="24">
        <v>4</v>
      </c>
      <c r="D1327" s="65" t="str">
        <f>HYPERLINK("https://github.com/mostafa-saad/MyCompetitiveProgramming/blob/master/Olympiad/COCI/official/2014/contest5_solutions","Editorial")</f>
        <v>Editorial</v>
      </c>
      <c r="E1327" s="31" t="s">
        <v>3883</v>
      </c>
      <c r="F1327" s="37" t="s">
        <v>139</v>
      </c>
      <c r="G1327" s="24"/>
      <c r="H1327" s="24"/>
    </row>
    <row r="1328" spans="1:8" ht="13.2">
      <c r="A1328" s="65" t="str">
        <f>HYPERLINK("https://infoarena.ro/problema/cate3cifre","infoarena cate3cifre")</f>
        <v>infoarena cate3cifre</v>
      </c>
      <c r="B1328" s="20" t="s">
        <v>4562</v>
      </c>
      <c r="C1328" s="21">
        <v>4</v>
      </c>
      <c r="D1328" s="65" t="str">
        <f>HYPERLINK("https://github.com/stefdasca/CompetitiveProgramming/blob/master/Infoarena/cate3cifre.cpp","Sol")</f>
        <v>Sol</v>
      </c>
      <c r="E1328" s="31" t="s">
        <v>4531</v>
      </c>
      <c r="F1328" s="37" t="s">
        <v>139</v>
      </c>
      <c r="G1328" s="24"/>
      <c r="H1328" s="24"/>
    </row>
    <row r="1329" spans="1:8" ht="13.2">
      <c r="A1329" s="65" t="str">
        <f>HYPERLINK("https://oj.uz/problem/view/IOI17_coins","IOI 17-coins")</f>
        <v>IOI 17-coins</v>
      </c>
      <c r="B1329" s="20" t="s">
        <v>4698</v>
      </c>
      <c r="C1329" s="17">
        <v>4</v>
      </c>
      <c r="D1329" s="69"/>
      <c r="E1329" s="31" t="s">
        <v>4531</v>
      </c>
      <c r="F1329" s="37" t="s">
        <v>139</v>
      </c>
      <c r="G1329" s="24"/>
      <c r="H1329" s="24"/>
    </row>
    <row r="1330" spans="1:8" ht="13.2">
      <c r="A1330" s="65" t="str">
        <f>HYPERLINK("https://oj.uz/problem/view/COCI17_uzastopni","COCI 17-uzastopni")</f>
        <v>COCI 17-uzastopni</v>
      </c>
      <c r="B1330" s="20" t="s">
        <v>7340</v>
      </c>
      <c r="C1330" s="24">
        <v>4</v>
      </c>
      <c r="D1330" s="65" t="str">
        <f>HYPERLINK("https://github.com/AhmedElsisy/CompetitiveProgramming/blob/master/Olympiad/COCI/COCI%2017-uzastopni.cpp","sol")</f>
        <v>sol</v>
      </c>
      <c r="E1330" s="31" t="s">
        <v>4893</v>
      </c>
      <c r="F1330" s="37" t="s">
        <v>139</v>
      </c>
      <c r="G1330" s="24"/>
      <c r="H1330" s="24"/>
    </row>
    <row r="1331" spans="1:8" ht="13.2">
      <c r="A1331" s="65" t="str">
        <f>HYPERLINK("https://oj.uz/problem/view/IOI19_cycle","IOIPractice 19-cycle")</f>
        <v>IOIPractice 19-cycle</v>
      </c>
      <c r="B1331" s="23" t="s">
        <v>808</v>
      </c>
      <c r="C1331" s="24">
        <v>4</v>
      </c>
      <c r="D1331" s="65" t="str">
        <f>HYPERLINK("https://github.com/nikolapesic2802/Programming-Practice/blob/master/Cycle/main.cpp","Sol")</f>
        <v>Sol</v>
      </c>
      <c r="E1331" s="31" t="s">
        <v>805</v>
      </c>
      <c r="F1331" s="37" t="s">
        <v>139</v>
      </c>
      <c r="G1331" s="24"/>
      <c r="H1331" s="24"/>
    </row>
    <row r="1332" spans="1:8" ht="13.2">
      <c r="A1332" s="65" t="str">
        <f>HYPERLINK("https://dmoj.ca/problem/coci14c4p4","COCI 14-Mravi")</f>
        <v>COCI 14-Mravi</v>
      </c>
      <c r="B1332" s="37" t="s">
        <v>124</v>
      </c>
      <c r="C1332" s="24">
        <v>4</v>
      </c>
      <c r="D1332" s="65" t="str">
        <f>HYPERLINK("https://github.com/mostafa-saad/MyCompetitiveProgramming/blob/master/Olympiad/COCI/official/2015/contest4_solutions","Editorial")</f>
        <v>Editorial</v>
      </c>
      <c r="E1332" s="31" t="s">
        <v>125</v>
      </c>
      <c r="F1332" s="37" t="s">
        <v>201</v>
      </c>
      <c r="G1332" s="24"/>
      <c r="H1332" s="24"/>
    </row>
    <row r="1333" spans="1:8" ht="13.2">
      <c r="A1333" s="65" t="str">
        <f>HYPERLINK("https://dunjudge.me/analysis/problems/273/","NOI 08-gecko")</f>
        <v>NOI 08-gecko</v>
      </c>
      <c r="B1333" s="37" t="s">
        <v>124</v>
      </c>
      <c r="C1333" s="24">
        <v>4</v>
      </c>
      <c r="D1333" s="65" t="str">
        <f>HYPERLINK("https://github.com/mostafa-saad/MyCompetitiveProgramming/blob/master/Olympiad/NOI/official","Editorial")</f>
        <v>Editorial</v>
      </c>
      <c r="E1333" s="31" t="s">
        <v>125</v>
      </c>
      <c r="F1333" s="37" t="s">
        <v>201</v>
      </c>
      <c r="G1333" s="24"/>
      <c r="H1333" s="24"/>
    </row>
    <row r="1334" spans="1:8" ht="13.2">
      <c r="A1334" s="65" t="str">
        <f>HYPERLINK("https://ipsc.ksp.sk/2018/real/problems/h.html","IPSC 18-H1")</f>
        <v>IPSC 18-H1</v>
      </c>
      <c r="B1334" s="20" t="s">
        <v>6575</v>
      </c>
      <c r="C1334" s="21">
        <v>4</v>
      </c>
      <c r="D1334" s="69"/>
      <c r="E1334" s="31" t="s">
        <v>125</v>
      </c>
      <c r="F1334" s="37" t="s">
        <v>201</v>
      </c>
      <c r="G1334" s="24"/>
      <c r="H1334" s="24"/>
    </row>
    <row r="1335" spans="1:8" ht="13.2">
      <c r="A1335" s="65" t="str">
        <f>HYPERLINK("https://ipsc.ksp.sk/2018/real/problems/j.html","IPSC 18-J1")</f>
        <v>IPSC 18-J1</v>
      </c>
      <c r="B1335" s="20" t="s">
        <v>138</v>
      </c>
      <c r="C1335" s="21">
        <v>4</v>
      </c>
      <c r="D1335" s="69"/>
      <c r="E1335" s="31" t="s">
        <v>125</v>
      </c>
      <c r="F1335" s="37" t="s">
        <v>201</v>
      </c>
      <c r="G1335" s="24"/>
      <c r="H1335" s="24"/>
    </row>
    <row r="1336" spans="1:8" ht="13.2">
      <c r="A1336" s="65" t="str">
        <f>HYPERLINK("https://www.acmicpc.net/problem/7086","Balkan 05-SailingRace")</f>
        <v>Balkan 05-SailingRace</v>
      </c>
      <c r="B1336" s="37" t="s">
        <v>1348</v>
      </c>
      <c r="C1336" s="24">
        <v>4</v>
      </c>
      <c r="D1336" s="65" t="str">
        <f>HYPERLINK("https://github.com/koosaga/olympiad/blob/master/Balkan/balkan05_race.cpp","Sol (no editorial)")</f>
        <v>Sol (no editorial)</v>
      </c>
      <c r="E1336" s="31" t="s">
        <v>1337</v>
      </c>
      <c r="F1336" s="37" t="s">
        <v>201</v>
      </c>
      <c r="G1336" s="24"/>
      <c r="H1336" s="24"/>
    </row>
    <row r="1337" spans="1:8" ht="13.2">
      <c r="A1337" s="65" t="str">
        <f>HYPERLINK("https://oj.uz/problem/view/CEOI12_jobs","CEOI 12-Jobs")</f>
        <v>CEOI 12-Jobs</v>
      </c>
      <c r="B1337" s="18" t="s">
        <v>2256</v>
      </c>
      <c r="C1337" s="17">
        <v>4</v>
      </c>
      <c r="D1337" s="65" t="str">
        <f>HYPERLINK("https://github.com/SpeedOfMagic/CompetitiveProgramming/blob/master/CEOI/CEOI%2012-Jobs.cpp","Sol")</f>
        <v>Sol</v>
      </c>
      <c r="E1337" s="31" t="s">
        <v>2153</v>
      </c>
      <c r="F1337" s="37" t="s">
        <v>201</v>
      </c>
      <c r="G1337" s="24"/>
      <c r="H1337" s="24"/>
    </row>
    <row r="1338" spans="1:8" ht="13.2">
      <c r="A1338" s="65" t="str">
        <f>HYPERLINK("https://oj.uz/problem/view/COCI17_lozinke","COCI 17-lozinke")</f>
        <v>COCI 17-lozinke</v>
      </c>
      <c r="B1338" s="20" t="s">
        <v>2169</v>
      </c>
      <c r="C1338" s="24">
        <v>4</v>
      </c>
      <c r="D1338" s="65" t="str">
        <f>HYPERLINK("https://oj.uz/submission/85415","Sol")</f>
        <v>Sol</v>
      </c>
      <c r="E1338" s="31" t="s">
        <v>2153</v>
      </c>
      <c r="F1338" s="37" t="s">
        <v>201</v>
      </c>
      <c r="G1338" s="24"/>
      <c r="H1338" s="24"/>
    </row>
    <row r="1339" spans="1:8" ht="13.2">
      <c r="A1339" s="65" t="str">
        <f>HYPERLINK("https://dmoj.ca/problem/coci07c3p4","COCI 07-Dejavu")</f>
        <v>COCI 07-Dejavu</v>
      </c>
      <c r="B1339" s="15" t="s">
        <v>2509</v>
      </c>
      <c r="C1339" s="24">
        <v>4</v>
      </c>
      <c r="D1339" s="65" t="str">
        <f>HYPERLINK("https://github.com/mostafa-saad/MyCompetitiveProgramming/tree/master/Olympiad/COCI/official/2008/contest3_solutions","Editorial")</f>
        <v>Editorial</v>
      </c>
      <c r="E1339" s="31" t="s">
        <v>2510</v>
      </c>
      <c r="F1339" s="37" t="s">
        <v>201</v>
      </c>
      <c r="G1339" s="24"/>
      <c r="H1339" s="24"/>
    </row>
    <row r="1340" spans="1:8" ht="13.2">
      <c r="A1340" s="65" t="str">
        <f>HYPERLINK("https://dunjudge.me/analysis/problems/272/","NOI 08-lvm")</f>
        <v>NOI 08-lvm</v>
      </c>
      <c r="B1340" s="37" t="s">
        <v>6705</v>
      </c>
      <c r="C1340" s="24">
        <v>4</v>
      </c>
      <c r="D1340" s="65" t="str">
        <f t="shared" ref="D1340:D1341" si="9">HYPERLINK("https://github.com/mostafa-saad/MyCompetitiveProgramming/blob/master/Olympiad/NOI/official","Editorial")</f>
        <v>Editorial</v>
      </c>
      <c r="E1340" s="31" t="s">
        <v>575</v>
      </c>
      <c r="F1340" s="37" t="s">
        <v>201</v>
      </c>
      <c r="G1340" s="24"/>
      <c r="H1340" s="24"/>
    </row>
    <row r="1341" spans="1:8" ht="13.2">
      <c r="A1341" s="65" t="str">
        <f>HYPERLINK("https://dunjudge.me/analysis/problems/115/","NOI 10-card")</f>
        <v>NOI 10-card</v>
      </c>
      <c r="B1341" s="37" t="s">
        <v>6705</v>
      </c>
      <c r="C1341" s="24">
        <v>4</v>
      </c>
      <c r="D1341" s="65" t="str">
        <f t="shared" si="9"/>
        <v>Editorial</v>
      </c>
      <c r="E1341" s="31" t="s">
        <v>575</v>
      </c>
      <c r="F1341" s="37" t="s">
        <v>201</v>
      </c>
      <c r="G1341" s="24"/>
      <c r="H1341" s="24"/>
    </row>
    <row r="1342" spans="1:8" ht="13.2">
      <c r="A1342" s="65" t="str">
        <f>HYPERLINK("https://dmoj.ca/problem/dwite11c5p5","DWITE 11-CubeWorld")</f>
        <v>DWITE 11-CubeWorld</v>
      </c>
      <c r="B1342" s="37" t="s">
        <v>3256</v>
      </c>
      <c r="C1342" s="24">
        <v>4</v>
      </c>
      <c r="D1342" s="69"/>
      <c r="E1342" s="31" t="s">
        <v>3257</v>
      </c>
      <c r="F1342" s="37" t="s">
        <v>201</v>
      </c>
      <c r="G1342" s="24"/>
      <c r="H1342" s="24"/>
    </row>
    <row r="1343" spans="1:8" ht="13.2">
      <c r="A1343" s="65" t="str">
        <f>HYPERLINK("https://dmoj.ca/problem/coci06c1p4","COCI 06-Slikar")</f>
        <v>COCI 06-Slikar</v>
      </c>
      <c r="B1343" s="15" t="s">
        <v>3466</v>
      </c>
      <c r="C1343" s="24">
        <v>4</v>
      </c>
      <c r="D1343" s="65" t="str">
        <f>HYPERLINK("https://github.com/mostafa-saad/MyCompetitiveProgramming/tree/master/Olympiad/COCI/official/2007/contest1_solutions","Editorial")</f>
        <v>Editorial</v>
      </c>
      <c r="E1343" s="31" t="s">
        <v>3467</v>
      </c>
      <c r="F1343" s="37" t="s">
        <v>201</v>
      </c>
      <c r="G1343" s="24"/>
      <c r="H1343" s="24"/>
    </row>
    <row r="1344" spans="1:8" ht="13.2">
      <c r="A1344" s="65" t="str">
        <f>HYPERLINK("https://dmoj.ca/problem/coci07c5p3","COCI 07-Jabuke")</f>
        <v>COCI 07-Jabuke</v>
      </c>
      <c r="B1344" s="15" t="s">
        <v>4530</v>
      </c>
      <c r="C1344" s="24">
        <v>4</v>
      </c>
      <c r="D1344" s="65" t="str">
        <f>HYPERLINK("https://github.com/mostafa-saad/MyCompetitiveProgramming/tree/master/Olympiad/COCI/official/2008/contest5_solutions","Editorial")</f>
        <v>Editorial</v>
      </c>
      <c r="E1344" s="31" t="s">
        <v>4531</v>
      </c>
      <c r="F1344" s="37" t="s">
        <v>201</v>
      </c>
      <c r="G1344" s="24"/>
      <c r="H1344" s="24"/>
    </row>
    <row r="1345" spans="1:8" ht="13.2">
      <c r="A1345" s="65" t="str">
        <f>HYPERLINK("https://wcipeg.com/problem/coci091p3","COCI 09-Dobra")</f>
        <v>COCI 09-Dobra</v>
      </c>
      <c r="B1345" s="15" t="s">
        <v>7343</v>
      </c>
      <c r="C1345" s="24">
        <v>4</v>
      </c>
      <c r="D1345" s="65" t="str">
        <f>HYPERLINK("https://github.com/mostafa-saad/MyCompetitiveProgramming/blob/master/Olympiad/COCI/official/2010/contest1_solutions","Editorial")</f>
        <v>Editorial</v>
      </c>
      <c r="E1345" s="31" t="s">
        <v>4958</v>
      </c>
      <c r="F1345" s="37" t="s">
        <v>201</v>
      </c>
      <c r="G1345" s="24"/>
      <c r="H1345" s="24"/>
    </row>
    <row r="1346" spans="1:8" ht="13.2">
      <c r="A1346" s="65" t="str">
        <f>HYPERLINK("https://contest.yandex.ru/ioi/contest/562/problems/A/","IOI 06-writing")</f>
        <v>IOI 06-writing</v>
      </c>
      <c r="B1346" s="18" t="s">
        <v>146</v>
      </c>
      <c r="C1346" s="17">
        <v>4</v>
      </c>
      <c r="D1346" s="65" t="str">
        <f>HYPERLINK("https://github.com/mostafa-saad/MyCompetitiveProgramming/blob/master/Olympiad/IOI/official/2006/ioi06_writing_sol.pdf","Editorial")</f>
        <v>Editorial</v>
      </c>
      <c r="E1346" s="31" t="s">
        <v>125</v>
      </c>
      <c r="F1346" s="37"/>
      <c r="G1346" s="24"/>
      <c r="H1346" s="24"/>
    </row>
    <row r="1347" spans="1:8" ht="13.2">
      <c r="A1347" s="65" t="str">
        <f>HYPERLINK("https://dmoj.ca/problem/coci14c7p2","COCI 14-Kriza")</f>
        <v>COCI 14-Kriza</v>
      </c>
      <c r="B1347" s="37" t="s">
        <v>124</v>
      </c>
      <c r="C1347" s="24">
        <v>4</v>
      </c>
      <c r="D1347" s="65" t="str">
        <f>HYPERLINK("https://github.com/mostafa-saad/MyCompetitiveProgramming/blob/master/Olympiad/COCI/official/2015/contest7_solutions","Editorial")</f>
        <v>Editorial</v>
      </c>
      <c r="E1347" s="31" t="s">
        <v>125</v>
      </c>
      <c r="F1347" s="37"/>
      <c r="G1347" s="24"/>
      <c r="H1347" s="24"/>
    </row>
    <row r="1348" spans="1:8" ht="13.2">
      <c r="A1348" s="65" t="str">
        <f>HYPERLINK("https://szkopul.edu.pl/problemset/problem/Arkza0f7GKKb-m1YZJulnlMk/site/", "POI 10-Test")</f>
        <v>POI 10-Test</v>
      </c>
      <c r="B1348" s="37" t="s">
        <v>124</v>
      </c>
      <c r="C1348" s="24">
        <v>4</v>
      </c>
      <c r="D1348" s="65" t="str">
        <f>HYPERLINK("https://github.com/mostafa-saad/MyCompetitiveProgramming/blob/master/Olympiad/POI/official/find_editorial_sols_guidelines.txt","Editorial")</f>
        <v>Editorial</v>
      </c>
      <c r="E1348" s="31" t="s">
        <v>125</v>
      </c>
      <c r="F1348" s="37"/>
      <c r="G1348" s="24"/>
      <c r="H1348" s="24"/>
    </row>
    <row r="1349" spans="1:8" ht="13.2">
      <c r="A1349" s="65" t="str">
        <f>HYPERLINK("https://oj.uz/problem/view/IOI17_cup","IOI 17-cup")</f>
        <v>IOI 17-cup</v>
      </c>
      <c r="B1349" s="20" t="s">
        <v>124</v>
      </c>
      <c r="C1349" s="17">
        <v>4</v>
      </c>
      <c r="D1349" s="69"/>
      <c r="E1349" s="31" t="s">
        <v>125</v>
      </c>
      <c r="F1349" s="37"/>
      <c r="G1349" s="24"/>
      <c r="H1349" s="24"/>
    </row>
    <row r="1350" spans="1:8" ht="13.2">
      <c r="A1350" s="65" t="str">
        <f>HYPERLINK("https://codeforces.com/group/swEqtABRxe/contest/227524/problem/A", "EOIQ 18-r1-A")</f>
        <v>EOIQ 18-r1-A</v>
      </c>
      <c r="B1350" s="20" t="s">
        <v>5961</v>
      </c>
      <c r="C1350" s="17">
        <v>4</v>
      </c>
      <c r="D1350" s="69"/>
      <c r="E1350" s="31" t="s">
        <v>5958</v>
      </c>
      <c r="F1350" s="37"/>
      <c r="G1350" s="24"/>
      <c r="H1350" s="24"/>
    </row>
    <row r="1351" spans="1:8" ht="13.2">
      <c r="A1351" s="65" t="str">
        <f>HYPERLINK("https://codeforces.com/group/swEqtABRxe/contest/243435/problem/C", "IOIQ 19-r2-C")</f>
        <v>IOIQ 19-r2-C</v>
      </c>
      <c r="B1351" s="20" t="s">
        <v>5961</v>
      </c>
      <c r="C1351" s="17">
        <v>4</v>
      </c>
      <c r="D1351" s="69"/>
      <c r="E1351" s="31" t="s">
        <v>5958</v>
      </c>
      <c r="F1351" s="37"/>
      <c r="G1351" s="24"/>
      <c r="H1351" s="24"/>
    </row>
    <row r="1352" spans="1:8" ht="13.2">
      <c r="A1352" s="65" t="str">
        <f>HYPERLINK("https://www.infoarena.ro/problema/cmmp","infoarena cmmp")</f>
        <v>infoarena cmmp</v>
      </c>
      <c r="B1352" s="20" t="s">
        <v>5992</v>
      </c>
      <c r="C1352" s="21">
        <v>4</v>
      </c>
      <c r="D1352" s="65" t="str">
        <f>HYPERLINK("https://github.com/stefdasca/CompetitiveProgramming/blob/master/Infoarena/cmmp.cpp","Sol")</f>
        <v>Sol</v>
      </c>
      <c r="E1352" s="31" t="s">
        <v>5958</v>
      </c>
      <c r="F1352" s="37"/>
      <c r="G1352" s="24"/>
      <c r="H1352" s="24"/>
    </row>
    <row r="1353" spans="1:8" ht="13.2">
      <c r="A1353" s="65" t="str">
        <f>HYPERLINK("https://codeforces.com/group/swEqtABRxe/contest/227524/problem/C", "EOIQ 18-r1-C")</f>
        <v>EOIQ 18-r1-C</v>
      </c>
      <c r="B1353" s="20" t="s">
        <v>5961</v>
      </c>
      <c r="C1353" s="17">
        <v>4</v>
      </c>
      <c r="D1353" s="69"/>
      <c r="E1353" s="31" t="s">
        <v>5958</v>
      </c>
      <c r="F1353" s="37"/>
      <c r="G1353" s="24"/>
      <c r="H1353" s="24"/>
    </row>
    <row r="1354" spans="1:8" ht="13.2">
      <c r="A1354" s="65" t="str">
        <f>HYPERLINK("https://codeforces.com/group/swEqtABRxe/contest/227527/problem/B", "IOIQ 18-r1-B")</f>
        <v>IOIQ 18-r1-B</v>
      </c>
      <c r="B1354" s="37" t="s">
        <v>5961</v>
      </c>
      <c r="C1354" s="17">
        <v>4</v>
      </c>
      <c r="D1354" s="69"/>
      <c r="E1354" s="31" t="s">
        <v>5958</v>
      </c>
      <c r="F1354" s="37"/>
      <c r="G1354" s="24"/>
      <c r="H1354" s="24"/>
    </row>
    <row r="1355" spans="1:8" ht="13.2">
      <c r="A1355" s="65" t="str">
        <f>HYPERLINK("https://www.infoarena.ro/problema/lautari","Infoarena lautari")</f>
        <v>Infoarena lautari</v>
      </c>
      <c r="B1355" s="20" t="s">
        <v>7419</v>
      </c>
      <c r="C1355" s="21">
        <v>4</v>
      </c>
      <c r="D1355" s="65" t="str">
        <f>HYPERLINK("https://github.com/stefdasca/CompetitiveProgramming/blob/master/Infoarena/lautari.cpp","Sol")</f>
        <v>Sol</v>
      </c>
      <c r="E1355" s="31" t="s">
        <v>6040</v>
      </c>
      <c r="F1355" s="37"/>
      <c r="G1355" s="24"/>
      <c r="H1355" s="24"/>
    </row>
    <row r="1356" spans="1:8" ht="13.2">
      <c r="A1356" s="65" t="str">
        <f>HYPERLINK("https://oj.uz/problem/view/JOI20_ho_t2","JOI 20-JJOOII2")</f>
        <v>JOI 20-JJOOII2</v>
      </c>
      <c r="B1356" s="25" t="s">
        <v>7423</v>
      </c>
      <c r="C1356" s="24">
        <v>4</v>
      </c>
      <c r="D1356" s="65" t="str">
        <f>HYPERLINK("https://github.com/dolphingarlic/CompetitiveProgramming/blob/master/JOI/JOI%2020-jjooii.cpp","Sol")</f>
        <v>Sol</v>
      </c>
      <c r="E1356" s="31" t="s">
        <v>6040</v>
      </c>
      <c r="F1356" s="37"/>
      <c r="G1356" s="24"/>
      <c r="H1356" s="24"/>
    </row>
    <row r="1357" spans="1:8" ht="13.2">
      <c r="A1357" s="65" t="str">
        <f>HYPERLINK("https://codeforces.com/group/swEqtABRxe/contest/243427/problem/B", "EOIQ 18-r2-B")</f>
        <v>EOIQ 18-r2-B</v>
      </c>
      <c r="B1357" s="20" t="s">
        <v>7424</v>
      </c>
      <c r="C1357" s="17">
        <v>4</v>
      </c>
      <c r="D1357" s="69"/>
      <c r="E1357" s="31" t="s">
        <v>6040</v>
      </c>
      <c r="F1357" s="37"/>
      <c r="G1357" s="24"/>
      <c r="H1357" s="24"/>
    </row>
    <row r="1358" spans="1:8" ht="13.2">
      <c r="A1358" s="65" t="str">
        <f>HYPERLINK("https://dunjudge.me/analysis/problems/274/","NOI 08-rank")</f>
        <v>NOI 08-rank</v>
      </c>
      <c r="B1358" s="37" t="s">
        <v>7441</v>
      </c>
      <c r="C1358" s="24">
        <v>4</v>
      </c>
      <c r="D1358" s="65" t="str">
        <f>HYPERLINK("https://github.com/mostafa-saad/MyCompetitiveProgramming/blob/master/Olympiad/NOI/official","Editorial")</f>
        <v>Editorial</v>
      </c>
      <c r="E1358" s="31" t="s">
        <v>6205</v>
      </c>
      <c r="F1358" s="37"/>
      <c r="G1358" s="24"/>
      <c r="H1358" s="24"/>
    </row>
    <row r="1359" spans="1:8" ht="13.2">
      <c r="A1359" s="65" t="str">
        <f>HYPERLINK("https://oj.uz/problem/view/IOI07_miners","IOI 07-miners")</f>
        <v>IOI 07-miners</v>
      </c>
      <c r="B1359" s="18" t="s">
        <v>6939</v>
      </c>
      <c r="C1359" s="17">
        <v>4</v>
      </c>
      <c r="D1359" s="65" t="str">
        <f>HYPERLINK("https://github.com/mostafa-saad/MyCompetitiveProgramming/blob/master/Olympiad/IOI/official/2007","Editorial")</f>
        <v>Editorial</v>
      </c>
      <c r="E1359" s="31" t="s">
        <v>1337</v>
      </c>
      <c r="F1359" s="37"/>
      <c r="G1359" s="24"/>
      <c r="H1359" s="24"/>
    </row>
    <row r="1360" spans="1:8" ht="13.2">
      <c r="A1360" s="65" t="str">
        <f>HYPERLINK("https://oj.uz/problem/view/COCI19_slicice","COCI 19-slicice")</f>
        <v>COCI 19-slicice</v>
      </c>
      <c r="B1360" s="20" t="s">
        <v>1348</v>
      </c>
      <c r="C1360" s="21">
        <v>4</v>
      </c>
      <c r="D1360" s="65" t="str">
        <f>HYPERLINK("https://github.com/CPSolutionsSzawinis/CompetitiveProgramming/blob/master/Olympiad/COCI/COCI19-slicice.cpp","Sol")</f>
        <v>Sol</v>
      </c>
      <c r="E1360" s="31" t="s">
        <v>1337</v>
      </c>
      <c r="F1360" s="37"/>
      <c r="G1360" s="24"/>
      <c r="H1360" s="24"/>
    </row>
    <row r="1361" spans="1:8" ht="13.2">
      <c r="A1361" s="65" t="str">
        <f>HYPERLINK("https://oj.uz/problem/view/COCI18_mate","COCI 18-mate")</f>
        <v>COCI 18-mate</v>
      </c>
      <c r="B1361" s="20" t="s">
        <v>1348</v>
      </c>
      <c r="C1361" s="24">
        <v>4</v>
      </c>
      <c r="D1361" s="69"/>
      <c r="E1361" s="31" t="s">
        <v>1337</v>
      </c>
      <c r="F1361" s="37"/>
      <c r="G1361" s="24"/>
      <c r="H1361" s="24"/>
    </row>
    <row r="1362" spans="1:8" ht="13.2">
      <c r="A1362" s="65" t="str">
        <f>HYPERLINK("https://codeforces.com/group/swEqtABRxe/contest/243431/problem/B", "IOIQ 19-r1-C")</f>
        <v>IOIQ 19-r1-C</v>
      </c>
      <c r="B1362" s="20" t="s">
        <v>1604</v>
      </c>
      <c r="C1362" s="17">
        <v>4</v>
      </c>
      <c r="D1362" s="69"/>
      <c r="E1362" s="31" t="s">
        <v>1337</v>
      </c>
      <c r="F1362" s="37"/>
      <c r="G1362" s="24"/>
      <c r="H1362" s="24"/>
    </row>
    <row r="1363" spans="1:8" ht="13.2">
      <c r="A1363" s="65" t="str">
        <f>HYPERLINK("https://dunjudge.me/analysis/problems/73/","NOI 10-poke_company")</f>
        <v>NOI 10-poke_company</v>
      </c>
      <c r="B1363" s="37" t="s">
        <v>1541</v>
      </c>
      <c r="C1363" s="24">
        <v>4</v>
      </c>
      <c r="D1363" s="65" t="str">
        <f t="shared" ref="D1363:D1364" si="10">HYPERLINK("https://github.com/mostafa-saad/MyCompetitiveProgramming/blob/master/Olympiad/NOI/official","Editorial")</f>
        <v>Editorial</v>
      </c>
      <c r="E1363" s="31" t="s">
        <v>1337</v>
      </c>
      <c r="F1363" s="37"/>
      <c r="G1363" s="24"/>
      <c r="H1363" s="24"/>
    </row>
    <row r="1364" spans="1:8" ht="13.2">
      <c r="A1364" s="65" t="str">
        <f>HYPERLINK("https://oj.uz/problem/view/NOI18_journey","NOI 18-journey")</f>
        <v>NOI 18-journey</v>
      </c>
      <c r="B1364" s="37" t="s">
        <v>1358</v>
      </c>
      <c r="C1364" s="24">
        <v>4</v>
      </c>
      <c r="D1364" s="65" t="str">
        <f t="shared" si="10"/>
        <v>Editorial</v>
      </c>
      <c r="E1364" s="31" t="s">
        <v>1337</v>
      </c>
      <c r="F1364" s="37"/>
      <c r="G1364" s="24"/>
      <c r="H1364" s="24"/>
    </row>
    <row r="1365" spans="1:8" ht="13.2">
      <c r="A1365" s="65" t="str">
        <f>HYPERLINK("https://dmoj.ca/contest/cco18d1","CCO 18-GeeseVsHawks")</f>
        <v>CCO 18-GeeseVsHawks</v>
      </c>
      <c r="B1365" s="20" t="s">
        <v>1348</v>
      </c>
      <c r="C1365" s="17">
        <v>4</v>
      </c>
      <c r="D1365" s="65" t="str">
        <f>HYPERLINK("https://github.com/timpostuvan/CompetitiveProgramming/blob/master/Olympiad/CCO/GeeseVsHawks2018.cpp","Sol")</f>
        <v>Sol</v>
      </c>
      <c r="E1365" s="31" t="s">
        <v>1337</v>
      </c>
      <c r="F1365" s="37"/>
      <c r="G1365" s="24"/>
      <c r="H1365" s="24"/>
    </row>
    <row r="1366" spans="1:8" ht="13.2">
      <c r="A1366" s="65" t="str">
        <f>HYPERLINK("https://oj.uz/problem/view/NOI12_walking","NOI 12-walking")</f>
        <v>NOI 12-walking</v>
      </c>
      <c r="B1366" s="37" t="s">
        <v>6940</v>
      </c>
      <c r="C1366" s="24">
        <v>4</v>
      </c>
      <c r="D1366" s="65" t="str">
        <f>HYPERLINK("https://www.comp.nus.edu.sg/~noi/2012/2012_soln.pdf","Editorial")</f>
        <v>Editorial</v>
      </c>
      <c r="E1366" s="31" t="s">
        <v>1337</v>
      </c>
      <c r="F1366" s="37"/>
      <c r="G1366" s="24"/>
      <c r="H1366" s="24"/>
    </row>
    <row r="1367" spans="1:8" ht="13.2">
      <c r="A1367" s="65" t="str">
        <f>HYPERLINK("https://joi2013ho.contest.atcoder.jp/tasks/joi2013ho2","JOI 13-TakeIOITrain")</f>
        <v>JOI 13-TakeIOITrain</v>
      </c>
      <c r="B1367" s="20" t="s">
        <v>7673</v>
      </c>
      <c r="C1367" s="17">
        <v>4</v>
      </c>
      <c r="D1367" s="69"/>
      <c r="E1367" s="31" t="s">
        <v>1337</v>
      </c>
      <c r="F1367" s="37"/>
      <c r="G1367" s="24"/>
      <c r="H1367" s="24"/>
    </row>
    <row r="1368" spans="1:8" ht="13.2">
      <c r="A1368" s="65" t="str">
        <f>HYPERLINK("https://oj.uz/problem/view/JOI19_ho_t1","JOI 19-Bitaro")</f>
        <v>JOI 19-Bitaro</v>
      </c>
      <c r="B1368" s="37" t="s">
        <v>6664</v>
      </c>
      <c r="C1368" s="24">
        <v>4</v>
      </c>
      <c r="D1368" s="69"/>
      <c r="E1368" s="31" t="s">
        <v>332</v>
      </c>
      <c r="F1368" s="37"/>
      <c r="G1368" s="24"/>
      <c r="H1368" s="24"/>
    </row>
    <row r="1369" spans="1:8" ht="13.2">
      <c r="A1369" s="65" t="str">
        <f>HYPERLINK("https://dmoj.ca/problem/coci06c2p4","COCI 06-Sjecista")</f>
        <v>COCI 06-Sjecista</v>
      </c>
      <c r="B1369" s="15" t="s">
        <v>7527</v>
      </c>
      <c r="C1369" s="24">
        <v>4</v>
      </c>
      <c r="D1369" s="65" t="str">
        <f>HYPERLINK("https://github.com/mostafa-saad/MyCompetitiveProgramming/tree/master/Olympiad/COCI/official/2007/contest2_solutions","Editorial")</f>
        <v>Editorial</v>
      </c>
      <c r="E1369" s="31" t="s">
        <v>7525</v>
      </c>
      <c r="F1369" s="37"/>
      <c r="G1369" s="24"/>
      <c r="H1369" s="24"/>
    </row>
    <row r="1370" spans="1:8" ht="13.2">
      <c r="A1370" s="65" t="str">
        <f>HYPERLINK("https://szkopul.edu.pl/problemset/problem/MZTXfOVnJmac175TTH5Lr9Q3/site/", "POI 12-Rendezvous")</f>
        <v>POI 12-Rendezvous</v>
      </c>
      <c r="B1370" s="37" t="s">
        <v>7527</v>
      </c>
      <c r="C1370" s="24">
        <v>4</v>
      </c>
      <c r="D1370" s="65" t="str">
        <f>HYPERLINK("https://github.com/mostafa-saad/MyCompetitiveProgramming/blob/master/Olympiad/POI/official/find_editorial_sols_guidelines.txt","Editorial")</f>
        <v>Editorial</v>
      </c>
      <c r="E1370" s="31" t="s">
        <v>7525</v>
      </c>
      <c r="F1370" s="37"/>
      <c r="G1370" s="24"/>
      <c r="H1370" s="24"/>
    </row>
    <row r="1371" spans="1:8" ht="13.2">
      <c r="A1371" s="65" t="str">
        <f>HYPERLINK("https://oj.uz/problem/view/COI14_nizovi","COI 14-nizovi")</f>
        <v>COI 14-nizovi</v>
      </c>
      <c r="B1371" s="20" t="s">
        <v>7538</v>
      </c>
      <c r="C1371" s="24">
        <v>4</v>
      </c>
      <c r="D1371" s="65" t="str">
        <f>HYPERLINK("https://github.com/mostafa-saad/MyCompetitiveProgramming/tree/master/Olympiad/COI/official/2014","Editorial")</f>
        <v>Editorial</v>
      </c>
      <c r="E1371" s="31" t="s">
        <v>7525</v>
      </c>
      <c r="F1371" s="37"/>
      <c r="G1371" s="24"/>
      <c r="H1371" s="24"/>
    </row>
    <row r="1372" spans="1:8" ht="13.2">
      <c r="A1372" s="65" t="str">
        <f>HYPERLINK("https://joisc2014.contest.atcoder.jp/tasks/joisc2014_h","JOISC 14-JOIOJI")</f>
        <v>JOISC 14-JOIOJI</v>
      </c>
      <c r="B1372" s="20" t="s">
        <v>7674</v>
      </c>
      <c r="C1372" s="24">
        <v>4</v>
      </c>
      <c r="D1372" s="69"/>
      <c r="E1372" s="31" t="s">
        <v>7525</v>
      </c>
      <c r="F1372" s="37"/>
      <c r="G1372" s="24"/>
      <c r="H1372" s="24"/>
    </row>
    <row r="1373" spans="1:8" ht="13.2">
      <c r="A1373" s="65" t="str">
        <f>HYPERLINK("https://oj.uz/problem/view/COCI16_kronican","COCI 16-kronican")</f>
        <v>COCI 16-kronican</v>
      </c>
      <c r="B1373" s="20" t="s">
        <v>1818</v>
      </c>
      <c r="C1373" s="24">
        <v>4</v>
      </c>
      <c r="D1373" s="65" t="str">
        <f>HYPERLINK("https://github.com/mostafa-saad/MyCompetitiveProgramming/blob/master/Olympiad/COCI/official/2017/contest3_solutions","Editorial")</f>
        <v>Editorial</v>
      </c>
      <c r="E1373" s="31" t="s">
        <v>1819</v>
      </c>
      <c r="F1373" s="37"/>
      <c r="G1373" s="24"/>
      <c r="H1373" s="24"/>
    </row>
    <row r="1374" spans="1:8" ht="13.2">
      <c r="A1374" s="65" t="str">
        <f>HYPERLINK("https://www.infoarena.ro/problema/jsched","infoarena jsched")</f>
        <v>infoarena jsched</v>
      </c>
      <c r="B1374" s="20" t="s">
        <v>7042</v>
      </c>
      <c r="C1374" s="17">
        <v>4</v>
      </c>
      <c r="D1374" s="65" t="str">
        <f>HYPERLINK("https://github.com/stefdasca/CompetitiveProgramming/blob/master/Infoarena/jsched.cpp","Sol")</f>
        <v>Sol</v>
      </c>
      <c r="E1374" s="31" t="s">
        <v>2153</v>
      </c>
      <c r="F1374" s="37"/>
      <c r="G1374" s="24"/>
      <c r="H1374" s="24"/>
    </row>
    <row r="1375" spans="1:8" ht="13.2">
      <c r="A1375" s="65" t="str">
        <f>HYPERLINK("https://www.infoarena.ro/problema/kcover","infoarena kcover")</f>
        <v>infoarena kcover</v>
      </c>
      <c r="B1375" s="20" t="s">
        <v>7043</v>
      </c>
      <c r="C1375" s="17">
        <v>4</v>
      </c>
      <c r="D1375" s="65" t="str">
        <f>HYPERLINK("https://github.com/stefdasca/CompetitiveProgramming/blob/master/Infoarena/kcover.cpp","Sol")</f>
        <v>Sol</v>
      </c>
      <c r="E1375" s="31" t="s">
        <v>2153</v>
      </c>
      <c r="F1375" s="37"/>
      <c r="G1375" s="24"/>
      <c r="H1375" s="24"/>
    </row>
    <row r="1376" spans="1:8" ht="13.2">
      <c r="A1376" s="65" t="str">
        <f>HYPERLINK("https://dmoj.ca/problem/coci13c1p4","COCI 13-Lopov")</f>
        <v>COCI 13-Lopov</v>
      </c>
      <c r="B1376" s="20" t="s">
        <v>7044</v>
      </c>
      <c r="C1376" s="24">
        <v>4</v>
      </c>
      <c r="D1376" s="65" t="str">
        <f>HYPERLINK("https://github.com/mostafa-saad/MyCompetitiveProgramming/blob/master/Olympiad/COCI/official/2014/contest1_solutions","Editorial")</f>
        <v>Editorial</v>
      </c>
      <c r="E1376" s="31" t="s">
        <v>2153</v>
      </c>
      <c r="F1376" s="37"/>
      <c r="G1376" s="24"/>
      <c r="H1376" s="24"/>
    </row>
    <row r="1377" spans="1:8" ht="13.2">
      <c r="A1377" s="65" t="str">
        <f>HYPERLINK("https://szkopul.edu.pl/problemset/problem/r6tMTfvQFPAEfQioYMCQndQe/site/", "POI 04-Spies")</f>
        <v>POI 04-Spies</v>
      </c>
      <c r="B1377" s="37" t="s">
        <v>2181</v>
      </c>
      <c r="C1377" s="24">
        <v>4</v>
      </c>
      <c r="D1377" s="65" t="str">
        <f>HYPERLINK("https://github.com/mostafa-saad/MyCompetitiveProgramming/blob/master/Olympiad/POI/official/find_editorial_sols_guidelines.txt","Editorial")</f>
        <v>Editorial</v>
      </c>
      <c r="E1377" s="31" t="s">
        <v>2153</v>
      </c>
      <c r="F1377" s="37"/>
      <c r="G1377" s="24"/>
      <c r="H1377" s="24"/>
    </row>
    <row r="1378" spans="1:8" ht="13.2">
      <c r="A1378" s="65" t="str">
        <f>HYPERLINK("https://dunjudge.me/analysis/problems/693/","NOIMOCK 15-marbles")</f>
        <v>NOIMOCK 15-marbles</v>
      </c>
      <c r="B1378" s="37" t="s">
        <v>2163</v>
      </c>
      <c r="C1378" s="24">
        <v>4</v>
      </c>
      <c r="D1378" s="69"/>
      <c r="E1378" s="31" t="s">
        <v>2153</v>
      </c>
      <c r="F1378" s="37"/>
      <c r="G1378" s="24"/>
      <c r="H1378" s="24"/>
    </row>
    <row r="1379" spans="1:8" ht="13.2">
      <c r="A1379" s="65" t="str">
        <f>HYPERLINK("https://www.infoarena.ro/problema/heavymetal","infoarena heavymetal")</f>
        <v>infoarena heavymetal</v>
      </c>
      <c r="B1379" s="20" t="s">
        <v>6706</v>
      </c>
      <c r="C1379" s="17">
        <v>4</v>
      </c>
      <c r="D1379" s="65" t="str">
        <f>HYPERLINK("https://github.com/stefdasca/CompetitiveProgramming/blob/master/Infoarena/heavymetal.cpp","Sol")</f>
        <v>Sol</v>
      </c>
      <c r="E1379" s="31" t="s">
        <v>575</v>
      </c>
      <c r="F1379" s="37"/>
      <c r="G1379" s="24"/>
      <c r="H1379" s="24"/>
    </row>
    <row r="1380" spans="1:8" ht="13.2">
      <c r="A1380" s="65" t="str">
        <f>HYPERLINK("https://dunjudge.me/analysis/problems/694/","NOIMOCK 15-lilypads")</f>
        <v>NOIMOCK 15-lilypads</v>
      </c>
      <c r="B1380" s="37" t="s">
        <v>6707</v>
      </c>
      <c r="C1380" s="24">
        <v>4</v>
      </c>
      <c r="D1380" s="69"/>
      <c r="E1380" s="31" t="s">
        <v>575</v>
      </c>
      <c r="F1380" s="37"/>
      <c r="G1380" s="24"/>
      <c r="H1380" s="24"/>
    </row>
    <row r="1381" spans="1:8" ht="13.2">
      <c r="A1381" s="65" t="str">
        <f>HYPERLINK("https://github.com/stefdasca/CompetitiveProgramming/blob/master/Info1Cup/National%20Round/Subway%20(Ro).pdf","Info1Cup 19-Subway")</f>
        <v>Info1Cup 19-Subway</v>
      </c>
      <c r="B1381" s="20" t="s">
        <v>7166</v>
      </c>
      <c r="C1381" s="21">
        <v>4</v>
      </c>
      <c r="D1381" s="65" t="str">
        <f>HYPERLINK("https://github.com/stefdasca/CompetitiveProgramming/blob/master/Info1Cup/National%20Round/subway.cpp","Sol")</f>
        <v>Sol</v>
      </c>
      <c r="E1381" s="31" t="s">
        <v>3257</v>
      </c>
      <c r="F1381" s="37"/>
      <c r="G1381" s="24"/>
      <c r="H1381" s="24"/>
    </row>
    <row r="1382" spans="1:8" ht="13.2">
      <c r="A1382" s="65" t="str">
        <f>HYPERLINK("https://joi2015ho.contest.atcoder.jp/tasks/joi2015ho_a","JOI 15-RailroadTrip")</f>
        <v>JOI 15-RailroadTrip</v>
      </c>
      <c r="B1382" s="20" t="s">
        <v>7675</v>
      </c>
      <c r="C1382" s="17">
        <v>4</v>
      </c>
      <c r="D1382" s="65" t="str">
        <f>HYPERLINK("https://github.com/nikolapesic2802/Programming-Practice/blob/master/Railroad%20Trip/main.cpp","Sol")</f>
        <v>Sol</v>
      </c>
      <c r="E1382" s="31" t="s">
        <v>3257</v>
      </c>
      <c r="F1382" s="37"/>
      <c r="G1382" s="24"/>
      <c r="H1382" s="24"/>
    </row>
    <row r="1383" spans="1:8" ht="13.2">
      <c r="A1383" s="65" t="str">
        <f>HYPERLINK("https://szkopul.edu.pl/problemset/problem/KC7c6nYfAXCbCGszqhIeOGxP/site/", "POI 08-Blocks")</f>
        <v>POI 08-Blocks</v>
      </c>
      <c r="B1383" s="37" t="s">
        <v>7168</v>
      </c>
      <c r="C1383" s="24">
        <v>4</v>
      </c>
      <c r="D1383" s="65" t="str">
        <f t="shared" ref="D1383:D1384" si="11">HYPERLINK("https://github.com/mostafa-saad/MyCompetitiveProgramming/blob/master/Olympiad/POI/official/find_editorial_sols_guidelines.txt","Editorial")</f>
        <v>Editorial</v>
      </c>
      <c r="E1383" s="31" t="s">
        <v>3257</v>
      </c>
      <c r="F1383" s="37"/>
      <c r="G1383" s="24"/>
      <c r="H1383" s="24"/>
    </row>
    <row r="1384" spans="1:8" ht="13.2">
      <c r="A1384" s="65" t="str">
        <f>HYPERLINK("https://szkopul.edu.pl/problemset/problem/xDISetKx9cPPrOT_t2ZqgEyr/site/", "POI 08-Toll")</f>
        <v>POI 08-Toll</v>
      </c>
      <c r="B1384" s="37" t="s">
        <v>3466</v>
      </c>
      <c r="C1384" s="24">
        <v>4</v>
      </c>
      <c r="D1384" s="65" t="str">
        <f t="shared" si="11"/>
        <v>Editorial</v>
      </c>
      <c r="E1384" s="31" t="s">
        <v>3467</v>
      </c>
      <c r="F1384" s="37"/>
      <c r="G1384" s="24"/>
      <c r="H1384" s="24"/>
    </row>
    <row r="1385" spans="1:8" ht="13.2">
      <c r="A1385" s="69" t="s">
        <v>7202</v>
      </c>
      <c r="B1385" s="20" t="s">
        <v>7203</v>
      </c>
      <c r="C1385" s="21">
        <v>4</v>
      </c>
      <c r="D1385" s="65" t="str">
        <f>HYPERLINK("https://github.com/dolphingarlic/CompetitiveProgramming/blob/master/COI/COCI%2020-politicari.cpp", "Sol")</f>
        <v>Sol</v>
      </c>
      <c r="E1385" s="31" t="s">
        <v>3650</v>
      </c>
      <c r="F1385" s="37"/>
      <c r="G1385" s="24"/>
      <c r="H1385" s="24"/>
    </row>
    <row r="1386" spans="1:8" ht="13.2">
      <c r="A1386" s="65" t="str">
        <f>HYPERLINK("https://oj.uz/problem/view/COCI18_alkemija","COCI 18-alkemija")</f>
        <v>COCI 18-alkemija</v>
      </c>
      <c r="B1386" s="20" t="s">
        <v>3649</v>
      </c>
      <c r="C1386" s="24">
        <v>4</v>
      </c>
      <c r="D1386" s="69"/>
      <c r="E1386" s="31" t="s">
        <v>3650</v>
      </c>
      <c r="F1386" s="37"/>
      <c r="G1386" s="24"/>
      <c r="H1386" s="24"/>
    </row>
    <row r="1387" spans="1:8" ht="13.2">
      <c r="A1387" s="65" t="str">
        <f>HYPERLINK("https://dmoj.ca/problem/coci07c6p4","COCI 07-George")</f>
        <v>COCI 07-George</v>
      </c>
      <c r="B1387" s="15" t="s">
        <v>3791</v>
      </c>
      <c r="C1387" s="24">
        <v>4</v>
      </c>
      <c r="D1387" s="65" t="str">
        <f>HYPERLINK("https://github.com/mostafa-saad/MyCompetitiveProgramming/tree/master/Olympiad/COCI/official/2008/contest6_solutions","Editorial")</f>
        <v>Editorial</v>
      </c>
      <c r="E1387" s="31" t="s">
        <v>3784</v>
      </c>
      <c r="F1387" s="37"/>
      <c r="G1387" s="24"/>
      <c r="H1387" s="24"/>
    </row>
    <row r="1388" spans="1:8" ht="13.2">
      <c r="A1388" s="65" t="str">
        <f>HYPERLINK("https://dunjudge.me/analysis/problems/724/","MCO 15-trains")</f>
        <v>MCO 15-trains</v>
      </c>
      <c r="B1388" s="37" t="s">
        <v>3791</v>
      </c>
      <c r="C1388" s="24">
        <v>4</v>
      </c>
      <c r="D1388" s="65" t="str">
        <f>HYPERLINK("https://github.com/mostafa-saad/MyCompetitiveProgramming/tree/master/Olympiad/MCO/official/2015","Sol No Editorial")</f>
        <v>Sol No Editorial</v>
      </c>
      <c r="E1388" s="31" t="s">
        <v>3784</v>
      </c>
      <c r="F1388" s="37"/>
      <c r="G1388" s="24"/>
      <c r="H1388" s="24"/>
    </row>
    <row r="1389" spans="1:8" ht="13.2">
      <c r="A1389" s="65" t="str">
        <f>HYPERLINK("https://joi2013ho.contest.atcoder.jp/tasks/joi2013ho1","JOI 13-illumination")</f>
        <v>JOI 13-illumination</v>
      </c>
      <c r="B1389" s="20" t="s">
        <v>7225</v>
      </c>
      <c r="C1389" s="17">
        <v>4</v>
      </c>
      <c r="D1389" s="69"/>
      <c r="E1389" s="31" t="s">
        <v>3784</v>
      </c>
      <c r="F1389" s="37"/>
      <c r="G1389" s="24"/>
      <c r="H1389" s="24"/>
    </row>
    <row r="1390" spans="1:8" ht="13.2">
      <c r="A1390" s="65" t="str">
        <f>HYPERLINK("https://dunjudge.me/analysis/problems/540/","COCI 09-svemir")</f>
        <v>COCI 09-svemir</v>
      </c>
      <c r="B1390" s="20" t="s">
        <v>4279</v>
      </c>
      <c r="C1390" s="24">
        <v>4</v>
      </c>
      <c r="D1390" s="65" t="str">
        <f>HYPERLINK("https://github.com/mostafa-saad/MyCompetitiveProgramming/blob/master/Olympiad/COCI/official/2010/contest7_solutions","Editorial")</f>
        <v>Editorial</v>
      </c>
      <c r="E1390" s="31" t="s">
        <v>4275</v>
      </c>
      <c r="F1390" s="37"/>
      <c r="G1390" s="24"/>
      <c r="H1390" s="24"/>
    </row>
    <row r="1391" spans="1:8" ht="13.2">
      <c r="A1391" s="65" t="str">
        <f>HYPERLINK("https://dunjudge.me/analysis/problems/271/","NOI 08-nprime")</f>
        <v>NOI 08-nprime</v>
      </c>
      <c r="B1391" s="37" t="s">
        <v>7330</v>
      </c>
      <c r="C1391" s="24">
        <v>4</v>
      </c>
      <c r="D1391" s="65" t="str">
        <f>HYPERLINK("https://github.com/mostafa-saad/MyCompetitiveProgramming/blob/master/Olympiad/NOI/official","Editorial")</f>
        <v>Editorial</v>
      </c>
      <c r="E1391" s="31" t="s">
        <v>4531</v>
      </c>
      <c r="F1391" s="37"/>
      <c r="G1391" s="24"/>
      <c r="H1391" s="24"/>
    </row>
    <row r="1392" spans="1:8" ht="13.2">
      <c r="A1392" s="65" t="str">
        <f>HYPERLINK("https://dunjudge.me/analysis/problems/27/","NOI 11-sequence")</f>
        <v>NOI 11-sequence</v>
      </c>
      <c r="B1392" s="37" t="s">
        <v>7331</v>
      </c>
      <c r="C1392" s="24">
        <v>4</v>
      </c>
      <c r="D1392" s="65" t="str">
        <f>HYPERLINK("https://github.com/mostafa-saad/MyCompetitiveProgramming/blob/master/Olympiad/NOI/official/2011.pptx","Editorial")</f>
        <v>Editorial</v>
      </c>
      <c r="E1392" s="31" t="s">
        <v>4531</v>
      </c>
      <c r="F1392" s="37"/>
      <c r="G1392" s="24"/>
      <c r="H1392" s="24"/>
    </row>
    <row r="1393" spans="1:8" ht="13.2">
      <c r="A1393" s="65" t="str">
        <f>HYPERLINK("https://codeforces.com/group/swEqtABRxe/contest/243430/problem/A","EOI 19-d2-A")</f>
        <v>EOI 19-d2-A</v>
      </c>
      <c r="B1393" s="37" t="s">
        <v>4530</v>
      </c>
      <c r="C1393" s="24">
        <v>4</v>
      </c>
      <c r="D1393" s="69"/>
      <c r="E1393" s="31" t="s">
        <v>4531</v>
      </c>
      <c r="F1393" s="37"/>
      <c r="G1393" s="24"/>
      <c r="H1393" s="24"/>
    </row>
    <row r="1394" spans="1:8" ht="13.2">
      <c r="A1394" s="65" t="str">
        <f>HYPERLINK("https://wcipeg.com/problem/coci091p5","COCI 09-Genijalac")</f>
        <v>COCI 09-Genijalac</v>
      </c>
      <c r="B1394" s="15" t="s">
        <v>7336</v>
      </c>
      <c r="C1394" s="24">
        <v>4</v>
      </c>
      <c r="D1394" s="65" t="str">
        <f>HYPERLINK("https://github.com/mostafa-saad/MyCompetitiveProgramming/blob/master/Olympiad/COCI/official/2010/contest1_solutions","Editorial")</f>
        <v>Editorial</v>
      </c>
      <c r="E1394" s="31" t="s">
        <v>4809</v>
      </c>
      <c r="F1394" s="37"/>
      <c r="G1394" s="24"/>
      <c r="H1394" s="24"/>
    </row>
    <row r="1395" spans="1:8" ht="13.2">
      <c r="A1395" s="65" t="str">
        <f>HYPERLINK("https://szkopul.edu.pl/problemset/problem/oTpPdueVv1-3g247_-ejjcR_/site/", "POI 05-Knights")</f>
        <v>POI 05-Knights</v>
      </c>
      <c r="B1395" s="37" t="s">
        <v>7337</v>
      </c>
      <c r="C1395" s="24">
        <v>4</v>
      </c>
      <c r="D1395" s="65" t="str">
        <f>HYPERLINK("https://github.com/mostafa-saad/MyCompetitiveProgramming/blob/master/Olympiad/POI/official/find_editorial_sols_guidelines.txt","Editorial")</f>
        <v>Editorial</v>
      </c>
      <c r="E1395" s="31" t="s">
        <v>4809</v>
      </c>
      <c r="F1395" s="37"/>
      <c r="G1395" s="24"/>
      <c r="H1395" s="24"/>
    </row>
    <row r="1396" spans="1:8" ht="13.2">
      <c r="A1396" s="65" t="str">
        <f>HYPERLINK("https://oj.uz/problem/view/IOI09_mecho","IOI 09-mecho")</f>
        <v>IOI 09-mecho</v>
      </c>
      <c r="B1396" s="20" t="s">
        <v>6740</v>
      </c>
      <c r="C1396" s="24">
        <v>4</v>
      </c>
      <c r="D1396" s="65" t="str">
        <f>HYPERLINK("https://github.com/tmwilliamlin168/CompetitiveProgramming/blob/master/IOI/09-Mecho.cpp", "Sol")</f>
        <v>Sol</v>
      </c>
      <c r="E1396" s="31" t="s">
        <v>805</v>
      </c>
      <c r="F1396" s="37"/>
      <c r="G1396" s="24"/>
      <c r="H1396" s="24"/>
    </row>
    <row r="1397" spans="1:8" ht="13.2">
      <c r="A1397" s="69" t="s">
        <v>7362</v>
      </c>
      <c r="B1397" s="20" t="s">
        <v>7363</v>
      </c>
      <c r="C1397" s="17">
        <v>4</v>
      </c>
      <c r="D1397" s="69"/>
      <c r="E1397" s="31" t="s">
        <v>5414</v>
      </c>
      <c r="F1397" s="37"/>
      <c r="G1397" s="24"/>
      <c r="H1397" s="24"/>
    </row>
    <row r="1398" spans="1:8" ht="13.2">
      <c r="A1398" s="65" t="str">
        <f>HYPERLINK("https://oj.uz/problem/view/NOI18_lightningrod","NOI 18-lightningrod")</f>
        <v>NOI 18-lightningrod</v>
      </c>
      <c r="B1398" s="23" t="s">
        <v>2323</v>
      </c>
      <c r="C1398" s="24">
        <v>3.5</v>
      </c>
      <c r="D1398" s="65" t="str">
        <f>HYPERLINK("https://github.com/mostafa-saad/MyCompetitiveProgramming/blob/master/Olympiad/NOI/official","Editorial")</f>
        <v>Editorial</v>
      </c>
      <c r="E1398" s="31" t="s">
        <v>2153</v>
      </c>
      <c r="F1398" s="37" t="s">
        <v>201</v>
      </c>
      <c r="G1398" s="24"/>
      <c r="H1398" s="24"/>
    </row>
    <row r="1399" spans="1:8" ht="13.2">
      <c r="A1399" s="65" t="str">
        <f>HYPERLINK("https://oj.uz/problem/view/COCI15_baloni","COCI 15-baloni")</f>
        <v>COCI 15-baloni</v>
      </c>
      <c r="B1399" s="23" t="s">
        <v>7045</v>
      </c>
      <c r="C1399" s="24">
        <v>3.5</v>
      </c>
      <c r="D1399" s="65" t="str">
        <f>HYPERLINK("https://github.com/zoooma13/Competitive-Programming/blob/master/baloni2.cpp","Sol")</f>
        <v>Sol</v>
      </c>
      <c r="E1399" s="31" t="s">
        <v>2153</v>
      </c>
      <c r="F1399" s="37" t="s">
        <v>201</v>
      </c>
      <c r="G1399" s="24"/>
      <c r="H1399" s="24"/>
    </row>
    <row r="1400" spans="1:8" ht="13.2">
      <c r="A1400" s="65" t="str">
        <f>HYPERLINK("https://www.infoarena.ro/problema/munte4","infoarena munte4")</f>
        <v>infoarena munte4</v>
      </c>
      <c r="B1400" s="37" t="s">
        <v>6644</v>
      </c>
      <c r="C1400" s="21">
        <v>3.5</v>
      </c>
      <c r="D1400" s="65" t="str">
        <f>HYPERLINK("https://github.com/stefdasca/CompetitiveProgramming/blob/master/Infoarena/munte4.cpp","Sol")</f>
        <v>Sol</v>
      </c>
      <c r="E1400" s="31" t="s">
        <v>125</v>
      </c>
      <c r="F1400" s="37"/>
      <c r="G1400" s="24"/>
      <c r="H1400" s="24"/>
    </row>
    <row r="1401" spans="1:8" ht="13.2">
      <c r="A1401" s="65" t="str">
        <f>HYPERLINK("https://dmoj.ca/problem/coci15c4p2","COCI 15-Han")</f>
        <v>COCI 15-Han</v>
      </c>
      <c r="B1401" s="15" t="s">
        <v>147</v>
      </c>
      <c r="C1401" s="72">
        <v>3.5</v>
      </c>
      <c r="D1401" s="69"/>
      <c r="E1401" s="31" t="s">
        <v>125</v>
      </c>
      <c r="F1401" s="37"/>
      <c r="G1401" s="24"/>
      <c r="H1401" s="24"/>
    </row>
    <row r="1402" spans="1:8" ht="13.2">
      <c r="A1402" s="65" t="str">
        <f>HYPERLINK("https://www.infoarena.ro/problema/pm2","infoarena pm2")</f>
        <v>infoarena pm2</v>
      </c>
      <c r="B1402" s="20" t="s">
        <v>7442</v>
      </c>
      <c r="C1402" s="21">
        <v>3.5</v>
      </c>
      <c r="D1402" s="65" t="str">
        <f>HYPERLINK("https://github.com/stefdasca/CompetitiveProgramming/blob/master/Infoarena/pm2.cpp","Sol")</f>
        <v>Sol</v>
      </c>
      <c r="E1402" s="31" t="s">
        <v>6205</v>
      </c>
      <c r="F1402" s="37"/>
      <c r="G1402" s="24"/>
      <c r="H1402" s="24"/>
    </row>
    <row r="1403" spans="1:8" ht="13.2">
      <c r="A1403" s="65" t="str">
        <f>HYPERLINK("https://www.infoarena.ro/problema/cerc3","infoarena cerc3")</f>
        <v>infoarena cerc3</v>
      </c>
      <c r="B1403" s="20" t="s">
        <v>1433</v>
      </c>
      <c r="C1403" s="21">
        <v>3.5</v>
      </c>
      <c r="D1403" s="65" t="str">
        <f>HYPERLINK("https://github.com/stefdasca/CompetitiveProgramming/blob/master/Infoarena/cerc3.cpp","Sol")</f>
        <v>Sol</v>
      </c>
      <c r="E1403" s="31" t="s">
        <v>1337</v>
      </c>
      <c r="F1403" s="37"/>
      <c r="G1403" s="24"/>
      <c r="H1403" s="24"/>
    </row>
    <row r="1404" spans="1:8" ht="13.2">
      <c r="A1404" s="65" t="str">
        <f>HYPERLINK("https://www.infoarena.ro/problema/marceland","infoarena marceland")</f>
        <v>infoarena marceland</v>
      </c>
      <c r="B1404" s="20" t="s">
        <v>6665</v>
      </c>
      <c r="C1404" s="21">
        <v>3.5</v>
      </c>
      <c r="D1404" s="65" t="str">
        <f>HYPERLINK("https://github.com/stefdasca/CompetitiveProgramming/blob/master/Infoarena/marceland.cpp","Sol")</f>
        <v>Sol</v>
      </c>
      <c r="E1404" s="31" t="s">
        <v>332</v>
      </c>
      <c r="F1404" s="37"/>
      <c r="G1404" s="24"/>
      <c r="H1404" s="24"/>
    </row>
    <row r="1405" spans="1:8" ht="13.2">
      <c r="A1405" s="65" t="str">
        <f>HYPERLINK("https://dmoj.ca/problem/crci07p2","COCI 07-Nikola")</f>
        <v>COCI 07-Nikola</v>
      </c>
      <c r="B1405" s="15" t="s">
        <v>7527</v>
      </c>
      <c r="C1405" s="24">
        <v>3.5</v>
      </c>
      <c r="D1405" s="65" t="str">
        <f>HYPERLINK("https://github.com/mostafa-saad/MyCompetitiveProgramming/tree/master/Olympiad/COCI/official/2008/regional_solutions","Editorial")</f>
        <v>Editorial</v>
      </c>
      <c r="E1405" s="31" t="s">
        <v>7525</v>
      </c>
      <c r="F1405" s="37"/>
      <c r="G1405" s="24"/>
      <c r="H1405" s="24"/>
    </row>
    <row r="1406" spans="1:8" ht="13.2">
      <c r="A1406" s="65" t="str">
        <f>HYPERLINK("https://dmoj.ca/problem/coci14c3p4","COCI 14-Coci")</f>
        <v>COCI 14-Coci</v>
      </c>
      <c r="B1406" s="37" t="s">
        <v>7527</v>
      </c>
      <c r="C1406" s="24">
        <v>3.5</v>
      </c>
      <c r="D1406" s="65" t="str">
        <f t="shared" ref="D1406:D1407" si="12">HYPERLINK("https://github.com/mostafa-saad/MyCompetitiveProgramming/blob/master/Olympiad/COCI/official/2015/contest3_solutions","Editorial")</f>
        <v>Editorial</v>
      </c>
      <c r="E1406" s="31" t="s">
        <v>7525</v>
      </c>
      <c r="F1406" s="37"/>
      <c r="G1406" s="24"/>
      <c r="H1406" s="24"/>
    </row>
    <row r="1407" spans="1:8" ht="13.2">
      <c r="A1407" s="65" t="str">
        <f>HYPERLINK("https://dmoj.ca/problem/coci14c3p3","COCI 14-Silueta")</f>
        <v>COCI 14-Silueta</v>
      </c>
      <c r="B1407" s="20" t="s">
        <v>7527</v>
      </c>
      <c r="C1407" s="24">
        <v>3.5</v>
      </c>
      <c r="D1407" s="65" t="str">
        <f t="shared" si="12"/>
        <v>Editorial</v>
      </c>
      <c r="E1407" s="31" t="s">
        <v>7525</v>
      </c>
      <c r="F1407" s="37"/>
      <c r="G1407" s="24"/>
      <c r="H1407" s="24"/>
    </row>
    <row r="1408" spans="1:8" ht="13.2">
      <c r="A1408" s="65" t="str">
        <f>HYPERLINK("https://dmoj.ca/problem/coci14c6p4","COCI 14-Kratki")</f>
        <v>COCI 14-Kratki</v>
      </c>
      <c r="B1408" s="37" t="s">
        <v>7527</v>
      </c>
      <c r="C1408" s="24">
        <v>3.5</v>
      </c>
      <c r="D1408" s="65" t="str">
        <f>HYPERLINK("https://github.com/mostafa-saad/MyCompetitiveProgramming/blob/master/Olympiad/COCI/official/2015/contest6_solutions","Editorial")</f>
        <v>Editorial</v>
      </c>
      <c r="E1408" s="31" t="s">
        <v>7525</v>
      </c>
      <c r="F1408" s="37"/>
      <c r="G1408" s="24"/>
      <c r="H1408" s="24"/>
    </row>
    <row r="1409" spans="1:8" ht="13.2">
      <c r="A1409" s="65" t="str">
        <f>HYPERLINK("https://codeforces.com/group/swEqtABRxe/contest/227524/problem/B", "EOIQ 18-r1-B")</f>
        <v>EOIQ 18-r1-B</v>
      </c>
      <c r="B1409" s="20" t="s">
        <v>2163</v>
      </c>
      <c r="C1409" s="17">
        <v>3.5</v>
      </c>
      <c r="D1409" s="69"/>
      <c r="E1409" s="31" t="s">
        <v>2153</v>
      </c>
      <c r="F1409" s="37"/>
      <c r="G1409" s="24"/>
      <c r="H1409" s="24"/>
    </row>
    <row r="1410" spans="1:8" ht="13.2">
      <c r="A1410" s="65" t="str">
        <f>HYPERLINK("https://oj.uz/problem/view/COCI17_unija","COCI 17-unija")</f>
        <v>COCI 17-unija</v>
      </c>
      <c r="B1410" s="20" t="s">
        <v>7080</v>
      </c>
      <c r="C1410" s="24">
        <v>3.5</v>
      </c>
      <c r="D1410" s="65" t="str">
        <f>HYPERLINK("https://github.com/mostafa-saad/MyCompetitiveProgramming/blob/master/Olympiad/COCI/official/2017/contest5_solutions","Editorial")</f>
        <v>Editorial</v>
      </c>
      <c r="E1410" s="31" t="s">
        <v>2510</v>
      </c>
      <c r="F1410" s="37"/>
      <c r="G1410" s="24"/>
      <c r="H1410" s="24"/>
    </row>
    <row r="1411" spans="1:8" ht="13.2">
      <c r="A1411" s="65" t="str">
        <f>HYPERLINK("https://www.infoarena.ro/problema/rfinv","infoarena rfinv")</f>
        <v>infoarena rfinv</v>
      </c>
      <c r="B1411" s="20" t="s">
        <v>7169</v>
      </c>
      <c r="C1411" s="17">
        <v>3.5</v>
      </c>
      <c r="D1411" s="65" t="str">
        <f>HYPERLINK("https://github.com/stefdasca/CompetitiveProgramming/blob/master/Infoarena/rfinv.cpp","Sol")</f>
        <v>Sol</v>
      </c>
      <c r="E1411" s="31" t="s">
        <v>3257</v>
      </c>
      <c r="F1411" s="37"/>
      <c r="G1411" s="24"/>
      <c r="H1411" s="24"/>
    </row>
    <row r="1412" spans="1:8" ht="13.2">
      <c r="A1412" s="65" t="str">
        <f>HYPERLINK("https://oj.uz/problem/view/COCI18_zamjena","COCI 19-zamjena")</f>
        <v>COCI 19-zamjena</v>
      </c>
      <c r="B1412" s="20" t="s">
        <v>3886</v>
      </c>
      <c r="C1412" s="17">
        <v>3.5</v>
      </c>
      <c r="D1412" s="69"/>
      <c r="E1412" s="31" t="s">
        <v>3883</v>
      </c>
      <c r="F1412" s="37"/>
      <c r="G1412" s="24"/>
      <c r="H1412" s="24"/>
    </row>
    <row r="1413" spans="1:8" ht="13.2">
      <c r="A1413" s="65" t="str">
        <f>HYPERLINK("https://codeforces.com/group/swEqtABRxe/contest/243430/problem/A", "EOI 18-d2-A")</f>
        <v>EOI 18-d2-A</v>
      </c>
      <c r="B1413" s="20" t="s">
        <v>4530</v>
      </c>
      <c r="C1413" s="17">
        <v>3.5</v>
      </c>
      <c r="D1413" s="69"/>
      <c r="E1413" s="31" t="s">
        <v>4531</v>
      </c>
      <c r="F1413" s="37"/>
      <c r="G1413" s="24"/>
      <c r="H1413" s="24"/>
    </row>
    <row r="1414" spans="1:8" ht="13.2">
      <c r="A1414" s="65" t="str">
        <f>HYPERLINK("https://oj.uz/problem/view/COCI18_cipele","COCI 19-cipele")</f>
        <v>COCI 19-cipele</v>
      </c>
      <c r="B1414" s="20" t="s">
        <v>848</v>
      </c>
      <c r="C1414" s="17">
        <v>3.5</v>
      </c>
      <c r="D1414" s="69"/>
      <c r="E1414" s="31" t="s">
        <v>805</v>
      </c>
      <c r="F1414" s="37"/>
      <c r="G1414" s="24"/>
      <c r="H1414" s="24"/>
    </row>
    <row r="1415" spans="1:8" ht="13.2">
      <c r="A1415" s="65" t="str">
        <f>HYPERLINK("https://cses.fi/101/list/","Baltic 11-Plagarism")</f>
        <v>Baltic 11-Plagarism</v>
      </c>
      <c r="B1415" s="37" t="s">
        <v>811</v>
      </c>
      <c r="C1415" s="24">
        <v>3.5</v>
      </c>
      <c r="D1415" s="65" t="str">
        <f>HYPERLINK("https://github.com/mostafa-saad/MyCompetitiveProgramming/blob/master/Olympiad/Baltic/official/boi2011_solutions","Editorial")</f>
        <v>Editorial</v>
      </c>
      <c r="E1415" s="31" t="s">
        <v>805</v>
      </c>
      <c r="F1415" s="37"/>
      <c r="G1415" s="24"/>
      <c r="H1415" s="24"/>
    </row>
    <row r="1416" spans="1:8" ht="13.2">
      <c r="A1416" s="65" t="str">
        <f>HYPERLINK("https://infoarena.ro/problema/album2","infoarena album2")</f>
        <v>infoarena album2</v>
      </c>
      <c r="B1416" s="20" t="s">
        <v>5961</v>
      </c>
      <c r="C1416" s="21">
        <v>3</v>
      </c>
      <c r="D1416" s="65" t="str">
        <f>HYPERLINK("https://github.com/stefdasca/CompetitiveProgramming/blob/master/Infoarena/album2.cpp","Sol")</f>
        <v>Sol</v>
      </c>
      <c r="E1416" s="31" t="s">
        <v>5958</v>
      </c>
      <c r="F1416" s="37" t="s">
        <v>139</v>
      </c>
      <c r="G1416" s="24"/>
      <c r="H1416" s="24"/>
    </row>
    <row r="1417" spans="1:8" ht="13.2">
      <c r="A1417" s="65" t="str">
        <f>HYPERLINK("https://szkopul.edu.pl/problemset/problem/VENspsedQ1oO5IorYs8Ergdn/site/", "POI 05-Banks")</f>
        <v>POI 05-Banks</v>
      </c>
      <c r="B1417" s="37" t="s">
        <v>3886</v>
      </c>
      <c r="C1417" s="24">
        <v>3</v>
      </c>
      <c r="D1417" s="65" t="str">
        <f>HYPERLINK("https://github.com/mostafa-saad/MyCompetitiveProgramming/blob/master/Olympiad/POI/official/find_editorial_sols_guidelines.txt","Editorial")</f>
        <v>Editorial</v>
      </c>
      <c r="E1417" s="31" t="s">
        <v>3883</v>
      </c>
      <c r="F1417" s="37" t="s">
        <v>139</v>
      </c>
      <c r="G1417" s="24"/>
      <c r="H1417" s="24"/>
    </row>
    <row r="1418" spans="1:8" ht="13.2">
      <c r="A1418" s="65" t="str">
        <f>HYPERLINK("https://dunjudge.me/analysis/problems/1411/","COCI 13-sumo")</f>
        <v>COCI 13-sumo</v>
      </c>
      <c r="B1418" s="15" t="s">
        <v>6645</v>
      </c>
      <c r="C1418" s="24">
        <v>3</v>
      </c>
      <c r="D1418" s="65" t="str">
        <f>HYPERLINK("https://github.com/mostafa-saad/MyCompetitiveProgramming/blob/master/Olympiad/COCI/official/2014/contest4_solutions","Editorial")</f>
        <v>Editorial</v>
      </c>
      <c r="E1418" s="31" t="s">
        <v>125</v>
      </c>
      <c r="F1418" s="37" t="s">
        <v>201</v>
      </c>
      <c r="G1418" s="24"/>
      <c r="H1418" s="24"/>
    </row>
    <row r="1419" spans="1:8" ht="13.2">
      <c r="A1419" s="65" t="str">
        <f>HYPERLINK("https://dmoj.ca/problem/coci07c1p5","COCI 07-Srednji")</f>
        <v>COCI 07-Srednji</v>
      </c>
      <c r="B1419" s="15" t="s">
        <v>124</v>
      </c>
      <c r="C1419" s="24">
        <v>3</v>
      </c>
      <c r="D1419" s="65" t="str">
        <f>HYPERLINK("https://github.com/mostafa-saad/MyCompetitiveProgramming/tree/master/Olympiad/COCI/official/2008/contest1_solutions","Editorial")</f>
        <v>Editorial</v>
      </c>
      <c r="E1419" s="31" t="s">
        <v>125</v>
      </c>
      <c r="F1419" s="37" t="s">
        <v>201</v>
      </c>
      <c r="G1419" s="24"/>
      <c r="H1419" s="24"/>
    </row>
    <row r="1420" spans="1:8" ht="13.2">
      <c r="A1420" s="65" t="str">
        <f>HYPERLINK("https://dmoj.ca/problem/coci14c1p5","COCI 14-Zabava")</f>
        <v>COCI 14-Zabava</v>
      </c>
      <c r="B1420" s="20" t="s">
        <v>1346</v>
      </c>
      <c r="C1420" s="24">
        <v>3</v>
      </c>
      <c r="D1420" s="65" t="str">
        <f>HYPERLINK("https://github.com/mostafa-saad/MyCompetitiveProgramming/blob/master/Olympiad/COCI/official/2015/contest1_solutions","Editorial")</f>
        <v>Editorial</v>
      </c>
      <c r="E1420" s="31" t="s">
        <v>1337</v>
      </c>
      <c r="F1420" s="37" t="s">
        <v>201</v>
      </c>
      <c r="G1420" s="24"/>
      <c r="H1420" s="24"/>
    </row>
    <row r="1421" spans="1:8" ht="13.2">
      <c r="A1421" s="65" t="str">
        <f>HYPERLINK("https://oj.uz/problem/view/NOI18_collectmushrooms","NOI 18-collectmushrooms")</f>
        <v>NOI 18-collectmushrooms</v>
      </c>
      <c r="B1421" s="37" t="s">
        <v>245</v>
      </c>
      <c r="C1421" s="24">
        <v>3</v>
      </c>
      <c r="D1421" s="65" t="str">
        <f>HYPERLINK("https://github.com/mostafa-saad/MyCompetitiveProgramming/blob/master/Olympiad/NOI/official","Editorial")</f>
        <v>Editorial</v>
      </c>
      <c r="E1421" s="31" t="s">
        <v>125</v>
      </c>
      <c r="F1421" s="37"/>
      <c r="G1421" s="24"/>
      <c r="H1421" s="24"/>
    </row>
    <row r="1422" spans="1:8" ht="13.2">
      <c r="A1422" s="65" t="str">
        <f>HYPERLINK("https://oj.uz/problem/view/COCI17_zigzag","COCI 17-zigzag")</f>
        <v>COCI 17-zigzag</v>
      </c>
      <c r="B1422" s="20" t="s">
        <v>6646</v>
      </c>
      <c r="C1422" s="24">
        <v>3</v>
      </c>
      <c r="D1422" s="69"/>
      <c r="E1422" s="31" t="s">
        <v>125</v>
      </c>
      <c r="F1422" s="37"/>
      <c r="G1422" s="24"/>
      <c r="H1422" s="24"/>
    </row>
    <row r="1423" spans="1:8" ht="13.2">
      <c r="A1423" s="65" t="str">
        <f>HYPERLINK("https://oj.uz/problem/view/JOI20_ho_t1","JOI 20-Neckties")</f>
        <v>JOI 20-Neckties</v>
      </c>
      <c r="B1423" s="25" t="s">
        <v>6647</v>
      </c>
      <c r="C1423" s="24">
        <v>3</v>
      </c>
      <c r="D1423" s="65" t="str">
        <f>HYPERLINK("https://github.com/dolphingarlic/CompetitiveProgramming/blob/master/JOI/JOI%2020-neckties.cpp","sol")</f>
        <v>sol</v>
      </c>
      <c r="E1423" s="31" t="s">
        <v>125</v>
      </c>
      <c r="F1423" s="37"/>
      <c r="G1423" s="24"/>
      <c r="H1423" s="24"/>
    </row>
    <row r="1424" spans="1:8" ht="13.2">
      <c r="A1424" s="65" t="str">
        <f>HYPERLINK("https://cses.fi/111/list/","Baltic 07-Sound")</f>
        <v>Baltic 07-Sound</v>
      </c>
      <c r="B1424" s="37" t="s">
        <v>6648</v>
      </c>
      <c r="C1424" s="24">
        <v>3</v>
      </c>
      <c r="D1424" s="65" t="str">
        <f>HYPERLINK("https://github.com/mostafa-saad/MyCompetitiveProgramming/blob/master/Olympiad/Baltic/official/boi2007_solutions","Editorial")</f>
        <v>Editorial</v>
      </c>
      <c r="E1424" s="31" t="s">
        <v>125</v>
      </c>
      <c r="F1424" s="37"/>
      <c r="G1424" s="24"/>
      <c r="H1424" s="24"/>
    </row>
    <row r="1425" spans="1:8" ht="13.2">
      <c r="A1425" s="65" t="str">
        <f>HYPERLINK("https://oj.uz/problem/view/COCI16_pohlepko","COCI 16-pohlepko")</f>
        <v>COCI 16-pohlepko</v>
      </c>
      <c r="B1425" s="20" t="s">
        <v>124</v>
      </c>
      <c r="C1425" s="24">
        <v>3</v>
      </c>
      <c r="D1425" s="65" t="str">
        <f>HYPERLINK("https://github.com/mostafa-saad/MyCompetitiveProgramming/blob/master/Olympiad/COCI/official/2017/contest3_solutions","Editorial")</f>
        <v>Editorial</v>
      </c>
      <c r="E1425" s="31" t="s">
        <v>125</v>
      </c>
      <c r="F1425" s="37"/>
      <c r="G1425" s="24"/>
      <c r="H1425" s="24"/>
    </row>
    <row r="1426" spans="1:8" ht="13.2">
      <c r="A1426" s="65" t="str">
        <f>HYPERLINK("https://wcipeg.com/problem/coci067p3","COCI 06-Firefly")</f>
        <v>COCI 06-Firefly</v>
      </c>
      <c r="B1426" s="15" t="s">
        <v>245</v>
      </c>
      <c r="C1426" s="24">
        <v>3</v>
      </c>
      <c r="D1426" s="65" t="str">
        <f t="shared" ref="D1426:D1427" si="13">HYPERLINK("https://github.com/mostafa-saad/MyCompetitiveProgramming/tree/master/Olympiad/COCI/official/2007/regional_solutions","Editorial")</f>
        <v>Editorial</v>
      </c>
      <c r="E1426" s="31" t="s">
        <v>125</v>
      </c>
      <c r="F1426" s="37"/>
      <c r="G1426" s="24"/>
      <c r="H1426" s="24"/>
    </row>
    <row r="1427" spans="1:8" ht="13.2">
      <c r="A1427" s="65" t="str">
        <f>HYPERLINK("https://wcipeg.com/problem/coci067p2","COCI 06-Tetris")</f>
        <v>COCI 06-Tetris</v>
      </c>
      <c r="B1427" s="15" t="s">
        <v>124</v>
      </c>
      <c r="C1427" s="24">
        <v>3</v>
      </c>
      <c r="D1427" s="65" t="str">
        <f t="shared" si="13"/>
        <v>Editorial</v>
      </c>
      <c r="E1427" s="31" t="s">
        <v>125</v>
      </c>
      <c r="F1427" s="37"/>
      <c r="G1427" s="24"/>
      <c r="H1427" s="24"/>
    </row>
    <row r="1428" spans="1:8" ht="13.2">
      <c r="A1428" s="65" t="str">
        <f>HYPERLINK("https://oj.uz/problem/view/COCI18_timovi","COCI 18-timovi")</f>
        <v>COCI 18-timovi</v>
      </c>
      <c r="B1428" s="15" t="s">
        <v>147</v>
      </c>
      <c r="C1428" s="72">
        <v>3</v>
      </c>
      <c r="D1428" s="69"/>
      <c r="E1428" s="31" t="s">
        <v>125</v>
      </c>
      <c r="F1428" s="37"/>
      <c r="G1428" s="24"/>
      <c r="H1428" s="24"/>
    </row>
    <row r="1429" spans="1:8" ht="13.2">
      <c r="A1429" s="65" t="str">
        <f>HYPERLINK("https://cses.fi/231/task/B","Datatähti Open19-B")</f>
        <v>Datatähti Open19-B</v>
      </c>
      <c r="B1429" s="20" t="s">
        <v>245</v>
      </c>
      <c r="C1429" s="24">
        <v>3</v>
      </c>
      <c r="D1429" s="69"/>
      <c r="E1429" s="31" t="s">
        <v>125</v>
      </c>
      <c r="F1429" s="37"/>
      <c r="G1429" s="24"/>
      <c r="H1429" s="24"/>
    </row>
    <row r="1430" spans="1:8" ht="13.2">
      <c r="A1430" s="65" t="str">
        <f>HYPERLINK("https://wcipeg.com/problem/coci096p3","COCI 09-Dosadan")</f>
        <v>COCI 09-Dosadan</v>
      </c>
      <c r="B1430" s="15" t="s">
        <v>6649</v>
      </c>
      <c r="C1430" s="24">
        <v>3</v>
      </c>
      <c r="D1430" s="65" t="str">
        <f>HYPERLINK("https://github.com/mostafa-saad/MyCompetitiveProgramming/blob/master/Olympiad/COCI/official/2010/contest6_solutions","Editorial")</f>
        <v>Editorial</v>
      </c>
      <c r="E1430" s="31" t="s">
        <v>125</v>
      </c>
      <c r="F1430" s="37"/>
      <c r="G1430" s="24"/>
      <c r="H1430" s="24"/>
    </row>
    <row r="1431" spans="1:8" ht="13.2">
      <c r="A1431" s="65" t="str">
        <f>HYPERLINK("https://szkopul.edu.pl/problemset/problem/d5W4-JZbz1vSmQCLIJ91__9N/site/", "POI 06-Disks")</f>
        <v>POI 06-Disks</v>
      </c>
      <c r="B1431" s="37" t="s">
        <v>124</v>
      </c>
      <c r="C1431" s="24">
        <v>3</v>
      </c>
      <c r="D1431" s="65" t="str">
        <f t="shared" ref="D1431:D1435" si="14">HYPERLINK("https://github.com/mostafa-saad/MyCompetitiveProgramming/blob/master/Olympiad/POI/official/find_editorial_sols_guidelines.txt","Editorial")</f>
        <v>Editorial</v>
      </c>
      <c r="E1431" s="31" t="s">
        <v>125</v>
      </c>
      <c r="F1431" s="37"/>
      <c r="G1431" s="24"/>
      <c r="H1431" s="24"/>
    </row>
    <row r="1432" spans="1:8" ht="13.2">
      <c r="A1432" s="65" t="str">
        <f>HYPERLINK("https://szkopul.edu.pl/problemset/problem/NZhJzNZct1iBas2bPCvlvls5/site/", "POI 08-Postering")</f>
        <v>POI 08-Postering</v>
      </c>
      <c r="B1432" s="37" t="s">
        <v>124</v>
      </c>
      <c r="C1432" s="24">
        <v>3</v>
      </c>
      <c r="D1432" s="65" t="str">
        <f t="shared" si="14"/>
        <v>Editorial</v>
      </c>
      <c r="E1432" s="31" t="s">
        <v>125</v>
      </c>
      <c r="F1432" s="37"/>
      <c r="G1432" s="24"/>
      <c r="H1432" s="24"/>
    </row>
    <row r="1433" spans="1:8" ht="13.2">
      <c r="A1433" s="65" t="str">
        <f>HYPERLINK("https://szkopul.edu.pl/problemset/problem/Z8dyWFvoZuAJMjzLhqu4IH2o/site/", "POI 09-Elephants")</f>
        <v>POI 09-Elephants</v>
      </c>
      <c r="B1433" s="37" t="s">
        <v>124</v>
      </c>
      <c r="C1433" s="24">
        <v>3</v>
      </c>
      <c r="D1433" s="65" t="str">
        <f t="shared" si="14"/>
        <v>Editorial</v>
      </c>
      <c r="E1433" s="31" t="s">
        <v>125</v>
      </c>
      <c r="F1433" s="37"/>
      <c r="G1433" s="24"/>
      <c r="H1433" s="24"/>
    </row>
    <row r="1434" spans="1:8" ht="13.2">
      <c r="A1434" s="65" t="str">
        <f>HYPERLINK("https://szkopul.edu.pl/problemset/problem/E4CCHJSbYzxeGWXMnBZHkPnm/site/", "POI 09-Pebbles")</f>
        <v>POI 09-Pebbles</v>
      </c>
      <c r="B1434" s="37" t="s">
        <v>124</v>
      </c>
      <c r="C1434" s="24">
        <v>3</v>
      </c>
      <c r="D1434" s="65" t="str">
        <f t="shared" si="14"/>
        <v>Editorial</v>
      </c>
      <c r="E1434" s="31" t="s">
        <v>125</v>
      </c>
      <c r="F1434" s="37"/>
      <c r="G1434" s="24"/>
      <c r="H1434" s="24"/>
    </row>
    <row r="1435" spans="1:8" ht="13.2">
      <c r="A1435" s="65" t="str">
        <f>HYPERLINK("https://szkopul.edu.pl/problemset/problem/oTsXNiT3SD45VgVS2zqQWj7F/site/", "POI 10-Guilds")</f>
        <v>POI 10-Guilds</v>
      </c>
      <c r="B1435" s="37" t="s">
        <v>124</v>
      </c>
      <c r="C1435" s="24">
        <v>3</v>
      </c>
      <c r="D1435" s="65" t="str">
        <f t="shared" si="14"/>
        <v>Editorial</v>
      </c>
      <c r="E1435" s="31" t="s">
        <v>125</v>
      </c>
      <c r="F1435" s="37"/>
      <c r="G1435" s="24"/>
      <c r="H1435" s="24"/>
    </row>
    <row r="1436" spans="1:8" ht="13.2">
      <c r="A1436" s="65" t="str">
        <f>HYPERLINK("https://oj.uz/problem/view/IOI09_garage","IOI 09-garage")</f>
        <v>IOI 09-garage</v>
      </c>
      <c r="B1436" s="20" t="s">
        <v>5961</v>
      </c>
      <c r="C1436" s="24">
        <v>3</v>
      </c>
      <c r="D1436" s="65" t="str">
        <f>HYPERLINK("https://github.com/mostafa-saad/MyCompetitiveProgramming/blob/master/Olympiad/IOI/official/2009","Editorial")</f>
        <v>Editorial</v>
      </c>
      <c r="E1436" s="31" t="s">
        <v>5958</v>
      </c>
      <c r="F1436" s="37"/>
      <c r="G1436" s="24"/>
      <c r="H1436" s="24"/>
    </row>
    <row r="1437" spans="1:8" ht="13.2">
      <c r="A1437" s="65" t="str">
        <f>HYPERLINK("https://codeforces.com/group/swEqtABRxe/contest/243431/problem/A", "IOIQ 19-r1-A")</f>
        <v>IOIQ 19-r1-A</v>
      </c>
      <c r="B1437" s="20" t="s">
        <v>5961</v>
      </c>
      <c r="C1437" s="17">
        <v>3</v>
      </c>
      <c r="D1437" s="69"/>
      <c r="E1437" s="31" t="s">
        <v>5958</v>
      </c>
      <c r="F1437" s="37"/>
      <c r="G1437" s="24"/>
      <c r="H1437" s="24"/>
    </row>
    <row r="1438" spans="1:8" ht="13.2">
      <c r="A1438" s="65" t="str">
        <f>HYPERLINK("https://codeforces.com/group/swEqtABRxe/contest/243435/problem/B", "IOIQ 19-r2-B")</f>
        <v>IOIQ 19-r2-B</v>
      </c>
      <c r="B1438" s="20" t="s">
        <v>5961</v>
      </c>
      <c r="C1438" s="17">
        <v>3</v>
      </c>
      <c r="D1438" s="69"/>
      <c r="E1438" s="31" t="s">
        <v>5958</v>
      </c>
      <c r="F1438" s="37"/>
      <c r="G1438" s="24"/>
      <c r="H1438" s="24"/>
    </row>
    <row r="1439" spans="1:8" ht="13.2">
      <c r="A1439" s="65" t="str">
        <f>HYPERLINK("https://oj.uz/problem/view/COCI17_tetris","COCI 17-tetris")</f>
        <v>COCI 17-tetris</v>
      </c>
      <c r="B1439" s="20" t="s">
        <v>5961</v>
      </c>
      <c r="C1439" s="24">
        <v>3</v>
      </c>
      <c r="D1439" s="69"/>
      <c r="E1439" s="31" t="s">
        <v>5958</v>
      </c>
      <c r="F1439" s="37"/>
      <c r="G1439" s="24"/>
      <c r="H1439" s="24"/>
    </row>
    <row r="1440" spans="1:8" ht="13.2">
      <c r="A1440" s="65" t="str">
        <f>HYPERLINK("https://oj.uz/problem/view/COCI16_nizin","COCI 16-nizin")</f>
        <v>COCI 16-nizin</v>
      </c>
      <c r="B1440" s="20" t="s">
        <v>6054</v>
      </c>
      <c r="C1440" s="24">
        <v>3</v>
      </c>
      <c r="D1440" s="65" t="str">
        <f>HYPERLINK("https://github.com/mostafa-saad/MyCompetitiveProgramming/blob/master/Olympiad/COCI/official/2017/contest2_solutions","Editorial")</f>
        <v>Editorial</v>
      </c>
      <c r="E1440" s="31" t="s">
        <v>6040</v>
      </c>
      <c r="F1440" s="37"/>
      <c r="G1440" s="24"/>
      <c r="H1440" s="24"/>
    </row>
    <row r="1441" spans="1:8" ht="13.2">
      <c r="A1441" s="65" t="str">
        <f>HYPERLINK("https://github.com/stefdasca/CompetitiveProgramming/blob/master/Info1Cup/National%20Round/Mean%20(RO).pdf","Info1Cup 19-Mean")</f>
        <v>Info1Cup 19-Mean</v>
      </c>
      <c r="B1441" s="20" t="s">
        <v>6942</v>
      </c>
      <c r="C1441" s="21">
        <v>3</v>
      </c>
      <c r="D1441" s="65" t="str">
        <f>HYPERLINK("https://github.com/stefdasca/CompetitiveProgramming/blob/master/Info1Cup/National%20Round/mean.cpp","Sol")</f>
        <v>Sol</v>
      </c>
      <c r="E1441" s="31" t="s">
        <v>1337</v>
      </c>
      <c r="F1441" s="37"/>
      <c r="G1441" s="24"/>
      <c r="H1441" s="24"/>
    </row>
    <row r="1442" spans="1:8" ht="13.2">
      <c r="A1442" s="65" t="str">
        <f>HYPERLINK("https://dunjudge.me/analysis/problems/1221/","COCI 14-acm")</f>
        <v>COCI 14-acm</v>
      </c>
      <c r="B1442" s="20" t="s">
        <v>1348</v>
      </c>
      <c r="C1442" s="24">
        <v>3</v>
      </c>
      <c r="D1442" s="65" t="str">
        <f>HYPERLINK("https://github.com/mostafa-saad/MyCompetitiveProgramming/blob/master/Olympiad/COCI/official/2015/contest7_solutions","Editorial")</f>
        <v>Editorial</v>
      </c>
      <c r="E1442" s="31" t="s">
        <v>1337</v>
      </c>
      <c r="F1442" s="37"/>
      <c r="G1442" s="24"/>
      <c r="H1442" s="24"/>
    </row>
    <row r="1443" spans="1:8" ht="13.2">
      <c r="A1443" s="65" t="str">
        <f>HYPERLINK("https://dmoj.ca/problem/coci14c6p2","COCI 14-Niko")</f>
        <v>COCI 14-Niko</v>
      </c>
      <c r="B1443" s="20" t="s">
        <v>359</v>
      </c>
      <c r="C1443" s="24">
        <v>3</v>
      </c>
      <c r="D1443" s="65" t="str">
        <f>HYPERLINK("https://github.com/mostafa-saad/MyCompetitiveProgramming/blob/master/Olympiad/COCI/official/2015/contest6_solutions","Editorial")</f>
        <v>Editorial</v>
      </c>
      <c r="E1443" s="31" t="s">
        <v>332</v>
      </c>
      <c r="F1443" s="37"/>
      <c r="G1443" s="24"/>
      <c r="H1443" s="24"/>
    </row>
    <row r="1444" spans="1:8" ht="13.2">
      <c r="A1444" s="65" t="str">
        <f>HYPERLINK("https://oj.uz/problem/view/IOI16_laugh","IOI 16-laugh")</f>
        <v>IOI 16-laugh</v>
      </c>
      <c r="B1444" s="20" t="s">
        <v>359</v>
      </c>
      <c r="C1444" s="17">
        <v>3</v>
      </c>
      <c r="D1444" s="65" t="str">
        <f>HYPERLINK("https://github.com/mostafa-saad/MyCompetitiveProgramming/blob/master/Olympiad/IOI/official/2016","Editorial")</f>
        <v>Editorial</v>
      </c>
      <c r="E1444" s="31" t="s">
        <v>332</v>
      </c>
      <c r="F1444" s="37"/>
      <c r="G1444" s="24"/>
      <c r="H1444" s="24"/>
    </row>
    <row r="1445" spans="1:8" ht="13.2">
      <c r="A1445" s="65" t="str">
        <f>HYPERLINK("https://cses.fi/100/list/","Baltic 11-Ice Cream")</f>
        <v>Baltic 11-Ice Cream</v>
      </c>
      <c r="B1445" s="37" t="s">
        <v>341</v>
      </c>
      <c r="C1445" s="24">
        <v>3</v>
      </c>
      <c r="D1445" s="65" t="str">
        <f>HYPERLINK("https://github.com/mostafa-saad/MyCompetitiveProgramming/blob/master/Olympiad/Baltic/official/boi2011_solutions","Editorial")</f>
        <v>Editorial</v>
      </c>
      <c r="E1445" s="31" t="s">
        <v>332</v>
      </c>
      <c r="F1445" s="37"/>
      <c r="G1445" s="24"/>
      <c r="H1445" s="24"/>
    </row>
    <row r="1446" spans="1:8" ht="13.2">
      <c r="A1446" s="65" t="str">
        <f>HYPERLINK("https://dmoj.ca/problem/coci08c1p3","COCI 08-Mravojed")</f>
        <v>COCI 08-Mravojed</v>
      </c>
      <c r="B1446" s="15" t="s">
        <v>7527</v>
      </c>
      <c r="C1446" s="24">
        <v>3</v>
      </c>
      <c r="D1446" s="65" t="str">
        <f t="shared" ref="D1446:D1447" si="15">HYPERLINK("https://github.com/mostafa-saad/MyCompetitiveProgramming/blob/master/Olympiad/COCI/official/2009/contest1_solutions","Editorial")</f>
        <v>Editorial</v>
      </c>
      <c r="E1446" s="31" t="s">
        <v>7525</v>
      </c>
      <c r="F1446" s="37"/>
      <c r="G1446" s="24"/>
      <c r="H1446" s="24"/>
    </row>
    <row r="1447" spans="1:8" ht="13.2">
      <c r="A1447" s="65" t="str">
        <f>HYPERLINK("https://dmoj.ca/problem/coci08c1p1","COCI 08-Skocimis")</f>
        <v>COCI 08-Skocimis</v>
      </c>
      <c r="B1447" s="15" t="s">
        <v>7527</v>
      </c>
      <c r="C1447" s="24">
        <v>3</v>
      </c>
      <c r="D1447" s="65" t="str">
        <f t="shared" si="15"/>
        <v>Editorial</v>
      </c>
      <c r="E1447" s="31" t="s">
        <v>7525</v>
      </c>
      <c r="F1447" s="37"/>
      <c r="G1447" s="24"/>
      <c r="H1447" s="24"/>
    </row>
    <row r="1448" spans="1:8" ht="13.2">
      <c r="A1448" s="65" t="str">
        <f>HYPERLINK("https://dmoj.ca/problem/coci08c2p3","COCI 08-Perket")</f>
        <v>COCI 08-Perket</v>
      </c>
      <c r="B1448" s="15" t="s">
        <v>7527</v>
      </c>
      <c r="C1448" s="24">
        <v>3</v>
      </c>
      <c r="D1448" s="65" t="str">
        <f>HYPERLINK("https://github.com/mostafa-saad/MyCompetitiveProgramming/blob/master/Olympiad/COCI/official/2009/contest2_solutions","Editorial")</f>
        <v>Editorial</v>
      </c>
      <c r="E1448" s="31" t="s">
        <v>7525</v>
      </c>
      <c r="F1448" s="37"/>
      <c r="G1448" s="24"/>
      <c r="H1448" s="24"/>
    </row>
    <row r="1449" spans="1:8" ht="13.2">
      <c r="A1449" s="65" t="str">
        <f>HYPERLINK("https://dmoj.ca/problem/coci14c4p2","COCI 14-Psenica")</f>
        <v>COCI 14-Psenica</v>
      </c>
      <c r="B1449" s="20" t="s">
        <v>7527</v>
      </c>
      <c r="C1449" s="24">
        <v>3</v>
      </c>
      <c r="D1449" s="65" t="str">
        <f>HYPERLINK("https://github.com/mostafa-saad/MyCompetitiveProgramming/blob/master/Olympiad/COCI/official/2015/contest4_solutions","Editorial")</f>
        <v>Editorial</v>
      </c>
      <c r="E1449" s="31" t="s">
        <v>7525</v>
      </c>
      <c r="F1449" s="37"/>
      <c r="G1449" s="24"/>
      <c r="H1449" s="24"/>
    </row>
    <row r="1450" spans="1:8" ht="13.2">
      <c r="A1450" s="65" t="str">
        <f>HYPERLINK("https://dmoj.ca/problem/coci14c6p3","COCI 14-Meteor")</f>
        <v>COCI 14-Meteor</v>
      </c>
      <c r="B1450" s="37" t="s">
        <v>7527</v>
      </c>
      <c r="C1450" s="24">
        <v>3</v>
      </c>
      <c r="D1450" s="65" t="str">
        <f>HYPERLINK("https://github.com/mostafa-saad/MyCompetitiveProgramming/blob/master/Olympiad/COCI/official/2015/contest6_solutions","Editorial")</f>
        <v>Editorial</v>
      </c>
      <c r="E1450" s="31" t="s">
        <v>7525</v>
      </c>
      <c r="F1450" s="37"/>
      <c r="G1450" s="24"/>
      <c r="H1450" s="24"/>
    </row>
    <row r="1451" spans="1:8" ht="13.2">
      <c r="A1451" s="65" t="str">
        <f>HYPERLINK("http://poj.org/problem?id=1147","IOI 01-BinaryCodes")</f>
        <v>IOI 01-BinaryCodes</v>
      </c>
      <c r="B1451" s="20" t="s">
        <v>7540</v>
      </c>
      <c r="C1451" s="24">
        <v>3</v>
      </c>
      <c r="D1451" s="65" t="str">
        <f>HYPERLINK("https://github.com/mostafa-saad/MyCompetitiveProgramming/blob/master/Olympiad/IOI/official/2001","Editorial")</f>
        <v>Editorial</v>
      </c>
      <c r="E1451" s="31" t="s">
        <v>7525</v>
      </c>
      <c r="F1451" s="37"/>
      <c r="G1451" s="24"/>
      <c r="H1451" s="24"/>
    </row>
    <row r="1452" spans="1:8" ht="13.2">
      <c r="A1452" s="65" t="str">
        <f>HYPERLINK("https://szkopul.edu.pl/problemset/problem/7u_14yXL3mR3mO0seZLusF5U/site/", "POI 12-Letter")</f>
        <v>POI 12-Letter</v>
      </c>
      <c r="B1452" s="37" t="s">
        <v>7527</v>
      </c>
      <c r="C1452" s="24">
        <v>3</v>
      </c>
      <c r="D1452" s="65" t="str">
        <f>HYPERLINK("https://github.com/mostafa-saad/MyCompetitiveProgramming/blob/master/Olympiad/POI/official/find_editorial_sols_guidelines.txt","Editorial")</f>
        <v>Editorial</v>
      </c>
      <c r="E1452" s="31" t="s">
        <v>7525</v>
      </c>
      <c r="F1452" s="37"/>
      <c r="G1452" s="24"/>
      <c r="H1452" s="24"/>
    </row>
    <row r="1453" spans="1:8" ht="13.2">
      <c r="A1453" s="65" t="str">
        <f>HYPERLINK("https://dmoj.ca/problem/coci06c1p3","COCI 06-Okviri")</f>
        <v>COCI 06-Okviri</v>
      </c>
      <c r="B1453" s="15" t="s">
        <v>7527</v>
      </c>
      <c r="C1453" s="24">
        <v>3</v>
      </c>
      <c r="D1453" s="65" t="str">
        <f>HYPERLINK("https://github.com/mostafa-saad/MyCompetitiveProgramming/tree/master/Olympiad/COCI/official/2007/contest1_solutions","Editorial")</f>
        <v>Editorial</v>
      </c>
      <c r="E1453" s="31" t="s">
        <v>7525</v>
      </c>
      <c r="F1453" s="37"/>
      <c r="G1453" s="24"/>
      <c r="H1453" s="24"/>
    </row>
    <row r="1454" spans="1:8" ht="13.2">
      <c r="A1454" s="65" t="str">
        <f>HYPERLINK("https://dmoj.ca/problem/coci06c6p3","COCI 06-Maraton")</f>
        <v>COCI 06-Maraton</v>
      </c>
      <c r="B1454" s="15" t="s">
        <v>7527</v>
      </c>
      <c r="C1454" s="24">
        <v>3</v>
      </c>
      <c r="D1454" s="65" t="str">
        <f>HYPERLINK("https://github.com/mostafa-saad/MyCompetitiveProgramming/tree/master/Olympiad/COCI/official/2007/contest6_solutions","Editorial")</f>
        <v>Editorial</v>
      </c>
      <c r="E1454" s="31" t="s">
        <v>7525</v>
      </c>
      <c r="F1454" s="37"/>
      <c r="G1454" s="24"/>
      <c r="H1454" s="24"/>
    </row>
    <row r="1455" spans="1:8" ht="13.2">
      <c r="A1455" s="65" t="str">
        <f>HYPERLINK("https://wcipeg.com/problem/coci067p1","COCI 06-Bard")</f>
        <v>COCI 06-Bard</v>
      </c>
      <c r="B1455" s="15" t="s">
        <v>7527</v>
      </c>
      <c r="C1455" s="24">
        <v>3</v>
      </c>
      <c r="D1455" s="65" t="str">
        <f>HYPERLINK("https://github.com/mostafa-saad/MyCompetitiveProgramming/tree/master/Olympiad/COCI/official/2007/regional_solutions","Editorial")</f>
        <v>Editorial</v>
      </c>
      <c r="E1455" s="31" t="s">
        <v>7525</v>
      </c>
      <c r="F1455" s="37"/>
      <c r="G1455" s="24"/>
      <c r="H1455" s="24"/>
    </row>
    <row r="1456" spans="1:8" ht="13.2">
      <c r="A1456" s="65" t="str">
        <f>HYPERLINK("https://oj.uz/problems/source/307","JOI 18-stove")</f>
        <v>JOI 18-stove</v>
      </c>
      <c r="B1456" s="15" t="s">
        <v>2163</v>
      </c>
      <c r="C1456" s="17">
        <v>3</v>
      </c>
      <c r="D1456" s="65" t="str">
        <f>HYPERLINK("https://github.com/tmwilliamlin168/CompetitiveProgramming/tree/master/JOI", "Sol")</f>
        <v>Sol</v>
      </c>
      <c r="E1456" s="31" t="s">
        <v>2153</v>
      </c>
      <c r="F1456" s="37"/>
      <c r="G1456" s="24"/>
      <c r="H1456" s="24"/>
    </row>
    <row r="1457" spans="1:8" ht="13.2">
      <c r="A1457" s="65" t="str">
        <f>HYPERLINK("https://www.infoarena.ro/problema/calorifer","Infoarena calorifer")</f>
        <v>Infoarena calorifer</v>
      </c>
      <c r="B1457" s="20" t="s">
        <v>7046</v>
      </c>
      <c r="C1457" s="21">
        <v>3</v>
      </c>
      <c r="D1457" s="65" t="str">
        <f>HYPERLINK("https://github.com/stefdasca/CompetitiveProgramming/blob/master/Infoarena/calorifer.cpp","Sol")</f>
        <v>Sol</v>
      </c>
      <c r="E1457" s="31" t="s">
        <v>2153</v>
      </c>
      <c r="F1457" s="37"/>
      <c r="G1457" s="24"/>
      <c r="H1457" s="24"/>
    </row>
    <row r="1458" spans="1:8" ht="13.2">
      <c r="A1458" s="65" t="str">
        <f>HYPERLINK("https://dunjudge.me/analysis/problems/18/","NOI 11-change")</f>
        <v>NOI 11-change</v>
      </c>
      <c r="B1458" s="37" t="s">
        <v>7047</v>
      </c>
      <c r="C1458" s="24">
        <v>3</v>
      </c>
      <c r="D1458" s="65" t="str">
        <f>HYPERLINK("https://github.com/mostafa-saad/MyCompetitiveProgramming/blob/master/Olympiad/NOI/official/2011.pptx","Editorial")</f>
        <v>Editorial</v>
      </c>
      <c r="E1458" s="31" t="s">
        <v>2153</v>
      </c>
      <c r="F1458" s="37"/>
      <c r="G1458" s="24"/>
      <c r="H1458" s="24"/>
    </row>
    <row r="1459" spans="1:8" ht="13.2">
      <c r="A1459" s="65" t="str">
        <f>HYPERLINK("https://boi18-practice-open.kattis.com/problems","BalticPractice 18-NinetyNinePractice")</f>
        <v>BalticPractice 18-NinetyNinePractice</v>
      </c>
      <c r="B1459" s="18" t="s">
        <v>7048</v>
      </c>
      <c r="C1459" s="17">
        <v>3</v>
      </c>
      <c r="D1459" s="69"/>
      <c r="E1459" s="31" t="s">
        <v>2153</v>
      </c>
      <c r="F1459" s="37"/>
      <c r="G1459" s="24"/>
      <c r="H1459" s="24"/>
    </row>
    <row r="1460" spans="1:8" ht="13.2">
      <c r="A1460" s="65" t="str">
        <f>HYPERLINK("https://oj.uz/problem/view/COCI17_programiranje","COCI 17-programiranje")</f>
        <v>COCI 17-programiranje</v>
      </c>
      <c r="B1460" s="15" t="s">
        <v>587</v>
      </c>
      <c r="C1460" s="72">
        <v>3</v>
      </c>
      <c r="D1460" s="69"/>
      <c r="E1460" s="31" t="s">
        <v>575</v>
      </c>
      <c r="F1460" s="37"/>
      <c r="G1460" s="24"/>
      <c r="H1460" s="24"/>
    </row>
    <row r="1461" spans="1:8" ht="13.2">
      <c r="A1461" s="65" t="str">
        <f>HYPERLINK("https://dunjudge.me/analysis/problems/1375/","COCI 12-razlika")</f>
        <v>COCI 12-razlika</v>
      </c>
      <c r="B1461" s="37" t="s">
        <v>6708</v>
      </c>
      <c r="C1461" s="24">
        <v>3</v>
      </c>
      <c r="D1461" s="65" t="str">
        <f>HYPERLINK("https://github.com/mostafa-saad/MyCompetitiveProgramming/blob/master/Olympiad/COCI/official/2013/contest4_solutions","Editorial")</f>
        <v>Editorial</v>
      </c>
      <c r="E1461" s="31" t="s">
        <v>575</v>
      </c>
      <c r="F1461" s="37"/>
      <c r="G1461" s="24"/>
      <c r="H1461" s="24"/>
    </row>
    <row r="1462" spans="1:8" ht="13.2">
      <c r="A1462" s="65" t="str">
        <f>HYPERLINK("https://szkopul.edu.pl/problemset/problem/ETArorvqQVqRUJRa4kx02f8D/site/", "POI 07-Symmetry")</f>
        <v>POI 07-Symmetry</v>
      </c>
      <c r="B1462" s="37" t="s">
        <v>7095</v>
      </c>
      <c r="C1462" s="24">
        <v>3</v>
      </c>
      <c r="D1462" s="65" t="str">
        <f>HYPERLINK("https://github.com/mostafa-saad/MyCompetitiveProgramming/blob/master/Olympiad/POI/official/find_editorial_sols_guidelines.txt","Editorial")</f>
        <v>Editorial</v>
      </c>
      <c r="E1462" s="31" t="s">
        <v>2948</v>
      </c>
      <c r="F1462" s="37"/>
      <c r="G1462" s="24"/>
      <c r="H1462" s="24"/>
    </row>
    <row r="1463" spans="1:8" ht="13.2">
      <c r="A1463" s="65" t="str">
        <f>HYPERLINK("https://dunjudge.me/analysis/problems/1380/","COCI 12-hipercijevi")</f>
        <v>COCI 12-hipercijevi</v>
      </c>
      <c r="B1463" s="20" t="s">
        <v>3466</v>
      </c>
      <c r="C1463" s="24">
        <v>3</v>
      </c>
      <c r="D1463" s="65" t="str">
        <f>HYPERLINK("https://github.com/mostafa-saad/MyCompetitiveProgramming/blob/master/Olympiad/COCI/official/2013/contest5_solutions","Editorial")</f>
        <v>Editorial</v>
      </c>
      <c r="E1463" s="31" t="s">
        <v>3467</v>
      </c>
      <c r="F1463" s="37"/>
      <c r="G1463" s="24"/>
      <c r="H1463" s="24"/>
    </row>
    <row r="1464" spans="1:8" ht="13.2">
      <c r="A1464" s="65" t="str">
        <f>HYPERLINK("https://oj.uz/problem/view/COCI16_jetpack","COCI 16-jetpack")</f>
        <v>COCI 16-jetpack</v>
      </c>
      <c r="B1464" s="20" t="s">
        <v>3649</v>
      </c>
      <c r="C1464" s="24">
        <v>3</v>
      </c>
      <c r="D1464" s="65" t="str">
        <f>HYPERLINK("https://github.com/mostafa-saad/MyCompetitiveProgramming/blob/master/Olympiad/COCI/official/2017/contest1_solutions","Editorial")</f>
        <v>Editorial</v>
      </c>
      <c r="E1464" s="31" t="s">
        <v>3650</v>
      </c>
      <c r="F1464" s="37"/>
      <c r="G1464" s="24"/>
      <c r="H1464" s="24"/>
    </row>
    <row r="1465" spans="1:8" ht="13.2">
      <c r="A1465" s="65" t="str">
        <f>HYPERLINK("https://dunjudge.me/analysis/problems/265/","NOI 10-sail")</f>
        <v>NOI 10-sail</v>
      </c>
      <c r="B1465" s="37" t="s">
        <v>3791</v>
      </c>
      <c r="C1465" s="24">
        <v>3</v>
      </c>
      <c r="D1465" s="65" t="str">
        <f>HYPERLINK("https://github.com/mostafa-saad/MyCompetitiveProgramming/blob/master/Olympiad/NOI/official","Editorial")</f>
        <v>Editorial</v>
      </c>
      <c r="E1465" s="31" t="s">
        <v>3784</v>
      </c>
      <c r="F1465" s="37"/>
      <c r="G1465" s="24"/>
      <c r="H1465" s="24"/>
    </row>
    <row r="1466" spans="1:8" ht="13.2">
      <c r="A1466" s="65" t="str">
        <f>HYPERLINK("https://codeforces.com/group/R2SERIff4f/contest/213171","MCO 17-TravellingSalesman")</f>
        <v>MCO 17-TravellingSalesman</v>
      </c>
      <c r="B1466" s="37" t="s">
        <v>3791</v>
      </c>
      <c r="C1466" s="24">
        <v>3</v>
      </c>
      <c r="D1466" s="65" t="str">
        <f>HYPERLINK("https://github.com/mostafa-saad/MyCompetitiveProgramming/tree/master/Olympiad/MCO/official","Editorial")</f>
        <v>Editorial</v>
      </c>
      <c r="E1466" s="31" t="s">
        <v>3784</v>
      </c>
      <c r="F1466" s="37"/>
      <c r="G1466" s="24"/>
      <c r="H1466" s="24"/>
    </row>
    <row r="1467" spans="1:8" ht="13.2">
      <c r="A1467" s="65" t="str">
        <f>HYPERLINK("https://dmoj.ca/problem/ccc13s5","CCC 13-Factor_Solitaire")</f>
        <v>CCC 13-Factor_Solitaire</v>
      </c>
      <c r="B1467" s="37" t="s">
        <v>4530</v>
      </c>
      <c r="C1467" s="24">
        <v>3</v>
      </c>
      <c r="D1467" s="69"/>
      <c r="E1467" s="31" t="s">
        <v>4531</v>
      </c>
      <c r="F1467" s="37"/>
      <c r="G1467" s="24"/>
      <c r="H1467" s="24"/>
    </row>
    <row r="1468" spans="1:8" ht="13.2">
      <c r="A1468" s="65" t="str">
        <f>HYPERLINK("https://oj.uz/problem/view/COCI16_tavan","COCI 16-tavan")</f>
        <v>COCI 16-tavan</v>
      </c>
      <c r="B1468" s="20" t="s">
        <v>7332</v>
      </c>
      <c r="C1468" s="24">
        <v>3</v>
      </c>
      <c r="D1468" s="65" t="str">
        <f>HYPERLINK("https://github.com/mostafa-saad/MyCompetitiveProgramming/blob/master/Olympiad/COCI/official/2017/contest2_solutions","Editorial")</f>
        <v>Editorial</v>
      </c>
      <c r="E1468" s="31" t="s">
        <v>4531</v>
      </c>
      <c r="F1468" s="37"/>
      <c r="G1468" s="24"/>
      <c r="H1468" s="24"/>
    </row>
    <row r="1469" spans="1:8" ht="13.2">
      <c r="A1469" s="65" t="str">
        <f>HYPERLINK("https://oj.uz/problem/view/COCI17_savrsen","COCI 17-savrsen")</f>
        <v>COCI 17-savrsen</v>
      </c>
      <c r="B1469" s="20" t="s">
        <v>5416</v>
      </c>
      <c r="C1469" s="24">
        <v>3</v>
      </c>
      <c r="D1469" s="65" t="str">
        <f>HYPERLINK("https://github.com/mostafa-saad/MyCompetitiveProgramming/blob/master/Olympiad/COCI/official/2017/contest6_solutions","Editorial")</f>
        <v>Editorial</v>
      </c>
      <c r="E1469" s="31" t="s">
        <v>5414</v>
      </c>
      <c r="F1469" s="37"/>
      <c r="G1469" s="24"/>
      <c r="H1469" s="24"/>
    </row>
    <row r="1470" spans="1:8" ht="13.2">
      <c r="A1470" s="65" t="str">
        <f>HYPERLINK("https://oj.uz/problem/view/COCI17_cezar","COCI 17-cezar")</f>
        <v>COCI 17-cezar</v>
      </c>
      <c r="B1470" s="20" t="s">
        <v>6646</v>
      </c>
      <c r="C1470" s="24">
        <v>2.5</v>
      </c>
      <c r="D1470" s="69"/>
      <c r="E1470" s="31" t="s">
        <v>125</v>
      </c>
      <c r="F1470" s="37"/>
      <c r="G1470" s="24"/>
      <c r="H1470" s="24"/>
    </row>
    <row r="1471" spans="1:8" ht="13.2">
      <c r="A1471" s="65" t="str">
        <f>HYPERLINK("https://dunjudge.me/analysis/problems/1357/","COCI 12-sahovnica")</f>
        <v>COCI 12-sahovnica</v>
      </c>
      <c r="B1471" s="15" t="s">
        <v>147</v>
      </c>
      <c r="C1471" s="24">
        <v>2.5</v>
      </c>
      <c r="D1471" s="65" t="str">
        <f>HYPERLINK("https://github.com/mostafa-saad/MyCompetitiveProgramming/blob/master/Olympiad/COCI/official/2013/contest3_solutions","Editorial")</f>
        <v>Editorial</v>
      </c>
      <c r="E1471" s="31" t="s">
        <v>125</v>
      </c>
      <c r="F1471" s="37"/>
      <c r="G1471" s="24"/>
      <c r="H1471" s="24"/>
    </row>
    <row r="1472" spans="1:8" ht="13.2">
      <c r="A1472" s="65" t="str">
        <f>HYPERLINK("https://github.com/stefdasca/CompetitiveProgramming/blob/master/Info1Cup/National%20Round/Treasure%20(RO).pdf","Info1Cup 19-Treasure")</f>
        <v>Info1Cup 19-Treasure</v>
      </c>
      <c r="B1472" s="20" t="s">
        <v>7410</v>
      </c>
      <c r="C1472" s="21">
        <v>2.5</v>
      </c>
      <c r="D1472" s="65" t="str">
        <f>HYPERLINK("https://github.com/stefdasca/CompetitiveProgramming/blob/master/Info1Cup/National%20Round/treasure.cpp","Sol")</f>
        <v>Sol</v>
      </c>
      <c r="E1472" s="31" t="s">
        <v>5958</v>
      </c>
      <c r="F1472" s="37"/>
      <c r="G1472" s="24"/>
      <c r="H1472" s="24"/>
    </row>
    <row r="1473" spans="1:8" ht="13.2">
      <c r="A1473" s="65" t="str">
        <f>HYPERLINK("https://oj.uz/problem/view/COCI18_nadan","COCI 19-nadan")</f>
        <v>COCI 19-nadan</v>
      </c>
      <c r="B1473" s="20" t="s">
        <v>6650</v>
      </c>
      <c r="C1473" s="24">
        <v>2</v>
      </c>
      <c r="D1473" s="69"/>
      <c r="E1473" s="31" t="s">
        <v>125</v>
      </c>
      <c r="F1473" s="37"/>
      <c r="G1473" s="24"/>
      <c r="H1473" s="24"/>
    </row>
    <row r="1474" spans="1:8" ht="13.2">
      <c r="A1474" s="65" t="str">
        <f>HYPERLINK("https://dmoj.ca/problem/coci08c3p3","COCI 08-Cross")</f>
        <v>COCI 08-Cross</v>
      </c>
      <c r="B1474" s="20" t="s">
        <v>6646</v>
      </c>
      <c r="C1474" s="24">
        <v>2</v>
      </c>
      <c r="D1474" s="65" t="str">
        <f>HYPERLINK("https://github.com/mostafa-saad/MyCompetitiveProgramming/blob/master/Olympiad/COCI/official/2009/contest3_solutions","Editorial")</f>
        <v>Editorial</v>
      </c>
      <c r="E1474" s="31" t="s">
        <v>125</v>
      </c>
      <c r="F1474" s="37"/>
      <c r="G1474" s="24"/>
      <c r="H1474" s="24"/>
    </row>
    <row r="1475" spans="1:8" ht="13.2">
      <c r="A1475" s="65" t="str">
        <f>HYPERLINK("https://dmoj.ca/problem/coci08c4p3","COCI 08-Rot")</f>
        <v>COCI 08-Rot</v>
      </c>
      <c r="B1475" s="20" t="s">
        <v>6646</v>
      </c>
      <c r="C1475" s="24">
        <v>2</v>
      </c>
      <c r="D1475" s="65" t="str">
        <f>HYPERLINK("https://github.com/mostafa-saad/MyCompetitiveProgramming/blob/master/Olympiad/COCI/official/2009/contest4_solutions","Editorial")</f>
        <v>Editorial</v>
      </c>
      <c r="E1475" s="31" t="s">
        <v>125</v>
      </c>
      <c r="F1475" s="37"/>
      <c r="G1475" s="24"/>
      <c r="H1475" s="24"/>
    </row>
    <row r="1476" spans="1:8" ht="13.2">
      <c r="A1476" s="65" t="str">
        <f>HYPERLINK("https://wcipeg.com/problem/coci096p1","COCI 09-Kajak")</f>
        <v>COCI 09-Kajak</v>
      </c>
      <c r="B1476" s="20" t="s">
        <v>6646</v>
      </c>
      <c r="C1476" s="24">
        <v>2</v>
      </c>
      <c r="D1476" s="65" t="str">
        <f>HYPERLINK("https://github.com/mostafa-saad/MyCompetitiveProgramming/blob/master/Olympiad/COCI/official/2010/contest6_solutions","Editorial")</f>
        <v>Editorial</v>
      </c>
      <c r="E1476" s="31" t="s">
        <v>125</v>
      </c>
      <c r="F1476" s="37"/>
      <c r="G1476" s="24"/>
      <c r="H1476" s="24"/>
    </row>
    <row r="1477" spans="1:8" ht="13.2">
      <c r="A1477" s="65" t="str">
        <f>HYPERLINK("https://dunjudge.me/analysis/problems/1382/","COCI 12-sume")</f>
        <v>COCI 12-sume</v>
      </c>
      <c r="B1477" s="20" t="s">
        <v>285</v>
      </c>
      <c r="C1477" s="24">
        <v>2</v>
      </c>
      <c r="D1477" s="65" t="str">
        <f>HYPERLINK("https://github.com/mostafa-saad/MyCompetitiveProgramming/blob/master/Olympiad/COCI/official/2013/contest6_solutions","Editorial")</f>
        <v>Editorial</v>
      </c>
      <c r="E1477" s="31" t="s">
        <v>125</v>
      </c>
      <c r="F1477" s="37"/>
      <c r="G1477" s="24"/>
      <c r="H1477" s="24"/>
    </row>
    <row r="1478" spans="1:8" ht="13.2">
      <c r="A1478" s="65" t="str">
        <f>HYPERLINK("https://dunjudge.me/analysis/problems/108/","NOI 08-4sum")</f>
        <v>NOI 08-4sum</v>
      </c>
      <c r="B1478" s="37" t="s">
        <v>124</v>
      </c>
      <c r="C1478" s="24">
        <v>2</v>
      </c>
      <c r="D1478" s="65" t="str">
        <f>HYPERLINK("https://github.com/mostafa-saad/MyCompetitiveProgramming/blob/master/Olympiad/NOI/official","Editorial")</f>
        <v>Editorial</v>
      </c>
      <c r="E1478" s="31" t="s">
        <v>125</v>
      </c>
      <c r="F1478" s="37"/>
      <c r="G1478" s="24"/>
      <c r="H1478" s="24"/>
    </row>
    <row r="1479" spans="1:8" ht="13.2">
      <c r="A1479" s="65" t="str">
        <f>HYPERLINK("https://dmoj.ca/problem/coci07c3p3","COCI 07-Tajna")</f>
        <v>COCI 07-Tajna</v>
      </c>
      <c r="B1479" s="37" t="s">
        <v>124</v>
      </c>
      <c r="C1479" s="24">
        <v>2</v>
      </c>
      <c r="D1479" s="65" t="str">
        <f>HYPERLINK("https://github.com/mostafa-saad/MyCompetitiveProgramming/tree/master/Olympiad/COCI/official/2008/contest3_solutions","Editorial")</f>
        <v>Editorial</v>
      </c>
      <c r="E1479" s="31" t="s">
        <v>125</v>
      </c>
      <c r="F1479" s="37"/>
      <c r="G1479" s="24"/>
      <c r="H1479" s="24"/>
    </row>
    <row r="1480" spans="1:8" ht="13.2">
      <c r="A1480" s="65" t="str">
        <f>HYPERLINK("https://oj.uz/problem/view/COCI17_izbori","COCI 17-izbori")</f>
        <v>COCI 17-izbori</v>
      </c>
      <c r="B1480" s="20" t="s">
        <v>6646</v>
      </c>
      <c r="C1480" s="24">
        <v>2</v>
      </c>
      <c r="D1480" s="69"/>
      <c r="E1480" s="31" t="s">
        <v>125</v>
      </c>
      <c r="F1480" s="37"/>
      <c r="G1480" s="24"/>
      <c r="H1480" s="24"/>
    </row>
    <row r="1481" spans="1:8" ht="13.2">
      <c r="A1481" s="65" t="str">
        <f>HYPERLINK("https://oj.uz/problem/view/COCI17_rasvjeta","COCI 17-rasvjeta")</f>
        <v>COCI 17-rasvjeta</v>
      </c>
      <c r="B1481" s="20" t="s">
        <v>6646</v>
      </c>
      <c r="C1481" s="24">
        <v>2</v>
      </c>
      <c r="D1481" s="69"/>
      <c r="E1481" s="31" t="s">
        <v>125</v>
      </c>
      <c r="F1481" s="37"/>
      <c r="G1481" s="24"/>
      <c r="H1481" s="24"/>
    </row>
    <row r="1482" spans="1:8" ht="13.2">
      <c r="A1482" s="65" t="str">
        <f>HYPERLINK("https://dmoj.ca/problem/coci08c5p2","COCI 08-Jabuka")</f>
        <v>COCI 08-Jabuka</v>
      </c>
      <c r="B1482" s="20" t="s">
        <v>6646</v>
      </c>
      <c r="C1482" s="24">
        <v>2</v>
      </c>
      <c r="D1482" s="65" t="str">
        <f t="shared" ref="D1482:D1484" si="16">HYPERLINK("https://github.com/mostafa-saad/MyCompetitiveProgramming/blob/master/Olympiad/COCI/official/2009/contest5_solutions","Editorial")</f>
        <v>Editorial</v>
      </c>
      <c r="E1482" s="31" t="s">
        <v>125</v>
      </c>
      <c r="F1482" s="37"/>
      <c r="G1482" s="24"/>
      <c r="H1482" s="24"/>
    </row>
    <row r="1483" spans="1:8" ht="13.2">
      <c r="A1483" s="65" t="str">
        <f>HYPERLINK("https://dmoj.ca/problem/coci08c5p3","COCI 08-Jagoda")</f>
        <v>COCI 08-Jagoda</v>
      </c>
      <c r="B1483" s="20" t="s">
        <v>6646</v>
      </c>
      <c r="C1483" s="24">
        <v>2</v>
      </c>
      <c r="D1483" s="65" t="str">
        <f t="shared" si="16"/>
        <v>Editorial</v>
      </c>
      <c r="E1483" s="31" t="s">
        <v>125</v>
      </c>
      <c r="F1483" s="37"/>
      <c r="G1483" s="24"/>
      <c r="H1483" s="24"/>
    </row>
    <row r="1484" spans="1:8" ht="13.2">
      <c r="A1484" s="65" t="str">
        <f>HYPERLINK("https://dmoj.ca/problem/coci08c5p1","COCI 08-Ljesnjak")</f>
        <v>COCI 08-Ljesnjak</v>
      </c>
      <c r="B1484" s="20" t="s">
        <v>6646</v>
      </c>
      <c r="C1484" s="24">
        <v>2</v>
      </c>
      <c r="D1484" s="65" t="str">
        <f t="shared" si="16"/>
        <v>Editorial</v>
      </c>
      <c r="E1484" s="31" t="s">
        <v>125</v>
      </c>
      <c r="F1484" s="37"/>
      <c r="G1484" s="24"/>
      <c r="H1484" s="24"/>
    </row>
    <row r="1485" spans="1:8" ht="13.2">
      <c r="A1485" s="65" t="str">
        <f>HYPERLINK("https://dmoj.ca/problem/coci08c6p2","COCI 08-Bazen")</f>
        <v>COCI 08-Bazen</v>
      </c>
      <c r="B1485" s="20" t="s">
        <v>6646</v>
      </c>
      <c r="C1485" s="24">
        <v>2</v>
      </c>
      <c r="D1485" s="65" t="str">
        <f t="shared" ref="D1485:D1486" si="17">HYPERLINK("https://github.com/mostafa-saad/MyCompetitiveProgramming/blob/master/Olympiad/COCI/official/2009/contest6_solutions","Editorial")</f>
        <v>Editorial</v>
      </c>
      <c r="E1485" s="31" t="s">
        <v>125</v>
      </c>
      <c r="F1485" s="37"/>
      <c r="G1485" s="24"/>
      <c r="H1485" s="24"/>
    </row>
    <row r="1486" spans="1:8" ht="13.2">
      <c r="A1486" s="65" t="str">
        <f>HYPERLINK("https://dmoj.ca/problem/coci08c6p3","COCI 08-Nered")</f>
        <v>COCI 08-Nered</v>
      </c>
      <c r="B1486" s="20" t="s">
        <v>6646</v>
      </c>
      <c r="C1486" s="24">
        <v>2</v>
      </c>
      <c r="D1486" s="65" t="str">
        <f t="shared" si="17"/>
        <v>Editorial</v>
      </c>
      <c r="E1486" s="31" t="s">
        <v>125</v>
      </c>
      <c r="F1486" s="37"/>
      <c r="G1486" s="24"/>
      <c r="H1486" s="24"/>
    </row>
    <row r="1487" spans="1:8" ht="13.2">
      <c r="A1487" s="65" t="str">
        <f>HYPERLINK("https://dmoj.ca/problem/coci06c1p2","COCI 06-Herman")</f>
        <v>COCI 06-Herman</v>
      </c>
      <c r="B1487" s="15" t="s">
        <v>6646</v>
      </c>
      <c r="C1487" s="24">
        <v>2</v>
      </c>
      <c r="D1487" s="65" t="str">
        <f>HYPERLINK("https://github.com/mostafa-saad/MyCompetitiveProgramming/tree/master/Olympiad/COCI/official/2007/contest1_solutions","Editorial")</f>
        <v>Editorial</v>
      </c>
      <c r="E1487" s="31" t="s">
        <v>125</v>
      </c>
      <c r="F1487" s="37"/>
      <c r="G1487" s="24"/>
      <c r="H1487" s="24"/>
    </row>
    <row r="1488" spans="1:8" ht="13.2">
      <c r="A1488" s="65" t="str">
        <f>HYPERLINK("https://dmoj.ca/problem/coci06c2p2","COCI 06-ABC")</f>
        <v>COCI 06-ABC</v>
      </c>
      <c r="B1488" s="15" t="s">
        <v>6646</v>
      </c>
      <c r="C1488" s="24">
        <v>2</v>
      </c>
      <c r="D1488" s="65" t="str">
        <f>HYPERLINK("https://github.com/mostafa-saad/MyCompetitiveProgramming/tree/master/Olympiad/COCI/official/2007/contest2_solutions","Editorial")</f>
        <v>Editorial</v>
      </c>
      <c r="E1488" s="31" t="s">
        <v>125</v>
      </c>
      <c r="F1488" s="37"/>
      <c r="G1488" s="24"/>
      <c r="H1488" s="24"/>
    </row>
    <row r="1489" spans="1:8" ht="13.2">
      <c r="A1489" s="65" t="str">
        <f>HYPERLINK("https://dmoj.ca/problem/coci06c3p2","COCI 06-npuzzle")</f>
        <v>COCI 06-npuzzle</v>
      </c>
      <c r="B1489" s="20" t="s">
        <v>6646</v>
      </c>
      <c r="C1489" s="24">
        <v>2</v>
      </c>
      <c r="D1489" s="65" t="str">
        <f>HYPERLINK("https://github.com/mostafa-saad/MyCompetitiveProgramming/tree/master/Olympiad/COCI/official/2007/contest3_solutions","Editorial")</f>
        <v>Editorial</v>
      </c>
      <c r="E1489" s="31" t="s">
        <v>125</v>
      </c>
      <c r="F1489" s="37"/>
      <c r="G1489" s="24"/>
      <c r="H1489" s="24"/>
    </row>
    <row r="1490" spans="1:8" ht="13.2">
      <c r="A1490" s="65" t="str">
        <f>HYPERLINK("https://dmoj.ca/problem/coci06c4p3","COCI 06-Prsteni")</f>
        <v>COCI 06-Prsteni</v>
      </c>
      <c r="B1490" s="20" t="s">
        <v>6646</v>
      </c>
      <c r="C1490" s="24">
        <v>2</v>
      </c>
      <c r="D1490" s="65" t="str">
        <f t="shared" ref="D1490:D1491" si="18">HYPERLINK("https://github.com/mostafa-saad/MyCompetitiveProgramming/tree/master/Olympiad/COCI/official/2007/contest4_solutions","Editorial")</f>
        <v>Editorial</v>
      </c>
      <c r="E1490" s="31" t="s">
        <v>125</v>
      </c>
      <c r="F1490" s="37"/>
      <c r="G1490" s="24"/>
      <c r="H1490" s="24"/>
    </row>
    <row r="1491" spans="1:8" ht="13.2">
      <c r="A1491" s="65" t="str">
        <f>HYPERLINK("https://dmoj.ca/problem/coci06c4p2","COCI 06-Skener")</f>
        <v>COCI 06-Skener</v>
      </c>
      <c r="B1491" s="20" t="s">
        <v>6646</v>
      </c>
      <c r="C1491" s="24">
        <v>2</v>
      </c>
      <c r="D1491" s="65" t="str">
        <f t="shared" si="18"/>
        <v>Editorial</v>
      </c>
      <c r="E1491" s="31" t="s">
        <v>125</v>
      </c>
      <c r="F1491" s="37"/>
      <c r="G1491" s="24"/>
      <c r="H1491" s="24"/>
    </row>
    <row r="1492" spans="1:8" ht="13.2">
      <c r="A1492" s="65" t="str">
        <f>HYPERLINK("https://dmoj.ca/problem/coci06c5p2","COCI 06-Natrij")</f>
        <v>COCI 06-Natrij</v>
      </c>
      <c r="B1492" s="20" t="s">
        <v>6646</v>
      </c>
      <c r="C1492" s="24">
        <v>2</v>
      </c>
      <c r="D1492" s="65" t="str">
        <f>HYPERLINK("https://github.com/mostafa-saad/MyCompetitiveProgramming/tree/master/Olympiad/COCI/official/2007/contest5_solutions","Editorial")</f>
        <v>Editorial</v>
      </c>
      <c r="E1492" s="31" t="s">
        <v>125</v>
      </c>
      <c r="F1492" s="37"/>
      <c r="G1492" s="24"/>
      <c r="H1492" s="24"/>
    </row>
    <row r="1493" spans="1:8" ht="13.2">
      <c r="A1493" s="65" t="str">
        <f>HYPERLINK("https://dmoj.ca/problem/coci06c6p2","COCI 06-Magija")</f>
        <v>COCI 06-Magija</v>
      </c>
      <c r="B1493" s="20" t="s">
        <v>6646</v>
      </c>
      <c r="C1493" s="24">
        <v>2</v>
      </c>
      <c r="D1493" s="65" t="str">
        <f>HYPERLINK("https://github.com/mostafa-saad/MyCompetitiveProgramming/tree/master/Olympiad/COCI/official/2007/contest6_solutions","Editorial")</f>
        <v>Editorial</v>
      </c>
      <c r="E1493" s="31" t="s">
        <v>125</v>
      </c>
      <c r="F1493" s="37"/>
      <c r="G1493" s="24"/>
      <c r="H1493" s="24"/>
    </row>
    <row r="1494" spans="1:8" ht="13.2">
      <c r="A1494" s="65" t="str">
        <f>HYPERLINK("https://wcipeg.com/problem/coci071p2","COCI 07-Peg")</f>
        <v>COCI 07-Peg</v>
      </c>
      <c r="B1494" s="20" t="s">
        <v>6646</v>
      </c>
      <c r="C1494" s="24">
        <v>2</v>
      </c>
      <c r="D1494" s="65" t="str">
        <f>HYPERLINK("https://github.com/mostafa-saad/MyCompetitiveProgramming/tree/master/Olympiad/COCI/official/2008/contest1_solutions","Editorial")</f>
        <v>Editorial</v>
      </c>
      <c r="E1494" s="31" t="s">
        <v>125</v>
      </c>
      <c r="F1494" s="37"/>
      <c r="G1494" s="24"/>
      <c r="H1494" s="24"/>
    </row>
    <row r="1495" spans="1:8" ht="13.2">
      <c r="A1495" s="65" t="str">
        <f>HYPERLINK("https://dmoj.ca/problem/coci07c2p3","COCI 07-Prva")</f>
        <v>COCI 07-Prva</v>
      </c>
      <c r="B1495" s="20" t="s">
        <v>6646</v>
      </c>
      <c r="C1495" s="24">
        <v>2</v>
      </c>
      <c r="D1495" s="65" t="str">
        <f>HYPERLINK("https://github.com/mostafa-saad/MyCompetitiveProgramming/tree/master/Olympiad/COCI/official/2008/contest2_solutions","Editorial")</f>
        <v>Editorial</v>
      </c>
      <c r="E1495" s="31" t="s">
        <v>125</v>
      </c>
      <c r="F1495" s="37"/>
      <c r="G1495" s="24"/>
      <c r="H1495" s="24"/>
    </row>
    <row r="1496" spans="1:8" ht="13.2">
      <c r="A1496" s="65" t="str">
        <f>HYPERLINK("https://dmoj.ca/problem/coci07c4p1","COCI 07-Vauvau")</f>
        <v>COCI 07-Vauvau</v>
      </c>
      <c r="B1496" s="20" t="s">
        <v>6646</v>
      </c>
      <c r="C1496" s="24">
        <v>2</v>
      </c>
      <c r="D1496" s="65" t="str">
        <f t="shared" ref="D1496:D1497" si="19">HYPERLINK("https://github.com/mostafa-saad/MyCompetitiveProgramming/tree/master/Olympiad/COCI/official/2008/contest4_solutions","Editorial")</f>
        <v>Editorial</v>
      </c>
      <c r="E1496" s="31" t="s">
        <v>125</v>
      </c>
      <c r="F1496" s="37"/>
      <c r="G1496" s="24"/>
      <c r="H1496" s="24"/>
    </row>
    <row r="1497" spans="1:8" ht="13.2">
      <c r="A1497" s="65" t="str">
        <f>HYPERLINK("https://dmoj.ca/problem/coci07c4p2","COCI 07-Veci")</f>
        <v>COCI 07-Veci</v>
      </c>
      <c r="B1497" s="20" t="s">
        <v>6646</v>
      </c>
      <c r="C1497" s="24">
        <v>2</v>
      </c>
      <c r="D1497" s="65" t="str">
        <f t="shared" si="19"/>
        <v>Editorial</v>
      </c>
      <c r="E1497" s="31" t="s">
        <v>125</v>
      </c>
      <c r="F1497" s="37"/>
      <c r="G1497" s="24"/>
      <c r="H1497" s="24"/>
    </row>
    <row r="1498" spans="1:8" ht="13.2">
      <c r="A1498" s="65" t="str">
        <f>HYPERLINK("https://dmoj.ca/problem/coci07c6p1","COCI 07-Parking")</f>
        <v>COCI 07-Parking</v>
      </c>
      <c r="B1498" s="20" t="s">
        <v>6646</v>
      </c>
      <c r="C1498" s="24">
        <v>2</v>
      </c>
      <c r="D1498" s="65" t="str">
        <f t="shared" ref="D1498:D1499" si="20">HYPERLINK("https://github.com/mostafa-saad/MyCompetitiveProgramming/tree/master/Olympiad/COCI/official/2008/contest6_solutions","Editorial")</f>
        <v>Editorial</v>
      </c>
      <c r="E1498" s="31" t="s">
        <v>125</v>
      </c>
      <c r="F1498" s="37"/>
      <c r="G1498" s="24"/>
      <c r="H1498" s="24"/>
    </row>
    <row r="1499" spans="1:8" ht="13.2">
      <c r="A1499" s="65" t="str">
        <f>HYPERLINK("https://dmoj.ca/problem/coci07c6p2","COCI 07-Semafori")</f>
        <v>COCI 07-Semafori</v>
      </c>
      <c r="B1499" s="20" t="s">
        <v>6646</v>
      </c>
      <c r="C1499" s="24">
        <v>2</v>
      </c>
      <c r="D1499" s="65" t="str">
        <f t="shared" si="20"/>
        <v>Editorial</v>
      </c>
      <c r="E1499" s="31" t="s">
        <v>125</v>
      </c>
      <c r="F1499" s="37"/>
      <c r="G1499" s="24"/>
      <c r="H1499" s="24"/>
    </row>
    <row r="1500" spans="1:8" ht="13.2">
      <c r="A1500" s="65" t="str">
        <f>HYPERLINK("https://dmoj.ca/problem/crci07p1","COCI 07-Platforme")</f>
        <v>COCI 07-Platforme</v>
      </c>
      <c r="B1500" s="20" t="s">
        <v>6646</v>
      </c>
      <c r="C1500" s="24">
        <v>2</v>
      </c>
      <c r="D1500" s="65" t="str">
        <f>HYPERLINK("https://github.com/mostafa-saad/MyCompetitiveProgramming/tree/master/Olympiad/COCI/official/2008/regional_solutions","Editorial")</f>
        <v>Editorial</v>
      </c>
      <c r="E1500" s="31" t="s">
        <v>125</v>
      </c>
      <c r="F1500" s="37"/>
      <c r="G1500" s="24"/>
      <c r="H1500" s="24"/>
    </row>
    <row r="1501" spans="1:8" ht="13.2">
      <c r="A1501" s="65" t="str">
        <f>HYPERLINK("https://codeforces.com/group/R2SERIff4f/contest/213171","MCO 17-CableCars")</f>
        <v>MCO 17-CableCars</v>
      </c>
      <c r="B1501" s="37" t="s">
        <v>124</v>
      </c>
      <c r="C1501" s="24">
        <v>2</v>
      </c>
      <c r="D1501" s="65" t="str">
        <f>HYPERLINK("https://github.com/mostafa-saad/MyCompetitiveProgramming/tree/master/Olympiad/MCO/official","Editorial")</f>
        <v>Editorial</v>
      </c>
      <c r="E1501" s="31" t="s">
        <v>125</v>
      </c>
      <c r="F1501" s="37"/>
      <c r="G1501" s="24"/>
      <c r="H1501" s="24"/>
    </row>
    <row r="1502" spans="1:8" ht="13.2">
      <c r="A1502" s="65" t="str">
        <f>HYPERLINK("https://dunjudge.me/analysis/problems/722/","MCO 15-honey")</f>
        <v>MCO 15-honey</v>
      </c>
      <c r="B1502" s="37" t="s">
        <v>124</v>
      </c>
      <c r="C1502" s="24">
        <v>2</v>
      </c>
      <c r="D1502" s="65" t="str">
        <f>HYPERLINK("https://github.com/mostafa-saad/MyCompetitiveProgramming/tree/master/Olympiad/MCO/official/2015","Sol No Editorial")</f>
        <v>Sol No Editorial</v>
      </c>
      <c r="E1502" s="31" t="s">
        <v>125</v>
      </c>
      <c r="F1502" s="37"/>
      <c r="G1502" s="24"/>
      <c r="H1502" s="24"/>
    </row>
    <row r="1503" spans="1:8" ht="13.2">
      <c r="A1503" s="65" t="str">
        <f>HYPERLINK("https://wcipeg.com/problem/coci092p3","COCI 09-Kutevi")</f>
        <v>COCI 09-Kutevi</v>
      </c>
      <c r="B1503" s="20" t="s">
        <v>6646</v>
      </c>
      <c r="C1503" s="24">
        <v>2</v>
      </c>
      <c r="D1503" s="69"/>
      <c r="E1503" s="31" t="s">
        <v>125</v>
      </c>
      <c r="F1503" s="37"/>
      <c r="G1503" s="24"/>
      <c r="H1503" s="24"/>
    </row>
    <row r="1504" spans="1:8" ht="13.2">
      <c r="A1504" s="65" t="str">
        <f>HYPERLINK("https://contest.yandex.ru/ioi/contest/570/enter/","IOI 10-cluedo")</f>
        <v>IOI 10-cluedo</v>
      </c>
      <c r="B1504" s="18" t="s">
        <v>5961</v>
      </c>
      <c r="C1504" s="17">
        <v>2</v>
      </c>
      <c r="D1504" s="65" t="str">
        <f t="shared" ref="D1504:D1505" si="21">HYPERLINK("https://github.com/mostafa-saad/MyCompetitiveProgramming/blob/master/Olympiad/IOI/official/2010","Editorial")</f>
        <v>Editorial</v>
      </c>
      <c r="E1504" s="31" t="s">
        <v>5958</v>
      </c>
      <c r="F1504" s="37"/>
      <c r="G1504" s="24"/>
      <c r="H1504" s="24"/>
    </row>
    <row r="1505" spans="1:8" ht="13.2">
      <c r="A1505" s="65" t="str">
        <f>HYPERLINK("https://contest.yandex.ru/ioi/contest/570/enter/","IOI 10-memory")</f>
        <v>IOI 10-memory</v>
      </c>
      <c r="B1505" s="18" t="s">
        <v>5961</v>
      </c>
      <c r="C1505" s="17">
        <v>2</v>
      </c>
      <c r="D1505" s="65" t="str">
        <f t="shared" si="21"/>
        <v>Editorial</v>
      </c>
      <c r="E1505" s="31" t="s">
        <v>5958</v>
      </c>
      <c r="F1505" s="37"/>
      <c r="G1505" s="24"/>
      <c r="H1505" s="24"/>
    </row>
    <row r="1506" spans="1:8" ht="13.2">
      <c r="A1506" s="65" t="str">
        <f>HYPERLINK("https://wcipeg.com/problem/coci092p2","COCI 09-Rimski")</f>
        <v>COCI 09-Rimski</v>
      </c>
      <c r="B1506" s="15" t="s">
        <v>5961</v>
      </c>
      <c r="C1506" s="24">
        <v>2</v>
      </c>
      <c r="D1506" s="65" t="str">
        <f>HYPERLINK("https://github.com/mostafa-saad/MyCompetitiveProgramming/blob/master/Olympiad/COCI/official/2010/contest2_solutions","Editorial")</f>
        <v>Editorial</v>
      </c>
      <c r="E1506" s="31" t="s">
        <v>5958</v>
      </c>
      <c r="F1506" s="37"/>
      <c r="G1506" s="24"/>
      <c r="H1506" s="24"/>
    </row>
    <row r="1507" spans="1:8" ht="13.2">
      <c r="A1507" s="65" t="str">
        <f>HYPERLINK("https://wcipeg.com/problem/coci093p4","COCI 09-Razgovori")</f>
        <v>COCI 09-Razgovori</v>
      </c>
      <c r="B1507" s="15" t="s">
        <v>7411</v>
      </c>
      <c r="C1507" s="24">
        <v>2</v>
      </c>
      <c r="D1507" s="65" t="str">
        <f>HYPERLINK("https://github.com/mostafa-saad/MyCompetitiveProgramming/blob/master/Olympiad/COCI/official/2010/contest3_solutions","Editorial")</f>
        <v>Editorial</v>
      </c>
      <c r="E1507" s="31" t="s">
        <v>5958</v>
      </c>
      <c r="F1507" s="37"/>
      <c r="G1507" s="24"/>
      <c r="H1507" s="24"/>
    </row>
    <row r="1508" spans="1:8" ht="13.2">
      <c r="A1508" s="65" t="str">
        <f>HYPERLINK("https://wcipeg.com/problem/coci095p5","COCI 09-Program")</f>
        <v>COCI 09-Program</v>
      </c>
      <c r="B1508" s="15" t="s">
        <v>5961</v>
      </c>
      <c r="C1508" s="24">
        <v>2</v>
      </c>
      <c r="D1508" s="65" t="str">
        <f>HYPERLINK("https://github.com/mostafa-saad/MyCompetitiveProgramming/blob/master/Olympiad/COCI/official/2010/contest5_solutions","Editorial")</f>
        <v>Editorial</v>
      </c>
      <c r="E1508" s="31" t="s">
        <v>5958</v>
      </c>
      <c r="F1508" s="37"/>
      <c r="G1508" s="24"/>
      <c r="H1508" s="24"/>
    </row>
    <row r="1509" spans="1:8" ht="13.2">
      <c r="A1509" s="65" t="str">
        <f>HYPERLINK("http://poj.org/problem?id=1159","IOI 00-palindrome")</f>
        <v>IOI 00-palindrome</v>
      </c>
      <c r="B1509" s="15" t="s">
        <v>1348</v>
      </c>
      <c r="C1509" s="24">
        <v>2</v>
      </c>
      <c r="D1509" s="65" t="str">
        <f>HYPERLINK("https://github.com/mostafa-saad/MyCompetitiveProgramming/blob/master/Olympiad/IOI/official/2000","Editorial")</f>
        <v>Editorial</v>
      </c>
      <c r="E1509" s="31" t="s">
        <v>1337</v>
      </c>
      <c r="F1509" s="37"/>
      <c r="G1509" s="24"/>
      <c r="H1509" s="24"/>
    </row>
    <row r="1510" spans="1:8" ht="13.2">
      <c r="A1510" s="83" t="s">
        <v>6666</v>
      </c>
      <c r="B1510" s="20" t="s">
        <v>6667</v>
      </c>
      <c r="C1510" s="21">
        <v>2</v>
      </c>
      <c r="D1510" s="65" t="str">
        <f>HYPERLINK("https://github.com/dolphingarlic/CompetitiveProgramming/blob/master/COI/COCI%2020-emacs.cpp", "Sol")</f>
        <v>Sol</v>
      </c>
      <c r="E1510" s="31" t="s">
        <v>332</v>
      </c>
      <c r="F1510" s="37"/>
      <c r="G1510" s="24"/>
      <c r="H1510" s="24"/>
    </row>
    <row r="1511" spans="1:8" ht="13.2">
      <c r="A1511" s="65" t="str">
        <f>HYPERLINK("https://dmoj.ca/problem/nccc6s2","CCCMock 19-PusheenPuzzlePresent")</f>
        <v>CCCMock 19-PusheenPuzzlePresent</v>
      </c>
      <c r="B1511" s="20" t="s">
        <v>359</v>
      </c>
      <c r="C1511" s="24">
        <v>2</v>
      </c>
      <c r="D1511" s="69"/>
      <c r="E1511" s="31" t="s">
        <v>332</v>
      </c>
      <c r="F1511" s="37"/>
      <c r="G1511" s="24"/>
      <c r="H1511" s="24"/>
    </row>
    <row r="1512" spans="1:8" ht="13.2">
      <c r="A1512" s="65" t="str">
        <f>HYPERLINK("https://cses.fi/231/task/A","DatatähtiOpen 19-A")</f>
        <v>DatatähtiOpen 19-A</v>
      </c>
      <c r="B1512" s="20" t="s">
        <v>341</v>
      </c>
      <c r="C1512" s="24">
        <v>2</v>
      </c>
      <c r="D1512" s="69"/>
      <c r="E1512" s="31" t="s">
        <v>332</v>
      </c>
      <c r="F1512" s="37"/>
      <c r="G1512" s="24"/>
      <c r="H1512" s="24"/>
    </row>
    <row r="1513" spans="1:8" ht="13.2">
      <c r="A1513" s="65" t="str">
        <f>HYPERLINK("https://wcipeg.com/problem/coci096p2","COCI 09-Natjecanje")</f>
        <v>COCI 09-Natjecanje</v>
      </c>
      <c r="B1513" s="15" t="s">
        <v>7527</v>
      </c>
      <c r="C1513" s="24">
        <v>2</v>
      </c>
      <c r="D1513" s="65" t="str">
        <f>HYPERLINK("https://github.com/mostafa-saad/MyCompetitiveProgramming/blob/master/Olympiad/COCI/official/2010/contest6_solutions","Editorial")</f>
        <v>Editorial</v>
      </c>
      <c r="E1513" s="31" t="s">
        <v>7525</v>
      </c>
      <c r="F1513" s="37"/>
      <c r="G1513" s="24"/>
      <c r="H1513" s="24"/>
    </row>
    <row r="1514" spans="1:8" ht="13.2">
      <c r="A1514" s="83" t="s">
        <v>7534</v>
      </c>
      <c r="B1514" s="37" t="s">
        <v>7527</v>
      </c>
      <c r="C1514" s="24">
        <v>2</v>
      </c>
      <c r="D1514" s="69"/>
      <c r="E1514" s="31" t="s">
        <v>7525</v>
      </c>
      <c r="F1514" s="37"/>
      <c r="G1514" s="24"/>
      <c r="H1514" s="24"/>
    </row>
    <row r="1515" spans="1:8" ht="13.2">
      <c r="A1515" s="65" t="str">
        <f>HYPERLINK("https://wcipeg.com/problem/coci087p3","COI 08-Cijevi")</f>
        <v>COI 08-Cijevi</v>
      </c>
      <c r="B1515" s="15" t="s">
        <v>7527</v>
      </c>
      <c r="C1515" s="24">
        <v>2</v>
      </c>
      <c r="D1515" s="65" t="str">
        <f>HYPERLINK("https://github.com/mostafa-saad/MyCompetitiveProgramming/blob/master/Olympiad/COCI/official/2009/regional_solutions","Editorial")</f>
        <v>Editorial</v>
      </c>
      <c r="E1515" s="31" t="s">
        <v>7525</v>
      </c>
      <c r="F1515" s="37"/>
      <c r="G1515" s="24"/>
      <c r="H1515" s="24"/>
    </row>
    <row r="1516" spans="1:8" ht="13.2">
      <c r="A1516" s="65" t="str">
        <f>HYPERLINK("https://dmoj.ca/problem/coci14c4p3","COCI 14-Pripreme")</f>
        <v>COCI 14-Pripreme</v>
      </c>
      <c r="B1516" s="20" t="s">
        <v>7527</v>
      </c>
      <c r="C1516" s="24">
        <v>2</v>
      </c>
      <c r="D1516" s="65" t="str">
        <f>HYPERLINK("https://github.com/mostafa-saad/MyCompetitiveProgramming/blob/master/Olympiad/COCI/official/2015/contest4_solutions","Editorial")</f>
        <v>Editorial</v>
      </c>
      <c r="E1516" s="31" t="s">
        <v>7525</v>
      </c>
      <c r="F1516" s="37"/>
      <c r="G1516" s="24"/>
      <c r="H1516" s="24"/>
    </row>
    <row r="1517" spans="1:8" ht="13.2">
      <c r="A1517" s="65" t="str">
        <f>HYPERLINK("https://dmoj.ca/problem/coci14c5p2","COCI 14-Zmija")</f>
        <v>COCI 14-Zmija</v>
      </c>
      <c r="B1517" s="20" t="s">
        <v>7527</v>
      </c>
      <c r="C1517" s="24">
        <v>2</v>
      </c>
      <c r="D1517" s="65" t="str">
        <f>HYPERLINK("https://github.com/mostafa-saad/MyCompetitiveProgramming/blob/master/Olympiad/COCI/official/2015/contest5_solutions","Editorial")</f>
        <v>Editorial</v>
      </c>
      <c r="E1517" s="31" t="s">
        <v>7525</v>
      </c>
      <c r="F1517" s="37"/>
      <c r="G1517" s="24"/>
      <c r="H1517" s="24"/>
    </row>
    <row r="1518" spans="1:8" ht="13.2">
      <c r="A1518" s="65" t="str">
        <f>HYPERLINK("https://dmoj.ca/problem/coci15c3p3","COCI 15-Molekule")</f>
        <v>COCI 15-Molekule</v>
      </c>
      <c r="B1518" s="37" t="s">
        <v>7527</v>
      </c>
      <c r="C1518" s="24">
        <v>2</v>
      </c>
      <c r="D1518" s="65" t="str">
        <f>HYPERLINK("https://github.com/mostafa-saad/MyCompetitiveProgramming/blob/master/Olympiad/COCI/official/2016/contest3_solutions","Editorial")</f>
        <v>Editorial</v>
      </c>
      <c r="E1518" s="31" t="s">
        <v>7525</v>
      </c>
      <c r="F1518" s="37"/>
      <c r="G1518" s="24"/>
      <c r="H1518" s="24"/>
    </row>
    <row r="1519" spans="1:8" ht="13.2">
      <c r="A1519" s="65" t="str">
        <f>HYPERLINK("https://dunjudge.me/analysis/problems/551/","MCO 14-passport")</f>
        <v>MCO 14-passport</v>
      </c>
      <c r="B1519" s="37" t="s">
        <v>7527</v>
      </c>
      <c r="C1519" s="24">
        <v>2</v>
      </c>
      <c r="D1519" s="65" t="str">
        <f>HYPERLINK("https://github.com/mostafa-saad/MyCompetitiveProgramming/tree/master/Olympiad/MCO/official/2014","Sol No Editorial")</f>
        <v>Sol No Editorial</v>
      </c>
      <c r="E1519" s="31" t="s">
        <v>7525</v>
      </c>
      <c r="F1519" s="37"/>
      <c r="G1519" s="24"/>
      <c r="H1519" s="24"/>
    </row>
    <row r="1520" spans="1:8" ht="13.2">
      <c r="A1520" s="65" t="str">
        <f>HYPERLINK("https://dunjudge.me/analysis/problems/1365/","COCI 12-lanci")</f>
        <v>COCI 12-lanci</v>
      </c>
      <c r="B1520" s="20" t="s">
        <v>2163</v>
      </c>
      <c r="C1520" s="24">
        <v>2</v>
      </c>
      <c r="D1520" s="65" t="str">
        <f>HYPERLINK("https://github.com/mostafa-saad/MyCompetitiveProgramming/blob/master/Olympiad/COCI/official/2013/contest2_solutions","Editorial")</f>
        <v>Editorial</v>
      </c>
      <c r="E1520" s="31" t="s">
        <v>2153</v>
      </c>
      <c r="F1520" s="37"/>
      <c r="G1520" s="24"/>
      <c r="H1520" s="24"/>
    </row>
    <row r="1521" spans="1:8" ht="13.2">
      <c r="A1521" s="65" t="str">
        <f>HYPERLINK("https://www.hackerrank.com/contests/ioi-2014-practice-contest-2/challenges","IOIPractice 14-family-ioi14")</f>
        <v>IOIPractice 14-family-ioi14</v>
      </c>
      <c r="B1521" s="20" t="s">
        <v>2509</v>
      </c>
      <c r="C1521" s="24">
        <v>2</v>
      </c>
      <c r="D1521" s="65" t="str">
        <f>HYPERLINK("https://github.com/tmwilliamlin168/CompetitiveProgramming/blob/master/HackerRank/family-ioi14.cpp", "Sol")</f>
        <v>Sol</v>
      </c>
      <c r="E1521" s="31" t="s">
        <v>2510</v>
      </c>
      <c r="F1521" s="37"/>
      <c r="G1521" s="24"/>
      <c r="H1521" s="24"/>
    </row>
    <row r="1522" spans="1:8" ht="13.2">
      <c r="A1522" s="65" t="str">
        <f>HYPERLINK("https://oj.uz/problem/view/COCI14_utrka","COCI 14-utrka")</f>
        <v>COCI 14-utrka</v>
      </c>
      <c r="B1522" s="20" t="s">
        <v>587</v>
      </c>
      <c r="C1522" s="24">
        <v>2</v>
      </c>
      <c r="D1522" s="69"/>
      <c r="E1522" s="31" t="s">
        <v>575</v>
      </c>
      <c r="F1522" s="37"/>
      <c r="G1522" s="24"/>
      <c r="H1522" s="24"/>
    </row>
    <row r="1523" spans="1:8" ht="13.2">
      <c r="A1523" s="65" t="str">
        <f>HYPERLINK("https://dmoj.ca/problem/coci06c2p3","COCI 06-Kolone")</f>
        <v>COCI 06-Kolone</v>
      </c>
      <c r="B1523" s="15" t="s">
        <v>587</v>
      </c>
      <c r="C1523" s="24">
        <v>2</v>
      </c>
      <c r="D1523" s="65" t="str">
        <f>HYPERLINK("https://github.com/mostafa-saad/MyCompetitiveProgramming/tree/master/Olympiad/COCI/official/2007/contest2_solutions","Editorial")</f>
        <v>Editorial</v>
      </c>
      <c r="E1523" s="31" t="s">
        <v>575</v>
      </c>
      <c r="F1523" s="37"/>
      <c r="G1523" s="24"/>
      <c r="H1523" s="24"/>
    </row>
    <row r="1524" spans="1:8" ht="13.2">
      <c r="A1524" s="65" t="str">
        <f>HYPERLINK("https://dunjudge.me/analysis/problems/1356/","COCI 12-malcolm")</f>
        <v>COCI 12-malcolm</v>
      </c>
      <c r="B1524" s="20" t="s">
        <v>3139</v>
      </c>
      <c r="C1524" s="24">
        <v>2</v>
      </c>
      <c r="D1524" s="65" t="str">
        <f>HYPERLINK("https://github.com/mostafa-saad/MyCompetitiveProgramming/blob/master/Olympiad/COCI/official/2013/contest3_solutions","Editorial")</f>
        <v>Editorial</v>
      </c>
      <c r="E1524" s="31" t="s">
        <v>3140</v>
      </c>
      <c r="F1524" s="37"/>
      <c r="G1524" s="24"/>
      <c r="H1524" s="24"/>
    </row>
    <row r="1525" spans="1:8" ht="13.2">
      <c r="A1525" s="65" t="str">
        <f>HYPERLINK("https://dunjudge.me/analysis/problems/266/","NOI 10-weather")</f>
        <v>NOI 10-weather</v>
      </c>
      <c r="B1525" s="37" t="s">
        <v>3256</v>
      </c>
      <c r="C1525" s="24">
        <v>2</v>
      </c>
      <c r="D1525" s="65" t="str">
        <f>HYPERLINK("https://github.com/mostafa-saad/MyCompetitiveProgramming/blob/master/Olympiad/NOI/official","Editorial")</f>
        <v>Editorial</v>
      </c>
      <c r="E1525" s="31" t="s">
        <v>3257</v>
      </c>
      <c r="F1525" s="37"/>
      <c r="G1525" s="24"/>
      <c r="H1525" s="24"/>
    </row>
    <row r="1526" spans="1:8" ht="13.2">
      <c r="A1526" s="65" t="str">
        <f>HYPERLINK("https://oj.uz/problem/view/COCI18_birokracija","COCI 18-birokracija")</f>
        <v>COCI 18-birokracija</v>
      </c>
      <c r="B1526" s="20" t="s">
        <v>3649</v>
      </c>
      <c r="C1526" s="24">
        <v>2</v>
      </c>
      <c r="D1526" s="69"/>
      <c r="E1526" s="31" t="s">
        <v>3650</v>
      </c>
      <c r="F1526" s="37"/>
      <c r="G1526" s="24"/>
      <c r="H1526" s="24"/>
    </row>
    <row r="1527" spans="1:8" ht="13.2">
      <c r="A1527" s="65" t="str">
        <f>HYPERLINK("https://dmoj.ca/problem/coci06c3p3","COCI 06-Trojke")</f>
        <v>COCI 06-Trojke</v>
      </c>
      <c r="B1527" s="15" t="s">
        <v>4530</v>
      </c>
      <c r="C1527" s="24">
        <v>2</v>
      </c>
      <c r="D1527" s="65" t="str">
        <f>HYPERLINK("https://github.com/mostafa-saad/MyCompetitiveProgramming/tree/master/Olympiad/COCI/official/2007/contest3_solutions","Editorial")</f>
        <v>Editorial</v>
      </c>
      <c r="E1527" s="31" t="s">
        <v>4531</v>
      </c>
      <c r="F1527" s="37"/>
      <c r="G1527" s="24"/>
      <c r="H1527" s="24"/>
    </row>
    <row r="1528" spans="1:8" ht="13.2">
      <c r="A1528" s="65" t="str">
        <f>HYPERLINK("https://dmoj.ca/problem/nccc6s1","CCCMock 19-PusheensReportCard")</f>
        <v>CCCMock 19-PusheensReportCard</v>
      </c>
      <c r="B1528" s="20" t="s">
        <v>4530</v>
      </c>
      <c r="C1528" s="24">
        <v>2</v>
      </c>
      <c r="D1528" s="69"/>
      <c r="E1528" s="31" t="s">
        <v>4531</v>
      </c>
      <c r="F1528" s="37"/>
      <c r="G1528" s="24"/>
      <c r="H1528" s="24"/>
    </row>
    <row r="1529" spans="1:8" ht="13.2">
      <c r="A1529" s="65" t="str">
        <f>HYPERLINK("https://oj.uz/problem/view/COCI17_turnir","COCI 17-turnir")</f>
        <v>COCI 17-turnir</v>
      </c>
      <c r="B1529" s="20" t="s">
        <v>4653</v>
      </c>
      <c r="C1529" s="24">
        <v>2</v>
      </c>
      <c r="D1529" s="65" t="str">
        <f>HYPERLINK("https://github.com/mostafa-saad/MyCompetitiveProgramming/blob/master/Olympiad/COCI/official/2017/contest6_solutions","Editorial")</f>
        <v>Editorial</v>
      </c>
      <c r="E1529" s="31" t="s">
        <v>4531</v>
      </c>
      <c r="F1529" s="37"/>
      <c r="G1529" s="24"/>
      <c r="H1529" s="24"/>
    </row>
    <row r="1530" spans="1:8" ht="13.2">
      <c r="A1530" s="65" t="str">
        <f>HYPERLINK("https://dunjudge.me/analysis/problems/1360/","COCI 12-ljubomora")</f>
        <v>COCI 12-ljubomora</v>
      </c>
      <c r="B1530" s="20" t="s">
        <v>814</v>
      </c>
      <c r="C1530" s="24">
        <v>2</v>
      </c>
      <c r="D1530" s="65" t="str">
        <f>HYPERLINK("https://github.com/mostafa-saad/MyCompetitiveProgramming/blob/master/Olympiad/COCI/official/2013/contest1_solutions","Editorial")</f>
        <v>Editorial</v>
      </c>
      <c r="E1530" s="31" t="s">
        <v>805</v>
      </c>
      <c r="F1530" s="37"/>
      <c r="G1530" s="24"/>
      <c r="H1530" s="24"/>
    </row>
    <row r="1531" spans="1:8" ht="13.2">
      <c r="A1531" s="65" t="str">
        <f>HYPERLINK("https://oj.uz/problem/view/COCI18_olivander","COCI 18-olivander")</f>
        <v>COCI 18-olivander</v>
      </c>
      <c r="B1531" s="20" t="s">
        <v>6646</v>
      </c>
      <c r="C1531" s="24">
        <v>1</v>
      </c>
      <c r="D1531" s="69"/>
      <c r="E1531" s="31" t="s">
        <v>125</v>
      </c>
      <c r="F1531" s="37"/>
      <c r="G1531" s="24"/>
      <c r="H1531" s="24"/>
    </row>
    <row r="1532" spans="1:8" ht="13.2">
      <c r="A1532" s="65" t="str">
        <f>HYPERLINK("https://oj.uz/problem/view/IOI16_reverse","IOI 16-reverse")</f>
        <v>IOI 16-reverse</v>
      </c>
      <c r="B1532" s="20" t="s">
        <v>6646</v>
      </c>
      <c r="C1532" s="24">
        <v>1</v>
      </c>
      <c r="D1532" s="69"/>
      <c r="E1532" s="31" t="s">
        <v>125</v>
      </c>
      <c r="F1532" s="37"/>
      <c r="G1532" s="24"/>
      <c r="H1532" s="24"/>
    </row>
    <row r="1533" spans="1:8" ht="13.2">
      <c r="A1533" s="65" t="str">
        <f>HYPERLINK("https://dunjudge.me/analysis/problems/1401/","COCI 13-misa")</f>
        <v>COCI 13-misa</v>
      </c>
      <c r="B1533" s="20" t="s">
        <v>6646</v>
      </c>
      <c r="C1533" s="24">
        <v>1</v>
      </c>
      <c r="D1533" s="65" t="str">
        <f>HYPERLINK("https://github.com/mostafa-saad/MyCompetitiveProgramming/blob/master/Olympiad/COCI/official/2014/contest2_solutions","Editorial")</f>
        <v>Editorial</v>
      </c>
      <c r="E1533" s="31" t="s">
        <v>125</v>
      </c>
      <c r="F1533" s="37"/>
      <c r="G1533" s="24"/>
      <c r="H1533" s="24"/>
    </row>
    <row r="1534" spans="1:8" ht="13.2">
      <c r="A1534" s="65" t="str">
        <f>HYPERLINK("https://dunjudge.me/analysis/problems/237/","NOI 09-xmas")</f>
        <v>NOI 09-xmas</v>
      </c>
      <c r="B1534" s="37" t="s">
        <v>124</v>
      </c>
      <c r="C1534" s="24">
        <v>1</v>
      </c>
      <c r="D1534" s="65" t="str">
        <f>HYPERLINK("https://github.com/mostafa-saad/MyCompetitiveProgramming/blob/master/Olympiad/NOI/official","Editorial")</f>
        <v>Editorial</v>
      </c>
      <c r="E1534" s="31" t="s">
        <v>125</v>
      </c>
      <c r="F1534" s="37"/>
      <c r="G1534" s="24"/>
      <c r="H1534" s="24"/>
    </row>
    <row r="1535" spans="1:8" ht="13.2">
      <c r="A1535" s="65" t="str">
        <f>HYPERLINK("https://dunjudge.me/analysis/problems/215/","NOI 11-paint")</f>
        <v>NOI 11-paint</v>
      </c>
      <c r="B1535" s="20" t="s">
        <v>6646</v>
      </c>
      <c r="C1535" s="24">
        <v>1</v>
      </c>
      <c r="D1535" s="65" t="str">
        <f>HYPERLINK("https://github.com/mostafa-saad/MyCompetitiveProgramming/blob/master/Olympiad/NOI/official/2011.pptx","Editorial")</f>
        <v>Editorial</v>
      </c>
      <c r="E1535" s="31" t="s">
        <v>125</v>
      </c>
      <c r="F1535" s="37"/>
      <c r="G1535" s="24"/>
      <c r="H1535" s="24"/>
    </row>
    <row r="1536" spans="1:8" ht="13.2">
      <c r="A1536" s="65" t="str">
        <f>HYPERLINK("https://dunjudge.me/analysis/problems/721/","MCO 15-badminton")</f>
        <v>MCO 15-badminton</v>
      </c>
      <c r="B1536" s="20" t="s">
        <v>6646</v>
      </c>
      <c r="C1536" s="24">
        <v>1</v>
      </c>
      <c r="D1536" s="65" t="str">
        <f>HYPERLINK("https://github.com/mostafa-saad/MyCompetitiveProgramming/tree/master/Olympiad/MCO/official/2015","Sol No Editorial")</f>
        <v>Sol No Editorial</v>
      </c>
      <c r="E1536" s="31" t="s">
        <v>125</v>
      </c>
      <c r="F1536" s="37"/>
      <c r="G1536" s="24"/>
      <c r="H1536" s="24"/>
    </row>
    <row r="1537" spans="1:8" ht="13.2">
      <c r="A1537" s="65" t="str">
        <f>HYPERLINK("https://dmoj.ca/problem/coci14c3p2","COCI 14-Dom")</f>
        <v>COCI 14-Dom</v>
      </c>
      <c r="B1537" s="20" t="s">
        <v>6651</v>
      </c>
      <c r="C1537" s="24">
        <v>1</v>
      </c>
      <c r="D1537" s="69"/>
      <c r="E1537" s="31" t="s">
        <v>125</v>
      </c>
      <c r="F1537" s="37"/>
      <c r="G1537" s="24"/>
      <c r="H1537" s="24"/>
    </row>
    <row r="1538" spans="1:8" ht="13.2">
      <c r="A1538" s="65" t="str">
        <f>HYPERLINK("https://dmoj.ca/problem/coci14c1p2","COCI 14-Klopka")</f>
        <v>COCI 14-Klopka</v>
      </c>
      <c r="B1538" s="20" t="s">
        <v>124</v>
      </c>
      <c r="C1538" s="24">
        <v>1</v>
      </c>
      <c r="D1538" s="69"/>
      <c r="E1538" s="31" t="s">
        <v>125</v>
      </c>
      <c r="F1538" s="37"/>
      <c r="G1538" s="24"/>
      <c r="H1538" s="24"/>
    </row>
    <row r="1539" spans="1:8" ht="13.2">
      <c r="A1539" s="65" t="str">
        <f>HYPERLINK("https://oj.uz/problem/view/COCI14_prosjek","COCI 14-prosjek")</f>
        <v>COCI 14-prosjek</v>
      </c>
      <c r="B1539" s="20" t="s">
        <v>6646</v>
      </c>
      <c r="C1539" s="24">
        <v>1</v>
      </c>
      <c r="D1539" s="69"/>
      <c r="E1539" s="31" t="s">
        <v>125</v>
      </c>
      <c r="F1539" s="37"/>
      <c r="G1539" s="24"/>
      <c r="H1539" s="24"/>
    </row>
    <row r="1540" spans="1:8" ht="13.2">
      <c r="A1540" s="65" t="str">
        <f>HYPERLINK("https://oj.uz/problem/view/COCI15_esej","COCI 15-esej")</f>
        <v>COCI 15-esej</v>
      </c>
      <c r="B1540" s="20" t="s">
        <v>124</v>
      </c>
      <c r="C1540" s="24">
        <v>1</v>
      </c>
      <c r="D1540" s="69"/>
      <c r="E1540" s="31" t="s">
        <v>125</v>
      </c>
      <c r="F1540" s="37"/>
      <c r="G1540" s="24"/>
      <c r="H1540" s="24"/>
    </row>
    <row r="1541" spans="1:8" ht="13.2">
      <c r="A1541" s="65" t="str">
        <f>HYPERLINK("https://oj.uz/problem/view/COCI17_aron","COCI 17-aron")</f>
        <v>COCI 17-aron</v>
      </c>
      <c r="B1541" s="20" t="s">
        <v>6646</v>
      </c>
      <c r="C1541" s="24">
        <v>1</v>
      </c>
      <c r="D1541" s="69"/>
      <c r="E1541" s="31" t="s">
        <v>125</v>
      </c>
      <c r="F1541" s="37"/>
      <c r="G1541" s="24"/>
      <c r="H1541" s="24"/>
    </row>
    <row r="1542" spans="1:8" ht="13.2">
      <c r="A1542" s="65" t="str">
        <f>HYPERLINK("https://oj.uz/problem/view/COCI17_bridz","COCI 17-bridz")</f>
        <v>COCI 17-bridz</v>
      </c>
      <c r="B1542" s="20" t="s">
        <v>6646</v>
      </c>
      <c r="C1542" s="24">
        <v>1</v>
      </c>
      <c r="D1542" s="69"/>
      <c r="E1542" s="31" t="s">
        <v>125</v>
      </c>
      <c r="F1542" s="37"/>
      <c r="G1542" s="24"/>
      <c r="H1542" s="24"/>
    </row>
    <row r="1543" spans="1:8" ht="13.2">
      <c r="A1543" s="65" t="str">
        <f>HYPERLINK("https://oj.uz/problem/view/COCI17_kosnja","COCI 17-kosnja")</f>
        <v>COCI 17-kosnja</v>
      </c>
      <c r="B1543" s="20" t="s">
        <v>6646</v>
      </c>
      <c r="C1543" s="24">
        <v>1</v>
      </c>
      <c r="D1543" s="69"/>
      <c r="E1543" s="31" t="s">
        <v>125</v>
      </c>
      <c r="F1543" s="37"/>
      <c r="G1543" s="24"/>
      <c r="H1543" s="24"/>
    </row>
    <row r="1544" spans="1:8" ht="13.2">
      <c r="A1544" s="65" t="str">
        <f>HYPERLINK("https://oj.uz/problem/view/COCI17_tuna","COCI 17-tuna")</f>
        <v>COCI 17-tuna</v>
      </c>
      <c r="B1544" s="20" t="s">
        <v>6646</v>
      </c>
      <c r="C1544" s="24">
        <v>1</v>
      </c>
      <c r="D1544" s="69"/>
      <c r="E1544" s="31" t="s">
        <v>125</v>
      </c>
      <c r="F1544" s="37"/>
      <c r="G1544" s="24"/>
      <c r="H1544" s="24"/>
    </row>
    <row r="1545" spans="1:8" ht="13.2">
      <c r="A1545" s="65" t="str">
        <f>HYPERLINK("https://oj.uz/problem/view/COCI18_spirale","COCI 18-spirale")</f>
        <v>COCI 18-spirale</v>
      </c>
      <c r="B1545" s="20" t="s">
        <v>6646</v>
      </c>
      <c r="C1545" s="24">
        <v>1</v>
      </c>
      <c r="D1545" s="69"/>
      <c r="E1545" s="31" t="s">
        <v>125</v>
      </c>
      <c r="F1545" s="37"/>
      <c r="G1545" s="24"/>
      <c r="H1545" s="24"/>
    </row>
    <row r="1546" spans="1:8" ht="13.2">
      <c r="A1546" s="65" t="str">
        <f>HYPERLINK("https://oj.uz/problem/view/IZhO11_triangle","IZhO 11-triangle")</f>
        <v>IZhO 11-triangle</v>
      </c>
      <c r="B1546" s="37" t="s">
        <v>6646</v>
      </c>
      <c r="C1546" s="24">
        <v>1</v>
      </c>
      <c r="D1546" s="69"/>
      <c r="E1546" s="31" t="s">
        <v>125</v>
      </c>
      <c r="F1546" s="37"/>
      <c r="G1546" s="24"/>
      <c r="H1546" s="24"/>
    </row>
    <row r="1547" spans="1:8" ht="13.2">
      <c r="A1547" s="65" t="str">
        <f>HYPERLINK("https://dmoj.ca/problem/coci08c3p1","COCI 08-Pet")</f>
        <v>COCI 08-Pet</v>
      </c>
      <c r="B1547" s="20" t="s">
        <v>6646</v>
      </c>
      <c r="C1547" s="24">
        <v>1</v>
      </c>
      <c r="D1547" s="65" t="str">
        <f>HYPERLINK("https://github.com/mostafa-saad/MyCompetitiveProgramming/blob/master/Olympiad/COCI/official/2009/contest3_solutions","Editorial")</f>
        <v>Editorial</v>
      </c>
      <c r="E1547" s="31" t="s">
        <v>125</v>
      </c>
      <c r="F1547" s="37"/>
      <c r="G1547" s="24"/>
      <c r="H1547" s="24"/>
    </row>
    <row r="1548" spans="1:8" ht="13.2">
      <c r="A1548" s="65" t="str">
        <f>HYPERLINK("https://wcipeg.com/problem/coci087p2","COI 08-Majstor")</f>
        <v>COI 08-Majstor</v>
      </c>
      <c r="B1548" s="20" t="s">
        <v>6646</v>
      </c>
      <c r="C1548" s="24">
        <v>1</v>
      </c>
      <c r="D1548" s="65" t="str">
        <f t="shared" ref="D1548:D1549" si="22">HYPERLINK("https://github.com/mostafa-saad/MyCompetitiveProgramming/blob/master/Olympiad/COCI/official/2009/regional_solutions","Editorial")</f>
        <v>Editorial</v>
      </c>
      <c r="E1548" s="31" t="s">
        <v>125</v>
      </c>
      <c r="F1548" s="37"/>
      <c r="G1548" s="24"/>
      <c r="H1548" s="24"/>
    </row>
    <row r="1549" spans="1:8" ht="13.2">
      <c r="A1549" s="65" t="str">
        <f>HYPERLINK("https://wcipeg.com/problem/coci087p1","COI 08-Nop")</f>
        <v>COI 08-Nop</v>
      </c>
      <c r="B1549" s="20" t="s">
        <v>6646</v>
      </c>
      <c r="C1549" s="24">
        <v>1</v>
      </c>
      <c r="D1549" s="65" t="str">
        <f t="shared" si="22"/>
        <v>Editorial</v>
      </c>
      <c r="E1549" s="31" t="s">
        <v>125</v>
      </c>
      <c r="F1549" s="37"/>
      <c r="G1549" s="24"/>
      <c r="H1549" s="24"/>
    </row>
    <row r="1550" spans="1:8" ht="13.2">
      <c r="A1550" s="65" t="str">
        <f>HYPERLINK("https://dunjudge.me/analysis/problems/1358/","COCI 12-f7")</f>
        <v>COCI 12-f7</v>
      </c>
      <c r="B1550" s="20" t="s">
        <v>6646</v>
      </c>
      <c r="C1550" s="24">
        <v>1</v>
      </c>
      <c r="D1550" s="65" t="str">
        <f>HYPERLINK("https://github.com/mostafa-saad/MyCompetitiveProgramming/blob/master/Olympiad/COCI/official/2013/contest1_solutions","Editorial")</f>
        <v>Editorial</v>
      </c>
      <c r="E1550" s="31" t="s">
        <v>125</v>
      </c>
      <c r="F1550" s="37"/>
      <c r="G1550" s="24"/>
      <c r="H1550" s="24"/>
    </row>
    <row r="1551" spans="1:8" ht="13.2">
      <c r="A1551" s="65" t="str">
        <f>HYPERLINK("https://dmoj.ca/problem/coci14c6p1","COCI 14-Paprika")</f>
        <v>COCI 14-Paprika</v>
      </c>
      <c r="B1551" s="20" t="s">
        <v>6646</v>
      </c>
      <c r="C1551" s="24">
        <v>1</v>
      </c>
      <c r="D1551" s="65" t="str">
        <f>HYPERLINK("https://github.com/mostafa-saad/MyCompetitiveProgramming/blob/master/Olympiad/COCI/official/2015/contest6_solutions","Editorial")</f>
        <v>Editorial</v>
      </c>
      <c r="E1551" s="31" t="s">
        <v>125</v>
      </c>
      <c r="F1551" s="37"/>
      <c r="G1551" s="24"/>
      <c r="H1551" s="24"/>
    </row>
    <row r="1552" spans="1:8" ht="13.2">
      <c r="A1552" s="65" t="str">
        <f>HYPERLINK("https://dmoj.ca/problem/coci14c7p1","COCI 14-Teta")</f>
        <v>COCI 14-Teta</v>
      </c>
      <c r="B1552" s="20" t="s">
        <v>6646</v>
      </c>
      <c r="C1552" s="24">
        <v>1</v>
      </c>
      <c r="D1552" s="65" t="str">
        <f>HYPERLINK("https://github.com/mostafa-saad/MyCompetitiveProgramming/blob/master/Olympiad/COCI/official/2015/contest7_solutions","Editorial")</f>
        <v>Editorial</v>
      </c>
      <c r="E1552" s="31" t="s">
        <v>125</v>
      </c>
      <c r="F1552" s="37"/>
      <c r="G1552" s="24"/>
      <c r="H1552" s="24"/>
    </row>
    <row r="1553" spans="1:8" ht="13.2">
      <c r="A1553" s="65" t="str">
        <f>HYPERLINK("https://oj.uz/problem/view/COCI16_go","COCI 16-go")</f>
        <v>COCI 16-go</v>
      </c>
      <c r="B1553" s="20" t="s">
        <v>6646</v>
      </c>
      <c r="C1553" s="24">
        <v>1</v>
      </c>
      <c r="D1553" s="65" t="str">
        <f>HYPERLINK("https://github.com/mostafa-saad/MyCompetitiveProgramming/blob/master/Olympiad/COCI/official/2017/contest2_solutions","Editorial")</f>
        <v>Editorial</v>
      </c>
      <c r="E1553" s="31" t="s">
        <v>125</v>
      </c>
      <c r="F1553" s="37"/>
      <c r="G1553" s="24"/>
      <c r="H1553" s="24"/>
    </row>
    <row r="1554" spans="1:8" ht="13.2">
      <c r="A1554" s="65" t="str">
        <f>HYPERLINK("https://oj.uz/problem/view/COCI16_imena","COCI 16-imena")</f>
        <v>COCI 16-imena</v>
      </c>
      <c r="B1554" s="20" t="s">
        <v>6646</v>
      </c>
      <c r="C1554" s="24">
        <v>1</v>
      </c>
      <c r="D1554" s="65" t="str">
        <f>HYPERLINK("https://github.com/mostafa-saad/MyCompetitiveProgramming/blob/master/Olympiad/COCI/official/2017/contest3_solutions","Editorial")</f>
        <v>Editorial</v>
      </c>
      <c r="E1554" s="31" t="s">
        <v>125</v>
      </c>
      <c r="F1554" s="37"/>
      <c r="G1554" s="24"/>
      <c r="H1554" s="24"/>
    </row>
    <row r="1555" spans="1:8" ht="13.2">
      <c r="A1555" s="65" t="str">
        <f>HYPERLINK("https://oj.uz/problem/view/COCI17_kartomat","COCI 17-kartomat")</f>
        <v>COCI 17-kartomat</v>
      </c>
      <c r="B1555" s="20" t="s">
        <v>6646</v>
      </c>
      <c r="C1555" s="24">
        <v>1</v>
      </c>
      <c r="D1555" s="65" t="str">
        <f>HYPERLINK("https://github.com/mostafa-saad/MyCompetitiveProgramming/blob/master/Olympiad/COCI/official/2017/contest4_solutions","Editorial")</f>
        <v>Editorial</v>
      </c>
      <c r="E1555" s="31" t="s">
        <v>125</v>
      </c>
      <c r="F1555" s="37"/>
      <c r="G1555" s="24"/>
      <c r="H1555" s="24"/>
    </row>
    <row r="1556" spans="1:8" ht="13.2">
      <c r="A1556" s="65" t="str">
        <f>HYPERLINK("https://oj.uz/problem/view/COCI17_pareto","COCI 17-pareto")</f>
        <v>COCI 17-pareto</v>
      </c>
      <c r="B1556" s="20" t="s">
        <v>6646</v>
      </c>
      <c r="C1556" s="24">
        <v>1</v>
      </c>
      <c r="D1556" s="65" t="str">
        <f>HYPERLINK("https://github.com/mostafa-saad/MyCompetitiveProgramming/blob/master/Olympiad/COCI/official/2017/contest5_solutions","Editorial")</f>
        <v>Editorial</v>
      </c>
      <c r="E1556" s="31" t="s">
        <v>125</v>
      </c>
      <c r="F1556" s="37"/>
      <c r="G1556" s="24"/>
      <c r="H1556" s="24"/>
    </row>
    <row r="1557" spans="1:8" ht="13.2">
      <c r="A1557" s="65" t="str">
        <f>HYPERLINK("https://oj.uz/problem/view/COCI17_telefoni","COCI 17-telefoni")</f>
        <v>COCI 17-telefoni</v>
      </c>
      <c r="B1557" s="20" t="s">
        <v>6646</v>
      </c>
      <c r="C1557" s="24">
        <v>1</v>
      </c>
      <c r="D1557" s="65" t="str">
        <f>HYPERLINK("https://github.com/mostafa-saad/MyCompetitiveProgramming/blob/master/Olympiad/COCI/official/2017/contest6_solutions","Editorial")</f>
        <v>Editorial</v>
      </c>
      <c r="E1557" s="31" t="s">
        <v>125</v>
      </c>
      <c r="F1557" s="37"/>
      <c r="G1557" s="24"/>
      <c r="H1557" s="24"/>
    </row>
    <row r="1558" spans="1:8" ht="13.2">
      <c r="A1558" s="65" t="str">
        <f>HYPERLINK("https://dunjudge.me/analysis/problems/144/","NOI 07-jawbreak")</f>
        <v>NOI 07-jawbreak</v>
      </c>
      <c r="B1558" s="37" t="s">
        <v>124</v>
      </c>
      <c r="C1558" s="24">
        <v>1</v>
      </c>
      <c r="D1558" s="65" t="str">
        <f>HYPERLINK("https://github.com/mostafa-saad/MyCompetitiveProgramming/blob/master/Olympiad/NOI/official","Editorial")</f>
        <v>Editorial</v>
      </c>
      <c r="E1558" s="31" t="s">
        <v>125</v>
      </c>
      <c r="F1558" s="37"/>
      <c r="G1558" s="24"/>
      <c r="H1558" s="24"/>
    </row>
    <row r="1559" spans="1:8" ht="13.2">
      <c r="A1559" s="65" t="str">
        <f>HYPERLINK("https://dunjudge.me/analysis/problems/238/","NOI 07-gift")</f>
        <v>NOI 07-gift</v>
      </c>
      <c r="B1559" s="20" t="s">
        <v>6646</v>
      </c>
      <c r="C1559" s="24">
        <v>1</v>
      </c>
      <c r="D1559" s="65" t="str">
        <f>HYPERLINK("https://github.com/mostafa-saad/MyCompetitiveProgramming/blob/master/Olympiad/NOI/official/2011.pptx","Editorial")</f>
        <v>Editorial</v>
      </c>
      <c r="E1559" s="31" t="s">
        <v>125</v>
      </c>
      <c r="F1559" s="37"/>
      <c r="G1559" s="24"/>
      <c r="H1559" s="24"/>
    </row>
    <row r="1560" spans="1:8" ht="13.2">
      <c r="A1560" s="65" t="str">
        <f>HYPERLINK("https://dmoj.ca/problem/coci06c1p1","COCI 06-Modulo")</f>
        <v>COCI 06-Modulo</v>
      </c>
      <c r="B1560" s="15" t="s">
        <v>6646</v>
      </c>
      <c r="C1560" s="24">
        <v>1</v>
      </c>
      <c r="D1560" s="65" t="str">
        <f>HYPERLINK("https://github.com/mostafa-saad/MyCompetitiveProgramming/tree/master/Olympiad/COCI/official/2007/contest1_solutions","Editorial")</f>
        <v>Editorial</v>
      </c>
      <c r="E1560" s="31" t="s">
        <v>125</v>
      </c>
      <c r="F1560" s="37"/>
      <c r="G1560" s="24"/>
      <c r="H1560" s="24"/>
    </row>
    <row r="1561" spans="1:8" ht="13.2">
      <c r="A1561" s="65" t="str">
        <f>HYPERLINK("https://dmoj.ca/problem/coci06c2p1","COCI 06-R2")</f>
        <v>COCI 06-R2</v>
      </c>
      <c r="B1561" s="15" t="s">
        <v>6646</v>
      </c>
      <c r="C1561" s="24">
        <v>1</v>
      </c>
      <c r="D1561" s="65" t="str">
        <f>HYPERLINK("https://github.com/mostafa-saad/MyCompetitiveProgramming/tree/master/Olympiad/COCI/official/2007/contest2_solutions","Editorial")</f>
        <v>Editorial</v>
      </c>
      <c r="E1561" s="31" t="s">
        <v>125</v>
      </c>
      <c r="F1561" s="37"/>
      <c r="G1561" s="24"/>
      <c r="H1561" s="24"/>
    </row>
    <row r="1562" spans="1:8" ht="13.2">
      <c r="A1562" s="65" t="str">
        <f>HYPERLINK("https://dmoj.ca/problem/coci07c2p1","COCI 07-Bijele")</f>
        <v>COCI 07-Bijele</v>
      </c>
      <c r="B1562" s="15" t="s">
        <v>6646</v>
      </c>
      <c r="C1562" s="24">
        <v>1</v>
      </c>
      <c r="D1562" s="65" t="str">
        <f>HYPERLINK("https://github.com/mostafa-saad/MyCompetitiveProgramming/tree/master/Olympiad/COCI/official/2008/contest2_solutions","Editorial")</f>
        <v>Editorial</v>
      </c>
      <c r="E1562" s="31" t="s">
        <v>125</v>
      </c>
      <c r="F1562" s="37"/>
      <c r="G1562" s="24"/>
      <c r="H1562" s="24"/>
    </row>
    <row r="1563" spans="1:8" ht="13.2">
      <c r="A1563" s="65" t="str">
        <f>HYPERLINK("https://dmoj.ca/problem/coci07c5p1","COCI 07-Tri")</f>
        <v>COCI 07-Tri</v>
      </c>
      <c r="B1563" s="15" t="s">
        <v>6646</v>
      </c>
      <c r="C1563" s="24">
        <v>1</v>
      </c>
      <c r="D1563" s="65" t="str">
        <f>HYPERLINK("https://github.com/mostafa-saad/MyCompetitiveProgramming/tree/master/Olympiad/COCI/official/2008/contest5_solutions","Editorial")</f>
        <v>Editorial</v>
      </c>
      <c r="E1563" s="31" t="s">
        <v>125</v>
      </c>
      <c r="F1563" s="37"/>
      <c r="G1563" s="24"/>
      <c r="H1563" s="24"/>
    </row>
    <row r="1564" spans="1:8" ht="13.2">
      <c r="A1564" s="65" t="str">
        <f>HYPERLINK("https://dmoj.ca/problem/coci14c4p1","COCI 14-Cesta")</f>
        <v>COCI 14-Cesta</v>
      </c>
      <c r="B1564" s="20" t="s">
        <v>6646</v>
      </c>
      <c r="C1564" s="24">
        <v>1</v>
      </c>
      <c r="D1564" s="69"/>
      <c r="E1564" s="31" t="s">
        <v>125</v>
      </c>
      <c r="F1564" s="37"/>
      <c r="G1564" s="24"/>
      <c r="H1564" s="24"/>
    </row>
    <row r="1565" spans="1:8" ht="13.2">
      <c r="A1565" s="65" t="str">
        <f>HYPERLINK("https://oj.uz/problem/view/COCI14_mobitel","COCI 14-mobitel")</f>
        <v>COCI 14-mobitel</v>
      </c>
      <c r="B1565" s="20" t="s">
        <v>6646</v>
      </c>
      <c r="C1565" s="24">
        <v>1</v>
      </c>
      <c r="D1565" s="69"/>
      <c r="E1565" s="31" t="s">
        <v>125</v>
      </c>
      <c r="F1565" s="37"/>
      <c r="G1565" s="24"/>
      <c r="H1565" s="24"/>
    </row>
    <row r="1566" spans="1:8" ht="13.2">
      <c r="A1566" s="65" t="str">
        <f>HYPERLINK("https://dmoj.ca/problem/coci14c1p3","COCI 14-Piramida")</f>
        <v>COCI 14-Piramida</v>
      </c>
      <c r="B1566" s="20" t="s">
        <v>6646</v>
      </c>
      <c r="C1566" s="24">
        <v>1</v>
      </c>
      <c r="D1566" s="69"/>
      <c r="E1566" s="31" t="s">
        <v>125</v>
      </c>
      <c r="F1566" s="37"/>
      <c r="G1566" s="24"/>
      <c r="H1566" s="24"/>
    </row>
    <row r="1567" spans="1:8" ht="13.2">
      <c r="A1567" s="65" t="str">
        <f>HYPERLINK("https://dmoj.ca/problem/coci14c3p1","COCI 14-Strojopis")</f>
        <v>COCI 14-Strojopis</v>
      </c>
      <c r="B1567" s="20" t="s">
        <v>6646</v>
      </c>
      <c r="C1567" s="24">
        <v>1</v>
      </c>
      <c r="D1567" s="69"/>
      <c r="E1567" s="31" t="s">
        <v>125</v>
      </c>
      <c r="F1567" s="37"/>
      <c r="G1567" s="24"/>
      <c r="H1567" s="24"/>
    </row>
    <row r="1568" spans="1:8" ht="13.2">
      <c r="A1568" s="65" t="str">
        <f>HYPERLINK("https://dmoj.ca/problem/coci14c5p3","COCI 14-Traktor")</f>
        <v>COCI 14-Traktor</v>
      </c>
      <c r="B1568" s="20" t="s">
        <v>6646</v>
      </c>
      <c r="C1568" s="24">
        <v>1</v>
      </c>
      <c r="D1568" s="69"/>
      <c r="E1568" s="31" t="s">
        <v>125</v>
      </c>
      <c r="F1568" s="37"/>
      <c r="G1568" s="24"/>
      <c r="H1568" s="24"/>
    </row>
    <row r="1569" spans="1:8" ht="13.2">
      <c r="A1569" s="65" t="str">
        <f>HYPERLINK("https://oj.uz/problem/view/COCI15_akcija","COCI 15-akcija")</f>
        <v>COCI 15-akcija</v>
      </c>
      <c r="B1569" s="20" t="s">
        <v>6646</v>
      </c>
      <c r="C1569" s="24">
        <v>1</v>
      </c>
      <c r="D1569" s="69"/>
      <c r="E1569" s="31" t="s">
        <v>125</v>
      </c>
      <c r="F1569" s="37"/>
      <c r="G1569" s="24"/>
      <c r="H1569" s="24"/>
    </row>
    <row r="1570" spans="1:8" ht="13.2">
      <c r="A1570" s="65" t="str">
        <f>HYPERLINK("https://dmoj.ca/problem/coci15c4p3","COCI 15-Deathstar")</f>
        <v>COCI 15-Deathstar</v>
      </c>
      <c r="B1570" s="20" t="s">
        <v>6646</v>
      </c>
      <c r="C1570" s="24">
        <v>1</v>
      </c>
      <c r="D1570" s="69"/>
      <c r="E1570" s="31" t="s">
        <v>125</v>
      </c>
      <c r="F1570" s="37"/>
      <c r="G1570" s="24"/>
      <c r="H1570" s="24"/>
    </row>
    <row r="1571" spans="1:8" ht="13.2">
      <c r="A1571" s="65" t="str">
        <f>HYPERLINK("https://oj.uz/problem/view/COCI15_geppetto","COCI 15-geppetto")</f>
        <v>COCI 15-geppetto</v>
      </c>
      <c r="B1571" s="20" t="s">
        <v>6646</v>
      </c>
      <c r="C1571" s="24">
        <v>1</v>
      </c>
      <c r="D1571" s="69"/>
      <c r="E1571" s="31" t="s">
        <v>125</v>
      </c>
      <c r="F1571" s="37"/>
      <c r="G1571" s="24"/>
      <c r="H1571" s="24"/>
    </row>
    <row r="1572" spans="1:8" ht="13.2">
      <c r="A1572" s="65" t="str">
        <f>HYPERLINK("https://oj.uz/problem/view/COCI15_marko","COCI 15-marko")</f>
        <v>COCI 15-marko</v>
      </c>
      <c r="B1572" s="20" t="s">
        <v>6646</v>
      </c>
      <c r="C1572" s="24">
        <v>1</v>
      </c>
      <c r="D1572" s="69"/>
      <c r="E1572" s="31" t="s">
        <v>125</v>
      </c>
      <c r="F1572" s="37"/>
      <c r="G1572" s="24"/>
      <c r="H1572" s="24"/>
    </row>
    <row r="1573" spans="1:8" ht="13.2">
      <c r="A1573" s="65" t="str">
        <f>HYPERLINK("https://oj.uz/problem/view/COCI15_pot","COCI 15-pot")</f>
        <v>COCI 15-pot</v>
      </c>
      <c r="B1573" s="20" t="s">
        <v>6646</v>
      </c>
      <c r="C1573" s="24">
        <v>1</v>
      </c>
      <c r="D1573" s="69"/>
      <c r="E1573" s="31" t="s">
        <v>125</v>
      </c>
      <c r="F1573" s="37"/>
      <c r="G1573" s="24"/>
      <c r="H1573" s="24"/>
    </row>
    <row r="1574" spans="1:8" ht="13.2">
      <c r="A1574" s="65" t="str">
        <f>HYPERLINK("https://oj.uz/problem/view/COCI17_hindeks","COCI 17-hindeks")</f>
        <v>COCI 17-hindeks</v>
      </c>
      <c r="B1574" s="20" t="s">
        <v>6646</v>
      </c>
      <c r="C1574" s="24">
        <v>1</v>
      </c>
      <c r="D1574" s="69"/>
      <c r="E1574" s="31" t="s">
        <v>125</v>
      </c>
      <c r="F1574" s="37"/>
      <c r="G1574" s="24"/>
      <c r="H1574" s="24"/>
    </row>
    <row r="1575" spans="1:8" ht="13.2">
      <c r="A1575" s="65" t="str">
        <f>HYPERLINK("https://dunjudge.me/analysis/problems/39/","NOISelection 11-bunnyhop")</f>
        <v>NOISelection 11-bunnyhop</v>
      </c>
      <c r="B1575" s="20" t="s">
        <v>6646</v>
      </c>
      <c r="C1575" s="24">
        <v>1</v>
      </c>
      <c r="D1575" s="69"/>
      <c r="E1575" s="31" t="s">
        <v>125</v>
      </c>
      <c r="F1575" s="37"/>
      <c r="G1575" s="24"/>
      <c r="H1575" s="24"/>
    </row>
    <row r="1576" spans="1:8" ht="13.2">
      <c r="A1576" s="65" t="str">
        <f>HYPERLINK("https://oj.uz/problem/view/COCI16_tarifa","COCI 16-tarifa")</f>
        <v>COCI 16-tarifa</v>
      </c>
      <c r="B1576" s="20" t="s">
        <v>5961</v>
      </c>
      <c r="C1576" s="24">
        <v>1</v>
      </c>
      <c r="D1576" s="69"/>
      <c r="E1576" s="31" t="s">
        <v>5958</v>
      </c>
      <c r="F1576" s="37"/>
      <c r="G1576" s="24"/>
      <c r="H1576" s="24"/>
    </row>
    <row r="1577" spans="1:8" ht="13.2">
      <c r="A1577" s="65" t="str">
        <f>HYPERLINK("https://dmoj.ca/problem/coci13c1p1","COCI 13-Trener")</f>
        <v>COCI 13-Trener</v>
      </c>
      <c r="B1577" s="20" t="s">
        <v>7412</v>
      </c>
      <c r="C1577" s="24">
        <v>1</v>
      </c>
      <c r="D1577" s="65" t="str">
        <f>HYPERLINK("https://github.com/mostafa-saad/MyCompetitiveProgramming/blob/master/Olympiad/COCI/official/2014/contest1_solutions","Editorial")</f>
        <v>Editorial</v>
      </c>
      <c r="E1577" s="31" t="s">
        <v>5958</v>
      </c>
      <c r="F1577" s="37"/>
      <c r="G1577" s="24"/>
      <c r="H1577" s="24"/>
    </row>
    <row r="1578" spans="1:8" ht="13.2">
      <c r="A1578" s="65" t="str">
        <f>HYPERLINK("https://dmoj.ca/problem/coci15c4p1","COCI 15-Yoda")</f>
        <v>COCI 15-Yoda</v>
      </c>
      <c r="B1578" s="20" t="s">
        <v>5961</v>
      </c>
      <c r="C1578" s="24">
        <v>1</v>
      </c>
      <c r="D1578" s="69"/>
      <c r="E1578" s="31" t="s">
        <v>5958</v>
      </c>
      <c r="F1578" s="37"/>
      <c r="G1578" s="24"/>
      <c r="H1578" s="24"/>
    </row>
    <row r="1579" spans="1:8" ht="13.2">
      <c r="A1579" s="65" t="str">
        <f>HYPERLINK("https://oj.uz/problem/view/COCI18_magnus","COCI 18-magnus")</f>
        <v>COCI 18-magnus</v>
      </c>
      <c r="B1579" s="37" t="s">
        <v>5992</v>
      </c>
      <c r="C1579" s="24">
        <v>1</v>
      </c>
      <c r="D1579" s="69"/>
      <c r="E1579" s="31" t="s">
        <v>5958</v>
      </c>
      <c r="F1579" s="37"/>
      <c r="G1579" s="24"/>
      <c r="H1579" s="24"/>
    </row>
    <row r="1580" spans="1:8" ht="13.2">
      <c r="A1580" s="65" t="str">
        <f>HYPERLINK("https://oj.uz/problem/view/COCI18_pismo","COCI 18-pismo")</f>
        <v>COCI 18-pismo</v>
      </c>
      <c r="B1580" s="37" t="s">
        <v>5992</v>
      </c>
      <c r="C1580" s="24">
        <v>1</v>
      </c>
      <c r="D1580" s="69"/>
      <c r="E1580" s="31" t="s">
        <v>5958</v>
      </c>
      <c r="F1580" s="37"/>
      <c r="G1580" s="24"/>
      <c r="H1580" s="24"/>
    </row>
    <row r="1581" spans="1:8" ht="13.2">
      <c r="A1581" s="65" t="str">
        <f>HYPERLINK("https://oj.uz/problem/view/COCI19_elder","COCI 19-elder")</f>
        <v>COCI 19-elder</v>
      </c>
      <c r="B1581" s="37" t="s">
        <v>5992</v>
      </c>
      <c r="C1581" s="24">
        <v>1</v>
      </c>
      <c r="D1581" s="69"/>
      <c r="E1581" s="31" t="s">
        <v>5958</v>
      </c>
      <c r="F1581" s="37"/>
      <c r="G1581" s="24"/>
      <c r="H1581" s="24"/>
    </row>
    <row r="1582" spans="1:8" ht="13.2">
      <c r="A1582" s="65" t="str">
        <f>HYPERLINK("https://oj.uz/problem/view/COCI19_konj","COCI 19-konj")</f>
        <v>COCI 19-konj</v>
      </c>
      <c r="B1582" s="37" t="s">
        <v>5992</v>
      </c>
      <c r="C1582" s="24">
        <v>1</v>
      </c>
      <c r="D1582" s="69"/>
      <c r="E1582" s="31" t="s">
        <v>5958</v>
      </c>
      <c r="F1582" s="37"/>
      <c r="G1582" s="24"/>
      <c r="H1582" s="24"/>
    </row>
    <row r="1583" spans="1:8" ht="13.2">
      <c r="A1583" s="65" t="str">
        <f>HYPERLINK("https://oj.uz/problem/view/COCI19_lun","COCI 19-lun")</f>
        <v>COCI 19-lun</v>
      </c>
      <c r="B1583" s="37" t="s">
        <v>5992</v>
      </c>
      <c r="C1583" s="24">
        <v>1</v>
      </c>
      <c r="D1583" s="69"/>
      <c r="E1583" s="31" t="s">
        <v>5958</v>
      </c>
      <c r="F1583" s="37"/>
      <c r="G1583" s="24"/>
      <c r="H1583" s="24"/>
    </row>
    <row r="1584" spans="1:8" ht="13.2">
      <c r="A1584" s="65" t="str">
        <f>HYPERLINK("https://contest.yandex.ru/ioi/contest/568/enter/","IOI 09-poi")</f>
        <v>IOI 09-poi</v>
      </c>
      <c r="B1584" s="15" t="s">
        <v>341</v>
      </c>
      <c r="C1584" s="17">
        <v>1</v>
      </c>
      <c r="D1584" s="65" t="str">
        <f>HYPERLINK("https://github.com/updown2/OI-Practice/blob/master/JOI/2018/Stove.cpp","Sol")</f>
        <v>Sol</v>
      </c>
      <c r="E1584" s="31" t="s">
        <v>332</v>
      </c>
      <c r="F1584" s="37"/>
      <c r="G1584" s="24"/>
      <c r="H1584" s="24"/>
    </row>
    <row r="1585" spans="1:8" ht="13.2">
      <c r="A1585" s="65" t="str">
        <f>HYPERLINK("https://oj.uz/problem/view/COCI17_baza","COCI 17-baza")</f>
        <v>COCI 17-baza</v>
      </c>
      <c r="B1585" s="20" t="s">
        <v>359</v>
      </c>
      <c r="C1585" s="24">
        <v>1</v>
      </c>
      <c r="D1585" s="69"/>
      <c r="E1585" s="31" t="s">
        <v>332</v>
      </c>
      <c r="F1585" s="37"/>
      <c r="G1585" s="24"/>
      <c r="H1585" s="24"/>
    </row>
    <row r="1586" spans="1:8" ht="13.2">
      <c r="A1586" s="65" t="str">
        <f>HYPERLINK("https://dmoj.ca/problem/coci14c5p1","COCI 14-Funghi")</f>
        <v>COCI 14-Funghi</v>
      </c>
      <c r="B1586" s="20" t="s">
        <v>359</v>
      </c>
      <c r="C1586" s="24">
        <v>1</v>
      </c>
      <c r="D1586" s="69"/>
      <c r="E1586" s="31" t="s">
        <v>332</v>
      </c>
      <c r="F1586" s="37"/>
      <c r="G1586" s="24"/>
      <c r="H1586" s="24"/>
    </row>
    <row r="1587" spans="1:8" ht="13.2">
      <c r="A1587" s="65" t="str">
        <f>HYPERLINK("https://oj.uz/problem/view/COCI15_karte","COCI 15-karte")</f>
        <v>COCI 15-karte</v>
      </c>
      <c r="B1587" s="20" t="s">
        <v>359</v>
      </c>
      <c r="C1587" s="24">
        <v>1</v>
      </c>
      <c r="D1587" s="69"/>
      <c r="E1587" s="31" t="s">
        <v>332</v>
      </c>
      <c r="F1587" s="37"/>
      <c r="G1587" s="24"/>
      <c r="H1587" s="24"/>
    </row>
    <row r="1588" spans="1:8" ht="13.2">
      <c r="A1588" s="69" t="s">
        <v>7535</v>
      </c>
      <c r="B1588" s="37" t="s">
        <v>7527</v>
      </c>
      <c r="C1588" s="24">
        <v>1</v>
      </c>
      <c r="D1588" s="69"/>
      <c r="E1588" s="31" t="s">
        <v>7525</v>
      </c>
      <c r="F1588" s="37"/>
      <c r="G1588" s="24"/>
      <c r="H1588" s="24"/>
    </row>
    <row r="1589" spans="1:8" ht="13.2">
      <c r="A1589" s="65" t="str">
        <f>HYPERLINK("https://dmoj.ca/problem/coci08c1p2","COCI 08-Ptice")</f>
        <v>COCI 08-Ptice</v>
      </c>
      <c r="B1589" s="15" t="s">
        <v>7527</v>
      </c>
      <c r="C1589" s="24">
        <v>1</v>
      </c>
      <c r="D1589" s="65" t="str">
        <f>HYPERLINK("https://github.com/mostafa-saad/MyCompetitiveProgramming/blob/master/Olympiad/COCI/official/2009/contest1_solutions","Editorial")</f>
        <v>Editorial</v>
      </c>
      <c r="E1589" s="31" t="s">
        <v>7525</v>
      </c>
      <c r="F1589" s="37"/>
      <c r="G1589" s="24"/>
      <c r="H1589" s="24"/>
    </row>
    <row r="1590" spans="1:8" ht="13.2">
      <c r="A1590" s="65" t="str">
        <f>HYPERLINK("https://dmoj.ca/problem/coci08c2p1","COCI 08-Kornislav")</f>
        <v>COCI 08-Kornislav</v>
      </c>
      <c r="B1590" s="15" t="s">
        <v>7527</v>
      </c>
      <c r="C1590" s="24">
        <v>1</v>
      </c>
      <c r="D1590" s="65" t="str">
        <f t="shared" ref="D1590:D1591" si="23">HYPERLINK("https://github.com/mostafa-saad/MyCompetitiveProgramming/blob/master/Olympiad/COCI/official/2009/contest2_solutions","Editorial")</f>
        <v>Editorial</v>
      </c>
      <c r="E1590" s="31" t="s">
        <v>7525</v>
      </c>
      <c r="F1590" s="37"/>
      <c r="G1590" s="24"/>
      <c r="H1590" s="24"/>
    </row>
    <row r="1591" spans="1:8" ht="13.2">
      <c r="A1591" s="65" t="str">
        <f>HYPERLINK("https://dmoj.ca/problem/coci08c2p2","COCI 08-Reseto")</f>
        <v>COCI 08-Reseto</v>
      </c>
      <c r="B1591" s="15" t="s">
        <v>7527</v>
      </c>
      <c r="C1591" s="24">
        <v>1</v>
      </c>
      <c r="D1591" s="65" t="str">
        <f t="shared" si="23"/>
        <v>Editorial</v>
      </c>
      <c r="E1591" s="31" t="s">
        <v>7525</v>
      </c>
      <c r="F1591" s="37"/>
      <c r="G1591" s="24"/>
      <c r="H1591" s="24"/>
    </row>
    <row r="1592" spans="1:8" ht="13.2">
      <c r="A1592" s="65" t="str">
        <f>HYPERLINK("https://dmoj.ca/problem/coci08c3p2","COCI 08-Kemija")</f>
        <v>COCI 08-Kemija</v>
      </c>
      <c r="B1592" s="15" t="s">
        <v>7527</v>
      </c>
      <c r="C1592" s="24">
        <v>1</v>
      </c>
      <c r="D1592" s="65" t="str">
        <f>HYPERLINK("https://github.com/mostafa-saad/MyCompetitiveProgramming/blob/master/Olympiad/COCI/official/2009/contest3_solutions","Editorial")</f>
        <v>Editorial</v>
      </c>
      <c r="E1592" s="31" t="s">
        <v>7525</v>
      </c>
      <c r="F1592" s="37"/>
      <c r="G1592" s="24"/>
      <c r="H1592" s="24"/>
    </row>
    <row r="1593" spans="1:8" ht="13.2">
      <c r="A1593" s="65" t="str">
        <f>HYPERLINK("https://dmoj.ca/problem/coci08c4p2","COCI 08-Datum")</f>
        <v>COCI 08-Datum</v>
      </c>
      <c r="B1593" s="15" t="s">
        <v>7527</v>
      </c>
      <c r="C1593" s="24">
        <v>1</v>
      </c>
      <c r="D1593" s="65" t="str">
        <f t="shared" ref="D1593:D1594" si="24">HYPERLINK("https://github.com/mostafa-saad/MyCompetitiveProgramming/blob/master/Olympiad/COCI/official/2009/contest4_solutions","Editorial")</f>
        <v>Editorial</v>
      </c>
      <c r="E1593" s="31" t="s">
        <v>7525</v>
      </c>
      <c r="F1593" s="37"/>
      <c r="G1593" s="24"/>
      <c r="H1593" s="24"/>
    </row>
    <row r="1594" spans="1:8" ht="13.2">
      <c r="A1594" s="65" t="str">
        <f>HYPERLINK("https://dmoj.ca/problem/coci08c4p1","COCI 08-Mjehuric")</f>
        <v>COCI 08-Mjehuric</v>
      </c>
      <c r="B1594" s="15" t="s">
        <v>7527</v>
      </c>
      <c r="C1594" s="24">
        <v>1</v>
      </c>
      <c r="D1594" s="65" t="str">
        <f t="shared" si="24"/>
        <v>Editorial</v>
      </c>
      <c r="E1594" s="31" t="s">
        <v>7525</v>
      </c>
      <c r="F1594" s="37"/>
      <c r="G1594" s="24"/>
      <c r="H1594" s="24"/>
    </row>
    <row r="1595" spans="1:8" ht="13.2">
      <c r="A1595" s="65" t="str">
        <f>HYPERLINK("https://dmoj.ca/problem/coci08c6p1","COCI 08-Buka")</f>
        <v>COCI 08-Buka</v>
      </c>
      <c r="B1595" s="15" t="s">
        <v>7527</v>
      </c>
      <c r="C1595" s="24">
        <v>1</v>
      </c>
      <c r="D1595" s="65" t="str">
        <f>HYPERLINK("https://github.com/mostafa-saad/MyCompetitiveProgramming/blob/master/Olympiad/COCI/official/2009/contest6_solutions","Editorial")</f>
        <v>Editorial</v>
      </c>
      <c r="E1595" s="31" t="s">
        <v>7525</v>
      </c>
      <c r="F1595" s="37"/>
      <c r="G1595" s="24"/>
      <c r="H1595" s="24"/>
    </row>
    <row r="1596" spans="1:8" ht="13.2">
      <c r="A1596" s="65" t="str">
        <f>HYPERLINK("https://dmoj.ca/problem/coci09c1p2","COCI 09-Domino")</f>
        <v>COCI 09-Domino</v>
      </c>
      <c r="B1596" s="15" t="s">
        <v>7527</v>
      </c>
      <c r="C1596" s="24">
        <v>1</v>
      </c>
      <c r="D1596" s="65" t="str">
        <f>HYPERLINK("https://github.com/mostafa-saad/MyCompetitiveProgramming/blob/master/Olympiad/COCI/official/2010/contest1_solutions","Editorial")</f>
        <v>Editorial</v>
      </c>
      <c r="E1596" s="31" t="s">
        <v>7525</v>
      </c>
      <c r="F1596" s="37"/>
      <c r="G1596" s="24"/>
      <c r="H1596" s="24"/>
    </row>
    <row r="1597" spans="1:8" ht="13.2">
      <c r="A1597" s="65" t="str">
        <f>HYPERLINK("https://wcipeg.com/problem/coci092p1","COCI 09-Faktor")</f>
        <v>COCI 09-Faktor</v>
      </c>
      <c r="B1597" s="15" t="s">
        <v>7527</v>
      </c>
      <c r="C1597" s="24">
        <v>1</v>
      </c>
      <c r="D1597" s="65" t="str">
        <f>HYPERLINK("https://github.com/mostafa-saad/MyCompetitiveProgramming/blob/master/Olympiad/COCI/official/2010/contest2_solutions","Editorial")</f>
        <v>Editorial</v>
      </c>
      <c r="E1597" s="31" t="s">
        <v>7525</v>
      </c>
      <c r="F1597" s="37"/>
      <c r="G1597" s="24"/>
      <c r="H1597" s="24"/>
    </row>
    <row r="1598" spans="1:8" ht="13.2">
      <c r="A1598" s="65" t="str">
        <f>HYPERLINK("https://wcipeg.com/problem/coci093p1","COCI 09-Filip")</f>
        <v>COCI 09-Filip</v>
      </c>
      <c r="B1598" s="15" t="s">
        <v>7527</v>
      </c>
      <c r="C1598" s="24">
        <v>1</v>
      </c>
      <c r="D1598" s="65" t="str">
        <f t="shared" ref="D1598:D1600" si="25">HYPERLINK("https://github.com/mostafa-saad/MyCompetitiveProgramming/blob/master/Olympiad/COCI/official/2010/contest3_solutions","Editorial")</f>
        <v>Editorial</v>
      </c>
      <c r="E1598" s="31" t="s">
        <v>7525</v>
      </c>
      <c r="F1598" s="37"/>
      <c r="G1598" s="24"/>
      <c r="H1598" s="24"/>
    </row>
    <row r="1599" spans="1:8" ht="13.2">
      <c r="A1599" s="65" t="str">
        <f>HYPERLINK("https://wcipeg.com/problem/coci093p2","COCI 09-Slatkisi")</f>
        <v>COCI 09-Slatkisi</v>
      </c>
      <c r="B1599" s="15" t="s">
        <v>7527</v>
      </c>
      <c r="C1599" s="24">
        <v>1</v>
      </c>
      <c r="D1599" s="65" t="str">
        <f t="shared" si="25"/>
        <v>Editorial</v>
      </c>
      <c r="E1599" s="31" t="s">
        <v>7525</v>
      </c>
      <c r="F1599" s="37"/>
      <c r="G1599" s="24"/>
      <c r="H1599" s="24"/>
    </row>
    <row r="1600" spans="1:8" ht="13.2">
      <c r="A1600" s="65" t="str">
        <f>HYPERLINK("https://wcipeg.com/problem/coci093p3","COCI 09-Sort")</f>
        <v>COCI 09-Sort</v>
      </c>
      <c r="B1600" s="15" t="s">
        <v>7527</v>
      </c>
      <c r="C1600" s="24">
        <v>1</v>
      </c>
      <c r="D1600" s="65" t="str">
        <f t="shared" si="25"/>
        <v>Editorial</v>
      </c>
      <c r="E1600" s="31" t="s">
        <v>7525</v>
      </c>
      <c r="F1600" s="37"/>
      <c r="G1600" s="24"/>
      <c r="H1600" s="24"/>
    </row>
    <row r="1601" spans="1:8" ht="13.2">
      <c r="A1601" s="65" t="str">
        <f>HYPERLINK("https://wcipeg.com/problem/coci094p1","COCI 09-Autori")</f>
        <v>COCI 09-Autori</v>
      </c>
      <c r="B1601" s="15" t="s">
        <v>7527</v>
      </c>
      <c r="C1601" s="24">
        <v>1</v>
      </c>
      <c r="D1601" s="65" t="str">
        <f t="shared" ref="D1601:D1602" si="26">HYPERLINK("https://github.com/mostafa-saad/MyCompetitiveProgramming/blob/master/Olympiad/COCI/official/2010/contest4_solutions","Editorial")</f>
        <v>Editorial</v>
      </c>
      <c r="E1601" s="31" t="s">
        <v>7525</v>
      </c>
      <c r="F1601" s="37"/>
      <c r="G1601" s="24"/>
      <c r="H1601" s="24"/>
    </row>
    <row r="1602" spans="1:8" ht="13.2">
      <c r="A1602" s="65" t="str">
        <f>HYPERLINK("https://wcipeg.com/problem/coci094p2","COCI 09-Planina")</f>
        <v>COCI 09-Planina</v>
      </c>
      <c r="B1602" s="15" t="s">
        <v>7527</v>
      </c>
      <c r="C1602" s="24">
        <v>1</v>
      </c>
      <c r="D1602" s="65" t="str">
        <f t="shared" si="26"/>
        <v>Editorial</v>
      </c>
      <c r="E1602" s="31" t="s">
        <v>7525</v>
      </c>
      <c r="F1602" s="37"/>
      <c r="G1602" s="24"/>
      <c r="H1602" s="24"/>
    </row>
    <row r="1603" spans="1:8" ht="13.2">
      <c r="A1603" s="65" t="str">
        <f>HYPERLINK("https://wcipeg.com/problem/coci095p2","COCI 09-Cudoviste")</f>
        <v>COCI 09-Cudoviste</v>
      </c>
      <c r="B1603" s="15" t="s">
        <v>7527</v>
      </c>
      <c r="C1603" s="24">
        <v>1</v>
      </c>
      <c r="D1603" s="65" t="str">
        <f t="shared" ref="D1603:D1604" si="27">HYPERLINK("https://github.com/mostafa-saad/MyCompetitiveProgramming/blob/master/Olympiad/COCI/official/2010/contest5_solutions","Editorial")</f>
        <v>Editorial</v>
      </c>
      <c r="E1603" s="31" t="s">
        <v>7525</v>
      </c>
      <c r="F1603" s="37"/>
      <c r="G1603" s="24"/>
      <c r="H1603" s="24"/>
    </row>
    <row r="1604" spans="1:8" ht="13.2">
      <c r="A1604" s="65" t="str">
        <f>HYPERLINK("https://wcipeg.com/problem/coci095p1","COCI 09-Sok")</f>
        <v>COCI 09-Sok</v>
      </c>
      <c r="B1604" s="15" t="s">
        <v>7527</v>
      </c>
      <c r="C1604" s="24">
        <v>1</v>
      </c>
      <c r="D1604" s="65" t="str">
        <f t="shared" si="27"/>
        <v>Editorial</v>
      </c>
      <c r="E1604" s="31" t="s">
        <v>7525</v>
      </c>
      <c r="F1604" s="37"/>
      <c r="G1604" s="24"/>
      <c r="H1604" s="24"/>
    </row>
    <row r="1605" spans="1:8" ht="13.2">
      <c r="A1605" s="65" t="str">
        <f>HYPERLINK("https://wcipeg.com/problem/coci097p2","COCI 09-Cokolada")</f>
        <v>COCI 09-Cokolada</v>
      </c>
      <c r="B1605" s="15" t="s">
        <v>7527</v>
      </c>
      <c r="C1605" s="24">
        <v>1</v>
      </c>
      <c r="D1605" s="65" t="str">
        <f t="shared" ref="D1605:D1606" si="28">HYPERLINK("https://github.com/mostafa-saad/MyCompetitiveProgramming/blob/master/Olympiad/COCI/official/2010/contest7_solutions","Editorial")</f>
        <v>Editorial</v>
      </c>
      <c r="E1605" s="31" t="s">
        <v>7525</v>
      </c>
      <c r="F1605" s="37"/>
      <c r="G1605" s="24"/>
      <c r="H1605" s="24"/>
    </row>
    <row r="1606" spans="1:8" ht="13.2">
      <c r="A1606" s="65" t="str">
        <f>HYPERLINK("https://wcipeg.com/problem/coci097p1","COCI 09-Spavanac")</f>
        <v>COCI 09-Spavanac</v>
      </c>
      <c r="B1606" s="15" t="s">
        <v>7527</v>
      </c>
      <c r="C1606" s="24">
        <v>1</v>
      </c>
      <c r="D1606" s="65" t="str">
        <f t="shared" si="28"/>
        <v>Editorial</v>
      </c>
      <c r="E1606" s="31" t="s">
        <v>7525</v>
      </c>
      <c r="F1606" s="37"/>
      <c r="G1606" s="24"/>
      <c r="H1606" s="24"/>
    </row>
    <row r="1607" spans="1:8" ht="13.2">
      <c r="A1607" s="65" t="str">
        <f>HYPERLINK("https://dmoj.ca/problem/coci06c3p1","COCI 06-Patuljci")</f>
        <v>COCI 06-Patuljci</v>
      </c>
      <c r="B1607" s="15" t="s">
        <v>7527</v>
      </c>
      <c r="C1607" s="24">
        <v>1</v>
      </c>
      <c r="D1607" s="65" t="str">
        <f>HYPERLINK("https://github.com/mostafa-saad/MyCompetitiveProgramming/tree/master/Olympiad/COCI/official/2007/contest3_solutions","Editorial")</f>
        <v>Editorial</v>
      </c>
      <c r="E1607" s="31" t="s">
        <v>7525</v>
      </c>
      <c r="F1607" s="37"/>
      <c r="G1607" s="24"/>
      <c r="H1607" s="24"/>
    </row>
    <row r="1608" spans="1:8" ht="13.2">
      <c r="A1608" s="65" t="str">
        <f>HYPERLINK("https://dmoj.ca/problem/coci06c4p1","COCI 06-Sibice")</f>
        <v>COCI 06-Sibice</v>
      </c>
      <c r="B1608" s="15" t="s">
        <v>7527</v>
      </c>
      <c r="C1608" s="24">
        <v>1</v>
      </c>
      <c r="D1608" s="65" t="str">
        <f>HYPERLINK("https://github.com/mostafa-saad/MyCompetitiveProgramming/tree/master/Olympiad/COCI/official/2007/contest4_solutions","Editorial")</f>
        <v>Editorial</v>
      </c>
      <c r="E1608" s="31" t="s">
        <v>7525</v>
      </c>
      <c r="F1608" s="37"/>
      <c r="G1608" s="24"/>
      <c r="H1608" s="24"/>
    </row>
    <row r="1609" spans="1:8" ht="13.2">
      <c r="A1609" s="65" t="str">
        <f>HYPERLINK("https://dmoj.ca/problem/coci06c5p1","COCI 06-Trik")</f>
        <v>COCI 06-Trik</v>
      </c>
      <c r="B1609" s="15" t="s">
        <v>7527</v>
      </c>
      <c r="C1609" s="24">
        <v>1</v>
      </c>
      <c r="D1609" s="65" t="str">
        <f>HYPERLINK("https://github.com/mostafa-saad/MyCompetitiveProgramming/tree/master/Olympiad/COCI/official/2007/contest5_solutions","Editorial")</f>
        <v>Editorial</v>
      </c>
      <c r="E1609" s="31" t="s">
        <v>7525</v>
      </c>
      <c r="F1609" s="37"/>
      <c r="G1609" s="24"/>
      <c r="H1609" s="24"/>
    </row>
    <row r="1610" spans="1:8" ht="13.2">
      <c r="A1610" s="65" t="str">
        <f>HYPERLINK("https://dmoj.ca/problem/coci06c6p1","COCI 06-Prase")</f>
        <v>COCI 06-Prase</v>
      </c>
      <c r="B1610" s="15" t="s">
        <v>7527</v>
      </c>
      <c r="C1610" s="24">
        <v>1</v>
      </c>
      <c r="D1610" s="65" t="str">
        <f>HYPERLINK("https://github.com/mostafa-saad/MyCompetitiveProgramming/tree/master/Olympiad/COCI/official/2007/contest6_solutions","Editorial")</f>
        <v>Editorial</v>
      </c>
      <c r="E1610" s="31" t="s">
        <v>7525</v>
      </c>
      <c r="F1610" s="37"/>
      <c r="G1610" s="24"/>
      <c r="H1610" s="24"/>
    </row>
    <row r="1611" spans="1:8" ht="13.2">
      <c r="A1611" s="65" t="str">
        <f>HYPERLINK("https://dmoj.ca/problem/coci07c1p1","COCI 07-Cetvrta")</f>
        <v>COCI 07-Cetvrta</v>
      </c>
      <c r="B1611" s="15" t="s">
        <v>7527</v>
      </c>
      <c r="C1611" s="24">
        <v>1</v>
      </c>
      <c r="D1611" s="65" t="str">
        <f t="shared" ref="D1611:D1612" si="29">HYPERLINK("https://github.com/mostafa-saad/MyCompetitiveProgramming/tree/master/Olympiad/COCI/official/2008/contest1_solutions","Editorial")</f>
        <v>Editorial</v>
      </c>
      <c r="E1611" s="31" t="s">
        <v>7525</v>
      </c>
      <c r="F1611" s="37"/>
      <c r="G1611" s="24"/>
      <c r="H1611" s="24"/>
    </row>
    <row r="1612" spans="1:8" ht="13.2">
      <c r="A1612" s="65" t="str">
        <f>HYPERLINK("https://dmoj.ca/problem/coci07c1p3","COCI 07-Prinova")</f>
        <v>COCI 07-Prinova</v>
      </c>
      <c r="B1612" s="15" t="s">
        <v>7527</v>
      </c>
      <c r="C1612" s="24">
        <v>1</v>
      </c>
      <c r="D1612" s="65" t="str">
        <f t="shared" si="29"/>
        <v>Editorial</v>
      </c>
      <c r="E1612" s="31" t="s">
        <v>7525</v>
      </c>
      <c r="F1612" s="37"/>
      <c r="G1612" s="24"/>
      <c r="H1612" s="24"/>
    </row>
    <row r="1613" spans="1:8" ht="13.2">
      <c r="A1613" s="65" t="str">
        <f>HYPERLINK("https://dmoj.ca/problem/coci07c2p2","COCI 07-Crne")</f>
        <v>COCI 07-Crne</v>
      </c>
      <c r="B1613" s="15" t="s">
        <v>7527</v>
      </c>
      <c r="C1613" s="24">
        <v>1</v>
      </c>
      <c r="D1613" s="65" t="str">
        <f>HYPERLINK("https://github.com/mostafa-saad/MyCompetitiveProgramming/tree/master/Olympiad/COCI/official/2008/contest2_solutions","Editorial")</f>
        <v>Editorial</v>
      </c>
      <c r="E1613" s="31" t="s">
        <v>7525</v>
      </c>
      <c r="F1613" s="37"/>
      <c r="G1613" s="24"/>
      <c r="H1613" s="24"/>
    </row>
    <row r="1614" spans="1:8" ht="13.2">
      <c r="A1614" s="65" t="str">
        <f>HYPERLINK("https://dmoj.ca/problem/coci07c3p1","COCI 07-Cetiri")</f>
        <v>COCI 07-Cetiri</v>
      </c>
      <c r="B1614" s="15" t="s">
        <v>7527</v>
      </c>
      <c r="C1614" s="24">
        <v>1</v>
      </c>
      <c r="D1614" s="65" t="str">
        <f t="shared" ref="D1614:D1615" si="30">HYPERLINK("https://github.com/mostafa-saad/MyCompetitiveProgramming/tree/master/Olympiad/COCI/official/2008/contest3_solutions","Editorial")</f>
        <v>Editorial</v>
      </c>
      <c r="E1614" s="31" t="s">
        <v>7525</v>
      </c>
      <c r="F1614" s="37"/>
      <c r="G1614" s="24"/>
      <c r="H1614" s="24"/>
    </row>
    <row r="1615" spans="1:8" ht="13.2">
      <c r="A1615" s="65" t="str">
        <f>HYPERLINK("https://dmoj.ca/problem/coci07c3p2","COCI 07-Oktalni")</f>
        <v>COCI 07-Oktalni</v>
      </c>
      <c r="B1615" s="15" t="s">
        <v>7527</v>
      </c>
      <c r="C1615" s="24">
        <v>1</v>
      </c>
      <c r="D1615" s="65" t="str">
        <f t="shared" si="30"/>
        <v>Editorial</v>
      </c>
      <c r="E1615" s="31" t="s">
        <v>7525</v>
      </c>
      <c r="F1615" s="37"/>
      <c r="G1615" s="24"/>
      <c r="H1615" s="24"/>
    </row>
    <row r="1616" spans="1:8" ht="13.2">
      <c r="A1616" s="65" t="str">
        <f>HYPERLINK("https://dmoj.ca/problem/coci07c5p2","COCI 07-Pascal")</f>
        <v>COCI 07-Pascal</v>
      </c>
      <c r="B1616" s="15" t="s">
        <v>7527</v>
      </c>
      <c r="C1616" s="24">
        <v>1</v>
      </c>
      <c r="D1616" s="65" t="str">
        <f>HYPERLINK("https://github.com/mostafa-saad/MyCompetitiveProgramming/tree/master/Olympiad/COCI/official/2008/contest5_solutions","Editorial")</f>
        <v>Editorial</v>
      </c>
      <c r="E1616" s="31" t="s">
        <v>7525</v>
      </c>
      <c r="F1616" s="37"/>
      <c r="G1616" s="24"/>
      <c r="H1616" s="24"/>
    </row>
    <row r="1617" spans="1:8" ht="13.2">
      <c r="A1617" s="65" t="str">
        <f>HYPERLINK("https://dmoj.ca/problem/coci09c1p1","COCI 09-Note")</f>
        <v>COCI 09-Note</v>
      </c>
      <c r="B1617" s="15" t="s">
        <v>7527</v>
      </c>
      <c r="C1617" s="66">
        <v>1</v>
      </c>
      <c r="D1617" s="69"/>
      <c r="E1617" s="31" t="s">
        <v>7525</v>
      </c>
      <c r="F1617" s="37"/>
      <c r="G1617" s="24"/>
      <c r="H1617" s="24"/>
    </row>
    <row r="1618" spans="1:8" ht="13.2">
      <c r="A1618" s="65" t="str">
        <f>HYPERLINK("https://dunjudge.me/analysis/problems/954/","NOI 16-lunchbox")</f>
        <v>NOI 16-lunchbox</v>
      </c>
      <c r="B1618" s="37" t="s">
        <v>2248</v>
      </c>
      <c r="C1618" s="24">
        <v>1</v>
      </c>
      <c r="D1618" s="65" t="str">
        <f>HYPERLINK("https://github.com/mostafa-saad/MyCompetitiveProgramming/blob/master/Olympiad/NOI/official","Editorial")</f>
        <v>Editorial</v>
      </c>
      <c r="E1618" s="31" t="s">
        <v>2153</v>
      </c>
      <c r="F1618" s="37"/>
      <c r="G1618" s="24"/>
      <c r="H1618" s="24"/>
    </row>
    <row r="1619" spans="1:8" ht="13.2">
      <c r="A1619" s="65" t="str">
        <f>HYPERLINK("https://oj.uz/problem/view/COCI18_prosjek","COCI 18-prosjek")</f>
        <v>COCI 18-prosjek</v>
      </c>
      <c r="B1619" s="20" t="s">
        <v>2163</v>
      </c>
      <c r="C1619" s="24">
        <v>1</v>
      </c>
      <c r="D1619" s="69"/>
      <c r="E1619" s="31" t="s">
        <v>2153</v>
      </c>
      <c r="F1619" s="37"/>
      <c r="G1619" s="24"/>
      <c r="H1619" s="24"/>
    </row>
    <row r="1620" spans="1:8" ht="13.2">
      <c r="A1620" s="65" t="str">
        <f>HYPERLINK("https://dunjudge.me/analysis/problems/214/","NOISelection 10-crunchy")</f>
        <v>NOISelection 10-crunchy</v>
      </c>
      <c r="B1620" s="37" t="s">
        <v>2248</v>
      </c>
      <c r="C1620" s="72">
        <v>1</v>
      </c>
      <c r="D1620" s="69"/>
      <c r="E1620" s="31" t="s">
        <v>2153</v>
      </c>
      <c r="F1620" s="37"/>
      <c r="G1620" s="24"/>
      <c r="H1620" s="24"/>
    </row>
    <row r="1621" spans="1:8" ht="13.2">
      <c r="A1621" s="65" t="str">
        <f>HYPERLINK("https://szkopul.edu.pl/problemset/problem/zKf5Ua8okcS0jngsrTgKVM9L/site/", "POI 15-Trips")</f>
        <v>POI 15-Trips</v>
      </c>
      <c r="B1621" s="37" t="s">
        <v>7354</v>
      </c>
      <c r="C1621" s="24"/>
      <c r="D1621" s="65" t="str">
        <f>HYPERLINK("https://github.com/mostafa-saad/MyCompetitiveProgramming/blob/master/Olympiad/POI/POI-15-Trips.txt","Sol")</f>
        <v>Sol</v>
      </c>
      <c r="E1621" s="31" t="s">
        <v>5246</v>
      </c>
      <c r="F1621" s="37" t="s">
        <v>139</v>
      </c>
      <c r="G1621" s="24"/>
      <c r="H1621" s="24"/>
    </row>
    <row r="1622" spans="1:8" ht="13.2">
      <c r="A1622" s="65" t="str">
        <f>HYPERLINK("https://dunjudge.me/analysis/problems/738/","IOI 02-xor")</f>
        <v>IOI 02-xor</v>
      </c>
      <c r="B1622" s="20" t="s">
        <v>6652</v>
      </c>
      <c r="C1622" s="17"/>
      <c r="D1622" s="65" t="str">
        <f>HYPERLINK("https://github.com/mostafa-saad/MyCompetitiveProgramming/blob/master/Olympiad/IOI/official/2002","Editorial")</f>
        <v>Editorial</v>
      </c>
      <c r="E1622" s="31" t="s">
        <v>125</v>
      </c>
      <c r="F1622" s="37"/>
      <c r="G1622" s="24"/>
      <c r="H1622" s="24"/>
    </row>
    <row r="1623" spans="1:8" ht="13.2">
      <c r="A1623" s="65" t="str">
        <f>HYPERLINK("https://oj.uz/problem/view/POI11_prz","POI 11-prz")</f>
        <v>POI 11-prz</v>
      </c>
      <c r="B1623" s="20" t="s">
        <v>212</v>
      </c>
      <c r="C1623" s="17"/>
      <c r="D1623" s="65" t="str">
        <f t="shared" ref="D1623:D1624" si="31">HYPERLINK("https://github.com/mostafa-saad/MyCompetitiveProgramming/blob/master/Olympiad/POI/official/find_editorial_sols_guidelines.txt","Editorial")</f>
        <v>Editorial</v>
      </c>
      <c r="E1623" s="31" t="s">
        <v>125</v>
      </c>
      <c r="F1623" s="37"/>
      <c r="G1623" s="24"/>
      <c r="H1623" s="24"/>
    </row>
    <row r="1624" spans="1:8" ht="13.2">
      <c r="A1624" s="65" t="str">
        <f>HYPERLINK("https://oj.uz/problem/view/POI13_ins","POI 13-ins")</f>
        <v>POI 13-ins</v>
      </c>
      <c r="B1624" s="37" t="s">
        <v>147</v>
      </c>
      <c r="C1624" s="24"/>
      <c r="D1624" s="65" t="str">
        <f t="shared" si="31"/>
        <v>Editorial</v>
      </c>
      <c r="E1624" s="31" t="s">
        <v>125</v>
      </c>
      <c r="F1624" s="37"/>
      <c r="G1624" s="24"/>
      <c r="H1624" s="24"/>
    </row>
    <row r="1625" spans="1:8" ht="13.2">
      <c r="A1625" s="65" t="str">
        <f>HYPERLINK("https://dunjudge.me/analysis/problems/1478/","NOIPrelim 18-snail")</f>
        <v>NOIPrelim 18-snail</v>
      </c>
      <c r="B1625" s="37" t="s">
        <v>124</v>
      </c>
      <c r="C1625" s="24"/>
      <c r="D1625" s="69"/>
      <c r="E1625" s="31" t="s">
        <v>125</v>
      </c>
      <c r="F1625" s="37"/>
      <c r="G1625" s="24"/>
      <c r="H1625" s="24"/>
    </row>
    <row r="1626" spans="1:8" ht="13.2">
      <c r="A1626" s="65" t="str">
        <f>HYPERLINK("https://dunjudge.me/analysis/problems/677/","NOISelection 15-globalwarming2")</f>
        <v>NOISelection 15-globalwarming2</v>
      </c>
      <c r="B1626" s="37" t="s">
        <v>124</v>
      </c>
      <c r="C1626" s="24"/>
      <c r="D1626" s="69"/>
      <c r="E1626" s="31" t="s">
        <v>125</v>
      </c>
      <c r="F1626" s="37"/>
      <c r="G1626" s="24"/>
      <c r="H1626" s="24"/>
    </row>
    <row r="1627" spans="1:8" ht="13.2">
      <c r="A1627" s="65" t="str">
        <f>HYPERLINK("https://dunjudge.me/analysis/problems/1475/","NOISelection 18-spotlights")</f>
        <v>NOISelection 18-spotlights</v>
      </c>
      <c r="B1627" s="37" t="s">
        <v>124</v>
      </c>
      <c r="C1627" s="24"/>
      <c r="D1627" s="69"/>
      <c r="E1627" s="31" t="s">
        <v>125</v>
      </c>
      <c r="F1627" s="37"/>
      <c r="G1627" s="24"/>
      <c r="H1627" s="24"/>
    </row>
    <row r="1628" spans="1:8" ht="13.2">
      <c r="A1628" s="65" t="str">
        <f>HYPERLINK("https://dunjudge.me/analysis/problems/1474/","NOISelection 18-stagegames")</f>
        <v>NOISelection 18-stagegames</v>
      </c>
      <c r="B1628" s="37" t="s">
        <v>124</v>
      </c>
      <c r="C1628" s="24"/>
      <c r="D1628" s="69"/>
      <c r="E1628" s="31" t="s">
        <v>125</v>
      </c>
      <c r="F1628" s="37"/>
      <c r="G1628" s="24"/>
      <c r="H1628" s="24"/>
    </row>
    <row r="1629" spans="1:8" ht="13.2">
      <c r="A1629" s="65" t="str">
        <f>HYPERLINK("https://dunjudge.me/analysis/problems/1496/","NOI 06-claw")</f>
        <v>NOI 06-claw</v>
      </c>
      <c r="B1629" s="37" t="s">
        <v>1358</v>
      </c>
      <c r="C1629" s="24"/>
      <c r="D1629" s="69"/>
      <c r="E1629" s="31" t="s">
        <v>1337</v>
      </c>
      <c r="F1629" s="37"/>
      <c r="G1629" s="24"/>
      <c r="H1629" s="24"/>
    </row>
    <row r="1630" spans="1:8" ht="13.2">
      <c r="A1630" s="65" t="str">
        <f>HYPERLINK("https://dunjudge.me/analysis/problems/1480/","NOIPrelim 18-knapsack")</f>
        <v>NOIPrelim 18-knapsack</v>
      </c>
      <c r="B1630" s="37" t="s">
        <v>1348</v>
      </c>
      <c r="C1630" s="24"/>
      <c r="D1630" s="69"/>
      <c r="E1630" s="31" t="s">
        <v>1337</v>
      </c>
      <c r="F1630" s="37"/>
      <c r="G1630" s="24"/>
      <c r="H1630" s="24"/>
    </row>
    <row r="1631" spans="1:8" ht="13.2">
      <c r="A1631" s="65" t="str">
        <f>HYPERLINK("https://dunjudge.me/analysis/problems/419/","NOISelection 14-sardines")</f>
        <v>NOISelection 14-sardines</v>
      </c>
      <c r="B1631" s="37" t="s">
        <v>1348</v>
      </c>
      <c r="C1631" s="24"/>
      <c r="D1631" s="69"/>
      <c r="E1631" s="31" t="s">
        <v>1337</v>
      </c>
      <c r="F1631" s="37"/>
      <c r="G1631" s="24"/>
      <c r="H1631" s="24"/>
    </row>
    <row r="1632" spans="1:8" ht="13.2">
      <c r="A1632" s="65" t="str">
        <f>HYPERLINK("https://dunjudge.me/analysis/problems/414/","NOISelection 14-schedule")</f>
        <v>NOISelection 14-schedule</v>
      </c>
      <c r="B1632" s="37" t="s">
        <v>1348</v>
      </c>
      <c r="C1632" s="24"/>
      <c r="D1632" s="69"/>
      <c r="E1632" s="31" t="s">
        <v>1337</v>
      </c>
      <c r="F1632" s="37"/>
      <c r="G1632" s="24"/>
      <c r="H1632" s="24"/>
    </row>
    <row r="1633" spans="1:8" ht="13.2">
      <c r="A1633" s="65" t="str">
        <f>HYPERLINK("https://dunjudge.me/analysis/problems/681/","NOISelection 15-diversity")</f>
        <v>NOISelection 15-diversity</v>
      </c>
      <c r="B1633" s="37" t="s">
        <v>1348</v>
      </c>
      <c r="C1633" s="24"/>
      <c r="D1633" s="69"/>
      <c r="E1633" s="31" t="s">
        <v>1337</v>
      </c>
      <c r="F1633" s="37"/>
      <c r="G1633" s="24"/>
      <c r="H1633" s="24"/>
    </row>
    <row r="1634" spans="1:8" ht="13.2">
      <c r="A1634" s="65" t="str">
        <f>HYPERLINK("https://dunjudge.me/analysis/problems/675/","NOISelection 15-orchard2")</f>
        <v>NOISelection 15-orchard2</v>
      </c>
      <c r="B1634" s="37" t="s">
        <v>1348</v>
      </c>
      <c r="C1634" s="24"/>
      <c r="D1634" s="69"/>
      <c r="E1634" s="31" t="s">
        <v>1337</v>
      </c>
      <c r="F1634" s="37"/>
      <c r="G1634" s="24"/>
      <c r="H1634" s="24"/>
    </row>
    <row r="1635" spans="1:8" ht="13.2">
      <c r="A1635" s="65" t="str">
        <f>HYPERLINK("https://dunjudge.me/analysis/problems/934/","NOISelection 16-catteams")</f>
        <v>NOISelection 16-catteams</v>
      </c>
      <c r="B1635" s="37" t="s">
        <v>1561</v>
      </c>
      <c r="C1635" s="24"/>
      <c r="D1635" s="69"/>
      <c r="E1635" s="31" t="s">
        <v>1337</v>
      </c>
      <c r="F1635" s="37"/>
      <c r="G1635" s="24"/>
      <c r="H1635" s="24"/>
    </row>
    <row r="1636" spans="1:8" ht="13.2">
      <c r="A1636" s="65" t="str">
        <f>HYPERLINK("https://dunjudge.me/analysis/problems/1471/","NOISelection 18-llis")</f>
        <v>NOISelection 18-llis</v>
      </c>
      <c r="B1636" s="37" t="s">
        <v>1348</v>
      </c>
      <c r="C1636" s="24"/>
      <c r="D1636" s="69"/>
      <c r="E1636" s="31" t="s">
        <v>1337</v>
      </c>
      <c r="F1636" s="37"/>
      <c r="G1636" s="24"/>
      <c r="H1636" s="24"/>
    </row>
    <row r="1637" spans="1:8" ht="13.2">
      <c r="A1637" s="65" t="str">
        <f>HYPERLINK("https://dunjudge.me/analysis/problems/1461/","NOISelection 18-modules")</f>
        <v>NOISelection 18-modules</v>
      </c>
      <c r="B1637" s="37" t="s">
        <v>1366</v>
      </c>
      <c r="C1637" s="24"/>
      <c r="D1637" s="69"/>
      <c r="E1637" s="31" t="s">
        <v>1337</v>
      </c>
      <c r="F1637" s="37"/>
      <c r="G1637" s="24"/>
      <c r="H1637" s="24"/>
    </row>
    <row r="1638" spans="1:8" ht="13.2">
      <c r="A1638" s="65" t="str">
        <f>HYPERLINK("https://dunjudge.me/analysis/problems/1473/","NOISelection 18-supperbox")</f>
        <v>NOISelection 18-supperbox</v>
      </c>
      <c r="B1638" s="37" t="s">
        <v>1561</v>
      </c>
      <c r="C1638" s="24"/>
      <c r="D1638" s="69"/>
      <c r="E1638" s="31" t="s">
        <v>1337</v>
      </c>
      <c r="F1638" s="37"/>
      <c r="G1638" s="24"/>
      <c r="H1638" s="24"/>
    </row>
    <row r="1639" spans="1:8" ht="13.2">
      <c r="A1639" s="65" t="str">
        <f>HYPERLINK("https://cses.fi/204/list/","Baltic 18-Worm")</f>
        <v>Baltic 18-Worm</v>
      </c>
      <c r="B1639" s="37" t="s">
        <v>6668</v>
      </c>
      <c r="C1639" s="24"/>
      <c r="D1639" s="65" t="str">
        <f>HYPERLINK("https://github.com/mostafa-saad/MyCompetitiveProgramming/tree/master/Olympiad/Baltic/official/boi2018_solutions","Editorial")</f>
        <v>Editorial</v>
      </c>
      <c r="E1639" s="31" t="s">
        <v>332</v>
      </c>
      <c r="F1639" s="37"/>
      <c r="G1639" s="24"/>
      <c r="H1639" s="24"/>
    </row>
    <row r="1640" spans="1:8" ht="13.2">
      <c r="A1640" s="65" t="str">
        <f>HYPERLINK("https://dunjudge.me/analysis/problems/421/","NOISelection 14-anglerfish")</f>
        <v>NOISelection 14-anglerfish</v>
      </c>
      <c r="B1640" s="37" t="s">
        <v>359</v>
      </c>
      <c r="C1640" s="24"/>
      <c r="D1640" s="69"/>
      <c r="E1640" s="31" t="s">
        <v>332</v>
      </c>
      <c r="F1640" s="37"/>
      <c r="G1640" s="24"/>
      <c r="H1640" s="24"/>
    </row>
    <row r="1641" spans="1:8" ht="13.2">
      <c r="A1641" s="65" t="str">
        <f>HYPERLINK("https://cses.fi/110/list/","Baltic 06-City")</f>
        <v>Baltic 06-City</v>
      </c>
      <c r="B1641" s="37" t="s">
        <v>7527</v>
      </c>
      <c r="C1641" s="24"/>
      <c r="D1641" s="69"/>
      <c r="E1641" s="31" t="s">
        <v>7525</v>
      </c>
      <c r="F1641" s="37"/>
      <c r="G1641" s="24"/>
      <c r="H1641" s="24"/>
    </row>
    <row r="1642" spans="1:8" ht="13.2">
      <c r="A1642" s="65" t="str">
        <f>HYPERLINK("https://cses.fi/109/list/","Baltic 06-Coin")</f>
        <v>Baltic 06-Coin</v>
      </c>
      <c r="B1642" s="37" t="s">
        <v>7527</v>
      </c>
      <c r="C1642" s="24"/>
      <c r="D1642" s="69"/>
      <c r="E1642" s="31" t="s">
        <v>7525</v>
      </c>
      <c r="F1642" s="37"/>
      <c r="G1642" s="24"/>
      <c r="H1642" s="24"/>
    </row>
    <row r="1643" spans="1:8" ht="13.2">
      <c r="A1643" s="65" t="str">
        <f>HYPERLINK("https://dmoj.ca/problem/mwc15c2p2","MWC 15-ToweringTowers")</f>
        <v>MWC 15-ToweringTowers</v>
      </c>
      <c r="B1643" s="37" t="s">
        <v>7527</v>
      </c>
      <c r="C1643" s="24"/>
      <c r="D1643" s="69"/>
      <c r="E1643" s="31" t="s">
        <v>7525</v>
      </c>
      <c r="F1643" s="37"/>
      <c r="G1643" s="24"/>
      <c r="H1643" s="24"/>
    </row>
    <row r="1644" spans="1:8" ht="13.2">
      <c r="A1644" s="65" t="str">
        <f>HYPERLINK("https://szkopul.edu.pl/problemset/problem/eHGwrk9xShVF-z_2f7K4Yyb_/site/", "POI 18-Diversity")</f>
        <v>POI 18-Diversity</v>
      </c>
      <c r="B1644" s="37" t="s">
        <v>7527</v>
      </c>
      <c r="C1644" s="24"/>
      <c r="D1644" s="69"/>
      <c r="E1644" s="31" t="s">
        <v>7525</v>
      </c>
      <c r="F1644" s="37"/>
      <c r="G1644" s="24"/>
      <c r="H1644" s="24"/>
    </row>
    <row r="1645" spans="1:8" ht="13.2">
      <c r="A1645" s="65" t="str">
        <f>HYPERLINK("https://szkopul.edu.pl/problemset/problem/KkN5UonnNGIG3AuMqoI6xr62/site/", "POI 18-Lawyers")</f>
        <v>POI 18-Lawyers</v>
      </c>
      <c r="B1645" s="37" t="s">
        <v>7527</v>
      </c>
      <c r="C1645" s="24"/>
      <c r="D1645" s="69"/>
      <c r="E1645" s="31" t="s">
        <v>7525</v>
      </c>
      <c r="F1645" s="37"/>
      <c r="G1645" s="24"/>
      <c r="H1645" s="24"/>
    </row>
    <row r="1646" spans="1:8" ht="13.2">
      <c r="A1646" s="65" t="str">
        <f>HYPERLINK("https://www.acmicpc.net/problem/7085","Balkan 05-Couples")</f>
        <v>Balkan 05-Couples</v>
      </c>
      <c r="B1646" s="37" t="s">
        <v>7527</v>
      </c>
      <c r="C1646" s="24"/>
      <c r="D1646" s="69"/>
      <c r="E1646" s="31" t="s">
        <v>7525</v>
      </c>
      <c r="F1646" s="37"/>
      <c r="G1646" s="24"/>
      <c r="H1646" s="24"/>
    </row>
    <row r="1647" spans="1:8" ht="13.2">
      <c r="A1647" s="65" t="str">
        <f>HYPERLINK("https://www.acmicpc.net/problem/7083","Balkan 05-CPU")</f>
        <v>Balkan 05-CPU</v>
      </c>
      <c r="B1647" s="37" t="s">
        <v>7527</v>
      </c>
      <c r="C1647" s="24"/>
      <c r="D1647" s="69"/>
      <c r="E1647" s="31" t="s">
        <v>7525</v>
      </c>
      <c r="F1647" s="37"/>
      <c r="G1647" s="24"/>
      <c r="H1647" s="24"/>
    </row>
    <row r="1648" spans="1:8" ht="13.2">
      <c r="A1648" s="65" t="str">
        <f>HYPERLINK("https://www.acmicpc.net/problem/7084","Balkan 05-Requests")</f>
        <v>Balkan 05-Requests</v>
      </c>
      <c r="B1648" s="37" t="s">
        <v>7527</v>
      </c>
      <c r="C1648" s="24"/>
      <c r="D1648" s="69"/>
      <c r="E1648" s="31" t="s">
        <v>7525</v>
      </c>
      <c r="F1648" s="37"/>
      <c r="G1648" s="24"/>
      <c r="H1648" s="24"/>
    </row>
    <row r="1649" spans="1:8" ht="13.2">
      <c r="A1649" s="65" t="str">
        <f>HYPERLINK("https://www.acmicpc.net/problem/7087","Balkan 05-Tickets")</f>
        <v>Balkan 05-Tickets</v>
      </c>
      <c r="B1649" s="37" t="s">
        <v>7527</v>
      </c>
      <c r="C1649" s="24"/>
      <c r="D1649" s="69"/>
      <c r="E1649" s="31" t="s">
        <v>7525</v>
      </c>
      <c r="F1649" s="37"/>
      <c r="G1649" s="24"/>
      <c r="H1649" s="24"/>
    </row>
    <row r="1650" spans="1:8" ht="13.2">
      <c r="A1650" s="65" t="str">
        <f>HYPERLINK("https://www.acmicpc.net/problem/7088","Balkan 05-WordCounting")</f>
        <v>Balkan 05-WordCounting</v>
      </c>
      <c r="B1650" s="37" t="s">
        <v>7527</v>
      </c>
      <c r="C1650" s="24"/>
      <c r="D1650" s="69"/>
      <c r="E1650" s="31" t="s">
        <v>7525</v>
      </c>
      <c r="F1650" s="37"/>
      <c r="G1650" s="24"/>
      <c r="H1650" s="24"/>
    </row>
    <row r="1651" spans="1:8" ht="13.2">
      <c r="A1651" s="65" t="str">
        <f>HYPERLINK("https://www.acmicpc.net/problem/7080","Balkan 09-NewBeginning")</f>
        <v>Balkan 09-NewBeginning</v>
      </c>
      <c r="B1651" s="37" t="s">
        <v>7527</v>
      </c>
      <c r="C1651" s="24"/>
      <c r="D1651" s="69"/>
      <c r="E1651" s="31" t="s">
        <v>7525</v>
      </c>
      <c r="F1651" s="37"/>
      <c r="G1651" s="24"/>
      <c r="H1651" s="24"/>
    </row>
    <row r="1652" spans="1:8" ht="13.2">
      <c r="A1652" s="65" t="str">
        <f>HYPERLINK("https://www.acmicpc.net/problem/7082","Balkan 09-Strip")</f>
        <v>Balkan 09-Strip</v>
      </c>
      <c r="B1652" s="37" t="s">
        <v>7527</v>
      </c>
      <c r="C1652" s="24"/>
      <c r="D1652" s="69"/>
      <c r="E1652" s="31" t="s">
        <v>7525</v>
      </c>
      <c r="F1652" s="37"/>
      <c r="G1652" s="24"/>
      <c r="H1652" s="24"/>
    </row>
    <row r="1653" spans="1:8" ht="13.2">
      <c r="A1653" s="65" t="str">
        <f>HYPERLINK("https://www.acmicpc.net/problem/5249","Balkan 12-BOI_handsome")</f>
        <v>Balkan 12-BOI_handsome</v>
      </c>
      <c r="B1653" s="37" t="s">
        <v>7527</v>
      </c>
      <c r="C1653" s="24"/>
      <c r="D1653" s="69"/>
      <c r="E1653" s="31" t="s">
        <v>7525</v>
      </c>
      <c r="F1653" s="37"/>
      <c r="G1653" s="24"/>
      <c r="H1653" s="24"/>
    </row>
    <row r="1654" spans="1:8" ht="13.2">
      <c r="A1654" s="65" t="str">
        <f>HYPERLINK("https://www.acmicpc.net/problem/2192","Balkan 04-two_sequences")</f>
        <v>Balkan 04-two_sequences</v>
      </c>
      <c r="B1654" s="37" t="s">
        <v>7527</v>
      </c>
      <c r="C1654" s="24"/>
      <c r="D1654" s="69"/>
      <c r="E1654" s="31" t="s">
        <v>7525</v>
      </c>
      <c r="F1654" s="37"/>
      <c r="G1654" s="24"/>
      <c r="H1654" s="24"/>
    </row>
    <row r="1655" spans="1:8" ht="13.2">
      <c r="A1655" s="65" t="str">
        <f>HYPERLINK("https://www.acmicpc.net/problem/2336","Balkan 04-great_student")</f>
        <v>Balkan 04-great_student</v>
      </c>
      <c r="B1655" s="37" t="s">
        <v>7527</v>
      </c>
      <c r="C1655" s="24"/>
      <c r="D1655" s="69"/>
      <c r="E1655" s="31" t="s">
        <v>7525</v>
      </c>
      <c r="F1655" s="37"/>
      <c r="G1655" s="24"/>
      <c r="H1655" s="24"/>
    </row>
    <row r="1656" spans="1:8" ht="13.2">
      <c r="A1656" s="65" t="str">
        <f>HYPERLINK("https://oj.uz/problem/view/POI11_dyn","POI 11-dyn")</f>
        <v>POI 11-dyn</v>
      </c>
      <c r="B1656" s="20" t="s">
        <v>7527</v>
      </c>
      <c r="C1656" s="17"/>
      <c r="D1656" s="65" t="str">
        <f t="shared" ref="D1656:D1657" si="32">HYPERLINK("https://github.com/mostafa-saad/MyCompetitiveProgramming/blob/master/Olympiad/POI/official/find_editorial_sols_guidelines.txt","Editorial")</f>
        <v>Editorial</v>
      </c>
      <c r="E1656" s="31" t="s">
        <v>7525</v>
      </c>
      <c r="F1656" s="37"/>
      <c r="G1656" s="24"/>
      <c r="H1656" s="24"/>
    </row>
    <row r="1657" spans="1:8" ht="13.2">
      <c r="A1657" s="65" t="str">
        <f>HYPERLINK("https://oj.uz/problem/view/POI13_gob","POI 13-gob")</f>
        <v>POI 13-gob</v>
      </c>
      <c r="B1657" s="37" t="s">
        <v>7582</v>
      </c>
      <c r="C1657" s="24"/>
      <c r="D1657" s="65" t="str">
        <f t="shared" si="32"/>
        <v>Editorial</v>
      </c>
      <c r="E1657" s="31" t="s">
        <v>7525</v>
      </c>
      <c r="F1657" s="37"/>
      <c r="G1657" s="24"/>
      <c r="H1657" s="24"/>
    </row>
    <row r="1658" spans="1:8" ht="13.2">
      <c r="A1658" s="65" t="str">
        <f>HYPERLINK("https://dunjudge.me/analysis/problems/437/","APIO 13-tasksauthor")</f>
        <v>APIO 13-tasksauthor</v>
      </c>
      <c r="B1658" s="20" t="s">
        <v>7526</v>
      </c>
      <c r="C1658" s="81"/>
      <c r="D1658" s="69"/>
      <c r="E1658" s="31" t="s">
        <v>7525</v>
      </c>
      <c r="F1658" s="37"/>
      <c r="G1658" s="24"/>
      <c r="H1658" s="24"/>
    </row>
    <row r="1659" spans="1:8" ht="13.2">
      <c r="A1659" s="65" t="str">
        <f>HYPERLINK("https://open.kattis.com/problem-sources/Baltic%20Olympiad%20in%20Informatics%202017%2C%20Warmup","BalticWarmup 17-BirdRescue")</f>
        <v>BalticWarmup 17-BirdRescue</v>
      </c>
      <c r="B1659" s="15" t="s">
        <v>7527</v>
      </c>
      <c r="C1659" s="24"/>
      <c r="D1659" s="69"/>
      <c r="E1659" s="31" t="s">
        <v>7525</v>
      </c>
      <c r="F1659" s="37"/>
      <c r="G1659" s="24"/>
      <c r="H1659" s="24"/>
    </row>
    <row r="1660" spans="1:8" ht="13.2">
      <c r="A1660" s="65" t="str">
        <f>HYPERLINK("https://open.kattis.com/problem-sources/Baltic%20Olympiad%20in%20Informatics%202017%2C%20Warmup","BalticWarmup 17-PongTournament")</f>
        <v>BalticWarmup 17-PongTournament</v>
      </c>
      <c r="B1660" s="15" t="s">
        <v>7527</v>
      </c>
      <c r="C1660" s="24"/>
      <c r="D1660" s="69"/>
      <c r="E1660" s="31" t="s">
        <v>7525</v>
      </c>
      <c r="F1660" s="37"/>
      <c r="G1660" s="24"/>
      <c r="H1660" s="24"/>
    </row>
    <row r="1661" spans="1:8" ht="13.2">
      <c r="A1661" s="65" t="str">
        <f>HYPERLINK("https://oj.uz/problem/view/COCI18_nlo","COCI 18-nlo")</f>
        <v>COCI 18-nlo</v>
      </c>
      <c r="B1661" s="37" t="s">
        <v>7527</v>
      </c>
      <c r="C1661" s="24"/>
      <c r="D1661" s="69"/>
      <c r="E1661" s="31" t="s">
        <v>7525</v>
      </c>
      <c r="F1661" s="37"/>
      <c r="G1661" s="24"/>
      <c r="H1661" s="24"/>
    </row>
    <row r="1662" spans="1:8" ht="13.2">
      <c r="A1662" s="65" t="str">
        <f>HYPERLINK("https://oj.uz/problem/view/COCI18_prakticni","COCI 18-prakticni")</f>
        <v>COCI 18-prakticni</v>
      </c>
      <c r="B1662" s="37" t="s">
        <v>7527</v>
      </c>
      <c r="C1662" s="24"/>
      <c r="D1662" s="69"/>
      <c r="E1662" s="31" t="s">
        <v>7525</v>
      </c>
      <c r="F1662" s="37"/>
      <c r="G1662" s="24"/>
      <c r="H1662" s="24"/>
    </row>
    <row r="1663" spans="1:8" ht="13.2">
      <c r="A1663" s="65" t="str">
        <f>HYPERLINK("https://oj.uz/problem/view/COCI19_akvizna","COCI 19-akvizna")</f>
        <v>COCI 19-akvizna</v>
      </c>
      <c r="B1663" s="37" t="s">
        <v>7527</v>
      </c>
      <c r="C1663" s="24"/>
      <c r="D1663" s="69"/>
      <c r="E1663" s="31" t="s">
        <v>7525</v>
      </c>
      <c r="F1663" s="37"/>
      <c r="G1663" s="24"/>
      <c r="H1663" s="24"/>
    </row>
    <row r="1664" spans="1:8" ht="13.2">
      <c r="A1664" s="65" t="str">
        <f>HYPERLINK("https://oj.uz/problem/view/COCI19_jarvis","COCI 19-jarvis")</f>
        <v>COCI 19-jarvis</v>
      </c>
      <c r="B1664" s="37" t="s">
        <v>7527</v>
      </c>
      <c r="C1664" s="24"/>
      <c r="D1664" s="69"/>
      <c r="E1664" s="31" t="s">
        <v>7525</v>
      </c>
      <c r="F1664" s="37"/>
      <c r="G1664" s="24"/>
      <c r="H1664" s="24"/>
    </row>
    <row r="1665" spans="1:8" ht="13.2">
      <c r="A1665" s="65" t="str">
        <f>HYPERLINK("https://oj.uz/problem/view/COCI19_kisik","COCI 19-kisik")</f>
        <v>COCI 19-kisik</v>
      </c>
      <c r="B1665" s="37" t="s">
        <v>7527</v>
      </c>
      <c r="C1665" s="24"/>
      <c r="D1665" s="69"/>
      <c r="E1665" s="31" t="s">
        <v>7525</v>
      </c>
      <c r="F1665" s="37"/>
      <c r="G1665" s="24"/>
      <c r="H1665" s="24"/>
    </row>
    <row r="1666" spans="1:8" ht="13.2">
      <c r="A1666" s="65" t="str">
        <f>HYPERLINK("https://oj.uz/problem/view/COCI19_slagalica","COCI 19-slagalica")</f>
        <v>COCI 19-slagalica</v>
      </c>
      <c r="B1666" s="37" t="s">
        <v>7527</v>
      </c>
      <c r="C1666" s="24"/>
      <c r="D1666" s="69"/>
      <c r="E1666" s="31" t="s">
        <v>7525</v>
      </c>
      <c r="F1666" s="37"/>
      <c r="G1666" s="24"/>
      <c r="H1666" s="24"/>
    </row>
    <row r="1667" spans="1:8" ht="13.2">
      <c r="A1667" s="65" t="str">
        <f>HYPERLINK("https://oj.uz/problem/view/COCI19_titlovi","COCI 19-titlovi")</f>
        <v>COCI 19-titlovi</v>
      </c>
      <c r="B1667" s="37" t="s">
        <v>7527</v>
      </c>
      <c r="C1667" s="24"/>
      <c r="D1667" s="69"/>
      <c r="E1667" s="31" t="s">
        <v>7525</v>
      </c>
      <c r="F1667" s="37"/>
      <c r="G1667" s="24"/>
      <c r="H1667" s="24"/>
    </row>
    <row r="1668" spans="1:8" ht="13.2">
      <c r="A1668" s="65" t="str">
        <f>HYPERLINK("https://oj.uz/problem/view/COCI19_wand","COCI 19-wand")</f>
        <v>COCI 19-wand</v>
      </c>
      <c r="B1668" s="37" t="s">
        <v>7527</v>
      </c>
      <c r="C1668" s="24"/>
      <c r="D1668" s="69"/>
      <c r="E1668" s="31" t="s">
        <v>7525</v>
      </c>
      <c r="F1668" s="37"/>
      <c r="G1668" s="24"/>
      <c r="H1668" s="24"/>
    </row>
    <row r="1669" spans="1:8" ht="13.2">
      <c r="A1669" s="65" t="str">
        <f>HYPERLINK("https://dmoj.ca/problem/bf3","Dmoj NextPrime")</f>
        <v>Dmoj NextPrime</v>
      </c>
      <c r="B1669" s="37" t="s">
        <v>7527</v>
      </c>
      <c r="C1669" s="24"/>
      <c r="D1669" s="69"/>
      <c r="E1669" s="31" t="s">
        <v>7525</v>
      </c>
      <c r="F1669" s="37"/>
      <c r="G1669" s="24"/>
      <c r="H1669" s="24"/>
    </row>
    <row r="1670" spans="1:8" ht="13.2">
      <c r="A1670" s="65" t="str">
        <f>HYPERLINK("https://dunjudge.me/analysis/problems/1243/","HAOI 07-idealsquare")</f>
        <v>HAOI 07-idealsquare</v>
      </c>
      <c r="B1670" s="20" t="s">
        <v>7527</v>
      </c>
      <c r="C1670" s="24"/>
      <c r="D1670" s="69"/>
      <c r="E1670" s="31" t="s">
        <v>7525</v>
      </c>
      <c r="F1670" s="37"/>
      <c r="G1670" s="24"/>
      <c r="H1670" s="24"/>
    </row>
    <row r="1671" spans="1:8" ht="13.2">
      <c r="A1671" s="65" t="str">
        <f>HYPERLINK("https://oj.uz/problem/view/info1cup17_binary","info1cup 17-binary")</f>
        <v>info1cup 17-binary</v>
      </c>
      <c r="B1671" s="37" t="s">
        <v>7527</v>
      </c>
      <c r="C1671" s="24"/>
      <c r="D1671" s="69"/>
      <c r="E1671" s="31" t="s">
        <v>7525</v>
      </c>
      <c r="F1671" s="37"/>
      <c r="G1671" s="24"/>
      <c r="H1671" s="24"/>
    </row>
    <row r="1672" spans="1:8" ht="13.2">
      <c r="A1672" s="65" t="str">
        <f>HYPERLINK("https://oj.uz/problem/view/info1cup17_eastereggs","info1cup 17-eastereggs")</f>
        <v>info1cup 17-eastereggs</v>
      </c>
      <c r="B1672" s="37" t="s">
        <v>7527</v>
      </c>
      <c r="C1672" s="24"/>
      <c r="D1672" s="69"/>
      <c r="E1672" s="31" t="s">
        <v>7525</v>
      </c>
      <c r="F1672" s="37"/>
      <c r="G1672" s="24"/>
      <c r="H1672" s="24"/>
    </row>
    <row r="1673" spans="1:8" ht="13.2">
      <c r="A1673" s="65" t="str">
        <f>HYPERLINK("https://oj.uz/problem/view/info1cup17_permutation","info1cup 17-permutation")</f>
        <v>info1cup 17-permutation</v>
      </c>
      <c r="B1673" s="37" t="s">
        <v>7527</v>
      </c>
      <c r="C1673" s="24"/>
      <c r="D1673" s="69"/>
      <c r="E1673" s="31" t="s">
        <v>7525</v>
      </c>
      <c r="F1673" s="37"/>
      <c r="G1673" s="24"/>
      <c r="H1673" s="24"/>
    </row>
    <row r="1674" spans="1:8" ht="13.2">
      <c r="A1674" s="65" t="str">
        <f>HYPERLINK("https://oj.uz/problem/view/info1cup17_xorsum","info1cup 17-xorsum")</f>
        <v>info1cup 17-xorsum</v>
      </c>
      <c r="B1674" s="37" t="s">
        <v>7527</v>
      </c>
      <c r="C1674" s="24"/>
      <c r="D1674" s="69"/>
      <c r="E1674" s="31" t="s">
        <v>7525</v>
      </c>
      <c r="F1674" s="37"/>
      <c r="G1674" s="24"/>
      <c r="H1674" s="24"/>
    </row>
    <row r="1675" spans="1:8" ht="13.2">
      <c r="A1675" s="65" t="str">
        <f>HYPERLINK("https://oj.uz/problem/view/info1cup18_balancedtree","info1cup 18-balancedtree")</f>
        <v>info1cup 18-balancedtree</v>
      </c>
      <c r="B1675" s="37" t="s">
        <v>7527</v>
      </c>
      <c r="C1675" s="24"/>
      <c r="D1675" s="69"/>
      <c r="E1675" s="31" t="s">
        <v>7525</v>
      </c>
      <c r="F1675" s="37"/>
      <c r="G1675" s="24"/>
      <c r="H1675" s="24"/>
    </row>
    <row r="1676" spans="1:8" ht="13.2">
      <c r="A1676" s="65" t="str">
        <f>HYPERLINK("https://oj.uz/problem/view/info1cup18_cambridge","info1cup 18-cambridge")</f>
        <v>info1cup 18-cambridge</v>
      </c>
      <c r="B1676" s="37" t="s">
        <v>7527</v>
      </c>
      <c r="C1676" s="24"/>
      <c r="D1676" s="69"/>
      <c r="E1676" s="31" t="s">
        <v>7525</v>
      </c>
      <c r="F1676" s="37"/>
      <c r="G1676" s="24"/>
      <c r="H1676" s="24"/>
    </row>
    <row r="1677" spans="1:8" ht="13.2">
      <c r="A1677" s="65" t="str">
        <f>HYPERLINK("https://oj.uz/problem/view/info1cup18_del13","info1cup 18-del13")</f>
        <v>info1cup 18-del13</v>
      </c>
      <c r="B1677" s="37" t="s">
        <v>7527</v>
      </c>
      <c r="C1677" s="24"/>
      <c r="D1677" s="69"/>
      <c r="E1677" s="31" t="s">
        <v>7525</v>
      </c>
      <c r="F1677" s="37"/>
      <c r="G1677" s="24"/>
      <c r="H1677" s="24"/>
    </row>
    <row r="1678" spans="1:8" ht="13.2">
      <c r="A1678" s="65" t="str">
        <f>HYPERLINK("https://oj.uz/problem/view/info1cup18_norela","info1cup 18-norela")</f>
        <v>info1cup 18-norela</v>
      </c>
      <c r="B1678" s="37" t="s">
        <v>7527</v>
      </c>
      <c r="C1678" s="24"/>
      <c r="D1678" s="69"/>
      <c r="E1678" s="31" t="s">
        <v>7525</v>
      </c>
      <c r="F1678" s="37"/>
      <c r="G1678" s="24"/>
      <c r="H1678" s="24"/>
    </row>
    <row r="1679" spans="1:8" ht="13.2">
      <c r="A1679" s="65" t="str">
        <f>HYPERLINK("https://oj.uz/problem/view/info1cup18_palindromes","info1cup 18-palindromes")</f>
        <v>info1cup 18-palindromes</v>
      </c>
      <c r="B1679" s="37" t="s">
        <v>7527</v>
      </c>
      <c r="C1679" s="24"/>
      <c r="D1679" s="69"/>
      <c r="E1679" s="31" t="s">
        <v>7525</v>
      </c>
      <c r="F1679" s="37"/>
      <c r="G1679" s="24"/>
      <c r="H1679" s="24"/>
    </row>
    <row r="1680" spans="1:8" ht="13.2">
      <c r="A1680" s="65" t="str">
        <f>HYPERLINK("https://oj.uz/problem/view/info1cup18_shell","info1cup 18-shell")</f>
        <v>info1cup 18-shell</v>
      </c>
      <c r="B1680" s="37" t="s">
        <v>7527</v>
      </c>
      <c r="C1680" s="24"/>
      <c r="D1680" s="69"/>
      <c r="E1680" s="31" t="s">
        <v>7525</v>
      </c>
      <c r="F1680" s="37"/>
      <c r="G1680" s="24"/>
      <c r="H1680" s="24"/>
    </row>
    <row r="1681" spans="1:8" ht="13.2">
      <c r="A1681" s="65" t="str">
        <f>HYPERLINK("https://oj.uz/problem/view/info1cup18_thegrade","info1cup 18-thegrade")</f>
        <v>info1cup 18-thegrade</v>
      </c>
      <c r="B1681" s="37" t="s">
        <v>7527</v>
      </c>
      <c r="C1681" s="24"/>
      <c r="D1681" s="69"/>
      <c r="E1681" s="31" t="s">
        <v>7525</v>
      </c>
      <c r="F1681" s="37"/>
      <c r="G1681" s="24"/>
      <c r="H1681" s="24"/>
    </row>
    <row r="1682" spans="1:8" ht="13.2">
      <c r="A1682" s="65" t="str">
        <f>HYPERLINK("https://oj.uz/problem/view/innopolis2018_final_A","innopolis 18-final_A")</f>
        <v>innopolis 18-final_A</v>
      </c>
      <c r="B1682" s="37" t="s">
        <v>7527</v>
      </c>
      <c r="C1682" s="24"/>
      <c r="D1682" s="69"/>
      <c r="E1682" s="31" t="s">
        <v>7525</v>
      </c>
      <c r="F1682" s="37"/>
      <c r="G1682" s="24"/>
      <c r="H1682" s="24"/>
    </row>
    <row r="1683" spans="1:8" ht="13.2">
      <c r="A1683" s="65" t="str">
        <f>HYPERLINK("https://oj.uz/problem/view/innopolis2018_final_B","innopolis 18-final_B")</f>
        <v>innopolis 18-final_B</v>
      </c>
      <c r="B1683" s="37" t="s">
        <v>7527</v>
      </c>
      <c r="C1683" s="24"/>
      <c r="D1683" s="69"/>
      <c r="E1683" s="31" t="s">
        <v>7525</v>
      </c>
      <c r="F1683" s="37"/>
      <c r="G1683" s="24"/>
      <c r="H1683" s="24"/>
    </row>
    <row r="1684" spans="1:8" ht="13.2">
      <c r="A1684" s="65" t="str">
        <f>HYPERLINK("https://oj.uz/problem/view/innopolis2018_final_C","innopolis 18-final_C")</f>
        <v>innopolis 18-final_C</v>
      </c>
      <c r="B1684" s="37" t="s">
        <v>7527</v>
      </c>
      <c r="C1684" s="24"/>
      <c r="D1684" s="69"/>
      <c r="E1684" s="31" t="s">
        <v>7525</v>
      </c>
      <c r="F1684" s="37"/>
      <c r="G1684" s="24"/>
      <c r="H1684" s="24"/>
    </row>
    <row r="1685" spans="1:8" ht="13.2">
      <c r="A1685" s="65" t="str">
        <f>HYPERLINK("https://oj.uz/problem/view/innopolis2018_final_D","innopolis 18-final_D")</f>
        <v>innopolis 18-final_D</v>
      </c>
      <c r="B1685" s="37" t="s">
        <v>7527</v>
      </c>
      <c r="C1685" s="24"/>
      <c r="D1685" s="69"/>
      <c r="E1685" s="31" t="s">
        <v>7525</v>
      </c>
      <c r="F1685" s="37"/>
      <c r="G1685" s="24"/>
      <c r="H1685" s="24"/>
    </row>
    <row r="1686" spans="1:8" ht="13.2">
      <c r="A1686" s="65" t="str">
        <f>HYPERLINK("https://oj.uz/problem/view/innopolis2018_final_E","innopolis 18-final_E")</f>
        <v>innopolis 18-final_E</v>
      </c>
      <c r="B1686" s="37" t="s">
        <v>7527</v>
      </c>
      <c r="C1686" s="24"/>
      <c r="D1686" s="69"/>
      <c r="E1686" s="31" t="s">
        <v>7525</v>
      </c>
      <c r="F1686" s="37"/>
      <c r="G1686" s="24"/>
      <c r="H1686" s="24"/>
    </row>
    <row r="1687" spans="1:8" ht="13.2">
      <c r="A1687" s="65" t="str">
        <f>HYPERLINK("https://dunjudge.me/analysis/problems/1233/","INOI 16-brackets_inoi")</f>
        <v>INOI 16-brackets_inoi</v>
      </c>
      <c r="B1687" s="37" t="s">
        <v>7527</v>
      </c>
      <c r="C1687" s="24"/>
      <c r="D1687" s="69"/>
      <c r="E1687" s="31" t="s">
        <v>7525</v>
      </c>
      <c r="F1687" s="37"/>
      <c r="G1687" s="24"/>
      <c r="H1687" s="24"/>
    </row>
    <row r="1688" spans="1:8" ht="13.2">
      <c r="A1688" s="65" t="str">
        <f>HYPERLINK("https://wcipeg.com/problem/ioi1401","IOIPractice 14-square")</f>
        <v>IOIPractice 14-square</v>
      </c>
      <c r="B1688" s="15" t="s">
        <v>7527</v>
      </c>
      <c r="C1688" s="24"/>
      <c r="D1688" s="69"/>
      <c r="E1688" s="31" t="s">
        <v>7525</v>
      </c>
      <c r="F1688" s="37"/>
      <c r="G1688" s="24"/>
      <c r="H1688" s="24"/>
    </row>
    <row r="1689" spans="1:8" ht="13.2">
      <c r="A1689" s="65" t="str">
        <f>HYPERLINK("https://wcipeg.com/problem/ioi1402","IOIPractice 14-station")</f>
        <v>IOIPractice 14-station</v>
      </c>
      <c r="B1689" s="15" t="s">
        <v>7527</v>
      </c>
      <c r="C1689" s="24"/>
      <c r="D1689" s="69"/>
      <c r="E1689" s="31" t="s">
        <v>7525</v>
      </c>
      <c r="F1689" s="37"/>
      <c r="G1689" s="24"/>
      <c r="H1689" s="24"/>
    </row>
    <row r="1690" spans="1:8" ht="13.2">
      <c r="A1690" s="65" t="str">
        <f>HYPERLINK("https://wcipeg.com/problem/ioi1403","IOIPractice 14-tile")</f>
        <v>IOIPractice 14-tile</v>
      </c>
      <c r="B1690" s="15" t="s">
        <v>7527</v>
      </c>
      <c r="C1690" s="24"/>
      <c r="D1690" s="69"/>
      <c r="E1690" s="31" t="s">
        <v>7525</v>
      </c>
      <c r="F1690" s="37"/>
      <c r="G1690" s="24"/>
      <c r="H1690" s="24"/>
    </row>
    <row r="1691" spans="1:8" ht="13.2">
      <c r="A1691" s="65" t="str">
        <f>HYPERLINK("http://ioi2017.org/contest/practice/","IOIPractice 17-notice")</f>
        <v>IOIPractice 17-notice</v>
      </c>
      <c r="B1691" s="15" t="s">
        <v>7541</v>
      </c>
      <c r="C1691" s="24"/>
      <c r="D1691" s="69"/>
      <c r="E1691" s="31" t="s">
        <v>7525</v>
      </c>
      <c r="F1691" s="37"/>
      <c r="G1691" s="24"/>
      <c r="H1691" s="24"/>
    </row>
    <row r="1692" spans="1:8" ht="13.2">
      <c r="A1692" s="65" t="str">
        <f>HYPERLINK("https://oj.uz/problem/view/IZhO14_ufo","IZhO 14-ufo")</f>
        <v>IZhO 14-ufo</v>
      </c>
      <c r="B1692" s="37" t="s">
        <v>7527</v>
      </c>
      <c r="C1692" s="24"/>
      <c r="D1692" s="69"/>
      <c r="E1692" s="31" t="s">
        <v>7525</v>
      </c>
      <c r="F1692" s="37"/>
      <c r="G1692" s="24"/>
      <c r="H1692" s="24"/>
    </row>
    <row r="1693" spans="1:8" ht="13.2">
      <c r="A1693" s="65" t="str">
        <f>HYPERLINK("https://joi2014ho.contest.atcoder.jp/tasks/joi2014ho5","JOI 14-Cutting")</f>
        <v>JOI 14-Cutting</v>
      </c>
      <c r="B1693" s="20" t="s">
        <v>7676</v>
      </c>
      <c r="C1693" s="17"/>
      <c r="D1693" s="69"/>
      <c r="E1693" s="31" t="s">
        <v>7525</v>
      </c>
      <c r="F1693" s="37"/>
      <c r="G1693" s="24"/>
      <c r="H1693" s="24"/>
    </row>
    <row r="1694" spans="1:8" ht="13.2">
      <c r="A1694" s="65" t="str">
        <f>HYPERLINK("https://joi2015ho.contest.atcoder.jp/tasks/joi2015ho_d","JOI 15-Ball")</f>
        <v>JOI 15-Ball</v>
      </c>
      <c r="B1694" s="20" t="s">
        <v>7677</v>
      </c>
      <c r="C1694" s="17"/>
      <c r="D1694" s="69"/>
      <c r="E1694" s="31" t="s">
        <v>7525</v>
      </c>
      <c r="F1694" s="37"/>
      <c r="G1694" s="24"/>
      <c r="H1694" s="24"/>
    </row>
    <row r="1695" spans="1:8" ht="13.2">
      <c r="A1695" s="65" t="str">
        <f>HYPERLINK("https://joi2015ho.contest.atcoder.jp/tasks/joi2015ho_e","JOI 15-Rampart")</f>
        <v>JOI 15-Rampart</v>
      </c>
      <c r="B1695" s="20" t="s">
        <v>7678</v>
      </c>
      <c r="C1695" s="17"/>
      <c r="D1695" s="69"/>
      <c r="E1695" s="31" t="s">
        <v>7525</v>
      </c>
      <c r="F1695" s="37"/>
      <c r="G1695" s="24"/>
      <c r="H1695" s="24"/>
    </row>
    <row r="1696" spans="1:8" ht="13.2">
      <c r="A1696" s="65" t="str">
        <f>HYPERLINK("https://joi2016ho.contest.atcoder.jp/tasks/joi2016ho_d","JOI 16-Territory")</f>
        <v>JOI 16-Territory</v>
      </c>
      <c r="B1696" s="20" t="s">
        <v>7679</v>
      </c>
      <c r="C1696" s="17"/>
      <c r="D1696" s="69"/>
      <c r="E1696" s="31" t="s">
        <v>7525</v>
      </c>
      <c r="F1696" s="37"/>
      <c r="G1696" s="24"/>
      <c r="H1696" s="24"/>
    </row>
    <row r="1697" spans="1:8" ht="13.2">
      <c r="A1697" s="65" t="str">
        <f>HYPERLINK("https://oj.uz/problem/view/JOI17_rope","JOI 17-rope")</f>
        <v>JOI 17-rope</v>
      </c>
      <c r="B1697" s="20" t="s">
        <v>7527</v>
      </c>
      <c r="C1697" s="17"/>
      <c r="D1697" s="69"/>
      <c r="E1697" s="31" t="s">
        <v>7525</v>
      </c>
      <c r="F1697" s="37"/>
      <c r="G1697" s="24"/>
      <c r="H1697" s="24"/>
    </row>
    <row r="1698" spans="1:8" ht="13.2">
      <c r="A1698" s="65" t="str">
        <f>HYPERLINK("https://oj.uz/problems/source/6","JOIOC 13-disparity")</f>
        <v>JOIOC 13-disparity</v>
      </c>
      <c r="B1698" s="47" t="s">
        <v>7546</v>
      </c>
      <c r="C1698" s="71"/>
      <c r="D1698" s="69"/>
      <c r="E1698" s="31" t="s">
        <v>7525</v>
      </c>
      <c r="F1698" s="37"/>
      <c r="G1698" s="24"/>
      <c r="H1698" s="24"/>
    </row>
    <row r="1699" spans="1:8" ht="13.2">
      <c r="A1699" s="65" t="str">
        <f>HYPERLINK("https://oj.uz/problems/source/214","JOIOC 15-coloredTiles")</f>
        <v>JOIOC 15-coloredTiles</v>
      </c>
      <c r="B1699" s="47" t="s">
        <v>7526</v>
      </c>
      <c r="C1699" s="71"/>
      <c r="D1699" s="69"/>
      <c r="E1699" s="31" t="s">
        <v>7525</v>
      </c>
      <c r="F1699" s="37"/>
      <c r="G1699" s="24"/>
      <c r="H1699" s="24"/>
    </row>
    <row r="1700" spans="1:8" ht="13.2">
      <c r="A1700" s="65" t="str">
        <f>HYPERLINK("https://dunjudge.me/analysis/problems/1497/","NOI 06-ecasino")</f>
        <v>NOI 06-ecasino</v>
      </c>
      <c r="B1700" s="37" t="s">
        <v>7527</v>
      </c>
      <c r="C1700" s="24"/>
      <c r="D1700" s="69"/>
      <c r="E1700" s="31" t="s">
        <v>7525</v>
      </c>
      <c r="F1700" s="37"/>
      <c r="G1700" s="24"/>
      <c r="H1700" s="24"/>
    </row>
    <row r="1701" spans="1:8" ht="13.2">
      <c r="A1701" s="65" t="str">
        <f>HYPERLINK("https://dunjudge.me/analysis/problems/1499/","NOI 06-fludtown")</f>
        <v>NOI 06-fludtown</v>
      </c>
      <c r="B1701" s="37" t="s">
        <v>7527</v>
      </c>
      <c r="C1701" s="24"/>
      <c r="D1701" s="69"/>
      <c r="E1701" s="31" t="s">
        <v>7525</v>
      </c>
      <c r="F1701" s="37"/>
      <c r="G1701" s="24"/>
      <c r="H1701" s="24"/>
    </row>
    <row r="1702" spans="1:8" ht="13.2">
      <c r="A1702" s="65" t="str">
        <f>HYPERLINK("https://dunjudge.me/analysis/problems/1498/","NOI 06-genome")</f>
        <v>NOI 06-genome</v>
      </c>
      <c r="B1702" s="37" t="s">
        <v>7527</v>
      </c>
      <c r="C1702" s="24"/>
      <c r="D1702" s="69"/>
      <c r="E1702" s="31" t="s">
        <v>7525</v>
      </c>
      <c r="F1702" s="37"/>
      <c r="G1702" s="24"/>
      <c r="H1702" s="24"/>
    </row>
    <row r="1703" spans="1:8" ht="13.2">
      <c r="A1703" s="65" t="str">
        <f>HYPERLINK("https://dunjudge.me/analysis/problems/1500/","NOI 06-heng")</f>
        <v>NOI 06-heng</v>
      </c>
      <c r="B1703" s="37" t="s">
        <v>7527</v>
      </c>
      <c r="C1703" s="24"/>
      <c r="D1703" s="69"/>
      <c r="E1703" s="31" t="s">
        <v>7525</v>
      </c>
      <c r="F1703" s="37"/>
      <c r="G1703" s="24"/>
      <c r="H1703" s="24"/>
    </row>
    <row r="1704" spans="1:8" ht="13.2">
      <c r="A1704" s="65" t="str">
        <f>HYPERLINK("https://dunjudge.me/analysis/problems/141/","NOISelection 10-jungle")</f>
        <v>NOISelection 10-jungle</v>
      </c>
      <c r="B1704" s="37" t="s">
        <v>7527</v>
      </c>
      <c r="C1704" s="24"/>
      <c r="D1704" s="69"/>
      <c r="E1704" s="31" t="s">
        <v>7525</v>
      </c>
      <c r="F1704" s="37"/>
      <c r="G1704" s="24"/>
      <c r="H1704" s="24"/>
    </row>
    <row r="1705" spans="1:8" ht="13.2">
      <c r="A1705" s="65" t="str">
        <f>HYPERLINK("https://dunjudge.me/analysis/problems/15/","NOISelection 10-trianglesum")</f>
        <v>NOISelection 10-trianglesum</v>
      </c>
      <c r="B1705" s="37" t="s">
        <v>7527</v>
      </c>
      <c r="C1705" s="24"/>
      <c r="D1705" s="69"/>
      <c r="E1705" s="31" t="s">
        <v>7525</v>
      </c>
      <c r="F1705" s="37"/>
      <c r="G1705" s="24"/>
      <c r="H1705" s="24"/>
    </row>
    <row r="1706" spans="1:8" ht="13.2">
      <c r="A1706" s="65" t="str">
        <f>HYPERLINK("https://dunjudge.me/analysis/problems/86/","NOISelection 11-mantou")</f>
        <v>NOISelection 11-mantou</v>
      </c>
      <c r="B1706" s="37" t="s">
        <v>7527</v>
      </c>
      <c r="C1706" s="24"/>
      <c r="D1706" s="69"/>
      <c r="E1706" s="31" t="s">
        <v>7525</v>
      </c>
      <c r="F1706" s="37"/>
      <c r="G1706" s="24"/>
      <c r="H1706" s="24"/>
    </row>
    <row r="1707" spans="1:8" ht="13.2">
      <c r="A1707" s="65" t="str">
        <f>HYPERLINK("https://dunjudge.me/analysis/problems/42/","NOISelection 11-message")</f>
        <v>NOISelection 11-message</v>
      </c>
      <c r="B1707" s="37" t="s">
        <v>7527</v>
      </c>
      <c r="C1707" s="24"/>
      <c r="D1707" s="69"/>
      <c r="E1707" s="31" t="s">
        <v>7525</v>
      </c>
      <c r="F1707" s="37"/>
      <c r="G1707" s="24"/>
      <c r="H1707" s="24"/>
    </row>
    <row r="1708" spans="1:8" ht="13.2">
      <c r="A1708" s="65" t="str">
        <f>HYPERLINK("https://dunjudge.me/analysis/problems/43/","NOISelection 11-puzzle")</f>
        <v>NOISelection 11-puzzle</v>
      </c>
      <c r="B1708" s="37" t="s">
        <v>7527</v>
      </c>
      <c r="C1708" s="24"/>
      <c r="D1708" s="69"/>
      <c r="E1708" s="31" t="s">
        <v>7525</v>
      </c>
      <c r="F1708" s="37"/>
      <c r="G1708" s="24"/>
      <c r="H1708" s="24"/>
    </row>
    <row r="1709" spans="1:8" ht="13.2">
      <c r="A1709" s="65" t="str">
        <f>HYPERLINK("https://dunjudge.me/analysis/problems/46/","NOISelection 11-repair")</f>
        <v>NOISelection 11-repair</v>
      </c>
      <c r="B1709" s="37" t="s">
        <v>7527</v>
      </c>
      <c r="C1709" s="24"/>
      <c r="D1709" s="69"/>
      <c r="E1709" s="31" t="s">
        <v>7525</v>
      </c>
      <c r="F1709" s="37"/>
      <c r="G1709" s="24"/>
      <c r="H1709" s="24"/>
    </row>
    <row r="1710" spans="1:8" ht="13.2">
      <c r="A1710" s="65" t="str">
        <f>HYPERLINK("https://dunjudge.me/analysis/problems/187/","NOISelection 12-draw")</f>
        <v>NOISelection 12-draw</v>
      </c>
      <c r="B1710" s="37" t="s">
        <v>7527</v>
      </c>
      <c r="C1710" s="24"/>
      <c r="D1710" s="69"/>
      <c r="E1710" s="31" t="s">
        <v>7525</v>
      </c>
      <c r="F1710" s="37"/>
      <c r="G1710" s="24"/>
      <c r="H1710" s="24"/>
    </row>
    <row r="1711" spans="1:8" ht="13.2">
      <c r="A1711" s="65" t="str">
        <f>HYPERLINK("https://dunjudge.me/analysis/problems/189/","NOISelection 12-ice")</f>
        <v>NOISelection 12-ice</v>
      </c>
      <c r="B1711" s="37" t="s">
        <v>7527</v>
      </c>
      <c r="C1711" s="24"/>
      <c r="D1711" s="69"/>
      <c r="E1711" s="31" t="s">
        <v>7525</v>
      </c>
      <c r="F1711" s="37"/>
      <c r="G1711" s="24"/>
      <c r="H1711" s="24"/>
    </row>
    <row r="1712" spans="1:8" ht="13.2">
      <c r="A1712" s="65" t="str">
        <f>HYPERLINK("https://dunjudge.me/analysis/problems/185/","NOISelection 12-ramar")</f>
        <v>NOISelection 12-ramar</v>
      </c>
      <c r="B1712" s="37" t="s">
        <v>7527</v>
      </c>
      <c r="C1712" s="24"/>
      <c r="D1712" s="69"/>
      <c r="E1712" s="31" t="s">
        <v>7525</v>
      </c>
      <c r="F1712" s="37"/>
      <c r="G1712" s="24"/>
      <c r="H1712" s="24"/>
    </row>
    <row r="1713" spans="1:8" ht="13.2">
      <c r="A1713" s="65" t="str">
        <f>HYPERLINK("https://dunjudge.me/analysis/problems/678/","NOISelection 15-lazycat2")</f>
        <v>NOISelection 15-lazycat2</v>
      </c>
      <c r="B1713" s="37" t="s">
        <v>7527</v>
      </c>
      <c r="C1713" s="24"/>
      <c r="D1713" s="69"/>
      <c r="E1713" s="31" t="s">
        <v>7525</v>
      </c>
      <c r="F1713" s="37"/>
      <c r="G1713" s="24"/>
      <c r="H1713" s="24"/>
    </row>
    <row r="1714" spans="1:8" ht="13.2">
      <c r="A1714" s="65" t="str">
        <f>HYPERLINK("https://dunjudge.me/analysis/problems/1189/","NOISelection 17-builderswand")</f>
        <v>NOISelection 17-builderswand</v>
      </c>
      <c r="B1714" s="37" t="s">
        <v>7527</v>
      </c>
      <c r="C1714" s="24"/>
      <c r="D1714" s="69"/>
      <c r="E1714" s="31" t="s">
        <v>7525</v>
      </c>
      <c r="F1714" s="37"/>
      <c r="G1714" s="24"/>
      <c r="H1714" s="24"/>
    </row>
    <row r="1715" spans="1:8" ht="13.2">
      <c r="A1715" s="65" t="str">
        <f>HYPERLINK("https://dunjudge.me/analysis/problems/1171/","NOISelection 17-clipboard")</f>
        <v>NOISelection 17-clipboard</v>
      </c>
      <c r="B1715" s="37" t="s">
        <v>7527</v>
      </c>
      <c r="C1715" s="24"/>
      <c r="D1715" s="69"/>
      <c r="E1715" s="31" t="s">
        <v>7525</v>
      </c>
      <c r="F1715" s="37"/>
      <c r="G1715" s="24"/>
      <c r="H1715" s="24"/>
    </row>
    <row r="1716" spans="1:8" ht="13.2">
      <c r="A1716" s="65" t="str">
        <f>HYPERLINK("https://dunjudge.me/analysis/problems/1174/","NOISelection 17-dinnerbox")</f>
        <v>NOISelection 17-dinnerbox</v>
      </c>
      <c r="B1716" s="37" t="s">
        <v>7527</v>
      </c>
      <c r="C1716" s="24"/>
      <c r="D1716" s="69"/>
      <c r="E1716" s="31" t="s">
        <v>7525</v>
      </c>
      <c r="F1716" s="37"/>
      <c r="G1716" s="24"/>
      <c r="H1716" s="24"/>
    </row>
    <row r="1717" spans="1:8" ht="13.2">
      <c r="A1717" s="65" t="str">
        <f>HYPERLINK("https://dunjudge.me/analysis/problems/1170/","NOISelection 17-lost")</f>
        <v>NOISelection 17-lost</v>
      </c>
      <c r="B1717" s="37" t="s">
        <v>7527</v>
      </c>
      <c r="C1717" s="24"/>
      <c r="D1717" s="69"/>
      <c r="E1717" s="31" t="s">
        <v>7525</v>
      </c>
      <c r="F1717" s="37"/>
      <c r="G1717" s="24"/>
      <c r="H1717" s="24"/>
    </row>
    <row r="1718" spans="1:8" ht="13.2">
      <c r="A1718" s="65" t="str">
        <f>HYPERLINK("https://dunjudge.me/analysis/problems/1187/","NOISelection 17-mooshroomfarm")</f>
        <v>NOISelection 17-mooshroomfarm</v>
      </c>
      <c r="B1718" s="37" t="s">
        <v>7527</v>
      </c>
      <c r="C1718" s="24"/>
      <c r="D1718" s="69"/>
      <c r="E1718" s="31" t="s">
        <v>7525</v>
      </c>
      <c r="F1718" s="37"/>
      <c r="G1718" s="24"/>
      <c r="H1718" s="24"/>
    </row>
    <row r="1719" spans="1:8" ht="13.2">
      <c r="A1719" s="65" t="str">
        <f>HYPERLINK("https://dunjudge.me/analysis/problems/1175/","NOISelection 17-mushroomfarm")</f>
        <v>NOISelection 17-mushroomfarm</v>
      </c>
      <c r="B1719" s="37" t="s">
        <v>7527</v>
      </c>
      <c r="C1719" s="24"/>
      <c r="D1719" s="69"/>
      <c r="E1719" s="31" t="s">
        <v>7525</v>
      </c>
      <c r="F1719" s="37"/>
      <c r="G1719" s="24"/>
      <c r="H1719" s="24"/>
    </row>
    <row r="1720" spans="1:8" ht="13.2">
      <c r="A1720" s="65" t="str">
        <f>HYPERLINK("https://dunjudge.me/analysis/problems/1188/","NOISelection 17-redstonelamps")</f>
        <v>NOISelection 17-redstonelamps</v>
      </c>
      <c r="B1720" s="37" t="s">
        <v>7527</v>
      </c>
      <c r="C1720" s="24"/>
      <c r="D1720" s="69"/>
      <c r="E1720" s="31" t="s">
        <v>7525</v>
      </c>
      <c r="F1720" s="37"/>
      <c r="G1720" s="24"/>
      <c r="H1720" s="24"/>
    </row>
    <row r="1721" spans="1:8" ht="13.2">
      <c r="A1721" s="65" t="str">
        <f>HYPERLINK("https://dunjudge.me/analysis/problems/1173/","NOISelection 17-runway")</f>
        <v>NOISelection 17-runway</v>
      </c>
      <c r="B1721" s="37" t="s">
        <v>7527</v>
      </c>
      <c r="C1721" s="24"/>
      <c r="D1721" s="69"/>
      <c r="E1721" s="31" t="s">
        <v>7525</v>
      </c>
      <c r="F1721" s="37"/>
      <c r="G1721" s="24"/>
      <c r="H1721" s="24"/>
    </row>
    <row r="1722" spans="1:8" ht="13.2">
      <c r="A1722" s="65" t="str">
        <f>HYPERLINK("https://dunjudge.me/analysis/problems/1186/","NOISelection 17-trekking")</f>
        <v>NOISelection 17-trekking</v>
      </c>
      <c r="B1722" s="37" t="s">
        <v>7527</v>
      </c>
      <c r="C1722" s="24"/>
      <c r="D1722" s="69"/>
      <c r="E1722" s="31" t="s">
        <v>7525</v>
      </c>
      <c r="F1722" s="37"/>
      <c r="G1722" s="24"/>
      <c r="H1722" s="24"/>
    </row>
    <row r="1723" spans="1:8" ht="13.2">
      <c r="A1723" s="65" t="str">
        <f>HYPERLINK("https://dunjudge.me/analysis/problems/1190/","NOISelection 17-trianglecraft")</f>
        <v>NOISelection 17-trianglecraft</v>
      </c>
      <c r="B1723" s="37" t="s">
        <v>7527</v>
      </c>
      <c r="C1723" s="24"/>
      <c r="D1723" s="69"/>
      <c r="E1723" s="31" t="s">
        <v>7525</v>
      </c>
      <c r="F1723" s="37"/>
      <c r="G1723" s="24"/>
      <c r="H1723" s="24"/>
    </row>
    <row r="1724" spans="1:8" ht="13.2">
      <c r="A1724" s="65" t="str">
        <f>HYPERLINK("https://dunjudge.me/analysis/problems/1470/","NOISelection 18-crab")</f>
        <v>NOISelection 18-crab</v>
      </c>
      <c r="B1724" s="37" t="s">
        <v>7527</v>
      </c>
      <c r="C1724" s="24"/>
      <c r="D1724" s="69"/>
      <c r="E1724" s="31" t="s">
        <v>7525</v>
      </c>
      <c r="F1724" s="37"/>
      <c r="G1724" s="24"/>
      <c r="H1724" s="24"/>
    </row>
    <row r="1725" spans="1:8" ht="13.2">
      <c r="A1725" s="65" t="str">
        <f>HYPERLINK("https://szkopul.edu.pl/problemset/problem/3zwfwt3ZGc2f6NndNgzS3Dfu/site/", "POI 14-Snake")</f>
        <v>POI 14-Snake</v>
      </c>
      <c r="B1725" s="37" t="s">
        <v>7527</v>
      </c>
      <c r="C1725" s="24"/>
      <c r="D1725" s="69"/>
      <c r="E1725" s="31" t="s">
        <v>7525</v>
      </c>
      <c r="F1725" s="37"/>
      <c r="G1725" s="24"/>
      <c r="H1725" s="24"/>
    </row>
    <row r="1726" spans="1:8" ht="13.2">
      <c r="A1726" s="65" t="str">
        <f>HYPERLINK("https://szkopul.edu.pl/problemset/problem/oNnWY6ZuzzhvG-jCmijiXkIk/site/", "POI 17-Containers")</f>
        <v>POI 17-Containers</v>
      </c>
      <c r="B1726" s="37" t="s">
        <v>7527</v>
      </c>
      <c r="C1726" s="24"/>
      <c r="D1726" s="69"/>
      <c r="E1726" s="31" t="s">
        <v>7525</v>
      </c>
      <c r="F1726" s="37"/>
      <c r="G1726" s="24"/>
      <c r="H1726" s="24"/>
    </row>
    <row r="1727" spans="1:8" ht="13.2">
      <c r="A1727" s="65" t="str">
        <f>HYPERLINK("https://szkopul.edu.pl/problemset/problem/9NFtPM59qGWa7wdn570ifuP0/site/", "POI 17-Cook")</f>
        <v>POI 17-Cook</v>
      </c>
      <c r="B1727" s="37" t="s">
        <v>7527</v>
      </c>
      <c r="C1727" s="24"/>
      <c r="D1727" s="69"/>
      <c r="E1727" s="31" t="s">
        <v>7525</v>
      </c>
      <c r="F1727" s="37"/>
      <c r="G1727" s="24"/>
      <c r="H1727" s="24"/>
    </row>
    <row r="1728" spans="1:8" ht="13.2">
      <c r="A1728" s="65" t="str">
        <f>HYPERLINK("https://szkopul.edu.pl/problemset/problem/-7cqC3RrH4e-Ar7DWy4GKzLv/site/", "POI 17-Crossroads")</f>
        <v>POI 17-Crossroads</v>
      </c>
      <c r="B1728" s="37" t="s">
        <v>7527</v>
      </c>
      <c r="C1728" s="24"/>
      <c r="D1728" s="69"/>
      <c r="E1728" s="31" t="s">
        <v>7525</v>
      </c>
      <c r="F1728" s="37"/>
      <c r="G1728" s="24"/>
      <c r="H1728" s="24"/>
    </row>
    <row r="1729" spans="1:8" ht="13.2">
      <c r="A1729" s="65" t="str">
        <f>HYPERLINK("https://szkopul.edu.pl/problemset/problem/WLKPphrG7df9acKBOlEMEKY3/site/", "POI 17-Difference")</f>
        <v>POI 17-Difference</v>
      </c>
      <c r="B1729" s="37" t="s">
        <v>7527</v>
      </c>
      <c r="C1729" s="24"/>
      <c r="D1729" s="69"/>
      <c r="E1729" s="31" t="s">
        <v>7525</v>
      </c>
      <c r="F1729" s="37"/>
      <c r="G1729" s="24"/>
      <c r="H1729" s="24"/>
    </row>
    <row r="1730" spans="1:8" ht="13.2">
      <c r="A1730" s="65" t="str">
        <f>HYPERLINK("https://szkopul.edu.pl/problemset/problem/cSnlafnvkbirhnQrS9CQ9MEw/site/", "POI 17-Divisibility")</f>
        <v>POI 17-Divisibility</v>
      </c>
      <c r="B1730" s="37" t="s">
        <v>7527</v>
      </c>
      <c r="C1730" s="24"/>
      <c r="D1730" s="69"/>
      <c r="E1730" s="31" t="s">
        <v>7525</v>
      </c>
      <c r="F1730" s="37"/>
      <c r="G1730" s="24"/>
      <c r="H1730" s="24"/>
    </row>
    <row r="1731" spans="1:8" ht="13.2">
      <c r="A1731" s="65" t="str">
        <f>HYPERLINK("https://szkopul.edu.pl/problemset/problem/eLy9p2a1VStZ4y9y-LdeB-8f/site/", "POI 17-Flappy_Bird")</f>
        <v>POI 17-Flappy_Bird</v>
      </c>
      <c r="B1731" s="37" t="s">
        <v>7527</v>
      </c>
      <c r="C1731" s="24"/>
      <c r="D1731" s="69"/>
      <c r="E1731" s="31" t="s">
        <v>7525</v>
      </c>
      <c r="F1731" s="37"/>
      <c r="G1731" s="24"/>
      <c r="H1731" s="24"/>
    </row>
    <row r="1732" spans="1:8" ht="13.2">
      <c r="A1732" s="65" t="str">
        <f>HYPERLINK("https://szkopul.edu.pl/problemset/problem/0KG8REkSLNnY5sVkm7Aei_R7/site/", "POI 17-Grades")</f>
        <v>POI 17-Grades</v>
      </c>
      <c r="B1732" s="37" t="s">
        <v>7527</v>
      </c>
      <c r="C1732" s="24"/>
      <c r="D1732" s="69"/>
      <c r="E1732" s="31" t="s">
        <v>7525</v>
      </c>
      <c r="F1732" s="37"/>
      <c r="G1732" s="24"/>
      <c r="H1732" s="24"/>
    </row>
    <row r="1733" spans="1:8" ht="13.2">
      <c r="A1733" s="65" t="str">
        <f>HYPERLINK("https://szkopul.edu.pl/problemset/problem/wrTmzO9-dzEbLtsRUCdMV2_W/site/", "POI 17-Midas")</f>
        <v>POI 17-Midas</v>
      </c>
      <c r="B1733" s="37" t="s">
        <v>7527</v>
      </c>
      <c r="C1733" s="24"/>
      <c r="D1733" s="69"/>
      <c r="E1733" s="31" t="s">
        <v>7525</v>
      </c>
      <c r="F1733" s="37"/>
      <c r="G1733" s="24"/>
      <c r="H1733" s="24"/>
    </row>
    <row r="1734" spans="1:8" ht="13.2">
      <c r="A1734" s="65" t="str">
        <f>HYPERLINK("https://szkopul.edu.pl/problemset/problem/w-dbshXVyRol4LIT9jeP-bNn/site/", "POI 17-Panini")</f>
        <v>POI 17-Panini</v>
      </c>
      <c r="B1734" s="37" t="s">
        <v>7527</v>
      </c>
      <c r="C1734" s="24"/>
      <c r="D1734" s="69"/>
      <c r="E1734" s="31" t="s">
        <v>7525</v>
      </c>
      <c r="F1734" s="37"/>
      <c r="G1734" s="24"/>
      <c r="H1734" s="24"/>
    </row>
    <row r="1735" spans="1:8" ht="13.2">
      <c r="A1735" s="65" t="str">
        <f>HYPERLINK("https://szkopul.edu.pl/problemset/problem/CUjJDGGSEZmO7HvdZU4FKrL6/site/", "POI 17-Sabotage")</f>
        <v>POI 17-Sabotage</v>
      </c>
      <c r="B1735" s="37" t="s">
        <v>7527</v>
      </c>
      <c r="C1735" s="24"/>
      <c r="D1735" s="69"/>
      <c r="E1735" s="31" t="s">
        <v>7525</v>
      </c>
      <c r="F1735" s="37"/>
      <c r="G1735" s="24"/>
      <c r="H1735" s="24"/>
    </row>
    <row r="1736" spans="1:8" ht="13.2">
      <c r="A1736" s="65" t="str">
        <f>HYPERLINK("https://szkopul.edu.pl/problemset/problem/Ng815bt4Fko9lj2-l7eVl3Aw/site/", "POI 17-Sum")</f>
        <v>POI 17-Sum</v>
      </c>
      <c r="B1736" s="37" t="s">
        <v>7527</v>
      </c>
      <c r="C1736" s="24"/>
      <c r="D1736" s="69"/>
      <c r="E1736" s="31" t="s">
        <v>7525</v>
      </c>
      <c r="F1736" s="37"/>
      <c r="G1736" s="24"/>
      <c r="H1736" s="24"/>
    </row>
    <row r="1737" spans="1:8" ht="13.2">
      <c r="A1737" s="65" t="str">
        <f>HYPERLINK("https://szkopul.edu.pl/problemset/problem/kqBM3UKWL-qlFiXIOxPXL35m/site/", "POI 17-Tourist")</f>
        <v>POI 17-Tourist</v>
      </c>
      <c r="B1737" s="37" t="s">
        <v>7527</v>
      </c>
      <c r="C1737" s="24"/>
      <c r="D1737" s="69"/>
      <c r="E1737" s="31" t="s">
        <v>7525</v>
      </c>
      <c r="F1737" s="37"/>
      <c r="G1737" s="24"/>
      <c r="H1737" s="24"/>
    </row>
    <row r="1738" spans="1:8" ht="13.2">
      <c r="A1738" s="65" t="str">
        <f>HYPERLINK("https://szkopul.edu.pl/problemset/problem/aKKSmtjWTtDOEHDqnmQ3-eAA/site/", "POI 18-Bike")</f>
        <v>POI 18-Bike</v>
      </c>
      <c r="B1738" s="37" t="s">
        <v>7527</v>
      </c>
      <c r="C1738" s="24"/>
      <c r="D1738" s="69"/>
      <c r="E1738" s="31" t="s">
        <v>7525</v>
      </c>
      <c r="F1738" s="37"/>
      <c r="G1738" s="24"/>
      <c r="H1738" s="24"/>
    </row>
    <row r="1739" spans="1:8" ht="13.2">
      <c r="A1739" s="65" t="str">
        <f>HYPERLINK("https://szkopul.edu.pl/problemset/problem/Kmofhbw9cTx06gSZg-C5MiBU/site/", "POI 18-Candy")</f>
        <v>POI 18-Candy</v>
      </c>
      <c r="B1739" s="37" t="s">
        <v>7527</v>
      </c>
      <c r="C1739" s="24"/>
      <c r="D1739" s="69"/>
      <c r="E1739" s="31" t="s">
        <v>7525</v>
      </c>
      <c r="F1739" s="37"/>
      <c r="G1739" s="24"/>
      <c r="H1739" s="24"/>
    </row>
    <row r="1740" spans="1:8" ht="13.2">
      <c r="A1740" s="65" t="str">
        <f>HYPERLINK("https://szkopul.edu.pl/problemset/problem/lbADmW7d353d0F0iw4kXTjsl/site/", "POI 18-Conductor")</f>
        <v>POI 18-Conductor</v>
      </c>
      <c r="B1740" s="37" t="s">
        <v>7527</v>
      </c>
      <c r="C1740" s="24"/>
      <c r="D1740" s="69"/>
      <c r="E1740" s="31" t="s">
        <v>7525</v>
      </c>
      <c r="F1740" s="37"/>
      <c r="G1740" s="24"/>
      <c r="H1740" s="24"/>
    </row>
    <row r="1741" spans="1:8" ht="13.2">
      <c r="A1741" s="65" t="str">
        <f>HYPERLINK("https://szkopul.edu.pl/problemset/problem/guoc36QCEe4q47qruYB7HBV-/site/", "POI 18-Fence")</f>
        <v>POI 18-Fence</v>
      </c>
      <c r="B1741" s="37" t="s">
        <v>7527</v>
      </c>
      <c r="C1741" s="24"/>
      <c r="D1741" s="69"/>
      <c r="E1741" s="31" t="s">
        <v>7525</v>
      </c>
      <c r="F1741" s="37"/>
      <c r="G1741" s="24"/>
      <c r="H1741" s="24"/>
    </row>
    <row r="1742" spans="1:8" ht="13.2">
      <c r="A1742" s="65" t="str">
        <f>HYPERLINK("https://szkopul.edu.pl/problemset/problem/xCiDtZ0ZX70fyac1Sav8d37J/site/", "POI 18-Flood")</f>
        <v>POI 18-Flood</v>
      </c>
      <c r="B1742" s="37" t="s">
        <v>7527</v>
      </c>
      <c r="C1742" s="24"/>
      <c r="D1742" s="69"/>
      <c r="E1742" s="31" t="s">
        <v>7525</v>
      </c>
      <c r="F1742" s="37"/>
      <c r="G1742" s="24"/>
      <c r="H1742" s="24"/>
    </row>
    <row r="1743" spans="1:8" ht="13.2">
      <c r="A1743" s="65" t="str">
        <f>HYPERLINK("https://szkopul.edu.pl/problemset/problem/GfNdWdsmfgHxoByl0ETuZW9c/site/", "POI 18-Numbers")</f>
        <v>POI 18-Numbers</v>
      </c>
      <c r="B1743" s="37" t="s">
        <v>7527</v>
      </c>
      <c r="C1743" s="24"/>
      <c r="D1743" s="69"/>
      <c r="E1743" s="31" t="s">
        <v>7525</v>
      </c>
      <c r="F1743" s="37"/>
      <c r="G1743" s="24"/>
      <c r="H1743" s="24"/>
    </row>
    <row r="1744" spans="1:8" ht="13.2">
      <c r="A1744" s="65" t="str">
        <f>HYPERLINK("https://szkopul.edu.pl/problemset/problem/Hhip15j-8Ro2dOb_4oB98C-G/site/", "POI 18-Poetry")</f>
        <v>POI 18-Poetry</v>
      </c>
      <c r="B1744" s="37" t="s">
        <v>7527</v>
      </c>
      <c r="C1744" s="24"/>
      <c r="D1744" s="69"/>
      <c r="E1744" s="31" t="s">
        <v>7525</v>
      </c>
      <c r="F1744" s="37"/>
      <c r="G1744" s="24"/>
      <c r="H1744" s="24"/>
    </row>
    <row r="1745" spans="1:8" ht="13.2">
      <c r="A1745" s="65" t="str">
        <f>HYPERLINK("https://szkopul.edu.pl/problemset/problem/NZSCUwz2ACePsBKuVCIVzrRt/site/", "POI 18-Stone")</f>
        <v>POI 18-Stone</v>
      </c>
      <c r="B1745" s="37" t="s">
        <v>7527</v>
      </c>
      <c r="C1745" s="24"/>
      <c r="D1745" s="69"/>
      <c r="E1745" s="31" t="s">
        <v>7525</v>
      </c>
      <c r="F1745" s="37"/>
      <c r="G1745" s="24"/>
      <c r="H1745" s="24"/>
    </row>
    <row r="1746" spans="1:8" ht="13.2">
      <c r="A1746" s="65" t="str">
        <f>HYPERLINK("https://szkopul.edu.pl/problemset/problem/vvd6w7n7EXFVEg3nkqGxEirV/site/", "POI 18-Subway")</f>
        <v>POI 18-Subway</v>
      </c>
      <c r="B1746" s="37" t="s">
        <v>7527</v>
      </c>
      <c r="C1746" s="24"/>
      <c r="D1746" s="69"/>
      <c r="E1746" s="31" t="s">
        <v>7525</v>
      </c>
      <c r="F1746" s="37"/>
      <c r="G1746" s="24"/>
      <c r="H1746" s="24"/>
    </row>
    <row r="1747" spans="1:8" ht="13.2">
      <c r="A1747" s="65" t="str">
        <f>HYPERLINK("https://szkopul.edu.pl/problemset/problem/pxbqUTPy3IuPDul9FdT2_Sth/site/", "POI 18-Taxis")</f>
        <v>POI 18-Taxis</v>
      </c>
      <c r="B1747" s="37" t="s">
        <v>7527</v>
      </c>
      <c r="C1747" s="24"/>
      <c r="D1747" s="69"/>
      <c r="E1747" s="31" t="s">
        <v>7525</v>
      </c>
      <c r="F1747" s="37"/>
      <c r="G1747" s="24"/>
      <c r="H1747" s="24"/>
    </row>
    <row r="1748" spans="1:8" ht="13.2">
      <c r="A1748" s="65" t="str">
        <f>HYPERLINK("https://szkopul.edu.pl/problemset/problem/GmAagCBetbskP0qiKlgVd-6A/site/", "POI 18-Transceivers")</f>
        <v>POI 18-Transceivers</v>
      </c>
      <c r="B1748" s="37" t="s">
        <v>7527</v>
      </c>
      <c r="C1748" s="24"/>
      <c r="D1748" s="69"/>
      <c r="E1748" s="31" t="s">
        <v>7525</v>
      </c>
      <c r="F1748" s="37"/>
      <c r="G1748" s="24"/>
      <c r="H1748" s="24"/>
    </row>
    <row r="1749" spans="1:8" ht="13.2">
      <c r="A1749" s="65" t="str">
        <f>HYPERLINK("https://szkopul.edu.pl/problemset/problem/URPMk7vthz60i1J3MT3XbIIO/site/", "POI 18-Triinformathlon")</f>
        <v>POI 18-Triinformathlon</v>
      </c>
      <c r="B1749" s="37" t="s">
        <v>7527</v>
      </c>
      <c r="C1749" s="24"/>
      <c r="D1749" s="69"/>
      <c r="E1749" s="31" t="s">
        <v>7525</v>
      </c>
      <c r="F1749" s="37"/>
      <c r="G1749" s="24"/>
      <c r="H1749" s="24"/>
    </row>
    <row r="1750" spans="1:8" ht="13.2">
      <c r="A1750" s="65" t="str">
        <f>HYPERLINK("https://oj.uz/problem/view/POI11_imp","POI 11-imp")</f>
        <v>POI 11-imp</v>
      </c>
      <c r="B1750" s="20" t="s">
        <v>7051</v>
      </c>
      <c r="C1750" s="17"/>
      <c r="D1750" s="65" t="str">
        <f>HYPERLINK("https://github.com/mostafa-saad/MyCompetitiveProgramming/blob/master/Olympiad/POI/official/find_editorial_sols_guidelines.txt","Editorial")</f>
        <v>Editorial</v>
      </c>
      <c r="E1750" s="31" t="s">
        <v>2153</v>
      </c>
      <c r="F1750" s="37"/>
      <c r="G1750" s="24"/>
      <c r="H1750" s="24"/>
    </row>
    <row r="1751" spans="1:8" ht="13.2">
      <c r="A1751" s="65" t="str">
        <f>HYPERLINK("https://cses.fi/205/list/","Baltic 18-Alternating")</f>
        <v>Baltic 18-Alternating</v>
      </c>
      <c r="B1751" s="37" t="s">
        <v>7052</v>
      </c>
      <c r="C1751" s="24"/>
      <c r="D1751" s="65" t="str">
        <f>HYPERLINK("https://github.com/mostafa-saad/MyCompetitiveProgramming/tree/master/Olympiad/Baltic/official/boi2018_solutions","Editorial")</f>
        <v>Editorial</v>
      </c>
      <c r="E1751" s="31" t="s">
        <v>2153</v>
      </c>
      <c r="F1751" s="37"/>
      <c r="G1751" s="24"/>
      <c r="H1751" s="24"/>
    </row>
    <row r="1752" spans="1:8" ht="13.2">
      <c r="A1752" s="65" t="str">
        <f>HYPERLINK("https://dunjudge.me/analysis/problems/932/","NOISelection 16-catlunch")</f>
        <v>NOISelection 16-catlunch</v>
      </c>
      <c r="B1752" s="37" t="s">
        <v>2169</v>
      </c>
      <c r="C1752" s="24"/>
      <c r="D1752" s="69"/>
      <c r="E1752" s="31" t="s">
        <v>2153</v>
      </c>
      <c r="F1752" s="37"/>
      <c r="G1752" s="24"/>
      <c r="H1752" s="24"/>
    </row>
    <row r="1753" spans="1:8" ht="13.2">
      <c r="A1753" s="65" t="str">
        <f>HYPERLINK("https://szkopul.edu.pl/problemset/problem/TE77UNYEUxsFcrRxYRPc99na/site/", "POI 13-Maze")</f>
        <v>POI 13-Maze</v>
      </c>
      <c r="B1753" s="37" t="s">
        <v>7081</v>
      </c>
      <c r="C1753" s="24"/>
      <c r="D1753" s="65" t="str">
        <f>HYPERLINK("https://github.com/mostafa-saad/MyCompetitiveProgramming/blob/master/Olympiad/POI/official/find_editorial_sols_guidelines.txt","Editorial")</f>
        <v>Editorial</v>
      </c>
      <c r="E1753" s="31" t="s">
        <v>2510</v>
      </c>
      <c r="F1753" s="37"/>
      <c r="G1753" s="24"/>
      <c r="H1753" s="24"/>
    </row>
    <row r="1754" spans="1:8" ht="13.2">
      <c r="A1754" s="65" t="str">
        <f>HYPERLINK("https://dunjudge.me/analysis/problems/420/","NOISelection 14-ikanbilis")</f>
        <v>NOISelection 14-ikanbilis</v>
      </c>
      <c r="B1754" s="37" t="s">
        <v>587</v>
      </c>
      <c r="C1754" s="24"/>
      <c r="D1754" s="69"/>
      <c r="E1754" s="31" t="s">
        <v>575</v>
      </c>
      <c r="F1754" s="37"/>
      <c r="G1754" s="24"/>
      <c r="H1754" s="24"/>
    </row>
    <row r="1755" spans="1:8" ht="13.2">
      <c r="A1755" s="65" t="str">
        <f>HYPERLINK("https://dunjudge.me/analysis/problems/418/","NOISelection 14-middlenumber")</f>
        <v>NOISelection 14-middlenumber</v>
      </c>
      <c r="B1755" s="37" t="s">
        <v>587</v>
      </c>
      <c r="C1755" s="24"/>
      <c r="D1755" s="69"/>
      <c r="E1755" s="31" t="s">
        <v>575</v>
      </c>
      <c r="F1755" s="37"/>
      <c r="G1755" s="24"/>
      <c r="H1755" s="24"/>
    </row>
    <row r="1756" spans="1:8" ht="13.2">
      <c r="A1756" s="65" t="str">
        <f>HYPERLINK("https://dunjudge.me/analysis/problems/682/","NOISelection 15-rotarylock")</f>
        <v>NOISelection 15-rotarylock</v>
      </c>
      <c r="B1756" s="37" t="s">
        <v>587</v>
      </c>
      <c r="C1756" s="24"/>
      <c r="D1756" s="69"/>
      <c r="E1756" s="31" t="s">
        <v>575</v>
      </c>
      <c r="F1756" s="37"/>
      <c r="G1756" s="24"/>
      <c r="H1756" s="24"/>
    </row>
    <row r="1757" spans="1:8" ht="13.2">
      <c r="A1757" s="65" t="str">
        <f>HYPERLINK("https://dunjudge.me/analysis/problems/931/","NOISelection 16-catgameshow")</f>
        <v>NOISelection 16-catgameshow</v>
      </c>
      <c r="B1757" s="37" t="s">
        <v>587</v>
      </c>
      <c r="C1757" s="24"/>
      <c r="D1757" s="69"/>
      <c r="E1757" s="31" t="s">
        <v>575</v>
      </c>
      <c r="F1757" s="37"/>
      <c r="G1757" s="24"/>
      <c r="H1757" s="24"/>
    </row>
    <row r="1758" spans="1:8" ht="13.2">
      <c r="A1758" s="65" t="str">
        <f>HYPERLINK("https://dunjudge.me/analysis/problems/951/","NOISelection 16-counting")</f>
        <v>NOISelection 16-counting</v>
      </c>
      <c r="B1758" s="37" t="s">
        <v>587</v>
      </c>
      <c r="C1758" s="24"/>
      <c r="D1758" s="69"/>
      <c r="E1758" s="31" t="s">
        <v>575</v>
      </c>
      <c r="F1758" s="37"/>
      <c r="G1758" s="24"/>
      <c r="H1758" s="24"/>
    </row>
    <row r="1759" spans="1:8" ht="13.2">
      <c r="A1759" s="65" t="str">
        <f>HYPERLINK("https://oj.uz/problems/source/314","JOISC 18-roadservice")</f>
        <v>JOISC 18-roadservice</v>
      </c>
      <c r="B1759" s="47" t="s">
        <v>7170</v>
      </c>
      <c r="C1759" s="66"/>
      <c r="D1759" s="65" t="str">
        <f>HYPERLINK("https://codeforces.com/blog/entry/58433","sol (See reply from gamegame for 89 points!)")</f>
        <v>sol (See reply from gamegame for 89 points!)</v>
      </c>
      <c r="E1759" s="31" t="s">
        <v>3257</v>
      </c>
      <c r="F1759" s="37"/>
      <c r="G1759" s="24"/>
      <c r="H1759" s="24"/>
    </row>
    <row r="1760" spans="1:8" ht="13.2">
      <c r="A1760" s="65" t="str">
        <f>HYPERLINK("https://oj.uz/problem/view/POI13_spa","POI 13-spa")</f>
        <v>POI 13-spa</v>
      </c>
      <c r="B1760" s="20" t="s">
        <v>3391</v>
      </c>
      <c r="C1760" s="17"/>
      <c r="D1760" s="65" t="str">
        <f>HYPERLINK("https://github.com/mostafa-saad/MyCompetitiveProgramming/blob/master/Olympiad/POI/official/find_editorial_sols_guidelines.txt","Editorial")</f>
        <v>Editorial</v>
      </c>
      <c r="E1760" s="31" t="s">
        <v>3257</v>
      </c>
      <c r="F1760" s="37"/>
      <c r="G1760" s="24"/>
      <c r="H1760" s="24"/>
    </row>
    <row r="1761" spans="1:8" ht="13.2">
      <c r="A1761" s="65" t="str">
        <f>HYPERLINK("https://dunjudge.me/analysis/problems/1479/","NOIPrelim 18-island")</f>
        <v>NOIPrelim 18-island</v>
      </c>
      <c r="B1761" s="37" t="s">
        <v>3277</v>
      </c>
      <c r="C1761" s="24"/>
      <c r="D1761" s="69"/>
      <c r="E1761" s="31" t="s">
        <v>3257</v>
      </c>
      <c r="F1761" s="37"/>
      <c r="G1761" s="24"/>
      <c r="H1761" s="24"/>
    </row>
    <row r="1762" spans="1:8" ht="13.2">
      <c r="A1762" s="65" t="str">
        <f>HYPERLINK("https://dunjudge.me/analysis/problems/16/","NOISelection 10-chessislands")</f>
        <v>NOISelection 10-chessislands</v>
      </c>
      <c r="B1762" s="37" t="s">
        <v>3256</v>
      </c>
      <c r="C1762" s="24"/>
      <c r="D1762" s="69"/>
      <c r="E1762" s="31" t="s">
        <v>3257</v>
      </c>
      <c r="F1762" s="37"/>
      <c r="G1762" s="24"/>
      <c r="H1762" s="24"/>
    </row>
    <row r="1763" spans="1:8" ht="13.2">
      <c r="A1763" s="65" t="str">
        <f>HYPERLINK("https://dunjudge.me/analysis/problems/45/","NOISelection 11-journey")</f>
        <v>NOISelection 11-journey</v>
      </c>
      <c r="B1763" s="37" t="s">
        <v>3256</v>
      </c>
      <c r="C1763" s="24"/>
      <c r="D1763" s="69"/>
      <c r="E1763" s="31" t="s">
        <v>3257</v>
      </c>
      <c r="F1763" s="37"/>
      <c r="G1763" s="24"/>
      <c r="H1763" s="24"/>
    </row>
    <row r="1764" spans="1:8" ht="13.2">
      <c r="A1764" s="65" t="str">
        <f>HYPERLINK("https://dunjudge.me/analysis/problems/423/","NOISelection 14-ship")</f>
        <v>NOISelection 14-ship</v>
      </c>
      <c r="B1764" s="37" t="s">
        <v>3256</v>
      </c>
      <c r="C1764" s="24"/>
      <c r="D1764" s="69"/>
      <c r="E1764" s="31" t="s">
        <v>3257</v>
      </c>
      <c r="F1764" s="37"/>
      <c r="G1764" s="24"/>
      <c r="H1764" s="24"/>
    </row>
    <row r="1765" spans="1:8" ht="13.2">
      <c r="A1765" s="65" t="str">
        <f>HYPERLINK("https://dunjudge.me/analysis/problems/935/","NOISelection 16-cattown")</f>
        <v>NOISelection 16-cattown</v>
      </c>
      <c r="B1765" s="37" t="s">
        <v>3256</v>
      </c>
      <c r="C1765" s="24"/>
      <c r="D1765" s="69"/>
      <c r="E1765" s="31" t="s">
        <v>3257</v>
      </c>
      <c r="F1765" s="37"/>
      <c r="G1765" s="24"/>
      <c r="H1765" s="24"/>
    </row>
    <row r="1766" spans="1:8" ht="13.2">
      <c r="A1766" s="65" t="str">
        <f>HYPERLINK("https://dunjudge.me/analysis/problems/952/","NOISelection 16-teleporters")</f>
        <v>NOISelection 16-teleporters</v>
      </c>
      <c r="B1766" s="37" t="s">
        <v>3256</v>
      </c>
      <c r="C1766" s="24"/>
      <c r="D1766" s="69"/>
      <c r="E1766" s="31" t="s">
        <v>3257</v>
      </c>
      <c r="F1766" s="37"/>
      <c r="G1766" s="24"/>
      <c r="H1766" s="24"/>
    </row>
    <row r="1767" spans="1:8" ht="13.2">
      <c r="A1767" s="65" t="str">
        <f>HYPERLINK("https://dunjudge.me/analysis/problems/1462/","NOISelection 18-rookable")</f>
        <v>NOISelection 18-rookable</v>
      </c>
      <c r="B1767" s="37" t="s">
        <v>3256</v>
      </c>
      <c r="C1767" s="24"/>
      <c r="D1767" s="69"/>
      <c r="E1767" s="31" t="s">
        <v>3257</v>
      </c>
      <c r="F1767" s="37"/>
      <c r="G1767" s="24"/>
      <c r="H1767" s="24"/>
    </row>
    <row r="1768" spans="1:8" ht="13.2">
      <c r="A1768" s="65" t="str">
        <f>HYPERLINK("https://dunjudge.me/analysis/problems/1476/","NOISelection 18-superfanclub")</f>
        <v>NOISelection 18-superfanclub</v>
      </c>
      <c r="B1768" s="37" t="s">
        <v>3256</v>
      </c>
      <c r="C1768" s="24"/>
      <c r="D1768" s="69"/>
      <c r="E1768" s="31" t="s">
        <v>3257</v>
      </c>
      <c r="F1768" s="37"/>
      <c r="G1768" s="24"/>
      <c r="H1768" s="24"/>
    </row>
    <row r="1769" spans="1:8" ht="13.2">
      <c r="A1769" s="65" t="str">
        <f>HYPERLINK("https://dunjudge.me/analysis/problems/592/","IOIPractice 14-totem")</f>
        <v>IOIPractice 14-totem</v>
      </c>
      <c r="B1769" s="20" t="s">
        <v>3466</v>
      </c>
      <c r="C1769" s="24"/>
      <c r="D1769" s="69"/>
      <c r="E1769" s="31" t="s">
        <v>3467</v>
      </c>
      <c r="F1769" s="37"/>
      <c r="G1769" s="24"/>
      <c r="H1769" s="24"/>
    </row>
    <row r="1770" spans="1:8" ht="13.2">
      <c r="A1770" s="65" t="str">
        <f>HYPERLINK("https://dunjudge.me/analysis/problems/679/","NOISelection 15-portal_st2015")</f>
        <v>NOISelection 15-portal_st2015</v>
      </c>
      <c r="B1770" s="37" t="s">
        <v>3466</v>
      </c>
      <c r="C1770" s="24"/>
      <c r="D1770" s="69"/>
      <c r="E1770" s="31" t="s">
        <v>3467</v>
      </c>
      <c r="F1770" s="37"/>
      <c r="G1770" s="24"/>
      <c r="H1770" s="24"/>
    </row>
    <row r="1771" spans="1:8" ht="13.2">
      <c r="A1771" s="65" t="str">
        <f>HYPERLINK("https://dunjudge.me/analysis/problems/188/","NOISelection 12-stones")</f>
        <v>NOISelection 12-stones</v>
      </c>
      <c r="B1771" s="37" t="s">
        <v>3649</v>
      </c>
      <c r="C1771" s="24"/>
      <c r="D1771" s="69"/>
      <c r="E1771" s="31" t="s">
        <v>3650</v>
      </c>
      <c r="F1771" s="37"/>
      <c r="G1771" s="24"/>
      <c r="H1771" s="24"/>
    </row>
    <row r="1772" spans="1:8" ht="13.2">
      <c r="A1772" s="65" t="str">
        <f>HYPERLINK("https://dunjudge.me/analysis/problems/87/","NOISelection 11-superlongnoodles")</f>
        <v>NOISelection 11-superlongnoodles</v>
      </c>
      <c r="B1772" s="37" t="s">
        <v>7226</v>
      </c>
      <c r="C1772" s="24"/>
      <c r="D1772" s="69"/>
      <c r="E1772" s="31" t="s">
        <v>3784</v>
      </c>
      <c r="F1772" s="37"/>
      <c r="G1772" s="24"/>
      <c r="H1772" s="24"/>
    </row>
    <row r="1773" spans="1:8" ht="13.2">
      <c r="A1773" s="65" t="str">
        <f>HYPERLINK("https://dunjudge.me/analysis/problems/186/","NOISelection 12-waddlehop")</f>
        <v>NOISelection 12-waddlehop</v>
      </c>
      <c r="B1773" s="37" t="s">
        <v>3791</v>
      </c>
      <c r="C1773" s="24"/>
      <c r="D1773" s="69"/>
      <c r="E1773" s="31" t="s">
        <v>3784</v>
      </c>
      <c r="F1773" s="37"/>
      <c r="G1773" s="24"/>
      <c r="H1773" s="24"/>
    </row>
    <row r="1774" spans="1:8" ht="13.2">
      <c r="A1774" s="65" t="str">
        <f>HYPERLINK("https://dunjudge.me/analysis/problems/422/","NOISelection 14-nemo")</f>
        <v>NOISelection 14-nemo</v>
      </c>
      <c r="B1774" s="37" t="s">
        <v>3886</v>
      </c>
      <c r="C1774" s="24"/>
      <c r="D1774" s="69"/>
      <c r="E1774" s="31" t="s">
        <v>3883</v>
      </c>
      <c r="F1774" s="37"/>
      <c r="G1774" s="24"/>
      <c r="H1774" s="24"/>
    </row>
    <row r="1775" spans="1:8" ht="13.2">
      <c r="A1775" s="65" t="str">
        <f>HYPERLINK("https://dunjudge.me/analysis/problems/676/","NOISelection 15-sightseeing2")</f>
        <v>NOISelection 15-sightseeing2</v>
      </c>
      <c r="B1775" s="37" t="s">
        <v>4279</v>
      </c>
      <c r="C1775" s="24"/>
      <c r="D1775" s="69"/>
      <c r="E1775" s="31" t="s">
        <v>4275</v>
      </c>
      <c r="F1775" s="37"/>
      <c r="G1775" s="24"/>
      <c r="H1775" s="24"/>
    </row>
    <row r="1776" spans="1:8" ht="13.2">
      <c r="A1776" s="65" t="str">
        <f>HYPERLINK("https://dunjudge.me/analysis/problems/1495/","NOI 06-euclid")</f>
        <v>NOI 06-euclid</v>
      </c>
      <c r="B1776" s="37" t="s">
        <v>4564</v>
      </c>
      <c r="C1776" s="24"/>
      <c r="D1776" s="69"/>
      <c r="E1776" s="31" t="s">
        <v>4531</v>
      </c>
      <c r="F1776" s="37"/>
      <c r="G1776" s="24"/>
      <c r="H1776" s="24"/>
    </row>
    <row r="1777" spans="1:8" ht="13.2">
      <c r="A1777" s="65" t="str">
        <f>HYPERLINK("https://dunjudge.me/analysis/problems/88/","NOISelection 11-factortiles")</f>
        <v>NOISelection 11-factortiles</v>
      </c>
      <c r="B1777" s="37" t="s">
        <v>4564</v>
      </c>
      <c r="C1777" s="24"/>
      <c r="D1777" s="69"/>
      <c r="E1777" s="31" t="s">
        <v>4531</v>
      </c>
      <c r="F1777" s="37"/>
      <c r="G1777" s="24"/>
      <c r="H1777" s="24"/>
    </row>
    <row r="1778" spans="1:8" ht="13.2">
      <c r="A1778" s="65" t="str">
        <f>HYPERLINK("https://dunjudge.me/analysis/problems/680/","NOISelection 15-access_code")</f>
        <v>NOISelection 15-access_code</v>
      </c>
      <c r="B1778" s="37" t="s">
        <v>4530</v>
      </c>
      <c r="C1778" s="24"/>
      <c r="D1778" s="69"/>
      <c r="E1778" s="31" t="s">
        <v>4531</v>
      </c>
      <c r="F1778" s="37"/>
      <c r="G1778" s="24"/>
      <c r="H1778" s="24"/>
    </row>
    <row r="1779" spans="1:8" ht="13.2">
      <c r="A1779" s="65" t="str">
        <f>HYPERLINK("https://dunjudge.me/analysis/problems/953/","NOISelection 16-bananaflood")</f>
        <v>NOISelection 16-bananaflood</v>
      </c>
      <c r="B1779" s="37" t="s">
        <v>4530</v>
      </c>
      <c r="C1779" s="24"/>
      <c r="D1779" s="69"/>
      <c r="E1779" s="31" t="s">
        <v>4531</v>
      </c>
      <c r="F1779" s="37"/>
      <c r="G1779" s="24"/>
      <c r="H1779" s="24"/>
    </row>
    <row r="1780" spans="1:8" ht="13.2">
      <c r="A1780" s="65" t="str">
        <f>HYPERLINK("https://dunjudge.me/analysis/problems/933/","NOISelection 16-catnames")</f>
        <v>NOISelection 16-catnames</v>
      </c>
      <c r="B1780" s="37" t="s">
        <v>4530</v>
      </c>
      <c r="C1780" s="24"/>
      <c r="D1780" s="69"/>
      <c r="E1780" s="31" t="s">
        <v>4531</v>
      </c>
      <c r="F1780" s="37"/>
      <c r="G1780" s="24"/>
      <c r="H1780" s="24"/>
    </row>
    <row r="1781" spans="1:8" ht="13.2">
      <c r="A1781" s="65" t="str">
        <f>HYPERLINK("https://dunjudge.me/analysis/problems/1477/","NOISelection 18-spiraldance")</f>
        <v>NOISelection 18-spiraldance</v>
      </c>
      <c r="B1781" s="37" t="s">
        <v>4530</v>
      </c>
      <c r="C1781" s="24"/>
      <c r="D1781" s="69"/>
      <c r="E1781" s="31" t="s">
        <v>4531</v>
      </c>
      <c r="F1781" s="37"/>
      <c r="G1781" s="24"/>
      <c r="H1781" s="24"/>
    </row>
    <row r="1782" spans="1:8" ht="15.75" customHeight="1">
      <c r="G1782" s="24"/>
      <c r="H1782" s="24"/>
    </row>
    <row r="1783" spans="1:8" ht="15.75" customHeight="1">
      <c r="G1783" s="24"/>
      <c r="H1783" s="24"/>
    </row>
    <row r="1784" spans="1:8" ht="15.75" customHeight="1">
      <c r="G1784" s="24"/>
      <c r="H1784" s="24"/>
    </row>
    <row r="1785" spans="1:8" ht="15.75" customHeight="1">
      <c r="G1785" s="24"/>
      <c r="H1785" s="24"/>
    </row>
    <row r="1786" spans="1:8" ht="15.75" customHeight="1">
      <c r="G1786" s="24"/>
      <c r="H1786" s="24"/>
    </row>
    <row r="1787" spans="1:8" ht="15.75" customHeight="1">
      <c r="G1787" s="24"/>
      <c r="H1787" s="24"/>
    </row>
    <row r="1788" spans="1:8" ht="15.75" customHeight="1">
      <c r="G1788" s="24"/>
      <c r="H1788" s="24"/>
    </row>
    <row r="1789" spans="1:8" ht="15.75" customHeight="1">
      <c r="G1789" s="24"/>
      <c r="H1789" s="24"/>
    </row>
    <row r="1790" spans="1:8" ht="15.75" customHeight="1">
      <c r="G1790" s="24"/>
      <c r="H1790" s="24"/>
    </row>
    <row r="1791" spans="1:8" ht="15.75" customHeight="1">
      <c r="G1791" s="24"/>
    </row>
    <row r="1792" spans="1:8" ht="15.75" customHeight="1">
      <c r="G1792" s="24"/>
    </row>
    <row r="1793" spans="7:7" ht="15.75" customHeight="1">
      <c r="G1793" s="24"/>
    </row>
    <row r="1794" spans="7:7" ht="15.75" customHeight="1">
      <c r="G1794" s="24"/>
    </row>
    <row r="1795" spans="7:7" ht="15.75" customHeight="1">
      <c r="G1795" s="24"/>
    </row>
    <row r="1796" spans="7:7" ht="15.75" customHeight="1">
      <c r="G1796" s="24"/>
    </row>
    <row r="1797" spans="7:7" ht="15.75" customHeight="1">
      <c r="G1797" s="24"/>
    </row>
    <row r="1798" spans="7:7" ht="15.75" customHeight="1">
      <c r="G1798" s="24"/>
    </row>
    <row r="1799" spans="7:7" ht="15.75" customHeight="1">
      <c r="G1799" s="24"/>
    </row>
    <row r="1800" spans="7:7" ht="15.75" customHeight="1">
      <c r="G1800" s="24"/>
    </row>
    <row r="1801" spans="7:7" ht="15.75" customHeight="1">
      <c r="G1801" s="24"/>
    </row>
    <row r="1802" spans="7:7" ht="15.75" customHeight="1">
      <c r="G1802" s="24"/>
    </row>
    <row r="1803" spans="7:7" ht="15.75" customHeight="1">
      <c r="G1803" s="24"/>
    </row>
    <row r="1804" spans="7:7" ht="15.75" customHeight="1">
      <c r="G1804" s="24"/>
    </row>
  </sheetData>
  <hyperlinks>
    <hyperlink ref="A1" r:id="rId1" xr:uid="{00000000-0004-0000-0400-000000000000}"/>
    <hyperlink ref="A1219" r:id="rId2" xr:uid="{00000000-0004-0000-0400-000001000000}"/>
    <hyperlink ref="A1228" r:id="rId3" xr:uid="{00000000-0004-0000-0400-000002000000}"/>
    <hyperlink ref="A1229" r:id="rId4" xr:uid="{00000000-0004-0000-0400-000003000000}"/>
    <hyperlink ref="A1510" r:id="rId5" xr:uid="{00000000-0004-0000-0400-000004000000}"/>
    <hyperlink ref="A1514" r:id="rId6" xr:uid="{00000000-0004-0000-0400-000005000000}"/>
  </hyperlinks>
  <pageMargins left="0.7" right="0.7" top="0.75" bottom="0.75" header="0.3" footer="0.3"/>
  <legacyDrawing r:id="rId7"/>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H1787"/>
  <sheetViews>
    <sheetView tabSelected="1" zoomScale="145" workbookViewId="0">
      <pane xSplit="1" ySplit="1" topLeftCell="B18" activePane="bottomRight" state="frozen"/>
      <selection pane="topRight" activeCell="B1" sqref="B1"/>
      <selection pane="bottomLeft" activeCell="A2" sqref="A2"/>
      <selection pane="bottomRight" activeCell="I1781" sqref="I1781"/>
    </sheetView>
  </sheetViews>
  <sheetFormatPr defaultColWidth="12.6640625" defaultRowHeight="15.75" customHeight="1"/>
  <cols>
    <col min="1" max="1" width="29.21875" customWidth="1"/>
    <col min="2" max="2" width="101.33203125" customWidth="1"/>
    <col min="3" max="3" width="7.77734375" customWidth="1"/>
    <col min="4" max="4" width="11.21875" customWidth="1"/>
    <col min="5" max="5" width="9.109375" customWidth="1"/>
    <col min="6" max="6" width="10.21875" customWidth="1"/>
    <col min="7" max="7" width="11.5546875" customWidth="1"/>
    <col min="8" max="8" width="11.33203125" customWidth="1"/>
  </cols>
  <sheetData>
    <row r="1" spans="1:8" ht="26.4">
      <c r="A1" s="12" t="s">
        <v>115</v>
      </c>
      <c r="B1" s="14" t="s">
        <v>116</v>
      </c>
      <c r="C1" s="14" t="s">
        <v>6562</v>
      </c>
      <c r="D1" s="14" t="s">
        <v>118</v>
      </c>
      <c r="E1" s="64" t="s">
        <v>119</v>
      </c>
      <c r="F1" s="14" t="s">
        <v>120</v>
      </c>
      <c r="G1" s="14" t="s">
        <v>121</v>
      </c>
      <c r="H1" s="14" t="s">
        <v>122</v>
      </c>
    </row>
    <row r="2" spans="1:8" ht="13.2">
      <c r="A2" s="65" t="str">
        <f>HYPERLINK("http://www.spoj.com/problems/BACKUP/", "APIO 07-Backup")</f>
        <v>APIO 07-Backup</v>
      </c>
      <c r="B2" s="18" t="s">
        <v>6980</v>
      </c>
      <c r="C2" s="17">
        <v>7.1</v>
      </c>
      <c r="D2" s="65" t="str">
        <f>HYPERLINK("https://github.com/mostafa-saad/MyCompetitiveProgramming/blob/master/Olympiad/APIO/APIO-07-Backup.txt","Sol")</f>
        <v>Sol</v>
      </c>
      <c r="E2" s="31" t="s">
        <v>2153</v>
      </c>
      <c r="F2" s="37" t="s">
        <v>154</v>
      </c>
      <c r="G2" s="53"/>
      <c r="H2" s="53"/>
    </row>
    <row r="3" spans="1:8" ht="13.2">
      <c r="A3" s="65" t="str">
        <f>HYPERLINK("http://www.spoj.com/problems/MOBILE2/","APIO 07-MOBILE2")</f>
        <v>APIO 07-MOBILE2</v>
      </c>
      <c r="B3" s="25" t="s">
        <v>7033</v>
      </c>
      <c r="C3" s="24">
        <v>5</v>
      </c>
      <c r="D3" s="65" t="str">
        <f>HYPERLINK("https://github.com/cacophonix/SPOJ/blob/master/MOBILE2.cpp","Sol")</f>
        <v>Sol</v>
      </c>
      <c r="E3" s="31" t="s">
        <v>2153</v>
      </c>
      <c r="F3" s="37"/>
      <c r="G3" s="24"/>
      <c r="H3" s="53"/>
    </row>
    <row r="4" spans="1:8" ht="13.2">
      <c r="A4" s="65" t="str">
        <f>HYPERLINK("https://www.spoj.com/problems/ZOO/","APIO 07-Zoo")</f>
        <v>APIO 07-Zoo</v>
      </c>
      <c r="B4" s="20" t="s">
        <v>6957</v>
      </c>
      <c r="C4" s="17">
        <v>6.3</v>
      </c>
      <c r="D4" s="65" t="str">
        <f>HYPERLINK("https://github.com/mostafa-saad/MyCompetitiveProgramming/blob/master/Olympiad/APIO/APIO-07-Zoo.txt","Sol")</f>
        <v>Sol</v>
      </c>
      <c r="E4" s="31" t="s">
        <v>1819</v>
      </c>
      <c r="F4" s="37" t="s">
        <v>196</v>
      </c>
      <c r="G4" s="24"/>
      <c r="H4" s="53"/>
    </row>
    <row r="5" spans="1:8" ht="13.2">
      <c r="A5" s="65" t="str">
        <f>HYPERLINK("https://tioj.ck.tp.edu.tw/problems/1739","APIO 08-Beads")</f>
        <v>APIO 08-Beads</v>
      </c>
      <c r="B5" s="20" t="s">
        <v>6727</v>
      </c>
      <c r="C5" s="17">
        <v>6</v>
      </c>
      <c r="D5" s="65" t="str">
        <f>HYPERLINK("https://github.com/mostafa-saad/MyCompetitiveProgramming/blob/master/Olympiad/APIO/APIO-08-Beads.txt","Sol - Do local test")</f>
        <v>Sol - Do local test</v>
      </c>
      <c r="E5" s="31" t="s">
        <v>805</v>
      </c>
      <c r="F5" s="37"/>
      <c r="G5" s="24"/>
      <c r="H5" s="53"/>
    </row>
    <row r="6" spans="1:8" ht="13.2">
      <c r="A6" s="65" t="str">
        <f>HYPERLINK("https://dunjudge.me/analysis/problems/542/","APIO 08-DNA")</f>
        <v>APIO 08-DNA</v>
      </c>
      <c r="B6" s="20" t="s">
        <v>6970</v>
      </c>
      <c r="C6" s="17">
        <v>6</v>
      </c>
      <c r="D6" s="65" t="str">
        <f>HYPERLINK("https://github.com/mostafa-saad/MyCompetitiveProgramming/blob/master/Olympiad/APIO/APIO-08-DNA.txt","Sol")</f>
        <v>Sol</v>
      </c>
      <c r="E6" s="31" t="s">
        <v>1909</v>
      </c>
      <c r="F6" s="37" t="s">
        <v>201</v>
      </c>
      <c r="G6" s="24"/>
      <c r="H6" s="53"/>
    </row>
    <row r="7" spans="1:8" ht="13.2">
      <c r="A7" s="65" t="str">
        <f>HYPERLINK("https://tioj.ck.tp.edu.tw/problems/1740","APIO 08-Roads")</f>
        <v>APIO 08-Roads</v>
      </c>
      <c r="B7" s="20" t="s">
        <v>7028</v>
      </c>
      <c r="C7" s="17">
        <v>5</v>
      </c>
      <c r="D7" s="65" t="str">
        <f>HYPERLINK("https://github.com/mostafa-saad/MyCompetitiveProgramming/blob/master/Olympiad/APIO/APIO-08-Roads.txt","Sol")</f>
        <v>Sol</v>
      </c>
      <c r="E7" s="31" t="s">
        <v>2153</v>
      </c>
      <c r="F7" s="37" t="s">
        <v>139</v>
      </c>
      <c r="G7" s="24"/>
      <c r="H7" s="53"/>
    </row>
    <row r="8" spans="1:8" ht="13.2">
      <c r="A8" s="65" t="str">
        <f>HYPERLINK("https://tioj.ck.tp.edu.tw/problems/1744","APIO 09-ATM")</f>
        <v>APIO 09-ATM</v>
      </c>
      <c r="B8" s="20" t="s">
        <v>7275</v>
      </c>
      <c r="C8" s="17">
        <v>6.5</v>
      </c>
      <c r="D8" s="65" t="str">
        <f>HYPERLINK("https://github.com/goar5670/CompetitiveProgramming/blob/master/APIO%2009-ATM.cpp","Sol")</f>
        <v>Sol</v>
      </c>
      <c r="E8" s="31" t="s">
        <v>4344</v>
      </c>
      <c r="F8" s="37"/>
      <c r="G8" s="24"/>
      <c r="H8" s="53"/>
    </row>
    <row r="9" spans="1:8" ht="13.2">
      <c r="A9" s="65" t="str">
        <f>HYPERLINK("https://dunjudge.me/analysis/problems/559/","APIO 09-Convention")</f>
        <v>APIO 09-Convention</v>
      </c>
      <c r="B9" s="20" t="s">
        <v>6671</v>
      </c>
      <c r="C9" s="17">
        <v>7.75</v>
      </c>
      <c r="D9" s="65" t="str">
        <f>HYPERLINK("https://github.com/mostafa-saad/MyCompetitiveProgramming/blob/master/Olympiad/APIO/APIO-09-Convention.txt","Sol")</f>
        <v>Sol</v>
      </c>
      <c r="E9" s="31" t="s">
        <v>575</v>
      </c>
      <c r="F9" s="37" t="s">
        <v>201</v>
      </c>
      <c r="G9" s="24"/>
      <c r="H9" s="53"/>
    </row>
    <row r="10" spans="1:8" ht="13.2">
      <c r="A10" s="65" t="str">
        <f>HYPERLINK("https://tioj.ck.tp.edu.tw/problems/1742","APIO 09-Oil")</f>
        <v>APIO 09-Oil</v>
      </c>
      <c r="B10" s="18" t="s">
        <v>6608</v>
      </c>
      <c r="C10" s="24">
        <v>6.25</v>
      </c>
      <c r="D10" s="65" t="str">
        <f>HYPERLINK("https://github.com/mostafa-saad/MyCompetitiveProgramming/blob/master/Olympiad/APIO/APIO-09-Oil.txt","Sol")</f>
        <v>Sol</v>
      </c>
      <c r="E10" s="31" t="s">
        <v>125</v>
      </c>
      <c r="F10" s="37" t="s">
        <v>201</v>
      </c>
      <c r="G10" s="24"/>
      <c r="H10" s="53"/>
    </row>
    <row r="11" spans="1:8" ht="13.2">
      <c r="A11" s="65" t="str">
        <f>HYPERLINK("https://dmoj.ca/problem/apio10p1","APIO 10-Commando")</f>
        <v>APIO 10-Commando</v>
      </c>
      <c r="B11" s="20" t="s">
        <v>7462</v>
      </c>
      <c r="C11" s="17">
        <v>6.25</v>
      </c>
      <c r="D11" s="65" t="str">
        <f>HYPERLINK("https://github.com/timpostuvan/CompetitiveProgramming/blob/master/Olympiad/APIO/Commando2010.cpp","Sol")</f>
        <v>Sol</v>
      </c>
      <c r="E11" s="31" t="s">
        <v>6362</v>
      </c>
      <c r="F11" s="37"/>
      <c r="G11" s="24"/>
      <c r="H11" s="53"/>
    </row>
    <row r="12" spans="1:8" ht="13.2">
      <c r="A12" s="65" t="str">
        <f>HYPERLINK("https://dmoj.ca/problem/apio10p2", "APIO 10-Patrol")</f>
        <v>APIO 10-Patrol</v>
      </c>
      <c r="B12" s="20" t="s">
        <v>7436</v>
      </c>
      <c r="C12" s="17">
        <v>6.8</v>
      </c>
      <c r="D12" s="65" t="str">
        <f>HYPERLINK("https://github.com/mostafa-saad/MyCompetitiveProgramming/blob/master/Olympiad/APIO/APIO-10-Patrol.txt","Sol")</f>
        <v>Sol</v>
      </c>
      <c r="E12" s="31" t="s">
        <v>6151</v>
      </c>
      <c r="F12" s="37" t="s">
        <v>154</v>
      </c>
      <c r="G12" s="24"/>
      <c r="H12" s="53"/>
    </row>
    <row r="13" spans="1:8" ht="13.2">
      <c r="A13" s="65" t="str">
        <f>HYPERLINK("https://dmoj.ca/problem/apio10p3", "APIO 10-Signaling")</f>
        <v>APIO 10-Signaling</v>
      </c>
      <c r="B13" s="20" t="s">
        <v>7103</v>
      </c>
      <c r="C13" s="17">
        <v>7</v>
      </c>
      <c r="D13" s="65" t="str">
        <f>HYPERLINK("https://github.com/shanto86/Training/blob/master/Dmoj/APIO%2010-Signaling.cpp","Sol")</f>
        <v>Sol</v>
      </c>
      <c r="E13" s="31" t="s">
        <v>3140</v>
      </c>
      <c r="F13" s="37"/>
      <c r="G13" s="24"/>
      <c r="H13" s="53"/>
    </row>
    <row r="14" spans="1:8" ht="13.2">
      <c r="A14" s="65" t="str">
        <f>HYPERLINK("https://tioj.ck.tp.edu.tw/problems/1748","APIO 11-Color")</f>
        <v>APIO 11-Color</v>
      </c>
      <c r="B14" s="20" t="s">
        <v>7185</v>
      </c>
      <c r="C14" s="17">
        <v>7</v>
      </c>
      <c r="D14" s="65" t="str">
        <f>HYPERLINK("https://github.com/mostafa-saad/MyCompetitiveProgramming/blob/master/Olympiad/APIO/APIO-11-Color.txt","Sol")</f>
        <v>Sol</v>
      </c>
      <c r="E14" s="31" t="s">
        <v>3650</v>
      </c>
      <c r="F14" s="37" t="s">
        <v>173</v>
      </c>
      <c r="G14" s="24"/>
      <c r="H14" s="53"/>
    </row>
    <row r="15" spans="1:8" ht="13.2">
      <c r="A15" s="65" t="str">
        <f>HYPERLINK("https://tioj.ck.tp.edu.tw/problems/1750","APIO 11-guessword")</f>
        <v>APIO 11-guessword</v>
      </c>
      <c r="B15" s="20" t="s">
        <v>7524</v>
      </c>
      <c r="C15" s="17">
        <v>8</v>
      </c>
      <c r="D15" s="69"/>
      <c r="E15" s="31" t="s">
        <v>7525</v>
      </c>
      <c r="F15" s="37"/>
      <c r="G15" s="24"/>
      <c r="H15" s="53"/>
    </row>
    <row r="16" spans="1:8" ht="13.2">
      <c r="A16" s="65" t="str">
        <f>HYPERLINK("https://dunjudge.me/analysis/problems/1232/","APIO 11-Path")</f>
        <v>APIO 11-Path</v>
      </c>
      <c r="B16" s="20" t="s">
        <v>7124</v>
      </c>
      <c r="C16" s="17">
        <v>7</v>
      </c>
      <c r="D16" s="65" t="str">
        <f>HYPERLINK("https://github.com/mostafa-saad/MyCompetitiveProgramming/blob/master/Olympiad/APIO/APIO-11-Path.txt","Sol")</f>
        <v>Sol</v>
      </c>
      <c r="E16" s="31" t="s">
        <v>3257</v>
      </c>
      <c r="F16" s="37" t="s">
        <v>139</v>
      </c>
      <c r="G16" s="24"/>
      <c r="H16" s="53"/>
    </row>
    <row r="17" spans="1:8" ht="13.2">
      <c r="A17" s="65" t="str">
        <f>HYPERLINK("https://dmoj.ca/problem/apio12p1", "APIO 12-Dispatching")</f>
        <v>APIO 12-Dispatching</v>
      </c>
      <c r="B17" s="20" t="s">
        <v>7150</v>
      </c>
      <c r="C17" s="17">
        <v>6</v>
      </c>
      <c r="D17" s="65" t="str">
        <f>HYPERLINK("https://github.com/mostafa-saad/MyCompetitiveProgramming/blob/master/Olympiad/APIO/APIO-12-Dispatching.txt","Sol")</f>
        <v>Sol</v>
      </c>
      <c r="E17" s="31" t="s">
        <v>3257</v>
      </c>
      <c r="F17" s="37" t="s">
        <v>139</v>
      </c>
      <c r="G17" s="24"/>
      <c r="H17" s="53"/>
    </row>
    <row r="18" spans="1:8" ht="13.2">
      <c r="A18" s="65" t="str">
        <f>HYPERLINK("https://dmoj.ca/problem/apio12p2", "APIO 12-Guard")</f>
        <v>APIO 12-Guard</v>
      </c>
      <c r="B18" s="20" t="s">
        <v>6569</v>
      </c>
      <c r="C18" s="17">
        <v>7.5</v>
      </c>
      <c r="D18" s="69"/>
      <c r="E18" s="31" t="s">
        <v>125</v>
      </c>
      <c r="F18" s="37"/>
      <c r="G18" s="24"/>
      <c r="H18" s="53"/>
    </row>
    <row r="19" spans="1:8" ht="13.2">
      <c r="A19" s="65" t="str">
        <f>HYPERLINK("https://dmoj.ca/problem/apio12p3", "APIO 12-Kunai")</f>
        <v>APIO 12-Kunai</v>
      </c>
      <c r="B19" s="20" t="s">
        <v>6566</v>
      </c>
      <c r="C19" s="17">
        <v>7.75</v>
      </c>
      <c r="D19" s="65" t="str">
        <f>HYPERLINK("https://github.com/tmwilliamlin168/CompetitiveProgramming/blob/master/APIO/12-Kunai.cpp", "Sol")</f>
        <v>Sol</v>
      </c>
      <c r="E19" s="31" t="s">
        <v>125</v>
      </c>
      <c r="F19" s="37"/>
      <c r="G19" s="24"/>
      <c r="H19" s="53"/>
    </row>
    <row r="20" spans="1:8" ht="13.2">
      <c r="A20" s="65" t="str">
        <f>HYPERLINK("https://oj.uz/problem/view/APIO13_robots", "APIO 13-Robots")</f>
        <v>APIO 13-Robots</v>
      </c>
      <c r="B20" s="20" t="s">
        <v>6947</v>
      </c>
      <c r="C20" s="17">
        <v>7</v>
      </c>
      <c r="D20" s="65" t="str">
        <f>HYPERLINK("https://github.com/mostafa-saad/MyCompetitiveProgramming/blob/master/Olympiad/APIO/APIO-13-Robots.txt","Sol")</f>
        <v>Sol</v>
      </c>
      <c r="E20" s="31" t="s">
        <v>1793</v>
      </c>
      <c r="F20" s="37" t="s">
        <v>201</v>
      </c>
      <c r="G20" s="24"/>
      <c r="H20" s="53"/>
    </row>
    <row r="21" spans="1:8" ht="13.2">
      <c r="A21" s="65" t="str">
        <f>HYPERLINK("https://dunjudge.me/analysis/problems/437/","APIO 13-tasksauthor")</f>
        <v>APIO 13-tasksauthor</v>
      </c>
      <c r="B21" s="20" t="s">
        <v>7526</v>
      </c>
      <c r="C21" s="81"/>
      <c r="D21" s="69"/>
      <c r="E21" s="31" t="s">
        <v>7525</v>
      </c>
      <c r="F21" s="37"/>
      <c r="G21" s="24"/>
      <c r="H21" s="53"/>
    </row>
    <row r="22" spans="1:8" ht="13.2">
      <c r="A22" s="65" t="str">
        <f>HYPERLINK("https://oj.uz/problem/view/APIO13_toll", "APIO 13-Toll")</f>
        <v>APIO 13-Toll</v>
      </c>
      <c r="B22" s="20" t="s">
        <v>4279</v>
      </c>
      <c r="C22" s="17">
        <v>7.75</v>
      </c>
      <c r="D22" s="65" t="str">
        <f>HYPERLINK("https://github.com/tmwilliamlin168/CompetitiveProgramming/blob/master/APIO/13-Toll.cpp","Sol")</f>
        <v>Sol</v>
      </c>
      <c r="E22" s="31" t="s">
        <v>4275</v>
      </c>
      <c r="F22" s="37"/>
      <c r="G22" s="24"/>
      <c r="H22" s="53"/>
    </row>
    <row r="23" spans="1:8" ht="13.2">
      <c r="A23" s="65" t="str">
        <f>HYPERLINK("https://oj.uz/problem/view/APIO14_beads","APIO 14-Beads")</f>
        <v>APIO 14-Beads</v>
      </c>
      <c r="B23" s="20" t="s">
        <v>7680</v>
      </c>
      <c r="C23" s="17">
        <v>7.1</v>
      </c>
      <c r="D23" s="65" t="str">
        <f>HYPERLINK("https://github.com/tmwilliamlin168/CompetitiveProgramming/blob/master/APIO/14-Beads.cpp", "Sol")</f>
        <v>Sol</v>
      </c>
      <c r="E23" s="31" t="s">
        <v>6151</v>
      </c>
      <c r="F23" s="37"/>
      <c r="G23" s="24"/>
      <c r="H23" s="53"/>
    </row>
    <row r="24" spans="1:8" ht="13.2">
      <c r="A24" s="65" t="str">
        <f>HYPERLINK("https://dmoj.ca/problem/apio14p1", "APIO 14-Palindrome")</f>
        <v>APIO 14-Palindrome</v>
      </c>
      <c r="B24" s="20" t="s">
        <v>7382</v>
      </c>
      <c r="C24" s="17">
        <v>7.75</v>
      </c>
      <c r="D24" s="65" t="str">
        <f>HYPERLINK("https://github.com/mostafa-saad/MyCompetitiveProgramming/blob/master/Olympiad/APIO/APIO-14-Palindrome.txt","Sol")</f>
        <v>Sol</v>
      </c>
      <c r="E24" s="31" t="s">
        <v>5794</v>
      </c>
      <c r="F24" s="37"/>
      <c r="G24" s="24"/>
      <c r="H24" s="53"/>
    </row>
    <row r="25" spans="1:8" ht="13.2">
      <c r="A25" s="65" t="str">
        <f>HYPERLINK("https://oj.uz/problem/view/APIO14_sequence", "APIO 14-Sequence")</f>
        <v>APIO 14-Sequence</v>
      </c>
      <c r="B25" s="15" t="s">
        <v>7461</v>
      </c>
      <c r="C25" s="17">
        <v>6.25</v>
      </c>
      <c r="D25" s="65" t="str">
        <f>HYPERLINK("https://github.com/mostafa-saad/MyCompetitiveProgramming/blob/master/Olympiad/APIO/APIO-14-Sequence.txt","Sol")</f>
        <v>Sol</v>
      </c>
      <c r="E25" s="31" t="s">
        <v>6362</v>
      </c>
      <c r="F25" s="37"/>
      <c r="G25" s="24"/>
      <c r="H25" s="53"/>
    </row>
    <row r="26" spans="1:8" ht="13.2">
      <c r="A26" s="65" t="str">
        <f>HYPERLINK("https://oj.uz/problem/view/APIO15_bridge","APIO 15-bridge")</f>
        <v>APIO 15-bridge</v>
      </c>
      <c r="B26" s="15" t="s">
        <v>7681</v>
      </c>
      <c r="C26" s="17">
        <v>6.75</v>
      </c>
      <c r="D26" s="65" t="str">
        <f>HYPERLINK("https://github.com/mostafa-saad/MyCompetitiveProgramming/blob/master/Olympiad/APIO/APIO-15-bridge.txt","Sol")</f>
        <v>Sol</v>
      </c>
      <c r="E26" s="31" t="s">
        <v>575</v>
      </c>
      <c r="F26" s="37" t="s">
        <v>1112</v>
      </c>
      <c r="G26" s="24"/>
      <c r="H26" s="53"/>
    </row>
    <row r="27" spans="1:8" ht="13.2">
      <c r="A27" s="65" t="str">
        <f>HYPERLINK("https://oj.uz/problem/view/APIO15_sculpture","APIO 15-sculpture")</f>
        <v>APIO 15-sculpture</v>
      </c>
      <c r="B27" s="18" t="s">
        <v>6994</v>
      </c>
      <c r="C27" s="17">
        <v>6.5</v>
      </c>
      <c r="D27" s="65" t="str">
        <f>HYPERLINK("https://github.com/mostafa-saad/MyCompetitiveProgramming/blob/master/Olympiad/APIO/APIO-15-sculpture.txt", "Sol")</f>
        <v>Sol</v>
      </c>
      <c r="E27" s="31" t="s">
        <v>2153</v>
      </c>
      <c r="F27" s="37"/>
      <c r="G27" s="24"/>
      <c r="H27" s="53"/>
    </row>
    <row r="28" spans="1:8" ht="13.2">
      <c r="A28" s="65" t="str">
        <f>HYPERLINK("https://oj.uz/problem/view/APIO15_skyscraper","APIO 15-skyscraper")</f>
        <v>APIO 15-skyscraper</v>
      </c>
      <c r="B28" s="18" t="s">
        <v>7215</v>
      </c>
      <c r="C28" s="17">
        <v>6.1</v>
      </c>
      <c r="D28" s="65" t="str">
        <f>HYPERLINK("https://github.com/mostafa-saad/MyCompetitiveProgramming/blob/master/Olympiad/APIO/APIO-15-skyscraper.txt","Sol")</f>
        <v>Sol</v>
      </c>
      <c r="E28" s="31" t="s">
        <v>3784</v>
      </c>
      <c r="F28" s="37" t="s">
        <v>196</v>
      </c>
      <c r="G28" s="24"/>
      <c r="H28" s="53"/>
    </row>
    <row r="29" spans="1:8" ht="13.2">
      <c r="A29" s="65" t="str">
        <f>HYPERLINK("https://oj.uz/problem/view/APIO16_boat","APIO 16-boat")</f>
        <v>APIO 16-boat</v>
      </c>
      <c r="B29" s="15" t="s">
        <v>6943</v>
      </c>
      <c r="C29" s="24">
        <v>7.1</v>
      </c>
      <c r="D29" s="65" t="str">
        <f>HYPERLINK("https://github.com/mostafa-saad/MyCompetitiveProgramming/blob/master/Olympiad/APIO/APIO-16-boat.txt","Sol")</f>
        <v>Sol</v>
      </c>
      <c r="E29" s="31" t="s">
        <v>1716</v>
      </c>
      <c r="F29" s="37" t="s">
        <v>139</v>
      </c>
      <c r="G29" s="24"/>
      <c r="H29" s="53"/>
    </row>
    <row r="30" spans="1:8" ht="13.2">
      <c r="A30" s="65" t="str">
        <f>HYPERLINK("https://oj.uz/problem/view/APIO16_fireworks","APIO 16-fireworks")</f>
        <v>APIO 16-fireworks</v>
      </c>
      <c r="B30" s="15" t="s">
        <v>6824</v>
      </c>
      <c r="C30" s="24">
        <v>7.5</v>
      </c>
      <c r="D30" s="65" t="str">
        <f>HYPERLINK("https://github.com/mostafa-saad/MyCompetitiveProgramming/blob/master/Olympiad/APIO/APIO-16-fireworks.txt","Sol")</f>
        <v>Sol</v>
      </c>
      <c r="E30" s="31" t="s">
        <v>1337</v>
      </c>
      <c r="F30" s="37" t="s">
        <v>173</v>
      </c>
      <c r="G30" s="24"/>
      <c r="H30" s="53"/>
    </row>
    <row r="31" spans="1:8" ht="13.2">
      <c r="A31" s="65" t="str">
        <f>HYPERLINK("https://oj.uz/problems/source/184", "APIO 16-gap")</f>
        <v>APIO 16-gap</v>
      </c>
      <c r="B31" s="15" t="s">
        <v>6585</v>
      </c>
      <c r="C31" s="17">
        <v>6.75</v>
      </c>
      <c r="D31" s="65" t="str">
        <f>HYPERLINK("https://github.com/mostafa-saad/MyCompetitiveProgramming/blob/master/Olympiad/APIO/APIO-16-gap.txt","Sol")</f>
        <v>Sol</v>
      </c>
      <c r="E31" s="31" t="s">
        <v>125</v>
      </c>
      <c r="F31" s="37" t="s">
        <v>139</v>
      </c>
      <c r="G31" s="24"/>
      <c r="H31" s="53"/>
    </row>
    <row r="32" spans="1:8" ht="13.2">
      <c r="A32" s="65" t="str">
        <f>HYPERLINK("https://oj.uz/problem/view/APIO17_koala","APIO 17-koala")</f>
        <v>APIO 17-koala</v>
      </c>
      <c r="B32" s="20" t="s">
        <v>6714</v>
      </c>
      <c r="C32" s="24">
        <v>7.5</v>
      </c>
      <c r="D32" s="65" t="str">
        <f>HYPERLINK("https://github.com/mostafa-saad/MyCompetitiveProgramming/blob/master/Olympiad/APIO/official/2017","Sol")</f>
        <v>Sol</v>
      </c>
      <c r="E32" s="31" t="s">
        <v>805</v>
      </c>
      <c r="F32" s="37"/>
      <c r="G32" s="24"/>
      <c r="H32" s="53"/>
    </row>
    <row r="33" spans="1:8" ht="13.2">
      <c r="A33" s="65" t="str">
        <f>HYPERLINK("https://oj.uz/problem/view/APIO17_merchant","APIO 17-merchant")</f>
        <v>APIO 17-merchant</v>
      </c>
      <c r="B33" s="23" t="s">
        <v>4030</v>
      </c>
      <c r="C33" s="24">
        <v>6.7</v>
      </c>
      <c r="D33" s="65" t="str">
        <f>HYPERLINK("https://github.com/mostafa-saad/MyCompetitiveProgramming/blob/master/Olympiad/APIO/APIO-17-merchant.txt","Sol")</f>
        <v>Sol</v>
      </c>
      <c r="E33" s="31" t="s">
        <v>3998</v>
      </c>
      <c r="F33" s="37" t="s">
        <v>154</v>
      </c>
      <c r="G33" s="24"/>
      <c r="H33" s="53"/>
    </row>
    <row r="34" spans="1:8" ht="13.2">
      <c r="A34" s="65" t="str">
        <f>HYPERLINK("https://oj.uz/problem/view/APIO17_rainbow","APIO 17-rainbow")</f>
        <v>APIO 17-rainbow</v>
      </c>
      <c r="B34" s="20" t="s">
        <v>6756</v>
      </c>
      <c r="C34" s="24">
        <v>7.1</v>
      </c>
      <c r="D34" s="65" t="str">
        <f>HYPERLINK("https://github.com/mostafa-saad/MyCompetitiveProgramming/blob/master/Olympiad/APIO/APIO-17-rainbow.txt","Sol")</f>
        <v>Sol</v>
      </c>
      <c r="E34" s="31" t="s">
        <v>1018</v>
      </c>
      <c r="F34" s="37" t="s">
        <v>154</v>
      </c>
      <c r="G34" s="24"/>
      <c r="H34" s="53"/>
    </row>
    <row r="35" spans="1:8" ht="13.2">
      <c r="A35" s="65" t="str">
        <f>HYPERLINK("https://oj.uz/problems/source/326", "APIO 18-circleselection")</f>
        <v>APIO 18-circleselection</v>
      </c>
      <c r="B35" s="15" t="s">
        <v>7101</v>
      </c>
      <c r="C35" s="17">
        <v>7.75</v>
      </c>
      <c r="D35" s="65" t="str">
        <f>HYPERLINK("https://github.com/timpostuvan/CompetitiveProgramming/blob/master/Olympiad/APIO/CircleSelection2018.cpp","Sol")</f>
        <v>Sol</v>
      </c>
      <c r="E35" s="31" t="s">
        <v>3140</v>
      </c>
      <c r="F35" s="37" t="s">
        <v>173</v>
      </c>
      <c r="G35" s="24"/>
      <c r="H35" s="53"/>
    </row>
    <row r="36" spans="1:8" ht="13.2">
      <c r="A36" s="65" t="str">
        <f>HYPERLINK("https://oj.uz/problems/source/326", "APIO 18-duathlon")</f>
        <v>APIO 18-duathlon</v>
      </c>
      <c r="B36" s="15" t="s">
        <v>7284</v>
      </c>
      <c r="C36" s="24">
        <v>7.5</v>
      </c>
      <c r="D36" s="65" t="str">
        <f>HYPERLINK("https://github.com/mostafa-saad/MyCompetitiveProgramming/blob/master/Olympiad/APIO/APIO-18-duathlon.txt","Sol")</f>
        <v>Sol</v>
      </c>
      <c r="E36" s="31" t="s">
        <v>4423</v>
      </c>
      <c r="F36" s="37" t="s">
        <v>154</v>
      </c>
      <c r="G36" s="24"/>
      <c r="H36" s="53"/>
    </row>
    <row r="37" spans="1:8" ht="13.2">
      <c r="A37" s="65" t="str">
        <f>HYPERLINK("https://oj.uz/problems/source/326", "APIO 18-newhome")</f>
        <v>APIO 18-newhome</v>
      </c>
      <c r="B37" s="23" t="s">
        <v>6670</v>
      </c>
      <c r="C37" s="24">
        <v>8.25</v>
      </c>
      <c r="D37" s="65" t="str">
        <f>HYPERLINK("https://github.com/mostafa-saad/MyCompetitiveProgramming/blob/master/Olympiad/APIO/APIO-18-newhome.txt","Sol")</f>
        <v>Sol</v>
      </c>
      <c r="E37" s="31" t="s">
        <v>575</v>
      </c>
      <c r="F37" s="37" t="s">
        <v>173</v>
      </c>
      <c r="G37" s="24"/>
      <c r="H37" s="53"/>
    </row>
    <row r="38" spans="1:8" ht="13.2">
      <c r="A38" s="65" t="str">
        <f>HYPERLINK("https://codeforces.com/gym/102257/","APIO 19-bridges")</f>
        <v>APIO 19-bridges</v>
      </c>
      <c r="B38" s="23" t="s">
        <v>7476</v>
      </c>
      <c r="C38" s="24">
        <v>7</v>
      </c>
      <c r="D38" s="65" t="str">
        <f>HYPERLINK("https://github.com/mostafa-saad/MyCompetitiveProgramming/blob/master/Olympiad/APIO/APIO-19-bridges.txt","Sol")</f>
        <v>Sol</v>
      </c>
      <c r="E38" s="31" t="s">
        <v>6397</v>
      </c>
      <c r="F38" s="37" t="s">
        <v>139</v>
      </c>
      <c r="G38" s="24"/>
      <c r="H38" s="53"/>
    </row>
    <row r="39" spans="1:8" ht="13.2">
      <c r="A39" s="65" t="str">
        <f>HYPERLINK("https://codeforces.com/gym/102257/","APIO 19-strange_device")</f>
        <v>APIO 19-strange_device</v>
      </c>
      <c r="B39" s="37" t="s">
        <v>7313</v>
      </c>
      <c r="C39" s="24">
        <v>6.25</v>
      </c>
      <c r="D39" s="65" t="str">
        <f>HYPERLINK("https://github.com/mostafa-saad/MyCompetitiveProgramming/blob/master/Olympiad/APIO/APIO-19-strange_device.txt","Sol")</f>
        <v>Sol</v>
      </c>
      <c r="E39" s="31" t="s">
        <v>4531</v>
      </c>
      <c r="F39" s="37" t="s">
        <v>139</v>
      </c>
      <c r="G39" s="24"/>
      <c r="H39" s="53"/>
    </row>
    <row r="40" spans="1:8" ht="13.2">
      <c r="A40" s="65" t="str">
        <f>HYPERLINK("https://codeforces.com/gym/102257/","APIO 19-street_lamps")</f>
        <v>APIO 19-street_lamps</v>
      </c>
      <c r="B40" s="37" t="s">
        <v>1207</v>
      </c>
      <c r="C40" s="24">
        <v>6.5</v>
      </c>
      <c r="D40" s="65" t="str">
        <f>HYPERLINK("https://github.com/Evilandrew228/CompetitiveProgramming/blob/master/APIO%2019-street_lamps", "Sol")</f>
        <v>Sol</v>
      </c>
      <c r="E40" s="31" t="s">
        <v>1018</v>
      </c>
      <c r="F40" s="37"/>
      <c r="G40" s="24"/>
      <c r="H40" s="53"/>
    </row>
    <row r="41" spans="1:8" ht="13.2">
      <c r="A41" s="65" t="str">
        <f>HYPERLINK("http://www.spoj.com/problems/MCAMP/","APIOPractice 14-mcamp")</f>
        <v>APIOPractice 14-mcamp</v>
      </c>
      <c r="B41" s="20" t="s">
        <v>7023</v>
      </c>
      <c r="C41" s="17">
        <v>5.5</v>
      </c>
      <c r="D41" s="65" t="str">
        <f>HYPERLINK("https://github.com/mostafa-saad/MyCompetitiveProgramming/blob/master/Olympiad/APIO/APIOPractice-14-mcamp.txt","Sol")</f>
        <v>Sol</v>
      </c>
      <c r="E41" s="31" t="s">
        <v>2153</v>
      </c>
      <c r="F41" s="37"/>
      <c r="G41" s="24"/>
      <c r="H41" s="53"/>
    </row>
    <row r="42" spans="1:8" ht="13.2">
      <c r="A42" s="65" t="str">
        <f>HYPERLINK("https://www.acmicpc.net/problem/2336","Balkan 04-great_student")</f>
        <v>Balkan 04-great_student</v>
      </c>
      <c r="B42" s="37" t="s">
        <v>7527</v>
      </c>
      <c r="C42" s="24"/>
      <c r="D42" s="69"/>
      <c r="E42" s="31" t="s">
        <v>7525</v>
      </c>
      <c r="F42" s="37"/>
      <c r="G42" s="24"/>
      <c r="H42" s="53"/>
    </row>
    <row r="43" spans="1:8" ht="13.2">
      <c r="A43" s="65" t="str">
        <f>HYPERLINK("https://www.acmicpc.net/problem/2192","Balkan 04-two_sequences")</f>
        <v>Balkan 04-two_sequences</v>
      </c>
      <c r="B43" s="37" t="s">
        <v>7527</v>
      </c>
      <c r="C43" s="24"/>
      <c r="D43" s="69"/>
      <c r="E43" s="31" t="s">
        <v>7525</v>
      </c>
      <c r="F43" s="37"/>
      <c r="G43" s="24"/>
      <c r="H43" s="53"/>
    </row>
    <row r="44" spans="1:8" ht="13.2">
      <c r="A44" s="65" t="str">
        <f>HYPERLINK("https://www.acmicpc.net/problem/7085","Balkan 05-Couples")</f>
        <v>Balkan 05-Couples</v>
      </c>
      <c r="B44" s="37" t="s">
        <v>7527</v>
      </c>
      <c r="C44" s="24"/>
      <c r="D44" s="69"/>
      <c r="E44" s="31" t="s">
        <v>7525</v>
      </c>
      <c r="F44" s="37"/>
      <c r="G44" s="24"/>
      <c r="H44" s="53"/>
    </row>
    <row r="45" spans="1:8" ht="13.2">
      <c r="A45" s="65" t="str">
        <f>HYPERLINK("https://www.acmicpc.net/problem/7083","Balkan 05-CPU")</f>
        <v>Balkan 05-CPU</v>
      </c>
      <c r="B45" s="37" t="s">
        <v>7527</v>
      </c>
      <c r="C45" s="24"/>
      <c r="D45" s="69"/>
      <c r="E45" s="31" t="s">
        <v>7525</v>
      </c>
      <c r="F45" s="37"/>
      <c r="G45" s="24"/>
      <c r="H45" s="53"/>
    </row>
    <row r="46" spans="1:8" ht="13.2">
      <c r="A46" s="65" t="str">
        <f>HYPERLINK("https://www.acmicpc.net/problem/7084","Balkan 05-Requests")</f>
        <v>Balkan 05-Requests</v>
      </c>
      <c r="B46" s="37" t="s">
        <v>7527</v>
      </c>
      <c r="C46" s="24"/>
      <c r="D46" s="69"/>
      <c r="E46" s="31" t="s">
        <v>7525</v>
      </c>
      <c r="F46" s="37"/>
      <c r="G46" s="24"/>
      <c r="H46" s="53"/>
    </row>
    <row r="47" spans="1:8" ht="13.2">
      <c r="A47" s="65" t="str">
        <f>HYPERLINK("https://www.acmicpc.net/problem/7086","Balkan 05-SailingRace")</f>
        <v>Balkan 05-SailingRace</v>
      </c>
      <c r="B47" s="37" t="s">
        <v>1348</v>
      </c>
      <c r="C47" s="24">
        <v>4</v>
      </c>
      <c r="D47" s="65" t="str">
        <f>HYPERLINK("https://github.com/koosaga/olympiad/blob/master/Balkan/balkan05_race.cpp","Sol (no editorial)")</f>
        <v>Sol (no editorial)</v>
      </c>
      <c r="E47" s="31" t="s">
        <v>1337</v>
      </c>
      <c r="F47" s="37" t="s">
        <v>201</v>
      </c>
      <c r="G47" s="24"/>
      <c r="H47" s="53"/>
    </row>
    <row r="48" spans="1:8" ht="13.2">
      <c r="A48" s="65" t="str">
        <f>HYPERLINK("https://www.acmicpc.net/problem/7087","Balkan 05-Tickets")</f>
        <v>Balkan 05-Tickets</v>
      </c>
      <c r="B48" s="37" t="s">
        <v>7527</v>
      </c>
      <c r="C48" s="24"/>
      <c r="D48" s="69"/>
      <c r="E48" s="31" t="s">
        <v>7525</v>
      </c>
      <c r="F48" s="37"/>
      <c r="G48" s="24"/>
      <c r="H48" s="53"/>
    </row>
    <row r="49" spans="1:8" ht="13.2">
      <c r="A49" s="65" t="str">
        <f>HYPERLINK("https://www.acmicpc.net/problem/7088","Balkan 05-WordCounting")</f>
        <v>Balkan 05-WordCounting</v>
      </c>
      <c r="B49" s="37" t="s">
        <v>7527</v>
      </c>
      <c r="C49" s="24"/>
      <c r="D49" s="69"/>
      <c r="E49" s="31" t="s">
        <v>7525</v>
      </c>
      <c r="F49" s="37"/>
      <c r="G49" s="24"/>
      <c r="H49" s="53"/>
    </row>
    <row r="50" spans="1:8" ht="13.2">
      <c r="A50" s="65" t="str">
        <f>HYPERLINK("https://www.acmicpc.net/problem/7080","Balkan 09-NewBeginning")</f>
        <v>Balkan 09-NewBeginning</v>
      </c>
      <c r="B50" s="37" t="s">
        <v>7527</v>
      </c>
      <c r="C50" s="24"/>
      <c r="D50" s="69"/>
      <c r="E50" s="31" t="s">
        <v>7525</v>
      </c>
      <c r="F50" s="37"/>
      <c r="G50" s="24"/>
      <c r="H50" s="53"/>
    </row>
    <row r="51" spans="1:8" ht="13.2">
      <c r="A51" s="65" t="str">
        <f>HYPERLINK("https://www.acmicpc.net/problem/7081","Balkan 09-Reading")</f>
        <v>Balkan 09-Reading</v>
      </c>
      <c r="B51" s="37" t="s">
        <v>6867</v>
      </c>
      <c r="C51" s="24">
        <v>6.25</v>
      </c>
      <c r="D51" s="65" t="str">
        <f>HYPERLINK("https://github.com/mostafa-saad/MyCompetitiveProgramming/blob/master/Olympiad/Balkan/Balkan-09-Reading.txt","Sol")</f>
        <v>Sol</v>
      </c>
      <c r="E51" s="31" t="s">
        <v>1337</v>
      </c>
      <c r="F51" s="37" t="s">
        <v>154</v>
      </c>
      <c r="G51" s="24"/>
      <c r="H51" s="53"/>
    </row>
    <row r="52" spans="1:8" ht="13.2">
      <c r="A52" s="65" t="str">
        <f>HYPERLINK("https://www.acmicpc.net/problem/7082","Balkan 09-Strip")</f>
        <v>Balkan 09-Strip</v>
      </c>
      <c r="B52" s="37" t="s">
        <v>7527</v>
      </c>
      <c r="C52" s="24"/>
      <c r="D52" s="69"/>
      <c r="E52" s="31" t="s">
        <v>7525</v>
      </c>
      <c r="F52" s="37"/>
      <c r="G52" s="24"/>
      <c r="H52" s="53"/>
    </row>
    <row r="53" spans="1:8" ht="13.2">
      <c r="A53" s="65" t="str">
        <f>HYPERLINK("https://oj.uz/problem/view/balkan11_2circles","Balkan 11-2circles")</f>
        <v>Balkan 11-2circles</v>
      </c>
      <c r="B53" s="20" t="s">
        <v>7063</v>
      </c>
      <c r="C53" s="24">
        <v>7</v>
      </c>
      <c r="D53" s="65" t="str">
        <f>HYPERLINK("https://github.com/mostafa-saad/MyCompetitiveProgramming/blob/master/Olympiad/Balkan/Balkan-11-2circles.txt","Sol")</f>
        <v>Sol</v>
      </c>
      <c r="E53" s="31" t="s">
        <v>2510</v>
      </c>
      <c r="F53" s="37" t="s">
        <v>201</v>
      </c>
      <c r="G53" s="24"/>
      <c r="H53" s="53"/>
    </row>
    <row r="54" spans="1:8" ht="13.2">
      <c r="A54" s="65" t="str">
        <f>HYPERLINK("https://oj.uz/problem/view/balkan11_cmp","Balkan 11-cmp")</f>
        <v>Balkan 11-cmp</v>
      </c>
      <c r="B54" s="20" t="s">
        <v>124</v>
      </c>
      <c r="C54" s="24">
        <v>7</v>
      </c>
      <c r="D54" s="65" t="str">
        <f>HYPERLINK("https://github.com/mostafa-saad/MyCompetitiveProgramming/blob/master/Olympiad/Balkan/official/2011/cmp-sol.pdf","Editorial")</f>
        <v>Editorial</v>
      </c>
      <c r="E54" s="31" t="s">
        <v>125</v>
      </c>
      <c r="F54" s="37"/>
      <c r="G54" s="24"/>
      <c r="H54" s="53"/>
    </row>
    <row r="55" spans="1:8" ht="13.2">
      <c r="A55" s="65" t="str">
        <f>HYPERLINK("https://dunjudge.me/analysis/problems/573/","Balkan 11-decrypt")</f>
        <v>Balkan 11-decrypt</v>
      </c>
      <c r="B55" s="23" t="s">
        <v>7312</v>
      </c>
      <c r="C55" s="17">
        <v>6.3</v>
      </c>
      <c r="D55" s="65" t="str">
        <f>HYPERLINK("https://github.com/mostafa-saad/MyCompetitiveProgramming/blob/master/Olympiad/Balkan/Balkan-11-decrypt.txt","Sol")</f>
        <v>Sol</v>
      </c>
      <c r="E55" s="31" t="s">
        <v>4531</v>
      </c>
      <c r="F55" s="37" t="s">
        <v>139</v>
      </c>
      <c r="G55" s="24"/>
      <c r="H55" s="53"/>
    </row>
    <row r="56" spans="1:8" ht="13.2">
      <c r="A56" s="65" t="str">
        <f>HYPERLINK("https://oj.uz/problems/source/113","Balkan 11-Medians")</f>
        <v>Balkan 11-Medians</v>
      </c>
      <c r="B56" s="23" t="s">
        <v>7016</v>
      </c>
      <c r="C56" s="17">
        <v>5.5</v>
      </c>
      <c r="D56" s="65" t="str">
        <f>HYPERLINK("https://github.com/mostafa-saad/MyCompetitiveProgramming/blob/master/Olympiad/Balkan/Balkan-11-Medians.txt","Sol")</f>
        <v>Sol</v>
      </c>
      <c r="E56" s="31" t="s">
        <v>2153</v>
      </c>
      <c r="F56" s="37" t="s">
        <v>139</v>
      </c>
      <c r="G56" s="24"/>
      <c r="H56" s="53"/>
    </row>
    <row r="57" spans="1:8" ht="13.2">
      <c r="A57" s="65" t="str">
        <f>HYPERLINK("https://oj.uz/problem/view/balkan11_timeismoney","Balkan 11-timeismoney")</f>
        <v>Balkan 11-timeismoney</v>
      </c>
      <c r="B57" s="23" t="s">
        <v>7263</v>
      </c>
      <c r="C57" s="24">
        <v>7.25</v>
      </c>
      <c r="D57" s="65" t="str">
        <f>HYPERLINK("https://github.com/tmwilliamlin168/CompetitiveProgramming/blob/master/BkOI/11-Time_Is_Money.cpp","Sol")</f>
        <v>Sol</v>
      </c>
      <c r="E57" s="31" t="s">
        <v>4275</v>
      </c>
      <c r="F57" s="37" t="s">
        <v>173</v>
      </c>
      <c r="G57" s="24"/>
      <c r="H57" s="53"/>
    </row>
    <row r="58" spans="1:8" ht="13.2">
      <c r="A58" s="65" t="str">
        <f>HYPERLINK("https://oj.uz/problem/view/balkan11_trapezoid","Balkan 11-Trapezoid")</f>
        <v>Balkan 11-Trapezoid</v>
      </c>
      <c r="B58" s="20" t="s">
        <v>6775</v>
      </c>
      <c r="C58" s="21">
        <v>6.4</v>
      </c>
      <c r="D58" s="65" t="str">
        <f>HYPERLINK("https://github.com/mostafa-saad/MyCompetitiveProgramming/blob/master/Olympiad/Balkan/Balkan-11-Trapezoid.txt","Sol")</f>
        <v>Sol</v>
      </c>
      <c r="E58" s="31" t="s">
        <v>1018</v>
      </c>
      <c r="F58" s="37" t="s">
        <v>154</v>
      </c>
      <c r="G58" s="24"/>
      <c r="H58" s="53"/>
    </row>
    <row r="59" spans="1:8" ht="13.2">
      <c r="A59" s="65" t="str">
        <f>HYPERLINK("https://www.acmicpc.net/problem/5254","Balkan 12-balls")</f>
        <v>Balkan 12-balls</v>
      </c>
      <c r="B59" s="20" t="s">
        <v>7464</v>
      </c>
      <c r="C59" s="17">
        <v>6</v>
      </c>
      <c r="D59" s="65" t="str">
        <f>HYPERLINK("https://github.com/mostafa-saad/MyCompetitiveProgramming/blob/master/Olympiad/Balkan/Balkan-12-balls.txt","Sol")</f>
        <v>Sol</v>
      </c>
      <c r="E59" s="31" t="s">
        <v>6362</v>
      </c>
      <c r="F59" s="37"/>
      <c r="G59" s="24"/>
      <c r="H59" s="53"/>
    </row>
    <row r="60" spans="1:8" ht="13.2">
      <c r="A60" s="65" t="str">
        <f>HYPERLINK("https://www.acmicpc.net/problem/5252","Balkan 12-BestTeams")</f>
        <v>Balkan 12-BestTeams</v>
      </c>
      <c r="B60" s="37" t="s">
        <v>1207</v>
      </c>
      <c r="C60" s="24">
        <v>6.75</v>
      </c>
      <c r="D60" s="65" t="str">
        <f>HYPERLINK("https://github.com/mostafa-saad/MyCompetitiveProgramming/blob/master/Olympiad/Balkan/Balkan-12-BestTeams.txt","Sol")</f>
        <v>Sol</v>
      </c>
      <c r="E60" s="31" t="s">
        <v>1018</v>
      </c>
      <c r="F60" s="37" t="s">
        <v>201</v>
      </c>
      <c r="G60" s="24"/>
      <c r="H60" s="53"/>
    </row>
    <row r="61" spans="1:8" ht="13.2">
      <c r="A61" s="65" t="str">
        <f>HYPERLINK("https://www.acmicpc.net/problem/5249","Balkan 12-BOI_handsome")</f>
        <v>Balkan 12-BOI_handsome</v>
      </c>
      <c r="B61" s="37" t="s">
        <v>7527</v>
      </c>
      <c r="C61" s="24"/>
      <c r="D61" s="69"/>
      <c r="E61" s="31" t="s">
        <v>7525</v>
      </c>
      <c r="F61" s="37"/>
      <c r="G61" s="24"/>
      <c r="H61" s="53"/>
    </row>
    <row r="62" spans="1:8" ht="13.2">
      <c r="A62" s="65" t="str">
        <f>HYPERLINK("https://www.acmicpc.net/problem/5253","Balkan 12-Fan_Groups")</f>
        <v>Balkan 12-Fan_Groups</v>
      </c>
      <c r="B62" s="37" t="s">
        <v>7277</v>
      </c>
      <c r="C62" s="17">
        <v>6.25</v>
      </c>
      <c r="D62" s="65" t="str">
        <f>HYPERLINK("https://github.com/mostafa-saad/MyCompetitiveProgramming/blob/master/Olympiad/Balkan/Balkan-12-Fan_Groups.txt","Sol")</f>
        <v>Sol</v>
      </c>
      <c r="E62" s="31" t="s">
        <v>4344</v>
      </c>
      <c r="F62" s="37" t="s">
        <v>139</v>
      </c>
      <c r="G62" s="24"/>
      <c r="H62" s="53"/>
    </row>
    <row r="63" spans="1:8" ht="13.2">
      <c r="A63" s="65" t="str">
        <f>HYPERLINK("https://www.acmicpc.net/problem/5250","Balkan 12-ShortestPaths")</f>
        <v>Balkan 12-ShortestPaths</v>
      </c>
      <c r="B63" s="37" t="s">
        <v>7207</v>
      </c>
      <c r="C63" s="24">
        <v>7</v>
      </c>
      <c r="D63" s="65" t="str">
        <f>HYPERLINK("https://github.com/mostafa-saad/MyCompetitiveProgramming/blob/master/Olympiad/Balkan/Balkan-12-ShortestPaths.txt","Sol")</f>
        <v>Sol</v>
      </c>
      <c r="E63" s="31" t="s">
        <v>3784</v>
      </c>
      <c r="F63" s="37" t="s">
        <v>173</v>
      </c>
      <c r="G63" s="24"/>
      <c r="H63" s="53"/>
    </row>
    <row r="64" spans="1:8" ht="13.2">
      <c r="A64" s="65" t="str">
        <f>HYPERLINK("https://www.acmicpc.net/problem/5251","Balkan 12-Spiral")</f>
        <v>Balkan 12-Spiral</v>
      </c>
      <c r="B64" s="37" t="s">
        <v>6762</v>
      </c>
      <c r="C64" s="24">
        <v>7</v>
      </c>
      <c r="D64" s="65" t="str">
        <f>HYPERLINK("https://github.com/mostafa-saad/MyCompetitiveProgramming/tree/master/Olympiad/Balkan/official/2012","Sol (no editorial)+English txt")</f>
        <v>Sol (no editorial)+English txt</v>
      </c>
      <c r="E64" s="31" t="s">
        <v>1018</v>
      </c>
      <c r="F64" s="37"/>
      <c r="G64" s="24"/>
      <c r="H64" s="53"/>
    </row>
    <row r="65" spans="1:8" ht="13.2">
      <c r="A65" s="65" t="str">
        <f>HYPERLINK("https://www.acmicpc.net/problem/12017","Balkan 15-Circus")</f>
        <v>Balkan 15-Circus</v>
      </c>
      <c r="B65" s="18" t="s">
        <v>7116</v>
      </c>
      <c r="C65" s="17">
        <v>7.5</v>
      </c>
      <c r="D65" s="65" t="str">
        <f t="shared" ref="D65:D68" si="0">HYPERLINK("https://github.com/mostafa-saad/MyCompetitiveProgramming/tree/master/Olympiad/Balkan/official/2015","Sol (no editorial)")</f>
        <v>Sol (no editorial)</v>
      </c>
      <c r="E65" s="31" t="s">
        <v>3257</v>
      </c>
      <c r="F65" s="37"/>
      <c r="G65" s="24"/>
      <c r="H65" s="53"/>
    </row>
    <row r="66" spans="1:8" ht="13.2">
      <c r="A66" s="65" t="str">
        <f>HYPERLINK("https://www.acmicpc.net/problem/11555","Balkan 15-Clarkson")</f>
        <v>Balkan 15-Clarkson</v>
      </c>
      <c r="B66" s="37" t="s">
        <v>7383</v>
      </c>
      <c r="C66" s="24">
        <v>6.5</v>
      </c>
      <c r="D66" s="65" t="str">
        <f t="shared" si="0"/>
        <v>Sol (no editorial)</v>
      </c>
      <c r="E66" s="31" t="s">
        <v>5794</v>
      </c>
      <c r="F66" s="37"/>
      <c r="G66" s="24"/>
      <c r="H66" s="53"/>
    </row>
    <row r="67" spans="1:8" ht="13.2">
      <c r="A67" s="65" t="str">
        <f>HYPERLINK("https://www.acmicpc.net/problem/11783","Balkan 15-Happiness")</f>
        <v>Balkan 15-Happiness</v>
      </c>
      <c r="B67" s="18" t="s">
        <v>6759</v>
      </c>
      <c r="C67" s="17">
        <v>7</v>
      </c>
      <c r="D67" s="65" t="str">
        <f t="shared" si="0"/>
        <v>Sol (no editorial)</v>
      </c>
      <c r="E67" s="31" t="s">
        <v>1018</v>
      </c>
      <c r="F67" s="37"/>
      <c r="G67" s="24"/>
      <c r="H67" s="53"/>
    </row>
    <row r="68" spans="1:8" ht="13.2">
      <c r="A68" s="65" t="str">
        <f>HYPERLINK("https://www.acmicpc.net/problem/11556","Balkan 15-RADIO")</f>
        <v>Balkan 15-RADIO</v>
      </c>
      <c r="B68" s="37" t="s">
        <v>147</v>
      </c>
      <c r="C68" s="24">
        <v>7.75</v>
      </c>
      <c r="D68" s="65" t="str">
        <f t="shared" si="0"/>
        <v>Sol (no editorial)</v>
      </c>
      <c r="E68" s="31" t="s">
        <v>125</v>
      </c>
      <c r="F68" s="37"/>
      <c r="G68" s="24"/>
      <c r="H68" s="53"/>
    </row>
    <row r="69" spans="1:8" ht="13.2">
      <c r="A69" s="65" t="str">
        <f>HYPERLINK("https://www.acmicpc.net/problem/11782","Balkan 15-TILING")</f>
        <v>Balkan 15-TILING</v>
      </c>
      <c r="B69" s="37" t="s">
        <v>7527</v>
      </c>
      <c r="C69" s="24">
        <v>9</v>
      </c>
      <c r="D69" s="69"/>
      <c r="E69" s="31" t="s">
        <v>7525</v>
      </c>
      <c r="F69" s="37"/>
      <c r="G69" s="24"/>
      <c r="H69" s="53"/>
    </row>
    <row r="70" spans="1:8" ht="13.2">
      <c r="A70" s="65" t="str">
        <f>HYPERLINK("https://www.acmicpc.net/category/94","Balkan 15-UltimateTTT")</f>
        <v>Balkan 15-UltimateTTT</v>
      </c>
      <c r="B70" s="18" t="s">
        <v>7402</v>
      </c>
      <c r="C70" s="17">
        <v>5.5</v>
      </c>
      <c r="D70" s="69"/>
      <c r="E70" s="31" t="s">
        <v>5958</v>
      </c>
      <c r="F70" s="37"/>
      <c r="G70" s="24"/>
      <c r="H70" s="53"/>
    </row>
    <row r="71" spans="1:8" ht="13.2">
      <c r="A71" s="65" t="str">
        <f>HYPERLINK("https://www.hackerrank.com/contests/boi-2016/challenges","Balkan 16-Acrobat")</f>
        <v>Balkan 16-Acrobat</v>
      </c>
      <c r="B71" s="37" t="s">
        <v>7127</v>
      </c>
      <c r="C71" s="24">
        <v>7</v>
      </c>
      <c r="D71" s="65" t="str">
        <f>HYPERLINK("https://github.com/mostafa-saad/MyCompetitiveProgramming/tree/master/Olympiad/Balkan/official/2016","Sol (no editorial)")</f>
        <v>Sol (no editorial)</v>
      </c>
      <c r="E71" s="31" t="s">
        <v>3257</v>
      </c>
      <c r="F71" s="37"/>
      <c r="G71" s="24"/>
      <c r="H71" s="53"/>
    </row>
    <row r="72" spans="1:8" ht="13.2">
      <c r="A72" s="65" t="str">
        <f>HYPERLINK("https://www.hackerrank.com/contests/boi-2016/challenges","Balkan 16-Conference")</f>
        <v>Balkan 16-Conference</v>
      </c>
      <c r="B72" s="18" t="s">
        <v>7152</v>
      </c>
      <c r="C72" s="17">
        <v>6</v>
      </c>
      <c r="D72" s="65" t="str">
        <f>HYPERLINK("https://github.com/mostafa-saad/MyCompetitiveProgramming/blob/master/Olympiad/Balkan/Balkan-16-Conference.txt","Sol")</f>
        <v>Sol</v>
      </c>
      <c r="E72" s="31" t="s">
        <v>3257</v>
      </c>
      <c r="F72" s="37" t="s">
        <v>201</v>
      </c>
      <c r="G72" s="24"/>
      <c r="H72" s="53"/>
    </row>
    <row r="73" spans="1:8" ht="13.2">
      <c r="A73" s="65" t="str">
        <f>HYPERLINK("https://www.hackerrank.com/contests/boi-2016/challenges","Balkan 16-Cruise")</f>
        <v>Balkan 16-Cruise</v>
      </c>
      <c r="B73" s="37" t="s">
        <v>7100</v>
      </c>
      <c r="C73" s="24">
        <v>6.5</v>
      </c>
      <c r="D73" s="65" t="str">
        <f>HYPERLINK("https://github.com/mostafa-saad/MyCompetitiveProgramming/tree/master/Olympiad/Balkan/official/2016","Sol (no editorial)")</f>
        <v>Sol (no editorial)</v>
      </c>
      <c r="E73" s="31" t="s">
        <v>3065</v>
      </c>
      <c r="F73" s="37"/>
      <c r="G73" s="24"/>
      <c r="H73" s="53"/>
    </row>
    <row r="74" spans="1:8" ht="13.2">
      <c r="A74" s="65" t="str">
        <f>HYPERLINK("https://www.hackerrank.com/contests/boi-2016/challenges","Balkan 16-Hacker")</f>
        <v>Balkan 16-Hacker</v>
      </c>
      <c r="B74" s="37" t="s">
        <v>7527</v>
      </c>
      <c r="C74" s="24">
        <v>9</v>
      </c>
      <c r="D74" s="69"/>
      <c r="E74" s="31" t="s">
        <v>7525</v>
      </c>
      <c r="F74" s="37"/>
      <c r="G74" s="24"/>
      <c r="H74" s="53"/>
    </row>
    <row r="75" spans="1:8" ht="13.2">
      <c r="A75" s="65" t="str">
        <f>HYPERLINK("https://www.hackerrank.com/contests/boi-2016/challenges","Balkan 16-Lefkaritika")</f>
        <v>Balkan 16-Lefkaritika</v>
      </c>
      <c r="B75" s="37" t="s">
        <v>6750</v>
      </c>
      <c r="C75" s="24">
        <v>7.5</v>
      </c>
      <c r="D75" s="65" t="str">
        <f>HYPERLINK("https://github.com/mostafa-saad/MyCompetitiveProgramming/tree/master/Olympiad/Balkan/official/2016","Sol (no editorial)")</f>
        <v>Sol (no editorial)</v>
      </c>
      <c r="E75" s="31" t="s">
        <v>1018</v>
      </c>
      <c r="F75" s="37"/>
      <c r="G75" s="24"/>
      <c r="H75" s="53"/>
    </row>
    <row r="76" spans="1:8" ht="13.2">
      <c r="A76" s="65" t="str">
        <f>HYPERLINK("https://www.hackerrank.com/contests/boi-2016/challenges","Balkan 16-PowerTowers")</f>
        <v>Balkan 16-PowerTowers</v>
      </c>
      <c r="B76" s="18" t="s">
        <v>7305</v>
      </c>
      <c r="C76" s="17">
        <v>7.5</v>
      </c>
      <c r="D76" s="65" t="str">
        <f>HYPERLINK("https://bytefreaks.net/cyprus-computer-society/tasks-balkan-olympiad-in-informatics-2016","Editorial")</f>
        <v>Editorial</v>
      </c>
      <c r="E76" s="31" t="s">
        <v>4531</v>
      </c>
      <c r="F76" s="37"/>
      <c r="G76" s="24"/>
      <c r="H76" s="53"/>
    </row>
    <row r="77" spans="1:8" ht="13.2">
      <c r="A77" s="65" t="str">
        <f>HYPERLINK("https://csacademy.com/contest/balkan-oi-2017-day-2/","Balkan 17-Cats")</f>
        <v>Balkan 17-Cats</v>
      </c>
      <c r="B77" s="18" t="s">
        <v>6830</v>
      </c>
      <c r="C77" s="17">
        <v>7.1</v>
      </c>
      <c r="D77" s="65" t="str">
        <f>HYPERLINK("https://github.com/mostafa-saad/MyCompetitiveProgramming/blob/master/Olympiad/Balkan/Balkan-17-Cats.txt","Sol")</f>
        <v>Sol</v>
      </c>
      <c r="E77" s="31" t="s">
        <v>1337</v>
      </c>
      <c r="F77" s="37" t="s">
        <v>1053</v>
      </c>
      <c r="G77" s="24"/>
      <c r="H77" s="53"/>
    </row>
    <row r="78" spans="1:8" ht="13.2">
      <c r="A78" s="65" t="str">
        <f>HYPERLINK("https://csacademy.com/contest/balkan-oi-2017-day-2/","Balkan 17-CityAttractions")</f>
        <v>Balkan 17-CityAttractions</v>
      </c>
      <c r="B78" s="18" t="s">
        <v>7510</v>
      </c>
      <c r="C78" s="17">
        <v>6</v>
      </c>
      <c r="D78" s="65" t="str">
        <f>HYPERLINK("https://github.com/mostafa-saad/MyCompetitiveProgramming/blob/master/Olympiad/Balkan/Balkan-17-CityAttractions.txt","Sol")</f>
        <v>Sol</v>
      </c>
      <c r="E78" s="31" t="s">
        <v>6459</v>
      </c>
      <c r="F78" s="37" t="s">
        <v>201</v>
      </c>
      <c r="G78" s="24"/>
      <c r="H78" s="53"/>
    </row>
    <row r="79" spans="1:8" ht="13.2">
      <c r="A79" s="65" t="str">
        <f>HYPERLINK("https://csacademy.com/contest/balkan-oi-2017-day-2/","Balkan 17-Monsters")</f>
        <v>Balkan 17-Monsters</v>
      </c>
      <c r="B79" s="18" t="s">
        <v>6694</v>
      </c>
      <c r="C79" s="21">
        <v>5.5</v>
      </c>
      <c r="D79" s="65" t="str">
        <f>HYPERLINK("https://github.com/mostafa-saad/MyCompetitiveProgramming/blob/master/Olympiad/Balkan/Balkan-17-Monsters.txt","Sol")</f>
        <v>Sol</v>
      </c>
      <c r="E79" s="31" t="s">
        <v>575</v>
      </c>
      <c r="F79" s="37" t="s">
        <v>196</v>
      </c>
      <c r="G79" s="24"/>
      <c r="H79" s="53"/>
    </row>
    <row r="80" spans="1:8" ht="13.2">
      <c r="A80" s="65" t="str">
        <f>HYPERLINK("https://csacademy.com/contest/balkan-oi-2017-day-1/","Balkan 17-sheets")</f>
        <v>Balkan 17-sheets</v>
      </c>
      <c r="B80" s="18" t="s">
        <v>124</v>
      </c>
      <c r="C80" s="17">
        <v>8</v>
      </c>
      <c r="D80" s="69"/>
      <c r="E80" s="31" t="s">
        <v>125</v>
      </c>
      <c r="F80" s="37"/>
      <c r="G80" s="24"/>
      <c r="H80" s="53"/>
    </row>
    <row r="81" spans="1:8" ht="13.2">
      <c r="A81" s="65" t="str">
        <f>HYPERLINK("https://csacademy.com/contest/balkan-oi-2017-day-1/","Balkan 17-strings")</f>
        <v>Balkan 17-strings</v>
      </c>
      <c r="B81" s="18" t="s">
        <v>5892</v>
      </c>
      <c r="C81" s="17">
        <v>8</v>
      </c>
      <c r="D81" s="69"/>
      <c r="E81" s="31" t="s">
        <v>5874</v>
      </c>
      <c r="F81" s="37"/>
      <c r="G81" s="24"/>
      <c r="H81" s="53"/>
    </row>
    <row r="82" spans="1:8" ht="13.2">
      <c r="A82" s="65" t="str">
        <f>HYPERLINK("https://csacademy.com/contest/balkan-oi-2017-day-1/","Balkan 17-tale")</f>
        <v>Balkan 17-tale</v>
      </c>
      <c r="B82" s="18" t="s">
        <v>2763</v>
      </c>
      <c r="C82" s="17">
        <v>9</v>
      </c>
      <c r="D82" s="69"/>
      <c r="E82" s="31" t="s">
        <v>2510</v>
      </c>
      <c r="F82" s="37"/>
      <c r="G82" s="24"/>
      <c r="H82" s="53"/>
    </row>
    <row r="83" spans="1:8" ht="13.2">
      <c r="A83" s="65" t="str">
        <f>HYPERLINK("https://oj.uz/problem/view/BOI18_election","Balkan 18-election")</f>
        <v>Balkan 18-election</v>
      </c>
      <c r="B83" s="20" t="s">
        <v>1017</v>
      </c>
      <c r="C83" s="24">
        <v>6.8</v>
      </c>
      <c r="D83" s="65" t="str">
        <f>HYPERLINK("https://github.com/mostafa-saad/MyCompetitiveProgramming/blob/master/Olympiad/Balkan/Balkan-18-election.txt","Sol")</f>
        <v>Sol</v>
      </c>
      <c r="E83" s="31" t="s">
        <v>1018</v>
      </c>
      <c r="F83" s="37" t="s">
        <v>154</v>
      </c>
      <c r="G83" s="24"/>
      <c r="H83" s="53"/>
    </row>
    <row r="84" spans="1:8" ht="13.2">
      <c r="A84" s="65" t="str">
        <f>HYPERLINK("https://oj.uz/problem/view/BOI18_homecoming","Balkan 18-homecoming")</f>
        <v>Balkan 18-homecoming</v>
      </c>
      <c r="B84" s="20" t="s">
        <v>1384</v>
      </c>
      <c r="C84" s="17">
        <v>7</v>
      </c>
      <c r="D84" s="69" t="s">
        <v>7810</v>
      </c>
      <c r="E84" s="31" t="s">
        <v>1337</v>
      </c>
      <c r="F84" s="37"/>
      <c r="G84" s="24"/>
      <c r="H84" s="53"/>
    </row>
    <row r="85" spans="1:8" ht="13.2">
      <c r="A85" s="65" t="str">
        <f>HYPERLINK("https://oj.uz/problem/view/BOI18_minmaxtree","Balkan 18-minmaxtree")</f>
        <v>Balkan 18-minmaxtree</v>
      </c>
      <c r="B85" s="20" t="s">
        <v>4149</v>
      </c>
      <c r="C85" s="17">
        <v>7</v>
      </c>
      <c r="D85" s="65" t="str">
        <f>HYPERLINK("https://github.com/mostafa-saad/MyCompetitiveProgramming/blob/master/Olympiad/Balkan/Balkan-18-minmaxtree.txt","Sol")</f>
        <v>Sol</v>
      </c>
      <c r="E85" s="31" t="s">
        <v>4144</v>
      </c>
      <c r="F85" s="37" t="s">
        <v>139</v>
      </c>
      <c r="G85" s="24"/>
      <c r="H85" s="53"/>
    </row>
    <row r="86" spans="1:8" ht="13.2">
      <c r="A86" s="65" t="str">
        <f>HYPERLINK("https://oj.uz/problem/view/BOI18_parentrises","Balkan 18-parentrises")</f>
        <v>Balkan 18-parentrises</v>
      </c>
      <c r="B86" s="20" t="s">
        <v>1348</v>
      </c>
      <c r="C86" s="17">
        <v>6.5</v>
      </c>
      <c r="D86" s="65" t="str">
        <f>HYPERLINK("https://github.com/mostafa-saad/MyCompetitiveProgramming/blob/master/Olympiad/Balkan/official/2018/","Editorial")</f>
        <v>Editorial</v>
      </c>
      <c r="E86" s="31" t="s">
        <v>1337</v>
      </c>
      <c r="F86" s="37"/>
      <c r="G86" s="24"/>
      <c r="H86" s="53"/>
    </row>
    <row r="87" spans="1:8" ht="13.2">
      <c r="A87" s="65" t="str">
        <f>HYPERLINK("https://oj.uz/problem/view/BOI18_popa","Balkan 18-popa")</f>
        <v>Balkan 18-popa</v>
      </c>
      <c r="B87" s="20" t="s">
        <v>6987</v>
      </c>
      <c r="C87" s="17">
        <v>6.75</v>
      </c>
      <c r="D87" s="65" t="str">
        <f>HYPERLINK("https://github.com/mostafa-saad/MyCompetitiveProgramming/blob/master/Olympiad/Balkan/Balkan-18-popa.txt","Sol")</f>
        <v>Sol</v>
      </c>
      <c r="E87" s="31" t="s">
        <v>2153</v>
      </c>
      <c r="F87" s="37" t="s">
        <v>139</v>
      </c>
      <c r="G87" s="24"/>
      <c r="H87" s="53"/>
    </row>
    <row r="88" spans="1:8" ht="13.2">
      <c r="A88" s="65" t="str">
        <f>HYPERLINK("https://oj.uz/problem/view/BOI18_zalmoxis","Balkan 18-zalmoxis")</f>
        <v>Balkan 18-zalmoxis</v>
      </c>
      <c r="B88" s="20" t="s">
        <v>7014</v>
      </c>
      <c r="C88" s="24">
        <v>5.75</v>
      </c>
      <c r="D88" s="65" t="str">
        <f>HYPERLINK("https://github.com/mostafa-saad/MyCompetitiveProgramming/blob/master/Olympiad/Balkan/Balkan-18-zalmoxis.txt","Sol")</f>
        <v>Sol</v>
      </c>
      <c r="E88" s="31" t="s">
        <v>2153</v>
      </c>
      <c r="F88" s="37" t="s">
        <v>196</v>
      </c>
      <c r="G88" s="24"/>
      <c r="H88" s="53"/>
    </row>
    <row r="89" spans="1:8" ht="13.2">
      <c r="A89" s="65" t="str">
        <f>HYPERLINK("https://cses.fi/116/list/","Baltic 05-Ancient")</f>
        <v>Baltic 05-Ancient</v>
      </c>
      <c r="B89" s="37" t="s">
        <v>6935</v>
      </c>
      <c r="C89" s="24">
        <v>4.5</v>
      </c>
      <c r="D89" s="65" t="str">
        <f>HYPERLINK("https://github.com/mostafa-saad/MyCompetitiveProgramming/blob/master/Olympiad/Baltic/official/boi2005_solutions","Editorial")</f>
        <v>Editorial</v>
      </c>
      <c r="E89" s="31" t="s">
        <v>1337</v>
      </c>
      <c r="F89" s="37"/>
      <c r="G89" s="24"/>
      <c r="H89" s="53"/>
    </row>
    <row r="90" spans="1:8" ht="13.2">
      <c r="A90" s="65" t="str">
        <f>HYPERLINK("https://cses.fi/116/list/","Baltic 05-Bus_Trip")</f>
        <v>Baltic 05-Bus_Trip</v>
      </c>
      <c r="B90" s="37" t="s">
        <v>6885</v>
      </c>
      <c r="C90" s="24">
        <v>6</v>
      </c>
      <c r="D90" s="65" t="str">
        <f>HYPERLINK("https://github.com/mostafa-saad/MyCompetitiveProgramming/blob/master/Olympiad/Baltic/Baltic-05-Bus_Trip.txt","Sol")</f>
        <v>Sol</v>
      </c>
      <c r="E90" s="31" t="s">
        <v>1337</v>
      </c>
      <c r="F90" s="37" t="s">
        <v>139</v>
      </c>
      <c r="G90" s="24"/>
      <c r="H90" s="53"/>
    </row>
    <row r="91" spans="1:8" ht="13.2">
      <c r="A91" s="65" t="str">
        <f>HYPERLINK("https://cses.fi/115/list/","Baltic 05-Camp")</f>
        <v>Baltic 05-Camp</v>
      </c>
      <c r="B91" s="37" t="s">
        <v>6638</v>
      </c>
      <c r="C91" s="24">
        <v>5</v>
      </c>
      <c r="D91" s="65" t="str">
        <f>HYPERLINK("https://github.com/mostafa-saad/MyCompetitiveProgramming/blob/master/Olympiad/Baltic/official/boi2005_solutions","Editorial")</f>
        <v>Editorial</v>
      </c>
      <c r="E91" s="31" t="s">
        <v>125</v>
      </c>
      <c r="F91" s="37"/>
      <c r="G91" s="24"/>
      <c r="H91" s="53"/>
    </row>
    <row r="92" spans="1:8" ht="13.2">
      <c r="A92" s="65" t="str">
        <f>HYPERLINK("https://cses.fi/115/list/","Baltic 05-Magic")</f>
        <v>Baltic 05-Magic</v>
      </c>
      <c r="B92" s="37" t="s">
        <v>7036</v>
      </c>
      <c r="C92" s="24">
        <v>5</v>
      </c>
      <c r="D92" s="65" t="str">
        <f>HYPERLINK("https://github.com/mostafa-saad/MyCompetitiveProgramming/blob/master/Olympiad/JOI/Baltic/Baltic-05-Magic.txt","Sol")</f>
        <v>Sol</v>
      </c>
      <c r="E92" s="31" t="s">
        <v>2153</v>
      </c>
      <c r="F92" s="37"/>
      <c r="G92" s="24"/>
      <c r="H92" s="53"/>
    </row>
    <row r="93" spans="1:8" ht="13.2">
      <c r="A93" s="65" t="str">
        <f>HYPERLINK("https://cses.fi/115/list/","Baltic 05-Maze")</f>
        <v>Baltic 05-Maze</v>
      </c>
      <c r="B93" s="37" t="s">
        <v>7176</v>
      </c>
      <c r="C93" s="24">
        <v>6</v>
      </c>
      <c r="D93" s="65" t="str">
        <f>HYPERLINK("https://github.com/mostafa-saad/MyCompetitiveProgramming/blob/master/Olympiad/Baltic/official/boi2005_solutions","Editorial")</f>
        <v>Editorial</v>
      </c>
      <c r="E93" s="31" t="s">
        <v>3467</v>
      </c>
      <c r="F93" s="37"/>
      <c r="G93" s="24"/>
      <c r="H93" s="53"/>
    </row>
    <row r="94" spans="1:8" ht="13.2">
      <c r="A94" s="65" t="str">
        <f>HYPERLINK("https://cses.fi/116/list/","Baltic 05-Polygon")</f>
        <v>Baltic 05-Polygon</v>
      </c>
      <c r="B94" s="37" t="s">
        <v>7091</v>
      </c>
      <c r="C94" s="24">
        <v>6.5</v>
      </c>
      <c r="D94" s="65" t="str">
        <f>HYPERLINK("https://github.com/mostafa-saad/MyCompetitiveProgramming/blob/master/Olympiad/Baltic/Baltic-05-Polygon.txt","Sol")</f>
        <v>Sol</v>
      </c>
      <c r="E94" s="31" t="s">
        <v>2948</v>
      </c>
      <c r="F94" s="37" t="s">
        <v>201</v>
      </c>
      <c r="G94" s="24"/>
      <c r="H94" s="53"/>
    </row>
    <row r="95" spans="1:8" ht="13.2">
      <c r="A95" s="65" t="str">
        <f>HYPERLINK("https://cses.fi/109/list/","Baltic 06-Bitwise")</f>
        <v>Baltic 06-Bitwise</v>
      </c>
      <c r="B95" s="37" t="s">
        <v>6989</v>
      </c>
      <c r="C95" s="24">
        <v>6.7</v>
      </c>
      <c r="D95" s="65" t="str">
        <f>HYPERLINK("https://github.com/mostafa-saad/MyCompetitiveProgramming/blob/master/Olympiad/Baltic/Baltic-06-Bitwise.txt","Sol")</f>
        <v>Sol</v>
      </c>
      <c r="E95" s="31" t="s">
        <v>2153</v>
      </c>
      <c r="F95" s="37" t="s">
        <v>139</v>
      </c>
      <c r="G95" s="24"/>
      <c r="H95" s="53"/>
    </row>
    <row r="96" spans="1:8" ht="13.2">
      <c r="A96" s="65" t="str">
        <f>HYPERLINK("https://cses.fi/110/list/","Baltic 06-City")</f>
        <v>Baltic 06-City</v>
      </c>
      <c r="B96" s="37" t="s">
        <v>7527</v>
      </c>
      <c r="C96" s="24"/>
      <c r="D96" s="69"/>
      <c r="E96" s="31" t="s">
        <v>7525</v>
      </c>
      <c r="F96" s="37"/>
      <c r="G96" s="24"/>
      <c r="H96" s="53"/>
    </row>
    <row r="97" spans="1:8" ht="13.2">
      <c r="A97" s="65" t="str">
        <f>HYPERLINK("https://cses.fi/109/list/","Baltic 06-Coin")</f>
        <v>Baltic 06-Coin</v>
      </c>
      <c r="B97" s="37" t="s">
        <v>7527</v>
      </c>
      <c r="C97" s="24"/>
      <c r="D97" s="69"/>
      <c r="E97" s="31" t="s">
        <v>7525</v>
      </c>
      <c r="F97" s="37"/>
      <c r="G97" s="24"/>
      <c r="H97" s="53"/>
    </row>
    <row r="98" spans="1:8" ht="13.2">
      <c r="A98" s="65" t="str">
        <f>HYPERLINK("https://cses.fi/109/list/","Baltic 06-Countries")</f>
        <v>Baltic 06-Countries</v>
      </c>
      <c r="B98" s="37" t="s">
        <v>6907</v>
      </c>
      <c r="C98" s="24">
        <v>5.5</v>
      </c>
      <c r="D98" s="65" t="str">
        <f>HYPERLINK("https://github.com/mostafa-saad/MyCompetitiveProgramming/blob/master/Olympiad/Baltic/Baltic-06-Countries.txt","Sol")</f>
        <v>Sol</v>
      </c>
      <c r="E98" s="31" t="s">
        <v>1337</v>
      </c>
      <c r="F98" s="37" t="s">
        <v>201</v>
      </c>
      <c r="G98" s="24"/>
      <c r="H98" s="53"/>
    </row>
    <row r="99" spans="1:8" ht="13.2">
      <c r="A99" s="65" t="str">
        <f>HYPERLINK("https://cses.fi/110/list/","Baltic 06-Jump")</f>
        <v>Baltic 06-Jump</v>
      </c>
      <c r="B99" s="37" t="s">
        <v>7682</v>
      </c>
      <c r="C99" s="66">
        <v>5</v>
      </c>
      <c r="D99" s="65" t="str">
        <f>HYPERLINK("https://github.com/mostafa-saad/MyCompetitiveProgramming/blob/master/Olympiad/Baltic/official/boi2006_solutions","Editorial")</f>
        <v>Editorial</v>
      </c>
      <c r="E99" s="31" t="s">
        <v>1337</v>
      </c>
      <c r="F99" s="37"/>
      <c r="G99" s="24"/>
      <c r="H99" s="53"/>
    </row>
    <row r="100" spans="1:8" ht="13.2">
      <c r="A100" s="65" t="str">
        <f>HYPERLINK("https://cses.fi/110/list/","Baltic 06-RLE")</f>
        <v>Baltic 06-RLE</v>
      </c>
      <c r="B100" s="37" t="s">
        <v>7397</v>
      </c>
      <c r="C100" s="24">
        <v>6.75</v>
      </c>
      <c r="D100" s="65" t="str">
        <f>HYPERLINK("https://github.com/mostafa-saad/MyCompetitiveProgramming/blob/master/Olympiad/Baltic/Baltic-06-RLE.txt","Sol")</f>
        <v>Sol</v>
      </c>
      <c r="E100" s="31" t="s">
        <v>5958</v>
      </c>
      <c r="F100" s="37" t="s">
        <v>201</v>
      </c>
      <c r="G100" s="24"/>
      <c r="H100" s="53"/>
    </row>
    <row r="101" spans="1:8" ht="13.2">
      <c r="A101" s="65" t="str">
        <f>HYPERLINK("https://cses.fi/111/list/","Baltic 07-Escape")</f>
        <v>Baltic 07-Escape</v>
      </c>
      <c r="B101" s="37" t="s">
        <v>7443</v>
      </c>
      <c r="C101" s="24">
        <v>5.75</v>
      </c>
      <c r="D101" s="65" t="str">
        <f>HYPERLINK("https://github.com/mostafa-saad/MyCompetitiveProgramming/blob/master/Olympiad/Baltic/Baltic-07-Escape.txt","Sol")</f>
        <v>Sol</v>
      </c>
      <c r="E101" s="31" t="s">
        <v>6246</v>
      </c>
      <c r="F101" s="37" t="s">
        <v>201</v>
      </c>
      <c r="G101" s="24"/>
      <c r="H101" s="53"/>
    </row>
    <row r="102" spans="1:8" ht="13.2">
      <c r="A102" s="65" t="str">
        <f>HYPERLINK("https://cses.fi/112/list/","Baltic 07-Fence")</f>
        <v>Baltic 07-Fence</v>
      </c>
      <c r="B102" s="37" t="s">
        <v>7210</v>
      </c>
      <c r="C102" s="24">
        <v>6.5</v>
      </c>
      <c r="D102" s="65" t="str">
        <f>HYPERLINK("https://github.com/mostafa-saad/MyCompetitiveProgramming/blob/master/Olympiad/Baltic/Baltic-07-Fence.txt","Sol")</f>
        <v>Sol</v>
      </c>
      <c r="E102" s="31" t="s">
        <v>3784</v>
      </c>
      <c r="F102" s="37" t="s">
        <v>139</v>
      </c>
      <c r="G102" s="24"/>
      <c r="H102" s="53"/>
    </row>
    <row r="103" spans="1:8" ht="13.2">
      <c r="A103" s="65" t="str">
        <f>HYPERLINK("https://cses.fi/112/list/","Baltic 07-Points")</f>
        <v>Baltic 07-Points</v>
      </c>
      <c r="B103" s="37" t="s">
        <v>7437</v>
      </c>
      <c r="C103" s="24">
        <v>6.5</v>
      </c>
      <c r="D103" s="65" t="str">
        <f>HYPERLINK("https://github.com/mostafa-saad/MyCompetitiveProgramming/blob/master/Olympiad/Baltic/Baltic-07-Points.txt","Sol")</f>
        <v>Sol</v>
      </c>
      <c r="E103" s="31" t="s">
        <v>6157</v>
      </c>
      <c r="F103" s="37" t="s">
        <v>201</v>
      </c>
      <c r="G103" s="24"/>
      <c r="H103" s="53"/>
    </row>
    <row r="104" spans="1:8" ht="13.2">
      <c r="A104" s="65" t="str">
        <f>HYPERLINK("https://cses.fi/112/list/","Baltic 07-Sequence")</f>
        <v>Baltic 07-Sequence</v>
      </c>
      <c r="B104" s="37" t="s">
        <v>2163</v>
      </c>
      <c r="C104" s="24">
        <v>5</v>
      </c>
      <c r="D104" s="65" t="str">
        <f>HYPERLINK("https://github.com/mostafa-saad/MyCompetitiveProgramming/blob/master/Olympiad/Baltic/Baltic-07-Sequence.txt","Sol")</f>
        <v>Sol</v>
      </c>
      <c r="E104" s="31" t="s">
        <v>2153</v>
      </c>
      <c r="F104" s="37"/>
      <c r="G104" s="24"/>
      <c r="H104" s="53"/>
    </row>
    <row r="105" spans="1:8" ht="13.2">
      <c r="A105" s="65" t="str">
        <f>HYPERLINK("https://cses.fi/111/list/","Baltic 07-Sorting")</f>
        <v>Baltic 07-Sorting</v>
      </c>
      <c r="B105" s="37" t="s">
        <v>6825</v>
      </c>
      <c r="C105" s="24">
        <v>7.5</v>
      </c>
      <c r="D105" s="65" t="str">
        <f t="shared" ref="D105:D106" si="1">HYPERLINK("https://github.com/mostafa-saad/MyCompetitiveProgramming/blob/master/Olympiad/Baltic/official/boi2007_solutions","Editorial")</f>
        <v>Editorial</v>
      </c>
      <c r="E105" s="31" t="s">
        <v>1337</v>
      </c>
      <c r="F105" s="37" t="s">
        <v>154</v>
      </c>
      <c r="G105" s="24"/>
      <c r="H105" s="53"/>
    </row>
    <row r="106" spans="1:8" ht="13.2">
      <c r="A106" s="65" t="str">
        <f>HYPERLINK("https://cses.fi/111/list/","Baltic 07-Sound")</f>
        <v>Baltic 07-Sound</v>
      </c>
      <c r="B106" s="37" t="s">
        <v>6648</v>
      </c>
      <c r="C106" s="24">
        <v>3</v>
      </c>
      <c r="D106" s="65" t="str">
        <f t="shared" si="1"/>
        <v>Editorial</v>
      </c>
      <c r="E106" s="31" t="s">
        <v>125</v>
      </c>
      <c r="F106" s="37"/>
      <c r="G106" s="24"/>
      <c r="H106" s="53"/>
    </row>
    <row r="107" spans="1:8" ht="13.2">
      <c r="A107" s="65" t="str">
        <f>HYPERLINK("https://cses.fi/114/list/","Baltic 08-Elections")</f>
        <v>Baltic 08-Elections</v>
      </c>
      <c r="B107" s="37" t="s">
        <v>1366</v>
      </c>
      <c r="C107" s="24">
        <v>5</v>
      </c>
      <c r="D107" s="65" t="str">
        <f>HYPERLINK("https://github.com/mostafa-saad/MyCompetitiveProgramming/blob/master/Olympiad/Baltic/official/boi2008_solutions","Editorial")</f>
        <v>Editorial</v>
      </c>
      <c r="E107" s="31" t="s">
        <v>1337</v>
      </c>
      <c r="F107" s="37"/>
      <c r="G107" s="24"/>
      <c r="H107" s="53"/>
    </row>
    <row r="108" spans="1:8" ht="13.2">
      <c r="A108" s="65" t="str">
        <f>HYPERLINK("https://cses.fi/113/list/","Baltic 08-Game")</f>
        <v>Baltic 08-Game</v>
      </c>
      <c r="B108" s="37" t="s">
        <v>6973</v>
      </c>
      <c r="C108" s="24">
        <v>6.5</v>
      </c>
      <c r="D108" s="65" t="str">
        <f>HYPERLINK("https://github.com/mostafa-saad/MyCompetitiveProgramming/blob/master/Olympiad/Baltic/Baltic-08-Game.txt","Sol")</f>
        <v>Sol</v>
      </c>
      <c r="E108" s="31" t="s">
        <v>1989</v>
      </c>
      <c r="F108" s="37" t="s">
        <v>139</v>
      </c>
      <c r="G108" s="24"/>
      <c r="H108" s="53"/>
    </row>
    <row r="109" spans="1:8" ht="13.2">
      <c r="A109" s="65" t="str">
        <f>HYPERLINK("https://cses.fi/113/list/","Baltic 08-Gates")</f>
        <v>Baltic 08-Gates</v>
      </c>
      <c r="B109" s="37" t="s">
        <v>7281</v>
      </c>
      <c r="C109" s="24">
        <v>6</v>
      </c>
      <c r="D109" s="65" t="str">
        <f>HYPERLINK("https://github.com/mostafa-saad/MyCompetitiveProgramming/blob/master/Olympiad/Baltic/Baltic-08-Gates.txt","Sol")</f>
        <v>Sol</v>
      </c>
      <c r="E109" s="31" t="s">
        <v>4379</v>
      </c>
      <c r="F109" s="37"/>
      <c r="G109" s="24"/>
      <c r="H109" s="53"/>
    </row>
    <row r="110" spans="1:8" ht="13.2">
      <c r="A110" s="65" t="str">
        <f>HYPERLINK("https://cses.fi/114/list/","Baltic 08-Gloves")</f>
        <v>Baltic 08-Gloves</v>
      </c>
      <c r="B110" s="37" t="s">
        <v>7073</v>
      </c>
      <c r="C110" s="24">
        <v>6.25</v>
      </c>
      <c r="D110" s="65" t="str">
        <f>HYPERLINK("https://github.com/mostafa-saad/MyCompetitiveProgramming/blob/master/Olympiad/Baltic/Baltic-08-Gloves.txt","Sol")</f>
        <v>Sol</v>
      </c>
      <c r="E110" s="31" t="s">
        <v>2510</v>
      </c>
      <c r="F110" s="37" t="s">
        <v>139</v>
      </c>
      <c r="G110" s="24"/>
      <c r="H110" s="53"/>
    </row>
    <row r="111" spans="1:8" ht="13.2">
      <c r="A111" s="65" t="str">
        <f>HYPERLINK("https://cses.fi/114/list/","Baltic 08-Grid")</f>
        <v>Baltic 08-Grid</v>
      </c>
      <c r="B111" s="37" t="s">
        <v>6730</v>
      </c>
      <c r="C111" s="24">
        <v>5.5</v>
      </c>
      <c r="D111" s="65" t="str">
        <f>HYPERLINK("https://github.com/mostafa-saad/MyCompetitiveProgramming/blob/master/Olympiad/Baltic/Baltic-08-Grid.txt","Sol")</f>
        <v>Sol</v>
      </c>
      <c r="E111" s="31" t="s">
        <v>805</v>
      </c>
      <c r="F111" s="37" t="s">
        <v>139</v>
      </c>
      <c r="G111" s="24"/>
      <c r="H111" s="53"/>
    </row>
    <row r="112" spans="1:8" ht="13.2">
      <c r="A112" s="65" t="str">
        <f>HYPERLINK("https://cses.fi/113/list/","Baltic 08-Magical")</f>
        <v>Baltic 08-Magical</v>
      </c>
      <c r="B112" s="37" t="s">
        <v>7683</v>
      </c>
      <c r="C112" s="24">
        <v>6.75</v>
      </c>
      <c r="D112" s="65" t="str">
        <f>HYPERLINK("https://github.com/mostafa-saad/MyCompetitiveProgramming/blob/master/Olympiad/Baltic/Baltic-08-Magical.txt","Sol")</f>
        <v>Sol</v>
      </c>
      <c r="E112" s="31" t="s">
        <v>6118</v>
      </c>
      <c r="F112" s="37"/>
      <c r="G112" s="24"/>
      <c r="H112" s="53"/>
    </row>
    <row r="113" spans="1:8" ht="13.2">
      <c r="A113" s="65" t="str">
        <f>HYPERLINK("https://github.com/mostafa-saad/MyCompetitiveProgramming/blob/master/Olympiad/Baltic/Baltic-09-Beetles.txt","Baltic 09-Beetles")</f>
        <v>Baltic 09-Beetles</v>
      </c>
      <c r="B113" s="20" t="s">
        <v>6977</v>
      </c>
      <c r="C113" s="17">
        <v>6</v>
      </c>
      <c r="D113" s="65" t="str">
        <f>HYPERLINK("https://github.com/mostafa-saad/MyCompetitiveProgramming/blob/master/Olympiad/Baltic/Baltic-09-Beetles.txt","Sol")</f>
        <v>Sol</v>
      </c>
      <c r="E113" s="31" t="s">
        <v>2113</v>
      </c>
      <c r="F113" s="37" t="s">
        <v>196</v>
      </c>
      <c r="G113" s="24"/>
      <c r="H113" s="53"/>
    </row>
    <row r="114" spans="1:8" ht="13.2">
      <c r="A114" s="65" t="str">
        <f>HYPERLINK("https://cses.fi/107/list/","Baltic 09-Candy")</f>
        <v>Baltic 09-Candy</v>
      </c>
      <c r="B114" s="20" t="s">
        <v>6981</v>
      </c>
      <c r="C114" s="17">
        <v>7.1</v>
      </c>
      <c r="D114" s="65" t="str">
        <f>HYPERLINK("https://github.com/Szawinis/CompetitiveProgramming/blob/master/Olympiad/Baltic/Baltic09-candy.cpp","Sol")</f>
        <v>Sol</v>
      </c>
      <c r="E114" s="31" t="s">
        <v>2153</v>
      </c>
      <c r="F114" s="37" t="s">
        <v>154</v>
      </c>
      <c r="G114" s="24"/>
      <c r="H114" s="53"/>
    </row>
    <row r="115" spans="1:8" ht="13.2">
      <c r="A115" s="65" t="str">
        <f>HYPERLINK("https://cses.fi/108/list/","Baltic 09-Monument")</f>
        <v>Baltic 09-Monument</v>
      </c>
      <c r="B115" s="37" t="s">
        <v>6826</v>
      </c>
      <c r="C115" s="24">
        <v>7.25</v>
      </c>
      <c r="D115" s="65" t="str">
        <f>HYPERLINK("https://github.com/mostafa-saad/MyCompetitiveProgramming/blob/master/Olympiad/Baltic/Baltic-09-Monument.txt","Sol")</f>
        <v>Sol</v>
      </c>
      <c r="E115" s="31" t="s">
        <v>1337</v>
      </c>
      <c r="F115" s="37" t="s">
        <v>139</v>
      </c>
      <c r="G115" s="24"/>
      <c r="H115" s="53"/>
    </row>
    <row r="116" spans="1:8" ht="13.2">
      <c r="A116" s="65" t="str">
        <f>HYPERLINK("https://cses.fi/108/list/","Baltic 09-Rectangle")</f>
        <v>Baltic 09-Rectangle</v>
      </c>
      <c r="B116" s="37" t="s">
        <v>2543</v>
      </c>
      <c r="C116" s="24">
        <v>5</v>
      </c>
      <c r="D116" s="65" t="str">
        <f>HYPERLINK("https://github.com/mostafa-saad/MyCompetitiveProgramming/blob/master/Olympiad/Baltic/Baltic-09-Rectangle.txt","Sol")</f>
        <v>Sol</v>
      </c>
      <c r="E116" s="31" t="s">
        <v>2510</v>
      </c>
      <c r="F116" s="37"/>
      <c r="G116" s="24"/>
      <c r="H116" s="53"/>
    </row>
    <row r="117" spans="1:8" ht="13.2">
      <c r="A117" s="65" t="str">
        <f>HYPERLINK("https://cses.fi/107/list/","Baltic 09-Subway")</f>
        <v>Baltic 09-Subway</v>
      </c>
      <c r="B117" s="20" t="s">
        <v>6999</v>
      </c>
      <c r="C117" s="17">
        <v>6.4</v>
      </c>
      <c r="D117" s="65" t="str">
        <f>HYPERLINK("https://github.com/mostafa-saad/MyCompetitiveProgramming/blob/master/Olympiad/Baltic/Baltic-09-Subway.txt","Sol")</f>
        <v>Sol</v>
      </c>
      <c r="E117" s="31" t="s">
        <v>2153</v>
      </c>
      <c r="F117" s="37" t="s">
        <v>196</v>
      </c>
      <c r="G117" s="24"/>
      <c r="H117" s="53"/>
    </row>
    <row r="118" spans="1:8" ht="13.2">
      <c r="A118" s="65" t="str">
        <f>HYPERLINK("https://cses.fi/108/list/","Baltic 09-Triangulate")</f>
        <v>Baltic 09-Triangulate</v>
      </c>
      <c r="B118" s="37" t="s">
        <v>4484</v>
      </c>
      <c r="C118" s="24">
        <v>6</v>
      </c>
      <c r="D118" s="65" t="str">
        <f>HYPERLINK("https://github.com/mostafa-saad/MyCompetitiveProgramming/blob/master/Olympiad/Baltic/Baltic-09-Triangulate.txt","Sol")</f>
        <v>Sol</v>
      </c>
      <c r="E118" s="31" t="s">
        <v>4454</v>
      </c>
      <c r="F118" s="37" t="s">
        <v>201</v>
      </c>
      <c r="G118" s="24"/>
      <c r="H118" s="53"/>
    </row>
    <row r="119" spans="1:8" ht="13.2">
      <c r="A119" s="65" t="str">
        <f>HYPERLINK("https://cses.fi/105/list/","Baltic 10-Bears")</f>
        <v>Baltic 10-Bears</v>
      </c>
      <c r="B119" s="37" t="s">
        <v>7059</v>
      </c>
      <c r="C119" s="24">
        <v>7.3</v>
      </c>
      <c r="D119" s="65" t="str">
        <f>HYPERLINK("https://github.com/mostafa-saad/MyCompetitiveProgramming/blob/master/Olympiad/Baltic/Baltic-10-Bears.txt","Sol")</f>
        <v>Sol</v>
      </c>
      <c r="E119" s="31" t="s">
        <v>2510</v>
      </c>
      <c r="F119" s="37" t="s">
        <v>154</v>
      </c>
      <c r="G119" s="24"/>
      <c r="H119" s="53"/>
    </row>
    <row r="120" spans="1:8" ht="15" customHeight="1">
      <c r="A120" s="65" t="str">
        <f>HYPERLINK("https://cses.fi/106/list/","Baltic 10-Bins")</f>
        <v>Baltic 10-Bins</v>
      </c>
      <c r="B120" s="23" t="s">
        <v>7420</v>
      </c>
      <c r="C120" s="24">
        <v>5</v>
      </c>
      <c r="D120" s="65" t="str">
        <f>HYPERLINK("https://github.com/mostafa-saad/MyCompetitiveProgramming/blob/master/Olympiad/Baltic/Baltic-10-Bins.txt","Sol")</f>
        <v>Sol</v>
      </c>
      <c r="E120" s="31" t="s">
        <v>6040</v>
      </c>
      <c r="F120" s="37" t="s">
        <v>139</v>
      </c>
      <c r="G120" s="24"/>
      <c r="H120" s="53"/>
    </row>
    <row r="121" spans="1:8" ht="13.2">
      <c r="A121" s="65" t="str">
        <f>HYPERLINK("https://cses.fi/106/list/","Baltic 10-Candies")</f>
        <v>Baltic 10-Candies</v>
      </c>
      <c r="B121" s="37" t="s">
        <v>6850</v>
      </c>
      <c r="C121" s="24">
        <v>6.5</v>
      </c>
      <c r="D121" s="65" t="str">
        <f>HYPERLINK("https://github.com/mostafa-saad/MyCompetitiveProgramming/blob/master/Olympiad/Baltic/Baltic-10-Candies.txt","Sol")</f>
        <v>Sol</v>
      </c>
      <c r="E121" s="31" t="s">
        <v>1337</v>
      </c>
      <c r="F121" s="37" t="s">
        <v>154</v>
      </c>
      <c r="G121" s="24"/>
      <c r="H121" s="53"/>
    </row>
    <row r="122" spans="1:8" ht="13.2">
      <c r="A122" s="65" t="str">
        <f>HYPERLINK("https://cses.fi/105/list/","Baltic 10-Lego")</f>
        <v>Baltic 10-Lego</v>
      </c>
      <c r="B122" s="37" t="s">
        <v>6877</v>
      </c>
      <c r="C122" s="24">
        <v>6.25</v>
      </c>
      <c r="D122" s="65" t="str">
        <f t="shared" ref="D122:D123" si="2">HYPERLINK("https://github.com/mostafa-saad/MyCompetitiveProgramming/blob/master/Olympiad/Baltic/official/boi2010_solutions","Editorial")</f>
        <v>Editorial</v>
      </c>
      <c r="E122" s="31" t="s">
        <v>1337</v>
      </c>
      <c r="F122" s="37" t="s">
        <v>201</v>
      </c>
      <c r="G122" s="24"/>
      <c r="H122" s="53"/>
    </row>
    <row r="123" spans="1:8" ht="13.2">
      <c r="A123" s="65" t="str">
        <f>HYPERLINK("https://cses.fi/106/list/","Baltic 10-Mines")</f>
        <v>Baltic 10-Mines</v>
      </c>
      <c r="B123" s="37" t="s">
        <v>7338</v>
      </c>
      <c r="C123" s="24">
        <v>7.5</v>
      </c>
      <c r="D123" s="65" t="str">
        <f t="shared" si="2"/>
        <v>Editorial</v>
      </c>
      <c r="E123" s="31" t="s">
        <v>4867</v>
      </c>
      <c r="F123" s="37"/>
      <c r="G123" s="24"/>
      <c r="H123" s="53"/>
    </row>
    <row r="124" spans="1:8" ht="13.2">
      <c r="A124" s="65" t="str">
        <f>HYPERLINK("https://cses.fi/105/list/","Baltic 10-PCB")</f>
        <v>Baltic 10-PCB</v>
      </c>
      <c r="B124" s="37" t="s">
        <v>6922</v>
      </c>
      <c r="C124" s="24">
        <v>5</v>
      </c>
      <c r="D124" s="65" t="str">
        <f>HYPERLINK("https://github.com/mostafa-saad/MyCompetitiveProgramming/blob/master/Olympiad/Baltic/Baltic-10-PCB.txt","Sol")</f>
        <v>Sol</v>
      </c>
      <c r="E124" s="31" t="s">
        <v>1337</v>
      </c>
      <c r="F124" s="37" t="s">
        <v>139</v>
      </c>
      <c r="G124" s="24"/>
      <c r="H124" s="53"/>
    </row>
    <row r="125" spans="1:8" ht="13.2">
      <c r="A125" s="65" t="str">
        <f>HYPERLINK("https://oj.uz/problem/view/BOI11_grow","Baltic 11-grow")</f>
        <v>Baltic 11-grow</v>
      </c>
      <c r="B125" s="20" t="s">
        <v>7386</v>
      </c>
      <c r="C125" s="24">
        <v>5</v>
      </c>
      <c r="D125" s="65" t="str">
        <f>HYPERLINK("https://github.com/mostafa-saad/MyCompetitiveProgramming/blob/master/Olympiad/Baltic/Baltic-11-grow.txt","Sol")</f>
        <v>Sol</v>
      </c>
      <c r="E125" s="31" t="s">
        <v>5874</v>
      </c>
      <c r="F125" s="37"/>
      <c r="G125" s="24"/>
      <c r="H125" s="53"/>
    </row>
    <row r="126" spans="1:8" ht="13.2">
      <c r="A126" s="65" t="str">
        <f>HYPERLINK("https://cses.fi/100/list/","Baltic 11-Ice Cream")</f>
        <v>Baltic 11-Ice Cream</v>
      </c>
      <c r="B126" s="37" t="s">
        <v>341</v>
      </c>
      <c r="C126" s="24">
        <v>3</v>
      </c>
      <c r="D126" s="65" t="str">
        <f>HYPERLINK("https://github.com/mostafa-saad/MyCompetitiveProgramming/blob/master/Olympiad/Baltic/official/boi2011_solutions","Editorial")</f>
        <v>Editorial</v>
      </c>
      <c r="E126" s="31" t="s">
        <v>332</v>
      </c>
      <c r="F126" s="37"/>
      <c r="G126" s="24"/>
      <c r="H126" s="53"/>
    </row>
    <row r="127" spans="1:8" ht="13.2">
      <c r="A127" s="65" t="str">
        <f>HYPERLINK("https://cses.fi/100/list/","Baltic 11-Lamp")</f>
        <v>Baltic 11-Lamp</v>
      </c>
      <c r="B127" s="20" t="s">
        <v>7178</v>
      </c>
      <c r="C127" s="24">
        <v>5.25</v>
      </c>
      <c r="D127" s="65" t="str">
        <f>HYPERLINK("https://github.com/mostafa-saad/MyCompetitiveProgramming/blob/master/Olympiad/Baltic/Baltic-11-Lamp.txt","Sol")</f>
        <v>Sol</v>
      </c>
      <c r="E127" s="31" t="s">
        <v>3467</v>
      </c>
      <c r="F127" s="37" t="s">
        <v>139</v>
      </c>
      <c r="G127" s="24"/>
      <c r="H127" s="53"/>
    </row>
    <row r="128" spans="1:8" ht="13.2">
      <c r="A128" s="65" t="str">
        <f>HYPERLINK("https://cses.fi/101/list/","Baltic 11-Meetings")</f>
        <v>Baltic 11-Meetings</v>
      </c>
      <c r="B128" s="37" t="s">
        <v>6909</v>
      </c>
      <c r="C128" s="24">
        <v>5.5</v>
      </c>
      <c r="D128" s="65" t="str">
        <f>HYPERLINK("https://github.com/mostafa-saad/MyCompetitiveProgramming/blob/master/Olympiad/Baltic/Baltic-11-Meetings.txt","Sol")</f>
        <v>Sol</v>
      </c>
      <c r="E128" s="31" t="s">
        <v>1337</v>
      </c>
      <c r="F128" s="37" t="s">
        <v>201</v>
      </c>
      <c r="G128" s="24"/>
      <c r="H128" s="53"/>
    </row>
    <row r="129" spans="1:8" ht="13.2">
      <c r="A129" s="65" t="str">
        <f>HYPERLINK("https://cses.fi/101/list/","Baltic 11-Mirroring")</f>
        <v>Baltic 11-Mirroring</v>
      </c>
      <c r="B129" s="37" t="s">
        <v>7125</v>
      </c>
      <c r="C129" s="24">
        <v>7</v>
      </c>
      <c r="D129" s="65" t="str">
        <f>HYPERLINK("https://github.com/mostafa-saad/MyCompetitiveProgramming/blob/master/Olympiad/Baltic/Baltic-11-Mirroring.txt","Sol")</f>
        <v>Sol</v>
      </c>
      <c r="E129" s="31" t="s">
        <v>3257</v>
      </c>
      <c r="F129" s="37" t="s">
        <v>201</v>
      </c>
      <c r="G129" s="24"/>
      <c r="H129" s="53"/>
    </row>
    <row r="130" spans="1:8" ht="13.2">
      <c r="A130" s="65" t="str">
        <f>HYPERLINK("https://cses.fi/101/list/","Baltic 11-Plagarism")</f>
        <v>Baltic 11-Plagarism</v>
      </c>
      <c r="B130" s="37" t="s">
        <v>811</v>
      </c>
      <c r="C130" s="24">
        <v>3.5</v>
      </c>
      <c r="D130" s="65" t="str">
        <f t="shared" ref="D130:D131" si="3">HYPERLINK("https://github.com/mostafa-saad/MyCompetitiveProgramming/blob/master/Olympiad/Baltic/official/boi2011_solutions","Editorial")</f>
        <v>Editorial</v>
      </c>
      <c r="E130" s="31" t="s">
        <v>805</v>
      </c>
      <c r="F130" s="37"/>
      <c r="G130" s="24"/>
      <c r="H130" s="53"/>
    </row>
    <row r="131" spans="1:8" ht="13.2">
      <c r="A131" s="65" t="str">
        <f>HYPERLINK("https://cses.fi/101/list/","Baltic 11-Polygon")</f>
        <v>Baltic 11-Polygon</v>
      </c>
      <c r="B131" s="37" t="s">
        <v>2947</v>
      </c>
      <c r="C131" s="24">
        <v>7.25</v>
      </c>
      <c r="D131" s="65" t="str">
        <f t="shared" si="3"/>
        <v>Editorial</v>
      </c>
      <c r="E131" s="31" t="s">
        <v>2948</v>
      </c>
      <c r="F131" s="37"/>
      <c r="G131" s="24"/>
      <c r="H131" s="53"/>
    </row>
    <row r="132" spans="1:8" ht="13.2">
      <c r="A132" s="65" t="str">
        <f>HYPERLINK("https://oj.uz/problem/view/BOI11_grow","Baltic 11-Trees")</f>
        <v>Baltic 11-Trees</v>
      </c>
      <c r="B132" s="37" t="s">
        <v>6789</v>
      </c>
      <c r="C132" s="24">
        <v>6</v>
      </c>
      <c r="D132" s="69"/>
      <c r="E132" s="31" t="s">
        <v>1018</v>
      </c>
      <c r="F132" s="37"/>
      <c r="G132" s="24"/>
      <c r="H132" s="53"/>
    </row>
    <row r="133" spans="1:8" ht="13.2">
      <c r="A133" s="65" t="str">
        <f>HYPERLINK("https://cses.fi/100/list/","Baltic 11-Vikings")</f>
        <v>Baltic 11-Vikings</v>
      </c>
      <c r="B133" s="20" t="s">
        <v>7175</v>
      </c>
      <c r="C133" s="24">
        <v>6</v>
      </c>
      <c r="D133" s="65" t="str">
        <f>HYPERLINK("https://github.com/mostafa-saad/MyCompetitiveProgramming/blob/master/Olympiad/Baltic/Baltic-11-Vikings.txt","Sol")</f>
        <v>Sol</v>
      </c>
      <c r="E133" s="31" t="s">
        <v>3467</v>
      </c>
      <c r="F133" s="37" t="s">
        <v>139</v>
      </c>
      <c r="G133" s="24"/>
      <c r="H133" s="53"/>
    </row>
    <row r="134" spans="1:8" ht="13.2">
      <c r="A134" s="65" t="str">
        <f>HYPERLINK("https://cses.fi/98/list/","Baltic 12-Brackets")</f>
        <v>Baltic 12-Brackets</v>
      </c>
      <c r="B134" s="37" t="s">
        <v>6857</v>
      </c>
      <c r="C134" s="24">
        <v>6.5</v>
      </c>
      <c r="D134" s="65" t="str">
        <f>HYPERLINK("https://github.com/mostafa-saad/MyCompetitiveProgramming/blob/master/Olympiad/Baltic/Baltic-12-Brackets.txt","Sol")</f>
        <v>Sol</v>
      </c>
      <c r="E134" s="31" t="s">
        <v>1337</v>
      </c>
      <c r="F134" s="37" t="s">
        <v>201</v>
      </c>
      <c r="G134" s="24"/>
      <c r="H134" s="53"/>
    </row>
    <row r="135" spans="1:8" ht="13.2">
      <c r="A135" s="65" t="str">
        <f>HYPERLINK("https://cses.fi/99/list/","Baltic 12-Fire")</f>
        <v>Baltic 12-Fire</v>
      </c>
      <c r="B135" s="23" t="s">
        <v>7109</v>
      </c>
      <c r="C135" s="24">
        <v>6.5</v>
      </c>
      <c r="D135" s="65" t="str">
        <f>HYPERLINK("https://github.com/mostafa-saad/MyCompetitiveProgramming/blob/master/Olympiad/Baltic/Baltic-12-Fire.txt","Sol")</f>
        <v>Sol</v>
      </c>
      <c r="E135" s="31" t="s">
        <v>3140</v>
      </c>
      <c r="F135" s="37" t="s">
        <v>139</v>
      </c>
      <c r="G135" s="24"/>
      <c r="H135" s="53"/>
    </row>
    <row r="136" spans="1:8" ht="13.2">
      <c r="A136" s="65" t="str">
        <f>HYPERLINK("https://cses.fi/99/list/","Baltic 12-Melody")</f>
        <v>Baltic 12-Melody</v>
      </c>
      <c r="B136" s="37" t="s">
        <v>6869</v>
      </c>
      <c r="C136" s="24">
        <v>6.25</v>
      </c>
      <c r="D136" s="65" t="str">
        <f>HYPERLINK("https://github.com/mostafa-saad/MyCompetitiveProgramming/blob/master/Olympiad/Baltic/Baltic-12-Melody.txt","Sol")</f>
        <v>Sol</v>
      </c>
      <c r="E136" s="31" t="s">
        <v>1337</v>
      </c>
      <c r="F136" s="37" t="s">
        <v>139</v>
      </c>
      <c r="G136" s="24"/>
      <c r="H136" s="53"/>
    </row>
    <row r="137" spans="1:8" ht="13.2">
      <c r="A137" s="65" t="str">
        <f>HYPERLINK("https://oj.uz/problem/view/BOI12_mobile","Baltic 12-mobile")</f>
        <v>Baltic 12-mobile</v>
      </c>
      <c r="B137" s="20" t="s">
        <v>7011</v>
      </c>
      <c r="C137" s="24">
        <v>6</v>
      </c>
      <c r="D137" s="65" t="str">
        <f>HYPERLINK("https://github.com/mostafa-saad/MyCompetitiveProgramming/blob/master/Olympiad/Baltic/Baltic-12-mobile.txt","Sol")</f>
        <v>Sol</v>
      </c>
      <c r="E137" s="31" t="s">
        <v>2153</v>
      </c>
      <c r="F137" s="37" t="s">
        <v>201</v>
      </c>
      <c r="G137" s="24"/>
      <c r="H137" s="53"/>
    </row>
    <row r="138" spans="1:8" ht="13.2">
      <c r="A138" s="65" t="str">
        <f>HYPERLINK("https://cses.fi/98/list/","Baltic 12-Peaks")</f>
        <v>Baltic 12-Peaks</v>
      </c>
      <c r="B138" s="37" t="s">
        <v>7235</v>
      </c>
      <c r="C138" s="24">
        <v>6.3</v>
      </c>
      <c r="D138" s="65" t="str">
        <f>HYPERLINK("https://github.com/mostafa-saad/MyCompetitiveProgramming/blob/master/Olympiad/Baltic/Baltic-12-Peaks.txt","Sol")</f>
        <v>Sol</v>
      </c>
      <c r="E138" s="31" t="s">
        <v>3883</v>
      </c>
      <c r="F138" s="37" t="s">
        <v>139</v>
      </c>
      <c r="G138" s="24"/>
      <c r="H138" s="53"/>
    </row>
    <row r="139" spans="1:8" ht="13.2">
      <c r="A139" s="65" t="str">
        <f>HYPERLINK("https://cses.fi/99/list/","Baltic 12-Tiny")</f>
        <v>Baltic 12-Tiny</v>
      </c>
      <c r="B139" s="37" t="s">
        <v>7527</v>
      </c>
      <c r="C139" s="24">
        <v>7.25</v>
      </c>
      <c r="D139" s="69"/>
      <c r="E139" s="31" t="s">
        <v>7525</v>
      </c>
      <c r="F139" s="37"/>
      <c r="G139" s="24"/>
      <c r="H139" s="53"/>
    </row>
    <row r="140" spans="1:8" ht="13.2">
      <c r="A140" s="65" t="str">
        <f>HYPERLINK("https://oj.uz/problem/view/BOI13_ballmachine","Baltic 13-ballmachine")</f>
        <v>Baltic 13-ballmachine</v>
      </c>
      <c r="B140" s="20" t="s">
        <v>6910</v>
      </c>
      <c r="C140" s="24">
        <v>5.5</v>
      </c>
      <c r="D140" s="65" t="str">
        <f>HYPERLINK("https://github.com/SpeedOfMagic/CompetitiveProgramming/blob/master/Baltic/13-ballmachine.cpp","Sol")</f>
        <v>Sol</v>
      </c>
      <c r="E140" s="31" t="s">
        <v>1337</v>
      </c>
      <c r="F140" s="37"/>
      <c r="G140" s="24"/>
      <c r="H140" s="53"/>
    </row>
    <row r="141" spans="1:8" ht="13.2">
      <c r="A141" s="65" t="str">
        <f>HYPERLINK("https://oj.uz/problem/view/BOI13_brunhilda","Baltic 13-brunhilda")</f>
        <v>Baltic 13-brunhilda</v>
      </c>
      <c r="B141" s="20" t="s">
        <v>6870</v>
      </c>
      <c r="C141" s="24">
        <v>6.25</v>
      </c>
      <c r="D141" s="65" t="str">
        <f>HYPERLINK("https://github.com/mostafa-saad/MyCompetitiveProgramming/blob/master/Olympiad/Baltic/Baltic-13-brunhilda.txt","Sol")</f>
        <v>Sol</v>
      </c>
      <c r="E141" s="31" t="s">
        <v>1337</v>
      </c>
      <c r="F141" s="37" t="s">
        <v>139</v>
      </c>
      <c r="G141" s="24"/>
      <c r="H141" s="53"/>
    </row>
    <row r="142" spans="1:8" ht="13.2">
      <c r="A142" s="65" t="str">
        <f>HYPERLINK("https://oj.uz/problem/view/BOI13_numbers","Baltic 13-numbers")</f>
        <v>Baltic 13-numbers</v>
      </c>
      <c r="B142" s="20" t="s">
        <v>7433</v>
      </c>
      <c r="C142" s="24">
        <v>5.5</v>
      </c>
      <c r="D142" s="65" t="str">
        <f>HYPERLINK("https://github.com/mostafa-saad/MyCompetitiveProgramming/blob/master/Olympiad/Baltic/Baltic-13-numbers.txt","Sol")</f>
        <v>Sol</v>
      </c>
      <c r="E142" s="31" t="s">
        <v>6118</v>
      </c>
      <c r="F142" s="37" t="s">
        <v>201</v>
      </c>
      <c r="G142" s="24"/>
      <c r="H142" s="53"/>
    </row>
    <row r="143" spans="1:8" ht="13.2">
      <c r="A143" s="65" t="str">
        <f>HYPERLINK("https://oj.uz/problem/view/BOI13_pipes","Baltic 13-pipes")</f>
        <v>Baltic 13-pipes</v>
      </c>
      <c r="B143" s="20" t="s">
        <v>7439</v>
      </c>
      <c r="C143" s="24">
        <v>6</v>
      </c>
      <c r="D143" s="65" t="str">
        <f>HYPERLINK("https://github.com/mostafa-saad/MyCompetitiveProgramming/blob/master/Olympiad/Baltic/Baltic-13-pipes.txt","Sol")</f>
        <v>Sol</v>
      </c>
      <c r="E143" s="31" t="s">
        <v>6205</v>
      </c>
      <c r="F143" s="37" t="s">
        <v>154</v>
      </c>
      <c r="G143" s="24"/>
      <c r="H143" s="53"/>
    </row>
    <row r="144" spans="1:8" ht="13.2">
      <c r="A144" s="65" t="str">
        <f>HYPERLINK("https://oj.uz/problem/view/BOI13_tracks","Baltic 13-tracks")</f>
        <v>Baltic 13-tracks</v>
      </c>
      <c r="B144" s="20" t="s">
        <v>7198</v>
      </c>
      <c r="C144" s="24">
        <v>5</v>
      </c>
      <c r="D144" s="65" t="str">
        <f>HYPERLINK("https://github.com/mostafa-saad/MyCompetitiveProgramming/blob/master/Olympiad/Baltic/Baltic-13-tracks.txt","Sol")</f>
        <v>Sol</v>
      </c>
      <c r="E144" s="31" t="s">
        <v>3650</v>
      </c>
      <c r="F144" s="37"/>
      <c r="G144" s="24"/>
      <c r="H144" s="53"/>
    </row>
    <row r="145" spans="1:8" ht="13.2">
      <c r="A145" s="65" t="str">
        <f>HYPERLINK("https://oj.uz/problem/view/BOI13_vim","Baltic 13-vim")</f>
        <v>Baltic 13-vim</v>
      </c>
      <c r="B145" s="20" t="s">
        <v>1348</v>
      </c>
      <c r="C145" s="24">
        <v>7.5</v>
      </c>
      <c r="D145" s="65" t="str">
        <f>HYPERLINK("https://github.com/mostafa-saad/MyCompetitiveProgramming/blob/master/Olympiad/Baltic/Baltic-13-vim.txt","Sol")</f>
        <v>Sol</v>
      </c>
      <c r="E145" s="31" t="s">
        <v>1337</v>
      </c>
      <c r="F145" s="37" t="s">
        <v>154</v>
      </c>
      <c r="G145" s="24"/>
      <c r="H145" s="53"/>
    </row>
    <row r="146" spans="1:8" ht="13.2">
      <c r="A146" s="65" t="str">
        <f>HYPERLINK("https://oj.uz/problem/view/BOI14_coprobber","Baltic 14-coprobber")</f>
        <v>Baltic 14-coprobber</v>
      </c>
      <c r="B146" s="20" t="s">
        <v>7438</v>
      </c>
      <c r="C146" s="24">
        <v>6.5</v>
      </c>
      <c r="D146" s="65" t="str">
        <f>HYPERLINK("https://github.com/mostafa-saad/MyCompetitiveProgramming/blob/master/Olympiad/Baltic/Baltic-14-coprobber.txt","Sol")</f>
        <v>Sol</v>
      </c>
      <c r="E146" s="31" t="s">
        <v>6205</v>
      </c>
      <c r="F146" s="37" t="s">
        <v>1053</v>
      </c>
      <c r="G146" s="24"/>
      <c r="H146" s="53"/>
    </row>
    <row r="147" spans="1:8" ht="13.2">
      <c r="A147" s="65" t="str">
        <f>HYPERLINK("https://oj.uz/problem/view/BOI14_demarcation","Baltic 14-demarcation")</f>
        <v>Baltic 14-demarcation</v>
      </c>
      <c r="B147" s="20" t="s">
        <v>7089</v>
      </c>
      <c r="C147" s="24">
        <v>7.5</v>
      </c>
      <c r="D147" s="65" t="str">
        <f>HYPERLINK("https://github.com/mostafa-saad/MyCompetitiveProgramming/blob/master/Olympiad/Baltic/official/boi2014_solutions","Editorial")</f>
        <v>Editorial</v>
      </c>
      <c r="E147" s="31" t="s">
        <v>2948</v>
      </c>
      <c r="F147" s="37"/>
      <c r="G147" s="24"/>
      <c r="H147" s="53"/>
    </row>
    <row r="148" spans="1:8" ht="13.2">
      <c r="A148" s="65" t="str">
        <f>HYPERLINK("https://oj.uz/problem/view/BOI14_friends","Baltic 14-friends")</f>
        <v>Baltic 14-friends</v>
      </c>
      <c r="B148" s="20" t="s">
        <v>7385</v>
      </c>
      <c r="C148" s="24">
        <v>5.5</v>
      </c>
      <c r="D148" s="65" t="str">
        <f>HYPERLINK("https://github.com/SpeedOfMagic/CompetitiveProgramming/blob/master/Baltic/14-friends.cpp","Sol")</f>
        <v>Sol</v>
      </c>
      <c r="E148" s="31" t="s">
        <v>5857</v>
      </c>
      <c r="F148" s="37" t="s">
        <v>201</v>
      </c>
      <c r="G148" s="24"/>
      <c r="H148" s="53"/>
    </row>
    <row r="149" spans="1:8" ht="13.2">
      <c r="A149" s="65" t="str">
        <f>HYPERLINK("https://oj.uz/problem/view/BOI14_network","Baltic 14-network")</f>
        <v>Baltic 14-network</v>
      </c>
      <c r="B149" s="20" t="s">
        <v>5961</v>
      </c>
      <c r="C149" s="24">
        <v>5.5</v>
      </c>
      <c r="D149" s="65" t="str">
        <f>HYPERLINK("https://github.com/mushisgosuuu/oj-solutions/blob/master/BOI/network2014.cpp","Sol")</f>
        <v>Sol</v>
      </c>
      <c r="E149" s="31" t="s">
        <v>5958</v>
      </c>
      <c r="F149" s="37" t="s">
        <v>242</v>
      </c>
      <c r="G149" s="24"/>
      <c r="H149" s="53"/>
    </row>
    <row r="150" spans="1:8" ht="13.2">
      <c r="A150" s="65" t="str">
        <f>HYPERLINK("https://oj.uz/problem/view/BOI14_portals","Baltic 14-portals")</f>
        <v>Baltic 14-portals</v>
      </c>
      <c r="B150" s="20" t="s">
        <v>3866</v>
      </c>
      <c r="C150" s="24">
        <v>6</v>
      </c>
      <c r="D150" s="65" t="str">
        <f>HYPERLINK("https://github.com/tmwilliamlin168/CompetitiveProgramming/blob/master/BtOI/14-Portals.cpp", "Sol")</f>
        <v>Sol</v>
      </c>
      <c r="E150" s="31" t="s">
        <v>3784</v>
      </c>
      <c r="F150" s="37"/>
      <c r="G150" s="24"/>
      <c r="H150" s="53"/>
    </row>
    <row r="151" spans="1:8" ht="13.2">
      <c r="A151" s="65" t="str">
        <f>HYPERLINK("https://oj.uz/problem/view/BOI14_postmen","Baltic 14-postmen")</f>
        <v>Baltic 14-postmen</v>
      </c>
      <c r="B151" s="20" t="s">
        <v>7250</v>
      </c>
      <c r="C151" s="24">
        <v>6.25</v>
      </c>
      <c r="D151" s="65" t="str">
        <f>HYPERLINK("https://github.com/mostafa-saad/MyCompetitiveProgramming/blob/master/Olympiad/Baltic/Baltic-14-postmen.txt","Sol")</f>
        <v>Sol</v>
      </c>
      <c r="E151" s="31" t="s">
        <v>3955</v>
      </c>
      <c r="F151" s="37" t="s">
        <v>201</v>
      </c>
      <c r="G151" s="24"/>
      <c r="H151" s="53"/>
    </row>
    <row r="152" spans="1:8" ht="13.2">
      <c r="A152" s="65" t="str">
        <f>HYPERLINK("https://oj.uz/problem/view/BOI14_sequence","Baltic 14-sequence")</f>
        <v>Baltic 14-sequence</v>
      </c>
      <c r="B152" s="20" t="s">
        <v>6710</v>
      </c>
      <c r="C152" s="24">
        <v>7</v>
      </c>
      <c r="D152" s="65" t="str">
        <f>HYPERLINK("https://github.com/mostafa-saad/MyCompetitiveProgramming/blob/master/Olympiad/Baltic/Baltic-14-sequence.txt","Sol")</f>
        <v>Sol</v>
      </c>
      <c r="E152" s="31" t="s">
        <v>655</v>
      </c>
      <c r="F152" s="37" t="s">
        <v>154</v>
      </c>
      <c r="G152" s="24"/>
      <c r="H152" s="53"/>
    </row>
    <row r="153" spans="1:8" ht="13.2">
      <c r="A153" s="65" t="str">
        <f>HYPERLINK("https://oj.uz/problem/view/BOI15_bow","Baltic 15-bow")</f>
        <v>Baltic 15-bow</v>
      </c>
      <c r="B153" s="20" t="s">
        <v>7425</v>
      </c>
      <c r="C153" s="24">
        <v>7</v>
      </c>
      <c r="D153" s="65" t="str">
        <f>HYPERLINK("https://github.com/mostafa-saad/MyCompetitiveProgramming/blob/master/Olympiad/Baltic/Baltic-15-bow.txt","Sol")</f>
        <v>Sol</v>
      </c>
      <c r="E153" s="31" t="s">
        <v>6075</v>
      </c>
      <c r="F153" s="37"/>
      <c r="G153" s="24"/>
      <c r="H153" s="53"/>
    </row>
    <row r="154" spans="1:8" ht="13.2">
      <c r="A154" s="65" t="str">
        <f>HYPERLINK("https://oj.uz/problem/view/BOI15_edi","Baltic 15-edi")</f>
        <v>Baltic 15-edi</v>
      </c>
      <c r="B154" s="20" t="s">
        <v>6673</v>
      </c>
      <c r="C154" s="24">
        <v>7.25</v>
      </c>
      <c r="D154" s="65" t="str">
        <f>HYPERLINK("https://github.com/mostafa-saad/MyCompetitiveProgramming/blob/master/Olympiad/Baltic/Baltic-15-edi.txt","Sol")</f>
        <v>Sol</v>
      </c>
      <c r="E154" s="31" t="s">
        <v>575</v>
      </c>
      <c r="F154" s="37" t="s">
        <v>139</v>
      </c>
      <c r="G154" s="24"/>
      <c r="H154" s="53"/>
    </row>
    <row r="155" spans="1:8" ht="13.2">
      <c r="A155" s="65" t="str">
        <f>HYPERLINK("https://oj.uz/problem/view/BOI15_fil","Baltic 15-fil")</f>
        <v>Baltic 15-fil</v>
      </c>
      <c r="B155" s="20" t="s">
        <v>3660</v>
      </c>
      <c r="C155" s="24">
        <v>6.75</v>
      </c>
      <c r="D155" s="65" t="str">
        <f>HYPERLINK("https://github.com/mostafa-saad/MyCompetitiveProgramming/blob/master/Olympiad/Baltic/Baltic-15-fil.txt","Sol")</f>
        <v>Sol</v>
      </c>
      <c r="E155" s="31" t="s">
        <v>3650</v>
      </c>
      <c r="F155" s="37"/>
      <c r="G155" s="24"/>
      <c r="H155" s="53"/>
    </row>
    <row r="156" spans="1:8" ht="13.2">
      <c r="A156" s="65" t="str">
        <f>HYPERLINK("https://oj.uz/problem/view/BOI15_hac","Baltic 15-hac")</f>
        <v>Baltic 15-hac</v>
      </c>
      <c r="B156" s="20" t="s">
        <v>7056</v>
      </c>
      <c r="C156" s="53">
        <v>6.3</v>
      </c>
      <c r="D156" s="65" t="str">
        <f>HYPERLINK("https://github.com/mostafa-saad/MyCompetitiveProgramming/blob/master/Olympiad/Baltic/Baltic-15-hac.txt","Sol")</f>
        <v>Sol</v>
      </c>
      <c r="E156" s="31" t="s">
        <v>2394</v>
      </c>
      <c r="F156" s="37" t="s">
        <v>139</v>
      </c>
      <c r="G156" s="24"/>
      <c r="H156" s="53"/>
    </row>
    <row r="157" spans="1:8" ht="13.2">
      <c r="A157" s="65" t="str">
        <f>HYPERLINK("https://oj.uz/problem/view/BOI15_net","Baltic 15-net")</f>
        <v>Baltic 15-net</v>
      </c>
      <c r="B157" s="23" t="s">
        <v>7026</v>
      </c>
      <c r="C157" s="24">
        <v>5</v>
      </c>
      <c r="D157" s="65" t="str">
        <f>HYPERLINK("https://github.com/mostafa-saad/MyCompetitiveProgramming/blob/master/Olympiad/Baltic/Baltic-15-net.txt","Sol")</f>
        <v>Sol</v>
      </c>
      <c r="E157" s="31" t="s">
        <v>2153</v>
      </c>
      <c r="F157" s="37" t="s">
        <v>196</v>
      </c>
      <c r="G157" s="24"/>
      <c r="H157" s="53"/>
    </row>
    <row r="158" spans="1:8" ht="13.2">
      <c r="A158" s="65" t="str">
        <f>HYPERLINK("https://oj.uz/problem/view/BOI15_tug","Baltic 15-tug")</f>
        <v>Baltic 15-tug</v>
      </c>
      <c r="B158" s="23" t="s">
        <v>6837</v>
      </c>
      <c r="C158" s="24">
        <v>6.8</v>
      </c>
      <c r="D158" s="65" t="str">
        <f>HYPERLINK("https://github.com/mostafa-saad/MyCompetitiveProgramming/blob/master/Olympiad/Baltic/Baltic-15-tug.txt","Sol")</f>
        <v>Sol</v>
      </c>
      <c r="E158" s="31" t="s">
        <v>1337</v>
      </c>
      <c r="F158" s="37" t="s">
        <v>139</v>
      </c>
      <c r="G158" s="24"/>
      <c r="H158" s="53"/>
    </row>
    <row r="159" spans="1:8" ht="13.2">
      <c r="A159" s="65" t="str">
        <f>HYPERLINK("https://oj.uz/problem/view/BOI16_bosses","Baltic 16-bosses")</f>
        <v>Baltic 16-bosses</v>
      </c>
      <c r="B159" s="18" t="s">
        <v>7163</v>
      </c>
      <c r="C159" s="17">
        <v>4.5</v>
      </c>
      <c r="D159" s="65" t="str">
        <f>HYPERLINK("https://github.com/mostafa-saad/MyCompetitiveProgramming/blob/master/Olympiad/Baltic/Baltic-16-bosses.txt","Sol")</f>
        <v>Sol</v>
      </c>
      <c r="E159" s="31" t="s">
        <v>3257</v>
      </c>
      <c r="F159" s="37" t="s">
        <v>139</v>
      </c>
      <c r="G159" s="24"/>
      <c r="H159" s="53"/>
    </row>
    <row r="160" spans="1:8" ht="13.2">
      <c r="A160" s="65" t="str">
        <f>HYPERLINK("https://oj.uz/problem/view/BOI16_cities","Baltic 16-cities")</f>
        <v>Baltic 16-cities</v>
      </c>
      <c r="B160" s="20" t="s">
        <v>7209</v>
      </c>
      <c r="C160" s="24">
        <v>6.5</v>
      </c>
      <c r="D160" s="65" t="str">
        <f>HYPERLINK("https://github.com/tmwilliamlin168/CompetitiveProgramming/blob/master/BtOI/16-Cities.cpp", "Sol")</f>
        <v>Sol</v>
      </c>
      <c r="E160" s="31" t="s">
        <v>3784</v>
      </c>
      <c r="F160" s="37" t="s">
        <v>229</v>
      </c>
      <c r="G160" s="24"/>
      <c r="H160" s="53"/>
    </row>
    <row r="161" spans="1:8" ht="13.2">
      <c r="A161" s="65" t="str">
        <f>HYPERLINK("https://oj.uz/problem/view/BOI16_park","Baltic 16-park")</f>
        <v>Baltic 16-park</v>
      </c>
      <c r="B161" s="23" t="s">
        <v>7134</v>
      </c>
      <c r="C161" s="24">
        <v>6.5</v>
      </c>
      <c r="D161" s="65" t="str">
        <f>HYPERLINK("https://github.com/mostafa-saad/MyCompetitiveProgramming/blob/master/Olympiad/Baltic/Baltic-16-park.txt","Sol")</f>
        <v>Sol</v>
      </c>
      <c r="E161" s="31" t="s">
        <v>3257</v>
      </c>
      <c r="F161" s="37" t="s">
        <v>139</v>
      </c>
      <c r="G161" s="24"/>
      <c r="H161" s="53"/>
    </row>
    <row r="162" spans="1:8" ht="13.2">
      <c r="A162" s="65" t="str">
        <f>HYPERLINK("https://oj.uz/problem/view/BOI16_spiral","Baltic 16-spiral")</f>
        <v>Baltic 16-spiral</v>
      </c>
      <c r="B162" s="20" t="s">
        <v>2763</v>
      </c>
      <c r="C162" s="24">
        <v>7.5</v>
      </c>
      <c r="D162" s="65" t="str">
        <f>HYPERLINK("https://github.com/mostafa-saad/MyCompetitiveProgramming/blob/master/Olympiad/Baltic/official/boi2016_solutions","Sol(Editorial)")</f>
        <v>Sol(Editorial)</v>
      </c>
      <c r="E162" s="31" t="s">
        <v>2510</v>
      </c>
      <c r="F162" s="37"/>
      <c r="G162" s="24"/>
      <c r="H162" s="53"/>
    </row>
    <row r="163" spans="1:8" ht="13.2">
      <c r="A163" s="65" t="str">
        <f>HYPERLINK("https://oj.uz/problem/view/BOI16_swap","Baltic 16-swap")</f>
        <v>Baltic 16-swap</v>
      </c>
      <c r="B163" s="20" t="s">
        <v>6851</v>
      </c>
      <c r="C163" s="24">
        <v>6.5</v>
      </c>
      <c r="D163" s="65" t="str">
        <f>HYPERLINK("https://github.com/mostafa-saad/MyCompetitiveProgramming/blob/master/Olympiad/Baltic/Baltic-16-swap.txt","Sol")</f>
        <v>Sol</v>
      </c>
      <c r="E163" s="31" t="s">
        <v>1337</v>
      </c>
      <c r="F163" s="37" t="s">
        <v>139</v>
      </c>
      <c r="G163" s="24"/>
      <c r="H163" s="53"/>
    </row>
    <row r="164" spans="1:8" ht="13.2">
      <c r="A164" s="65" t="str">
        <f>HYPERLINK("https://open.kattis.com/problems/catinatree","Baltic 17-Cat")</f>
        <v>Baltic 17-Cat</v>
      </c>
      <c r="B164" s="18" t="s">
        <v>7455</v>
      </c>
      <c r="C164" s="17">
        <v>6</v>
      </c>
      <c r="D164" s="65" t="str">
        <f>HYPERLINK("https://github.com/mostafa-saad/MyCompetitiveProgramming/blob/master/Olympiad/Baltic/Baltic-17-Cat.txt","Sol")</f>
        <v>Sol</v>
      </c>
      <c r="E164" s="31" t="s">
        <v>6345</v>
      </c>
      <c r="F164" s="37" t="s">
        <v>242</v>
      </c>
      <c r="G164" s="24"/>
      <c r="H164" s="53"/>
    </row>
    <row r="165" spans="1:8" ht="13.2">
      <c r="A165" s="65" t="str">
        <f>HYPERLINK("https://oj.uz/problem/view/BOI17_friends","Baltic 17-Friends")</f>
        <v>Baltic 17-Friends</v>
      </c>
      <c r="B165" s="18" t="s">
        <v>6709</v>
      </c>
      <c r="C165" s="17">
        <v>8</v>
      </c>
      <c r="D165" s="65" t="str">
        <f>HYPERLINK("https://codeforces.com/blog/entry/51740?#comment-356943","hints")</f>
        <v>hints</v>
      </c>
      <c r="E165" s="31" t="s">
        <v>655</v>
      </c>
      <c r="F165" s="37"/>
      <c r="G165" s="24"/>
      <c r="H165" s="53"/>
    </row>
    <row r="166" spans="1:8" ht="13.2">
      <c r="A166" s="65" t="str">
        <f>HYPERLINK("https://open.kattis.com/problem-sources/Baltic%20Olympiad%20in%20Informatics%202017%2C%20Day%202","Baltic 17-PlusMinus")</f>
        <v>Baltic 17-PlusMinus</v>
      </c>
      <c r="B166" s="18" t="s">
        <v>124</v>
      </c>
      <c r="C166" s="17">
        <v>6.5</v>
      </c>
      <c r="D166" s="65" t="str">
        <f>HYPERLINK("https://codeforces.com/blog/entry/51740?#comment-356940","hints")</f>
        <v>hints</v>
      </c>
      <c r="E166" s="31" t="s">
        <v>125</v>
      </c>
      <c r="F166" s="37"/>
      <c r="G166" s="24"/>
      <c r="H166" s="53"/>
    </row>
    <row r="167" spans="1:8" ht="13.2">
      <c r="A167" s="65" t="str">
        <f>HYPERLINK("https://open.kattis.com/problem-sources/Baltic%20Olympiad%20in%20Informatics%202017%2C%20Day%201","Baltic 17-PoliticalDevelopment")</f>
        <v>Baltic 17-PoliticalDevelopment</v>
      </c>
      <c r="B167" s="18" t="s">
        <v>7133</v>
      </c>
      <c r="C167" s="17">
        <v>6.6</v>
      </c>
      <c r="D167" s="65" t="str">
        <f>HYPERLINK("https://github.com/mostafa-saad/MyCompetitiveProgramming/blob/master/Olympiad/Baltic/Baltic-17-PoliticalDevelopment.txt","Sol")</f>
        <v>Sol</v>
      </c>
      <c r="E167" s="31" t="s">
        <v>3257</v>
      </c>
      <c r="F167" s="37" t="s">
        <v>139</v>
      </c>
      <c r="G167" s="24"/>
      <c r="H167" s="53"/>
    </row>
    <row r="168" spans="1:8" ht="13.2">
      <c r="A168" s="65" t="str">
        <f>HYPERLINK("https://open.kattis.com/problem-sources/Baltic%20Olympiad%20in%20Informatics%202017%2C%20Day%201","Baltic 17-Railway")</f>
        <v>Baltic 17-Railway</v>
      </c>
      <c r="B168" s="18" t="s">
        <v>7149</v>
      </c>
      <c r="C168" s="24">
        <v>6</v>
      </c>
      <c r="D168" s="65" t="str">
        <f>HYPERLINK("https://github.com/mostafa-saad/MyCompetitiveProgramming/blob/master/Olympiad/Baltic/Baltic-17-Railway.txt","Sol")</f>
        <v>Sol</v>
      </c>
      <c r="E168" s="31" t="s">
        <v>3257</v>
      </c>
      <c r="F168" s="37" t="s">
        <v>196</v>
      </c>
      <c r="G168" s="24"/>
      <c r="H168" s="53"/>
    </row>
    <row r="169" spans="1:8" ht="13.2">
      <c r="A169" s="65" t="str">
        <f>HYPERLINK("https://open.kattis.com/problem-sources/Baltic%20Olympiad%20in%20Informatics%202017%2C%20Day%201","Baltic 17-Toll")</f>
        <v>Baltic 17-Toll</v>
      </c>
      <c r="B169" s="18" t="s">
        <v>6778</v>
      </c>
      <c r="C169" s="17">
        <v>6.25</v>
      </c>
      <c r="D169" s="65" t="str">
        <f>HYPERLINK("https://github.com/Szawinis/CompetitiveProgramming/blob/master/Olympiad/Baltic/Baltic17-toll.cpp","Sol")</f>
        <v>Sol</v>
      </c>
      <c r="E169" s="31" t="s">
        <v>1018</v>
      </c>
      <c r="F169" s="37"/>
      <c r="G169" s="24"/>
      <c r="H169" s="53"/>
    </row>
    <row r="170" spans="1:8" ht="13.2">
      <c r="A170" s="65" t="str">
        <f>HYPERLINK("https://cses.fi/205/list/","Baltic 18-Alternating")</f>
        <v>Baltic 18-Alternating</v>
      </c>
      <c r="B170" s="37" t="s">
        <v>7052</v>
      </c>
      <c r="C170" s="24"/>
      <c r="D170" s="65" t="str">
        <f t="shared" ref="D170:D171" si="4">HYPERLINK("https://github.com/mostafa-saad/MyCompetitiveProgramming/tree/master/Olympiad/Baltic/official/boi2018_solutions","Editorial")</f>
        <v>Editorial</v>
      </c>
      <c r="E170" s="31" t="s">
        <v>2153</v>
      </c>
      <c r="F170" s="37"/>
      <c r="G170" s="24"/>
      <c r="H170" s="53"/>
    </row>
    <row r="171" spans="1:8" ht="13.2">
      <c r="A171" s="65" t="str">
        <f>HYPERLINK("https://boi18-day2-open.kattis.com/problems","Baltic 18-Genetics")</f>
        <v>Baltic 18-Genetics</v>
      </c>
      <c r="B171" s="18" t="s">
        <v>6602</v>
      </c>
      <c r="C171" s="17">
        <v>6.5</v>
      </c>
      <c r="D171" s="65" t="str">
        <f t="shared" si="4"/>
        <v>Editorial</v>
      </c>
      <c r="E171" s="31" t="s">
        <v>125</v>
      </c>
      <c r="F171" s="37"/>
      <c r="G171" s="24"/>
      <c r="H171" s="53"/>
    </row>
    <row r="172" spans="1:8" ht="13.2">
      <c r="A172" s="65" t="str">
        <f>HYPERLINK("https://boi18-day1-open.kattis.com/problems","Baltic 18-LovePolygon")</f>
        <v>Baltic 18-LovePolygon</v>
      </c>
      <c r="B172" s="18" t="s">
        <v>7194</v>
      </c>
      <c r="C172" s="17">
        <v>6</v>
      </c>
      <c r="D172" s="65" t="str">
        <f>HYPERLINK("https://github.com/updown2/OI-Practice/blob/master/BOI/2018/Love%20Polygon.txt","Sol")</f>
        <v>Sol</v>
      </c>
      <c r="E172" s="31" t="s">
        <v>3650</v>
      </c>
      <c r="F172" s="37"/>
      <c r="G172" s="24"/>
      <c r="H172" s="53"/>
    </row>
    <row r="173" spans="1:8" ht="13.2">
      <c r="A173" s="65" t="str">
        <f>HYPERLINK("https://boi18-day1-open.kattis.com/problems","Baltic 18-MartianDNA")</f>
        <v>Baltic 18-MartianDNA</v>
      </c>
      <c r="B173" s="18" t="s">
        <v>7419</v>
      </c>
      <c r="C173" s="17">
        <v>5</v>
      </c>
      <c r="D173" s="65" t="str">
        <f>HYPERLINK("https://github.com/mostafa-saad/MyCompetitiveProgramming/blob/master/Olympiad/Baltic/Baltic-18-MartianDNA.txt","Sol")</f>
        <v>Sol</v>
      </c>
      <c r="E173" s="31" t="s">
        <v>6040</v>
      </c>
      <c r="F173" s="37" t="s">
        <v>139</v>
      </c>
      <c r="G173" s="24"/>
      <c r="H173" s="53"/>
    </row>
    <row r="174" spans="1:8" ht="13.2">
      <c r="A174" s="65" t="str">
        <f>HYPERLINK("https://boi18-day2-open.kattis.com/problems","Baltic 18-Paths")</f>
        <v>Baltic 18-Paths</v>
      </c>
      <c r="B174" s="18" t="s">
        <v>6925</v>
      </c>
      <c r="C174" s="17">
        <v>5</v>
      </c>
      <c r="D174" s="65" t="str">
        <f>HYPERLINK("https://github.com/mostafa-saad/MyCompetitiveProgramming/blob/master/Olympiad/Baltic/Baltic-18-Paths.txt","Sol")</f>
        <v>Sol</v>
      </c>
      <c r="E174" s="31" t="s">
        <v>1337</v>
      </c>
      <c r="F174" s="37"/>
      <c r="G174" s="24"/>
      <c r="H174" s="53"/>
    </row>
    <row r="175" spans="1:8" ht="13.2">
      <c r="A175" s="65" t="str">
        <f>HYPERLINK("https://cses.fi/204/list/","Baltic 18-Worm")</f>
        <v>Baltic 18-Worm</v>
      </c>
      <c r="B175" s="37" t="s">
        <v>6668</v>
      </c>
      <c r="C175" s="24"/>
      <c r="D175" s="65" t="str">
        <f>HYPERLINK("https://github.com/mostafa-saad/MyCompetitiveProgramming/tree/master/Olympiad/Baltic/official/boi2018_solutions","Editorial")</f>
        <v>Editorial</v>
      </c>
      <c r="E175" s="31" t="s">
        <v>332</v>
      </c>
      <c r="F175" s="37"/>
      <c r="G175" s="24"/>
      <c r="H175" s="53"/>
    </row>
    <row r="176" spans="1:8" ht="13.2">
      <c r="A176" s="65" t="str">
        <f>HYPERLINK("https://oj.uz/problem/view/BOI19_kitchen","Baltic 19-kitchen")</f>
        <v>Baltic 19-kitchen</v>
      </c>
      <c r="B176" s="37" t="s">
        <v>1348</v>
      </c>
      <c r="C176" s="24">
        <v>5.5</v>
      </c>
      <c r="D176" s="65" t="str">
        <f>HYPERLINK("https://github.com/mostafa-saad/MyCompetitiveProgramming/tree/master/Olympiad/Baltic/official/boi2019_solutions","Editorial")</f>
        <v>Editorial</v>
      </c>
      <c r="E176" s="31" t="s">
        <v>1337</v>
      </c>
      <c r="F176" s="37" t="s">
        <v>139</v>
      </c>
      <c r="G176" s="24"/>
      <c r="H176" s="53"/>
    </row>
    <row r="177" spans="1:8" ht="13.2">
      <c r="A177" s="65" t="str">
        <f>HYPERLINK("https://oj.uz/problem/view/BOI19_nautilus","Baltic 19-nautilus")</f>
        <v>Baltic 19-nautilus</v>
      </c>
      <c r="B177" s="37" t="s">
        <v>6611</v>
      </c>
      <c r="C177" s="24">
        <v>6.1</v>
      </c>
      <c r="D177" s="65" t="str">
        <f>HYPERLINK("https://github.com/mostafa-saad/MyCompetitiveProgramming/blob/master/Olympiad/Baltic/Baltic-19-nautilus.txt","Sol")</f>
        <v>Sol</v>
      </c>
      <c r="E177" s="31" t="s">
        <v>125</v>
      </c>
      <c r="F177" s="37" t="s">
        <v>139</v>
      </c>
      <c r="G177" s="24"/>
      <c r="H177" s="53"/>
    </row>
    <row r="178" spans="1:8" ht="13.2">
      <c r="A178" s="65" t="str">
        <f>HYPERLINK("https://oj.uz/problem/view/BOI19_necklace1","Baltic 19-necklace1")</f>
        <v>Baltic 19-necklace1</v>
      </c>
      <c r="B178" s="37" t="s">
        <v>7517</v>
      </c>
      <c r="C178" s="24">
        <v>6.75</v>
      </c>
      <c r="D178" s="65" t="str">
        <f>HYPERLINK("https://github.com/mostafa-saad/MyCompetitiveProgramming/blob/master/Olympiad/Baltic/Baltic-19-necklace1.txt","Sol")</f>
        <v>Sol</v>
      </c>
      <c r="E178" s="31" t="s">
        <v>6505</v>
      </c>
      <c r="F178" s="37"/>
      <c r="G178" s="24"/>
      <c r="H178" s="53"/>
    </row>
    <row r="179" spans="1:8" ht="13.2">
      <c r="A179" s="65" t="str">
        <f>HYPERLINK("https://oj.uz/problem/view/BOI19_necklace4","Baltic 19-necklace4")</f>
        <v>Baltic 19-necklace4</v>
      </c>
      <c r="B179" s="37" t="s">
        <v>6829</v>
      </c>
      <c r="C179" s="24">
        <v>7.25</v>
      </c>
      <c r="D179" s="65" t="str">
        <f>HYPERLINK("https://github.com/mostafa-saad/MyCompetitiveProgramming/tree/master/Olympiad/Baltic/official/boi2019_solutions","Editorial")</f>
        <v>Editorial</v>
      </c>
      <c r="E179" s="31" t="s">
        <v>1337</v>
      </c>
      <c r="F179" s="37"/>
      <c r="G179" s="24"/>
      <c r="H179" s="53"/>
    </row>
    <row r="180" spans="1:8" ht="13.2">
      <c r="A180" s="65" t="str">
        <f>HYPERLINK("https://oj.uz/problem/view/BOI19_olympiads","Baltic 19-olympiads")</f>
        <v>Baltic 19-olympiads</v>
      </c>
      <c r="B180" s="37" t="s">
        <v>6609</v>
      </c>
      <c r="C180" s="24">
        <v>6.25</v>
      </c>
      <c r="D180" s="65" t="str">
        <f>HYPERLINK("https://github.com/mostafa-saad/MyCompetitiveProgramming/blob/master/Olympiad/Baltic/Baltic-19-olympiads.txt","Sol")</f>
        <v>Sol</v>
      </c>
      <c r="E180" s="31" t="s">
        <v>125</v>
      </c>
      <c r="F180" s="37" t="s">
        <v>201</v>
      </c>
      <c r="G180" s="24"/>
      <c r="H180" s="53"/>
    </row>
    <row r="181" spans="1:8" ht="13.2">
      <c r="A181" s="65" t="str">
        <f>HYPERLINK("https://oj.uz/problem/view/BOI19_valley","Baltic 19-valley")</f>
        <v>Baltic 19-valley</v>
      </c>
      <c r="B181" s="75" t="s">
        <v>7296</v>
      </c>
      <c r="C181" s="17">
        <v>6.3</v>
      </c>
      <c r="D181" s="65" t="str">
        <f>HYPERLINK("https://github.com/mostafa-saad/MyCompetitiveProgramming/blob/master/Olympiad/Baltic/Baltic-19-valley.txt","Sol")</f>
        <v>Sol</v>
      </c>
      <c r="E181" s="31" t="s">
        <v>4454</v>
      </c>
      <c r="F181" s="37" t="s">
        <v>139</v>
      </c>
      <c r="G181" s="24"/>
      <c r="H181" s="53"/>
    </row>
    <row r="182" spans="1:8" ht="13.2">
      <c r="A182" s="65" t="str">
        <f>HYPERLINK("https://boi18-practice-open.kattis.com/problems","BalticPractice 18-Citations")</f>
        <v>BalticPractice 18-Citations</v>
      </c>
      <c r="B182" s="18" t="s">
        <v>6913</v>
      </c>
      <c r="C182" s="17">
        <v>5.5</v>
      </c>
      <c r="D182" s="65" t="str">
        <f>HYPERLINK("https://github.com/updown2/OI-Practice/blob/master/BOI/2018/Citations%20(Practice%20Session).txt","Sol")</f>
        <v>Sol</v>
      </c>
      <c r="E182" s="31" t="s">
        <v>1337</v>
      </c>
      <c r="F182" s="37"/>
      <c r="G182" s="24"/>
      <c r="H182" s="53"/>
    </row>
    <row r="183" spans="1:8" ht="13.2">
      <c r="A183" s="65" t="str">
        <f>HYPERLINK("https://boi18-practice-open.kattis.com/problems","BalticPractice 18-NinetyNinePractice")</f>
        <v>BalticPractice 18-NinetyNinePractice</v>
      </c>
      <c r="B183" s="18" t="s">
        <v>7048</v>
      </c>
      <c r="C183" s="17">
        <v>3</v>
      </c>
      <c r="D183" s="69"/>
      <c r="E183" s="31" t="s">
        <v>2153</v>
      </c>
      <c r="F183" s="37"/>
      <c r="G183" s="24"/>
      <c r="H183" s="53"/>
    </row>
    <row r="184" spans="1:8" ht="13.2">
      <c r="A184" s="65" t="str">
        <f>HYPERLINK("https://open.kattis.com/problem-sources/Baltic%20Olympiad%20in%20Informatics%202017%2C%20Warmup","BalticWarmup 17-BirdRescue")</f>
        <v>BalticWarmup 17-BirdRescue</v>
      </c>
      <c r="B184" s="15" t="s">
        <v>7527</v>
      </c>
      <c r="C184" s="24"/>
      <c r="D184" s="69"/>
      <c r="E184" s="31" t="s">
        <v>7525</v>
      </c>
      <c r="F184" s="37"/>
      <c r="G184" s="24"/>
      <c r="H184" s="53"/>
    </row>
    <row r="185" spans="1:8" ht="13.2">
      <c r="A185" s="65" t="str">
        <f>HYPERLINK("https://open.kattis.com/problem-sources/Baltic%20Olympiad%20in%20Informatics%202017%2C%20Warmup","BalticWarmup 17-PongTournament")</f>
        <v>BalticWarmup 17-PongTournament</v>
      </c>
      <c r="B185" s="15" t="s">
        <v>7527</v>
      </c>
      <c r="C185" s="24"/>
      <c r="D185" s="69"/>
      <c r="E185" s="31" t="s">
        <v>7525</v>
      </c>
      <c r="F185" s="37"/>
      <c r="G185" s="24"/>
      <c r="H185" s="53"/>
    </row>
    <row r="186" spans="1:8" ht="13.2">
      <c r="A186" s="65" t="str">
        <f>HYPERLINK("https://open.kattis.com/problem-sources/Baltic%20Olympiad%20in%20Informatics%202017%2C%20Warmup","BalticWarmup 17-Toast")</f>
        <v>BalticWarmup 17-Toast</v>
      </c>
      <c r="B186" s="15" t="s">
        <v>7087</v>
      </c>
      <c r="C186" s="17">
        <v>5</v>
      </c>
      <c r="D186" s="65" t="str">
        <f>HYPERLINK("https://github.com/mostafa-saad/MyCompetitiveProgramming/blob/master/Olympiad/Baltic/BalticWarmup-17-Toast.txt", "Sol")</f>
        <v>Sol</v>
      </c>
      <c r="E186" s="31" t="s">
        <v>2798</v>
      </c>
      <c r="F186" s="37"/>
      <c r="G186" s="24"/>
      <c r="H186" s="53"/>
    </row>
    <row r="187" spans="1:8" ht="13.2">
      <c r="A187" s="65" t="str">
        <f>HYPERLINK("https://dmoj.ca/problem/ccc13s5","CCC 13-Factor_Solitaire")</f>
        <v>CCC 13-Factor_Solitaire</v>
      </c>
      <c r="B187" s="37" t="s">
        <v>4530</v>
      </c>
      <c r="C187" s="24">
        <v>3</v>
      </c>
      <c r="D187" s="69"/>
      <c r="E187" s="31" t="s">
        <v>4531</v>
      </c>
      <c r="F187" s="37"/>
      <c r="G187" s="24"/>
      <c r="H187" s="53"/>
    </row>
    <row r="188" spans="1:8" ht="13.2">
      <c r="A188" s="65" t="str">
        <f>HYPERLINK("https://dmoj.ca/problem/ccc15s4","CCC 15-Convex_Hull")</f>
        <v>CCC 15-Convex_Hull</v>
      </c>
      <c r="B188" s="37" t="s">
        <v>3256</v>
      </c>
      <c r="C188" s="24">
        <v>5</v>
      </c>
      <c r="D188" s="69"/>
      <c r="E188" s="31" t="s">
        <v>3257</v>
      </c>
      <c r="F188" s="37"/>
      <c r="G188" s="24"/>
      <c r="H188" s="53"/>
    </row>
    <row r="189" spans="1:8" ht="13.2">
      <c r="A189" s="65" t="str">
        <f>HYPERLINK("https://dmoj.ca/problem/ccc16s5","CCC 16-Circle_Life")</f>
        <v>CCC 16-Circle_Life</v>
      </c>
      <c r="B189" s="37" t="s">
        <v>124</v>
      </c>
      <c r="C189" s="24">
        <v>5</v>
      </c>
      <c r="D189" s="69"/>
      <c r="E189" s="31" t="s">
        <v>125</v>
      </c>
      <c r="F189" s="37"/>
      <c r="G189" s="24"/>
      <c r="H189" s="53"/>
    </row>
    <row r="190" spans="1:8" ht="13.2">
      <c r="A190" s="65" t="str">
        <f>HYPERLINK("https://dmoj.ca/problem/ccc16s4","CCC 16-Combining_Riceballs")</f>
        <v>CCC 16-Combining_Riceballs</v>
      </c>
      <c r="B190" s="37" t="s">
        <v>1348</v>
      </c>
      <c r="C190" s="24">
        <v>5</v>
      </c>
      <c r="D190" s="69"/>
      <c r="E190" s="31" t="s">
        <v>1337</v>
      </c>
      <c r="F190" s="37" t="s">
        <v>201</v>
      </c>
      <c r="G190" s="24"/>
      <c r="H190" s="53"/>
    </row>
    <row r="191" spans="1:8" ht="13.2">
      <c r="A191" s="65" t="str">
        <f>HYPERLINK("https://dmoj.ca/problem/ccc18s4","CCC 18-Balanced_Trees")</f>
        <v>CCC 18-Balanced_Trees</v>
      </c>
      <c r="B191" s="37" t="s">
        <v>1348</v>
      </c>
      <c r="C191" s="24">
        <v>5</v>
      </c>
      <c r="D191" s="69"/>
      <c r="E191" s="31" t="s">
        <v>1337</v>
      </c>
      <c r="F191" s="37" t="s">
        <v>201</v>
      </c>
      <c r="G191" s="24"/>
      <c r="H191" s="53"/>
    </row>
    <row r="192" spans="1:8" ht="13.2">
      <c r="A192" s="65" t="str">
        <f>HYPERLINK("https://dmoj.ca/problem/nccc6s2","CCCMock 19-PusheenPuzzlePresent")</f>
        <v>CCCMock 19-PusheenPuzzlePresent</v>
      </c>
      <c r="B192" s="20" t="s">
        <v>359</v>
      </c>
      <c r="C192" s="24">
        <v>2</v>
      </c>
      <c r="D192" s="69"/>
      <c r="E192" s="31" t="s">
        <v>332</v>
      </c>
      <c r="F192" s="37"/>
      <c r="G192" s="24"/>
      <c r="H192" s="53"/>
    </row>
    <row r="193" spans="1:8" ht="13.2">
      <c r="A193" s="65" t="str">
        <f>HYPERLINK("https://dmoj.ca/problem/nccc6s1","CCCMock 19-PusheensReportCard")</f>
        <v>CCCMock 19-PusheensReportCard</v>
      </c>
      <c r="B193" s="20" t="s">
        <v>4530</v>
      </c>
      <c r="C193" s="24">
        <v>2</v>
      </c>
      <c r="D193" s="69"/>
      <c r="E193" s="31" t="s">
        <v>4531</v>
      </c>
      <c r="F193" s="37"/>
      <c r="G193" s="24"/>
      <c r="H193" s="53"/>
    </row>
    <row r="194" spans="1:8" ht="13.2">
      <c r="A194" s="65" t="str">
        <f>HYPERLINK("https://dmoj.ca/problem/cco07p1","CCO 07-Cows")</f>
        <v>CCO 07-Cows</v>
      </c>
      <c r="B194" s="37" t="s">
        <v>7527</v>
      </c>
      <c r="C194" s="24">
        <v>5</v>
      </c>
      <c r="D194" s="69"/>
      <c r="E194" s="31" t="s">
        <v>7525</v>
      </c>
      <c r="F194" s="37"/>
      <c r="G194" s="24"/>
      <c r="H194" s="53"/>
    </row>
    <row r="195" spans="1:8" ht="13.2">
      <c r="A195" s="65" t="str">
        <f>HYPERLINK("https://dmoj.ca/problem/cco07p6","CCO 07-RoadConstruction")</f>
        <v>CCO 07-RoadConstruction</v>
      </c>
      <c r="B195" s="37" t="s">
        <v>7244</v>
      </c>
      <c r="C195" s="24">
        <v>5</v>
      </c>
      <c r="D195" s="65" t="str">
        <f>HYPERLINK("https://github.com/win11905/submission/blob/61c76f8b073e5e5446e7688626c487a4dcbfcd9e/CCO/14/RoadConstruction.cpp","Sol")</f>
        <v>Sol</v>
      </c>
      <c r="E195" s="31" t="s">
        <v>3883</v>
      </c>
      <c r="F195" s="37" t="s">
        <v>139</v>
      </c>
      <c r="G195" s="24"/>
      <c r="H195" s="53"/>
    </row>
    <row r="196" spans="1:8" ht="13.2">
      <c r="A196" s="65" t="str">
        <f>HYPERLINK("https://dmoj.ca/problem/cco08p5","CCO 08-Candy")</f>
        <v>CCO 08-Candy</v>
      </c>
      <c r="B196" s="37" t="s">
        <v>7527</v>
      </c>
      <c r="C196" s="24">
        <v>5</v>
      </c>
      <c r="D196" s="69"/>
      <c r="E196" s="31" t="s">
        <v>7525</v>
      </c>
      <c r="F196" s="37" t="s">
        <v>139</v>
      </c>
      <c r="G196" s="24"/>
      <c r="H196" s="53"/>
    </row>
    <row r="197" spans="1:8" ht="13.2">
      <c r="A197" s="65" t="str">
        <f>HYPERLINK("https://dmoj.ca/problem/cco12p6","CCO 12-WindsOfWar")</f>
        <v>CCO 12-WindsOfWar</v>
      </c>
      <c r="B197" s="37" t="s">
        <v>6844</v>
      </c>
      <c r="C197" s="24">
        <v>6.75</v>
      </c>
      <c r="D197" s="69"/>
      <c r="E197" s="31" t="s">
        <v>1337</v>
      </c>
      <c r="F197" s="37"/>
      <c r="G197" s="24"/>
      <c r="H197" s="53"/>
    </row>
    <row r="198" spans="1:8" ht="13.2">
      <c r="A198" s="65" t="str">
        <f>HYPERLINK("https://dmoj.ca/problem/cco13p2","CCO 13-Tourney")</f>
        <v>CCO 13-Tourney</v>
      </c>
      <c r="B198" s="37" t="s">
        <v>1017</v>
      </c>
      <c r="C198" s="24">
        <v>5</v>
      </c>
      <c r="D198" s="69"/>
      <c r="E198" s="31" t="s">
        <v>1018</v>
      </c>
      <c r="F198" s="37"/>
      <c r="G198" s="24"/>
      <c r="H198" s="53"/>
    </row>
    <row r="199" spans="1:8" ht="13.2">
      <c r="A199" s="65" t="str">
        <f>HYPERLINK("https://dmoj.ca/problem/cco15p1","CCO 15-Hungry_Fox")</f>
        <v>CCO 15-Hungry_Fox</v>
      </c>
      <c r="B199" s="37" t="s">
        <v>2163</v>
      </c>
      <c r="C199" s="24">
        <v>5.5</v>
      </c>
      <c r="D199" s="69"/>
      <c r="E199" s="31" t="s">
        <v>2153</v>
      </c>
      <c r="F199" s="37" t="s">
        <v>201</v>
      </c>
      <c r="G199" s="24"/>
      <c r="H199" s="53"/>
    </row>
    <row r="200" spans="1:8" ht="13.2">
      <c r="A200" s="65" t="str">
        <f>HYPERLINK("https://dmoj.ca/problem/mcco17p3","CCO 17-Connection")</f>
        <v>CCO 17-Connection</v>
      </c>
      <c r="B200" s="37" t="s">
        <v>7137</v>
      </c>
      <c r="C200" s="24">
        <v>6.5</v>
      </c>
      <c r="D200" s="65" t="str">
        <f>HYPERLINK("https://github.com/thecodingwizard/competitive-programming/blob/master/DMOJ/CCO%2017-Connection.cpp","Sol")</f>
        <v>Sol</v>
      </c>
      <c r="E200" s="31" t="s">
        <v>3257</v>
      </c>
      <c r="F200" s="37" t="s">
        <v>139</v>
      </c>
      <c r="G200" s="24"/>
      <c r="H200" s="53"/>
    </row>
    <row r="201" spans="1:8" ht="13.2">
      <c r="A201" s="65" t="str">
        <f>HYPERLINK("https://dmoj.ca/problem/cco18p5","CCO 18-boring")</f>
        <v>CCO 18-boring</v>
      </c>
      <c r="B201" s="20" t="s">
        <v>6398</v>
      </c>
      <c r="C201" s="17">
        <v>6.25</v>
      </c>
      <c r="D201" s="65" t="str">
        <f>HYPERLINK("https://github.com/luciocf/OI-Problems/blob/master/CCO/CCO%202018/boring.cpp","Sol")</f>
        <v>Sol</v>
      </c>
      <c r="E201" s="31" t="s">
        <v>6397</v>
      </c>
      <c r="F201" s="37" t="s">
        <v>139</v>
      </c>
      <c r="G201" s="24"/>
      <c r="H201" s="53"/>
    </row>
    <row r="202" spans="1:8" ht="13.2">
      <c r="A202" s="65" t="str">
        <f>HYPERLINK("https://dmoj.ca/contest/cco18d2","CCO 18-FlopSorting")</f>
        <v>CCO 18-FlopSorting</v>
      </c>
      <c r="B202" s="20" t="s">
        <v>7527</v>
      </c>
      <c r="C202" s="17">
        <v>7.5</v>
      </c>
      <c r="D202" s="69"/>
      <c r="E202" s="31" t="s">
        <v>7525</v>
      </c>
      <c r="F202" s="37"/>
      <c r="G202" s="24"/>
      <c r="H202" s="53"/>
    </row>
    <row r="203" spans="1:8" ht="13.2">
      <c r="A203" s="65" t="str">
        <f>HYPERLINK("https://dmoj.ca/contest/cco18d1","CCO 18-FunPalace")</f>
        <v>CCO 18-FunPalace</v>
      </c>
      <c r="B203" s="20" t="s">
        <v>7527</v>
      </c>
      <c r="C203" s="17">
        <v>8</v>
      </c>
      <c r="D203" s="69"/>
      <c r="E203" s="31" t="s">
        <v>7525</v>
      </c>
      <c r="F203" s="37"/>
      <c r="G203" s="24"/>
      <c r="H203" s="53"/>
    </row>
    <row r="204" spans="1:8" ht="13.2">
      <c r="A204" s="65" t="str">
        <f>HYPERLINK("https://dmoj.ca/contest/cco18d1","CCO 18-GeeseVsHawks")</f>
        <v>CCO 18-GeeseVsHawks</v>
      </c>
      <c r="B204" s="20" t="s">
        <v>1348</v>
      </c>
      <c r="C204" s="17">
        <v>4</v>
      </c>
      <c r="D204" s="65" t="str">
        <f>HYPERLINK("https://github.com/timpostuvan/CompetitiveProgramming/blob/master/Olympiad/CCO/GeeseVsHawks2018.cpp","Sol")</f>
        <v>Sol</v>
      </c>
      <c r="E204" s="31" t="s">
        <v>1337</v>
      </c>
      <c r="F204" s="37"/>
      <c r="G204" s="24"/>
      <c r="H204" s="53"/>
    </row>
    <row r="205" spans="1:8" ht="13.2">
      <c r="A205" s="65" t="str">
        <f>HYPERLINK("https://dmoj.ca/contest/cco18d2","CCO 18-GradientDescent")</f>
        <v>CCO 18-GradientDescent</v>
      </c>
      <c r="B205" s="23" t="s">
        <v>6741</v>
      </c>
      <c r="C205" s="17">
        <v>5.5</v>
      </c>
      <c r="D205" s="65" t="str">
        <f>HYPERLINK("https://github.com/mostafa-saad/MyCompetitiveProgramming/blob/master/Olympiad/CCO/CCO-18-GradientDescent.txt","Sol")</f>
        <v>Sol</v>
      </c>
      <c r="E205" s="31" t="s">
        <v>910</v>
      </c>
      <c r="F205" s="37" t="s">
        <v>139</v>
      </c>
      <c r="G205" s="24"/>
      <c r="H205" s="53"/>
    </row>
    <row r="206" spans="1:8" ht="13.2">
      <c r="A206" s="65" t="str">
        <f>HYPERLINK("https://dmoj.ca/contest/cco18d1","CCO 18-WrongAnswer")</f>
        <v>CCO 18-WrongAnswer</v>
      </c>
      <c r="B206" s="20" t="s">
        <v>138</v>
      </c>
      <c r="C206" s="17">
        <v>6.5</v>
      </c>
      <c r="D206" s="65" t="str">
        <f>HYPERLINK("https://github.com/timpostuvan/CompetitiveProgramming/blob/master/Olympiad/CCO/WrongAnswer2018.cpp","Sol")</f>
        <v>Sol</v>
      </c>
      <c r="E206" s="31" t="s">
        <v>125</v>
      </c>
      <c r="F206" s="37"/>
      <c r="G206" s="24"/>
      <c r="H206" s="53"/>
    </row>
    <row r="207" spans="1:8" ht="13.2">
      <c r="A207" s="65" t="str">
        <f>HYPERLINK("https://dmoj.ca/problem/mcco17p3","CCOMock 17-Connection")</f>
        <v>CCOMock 17-Connection</v>
      </c>
      <c r="B207" s="37" t="s">
        <v>6672</v>
      </c>
      <c r="C207" s="24">
        <v>7.5</v>
      </c>
      <c r="D207" s="65" t="str">
        <f>HYPERLINK("https://github.com/mostafa-saad/MyCompetitiveProgramming/blob/master/Olympiad/CCO/CCOMock-17-Connection.txt","Sol")</f>
        <v>Sol</v>
      </c>
      <c r="E207" s="31" t="s">
        <v>575</v>
      </c>
      <c r="F207" s="37" t="s">
        <v>139</v>
      </c>
      <c r="G207" s="24"/>
      <c r="H207" s="53"/>
    </row>
    <row r="208" spans="1:8" ht="13.2">
      <c r="A208" s="65" t="str">
        <f>HYPERLINK("https://www.acmicpc.net/problem/7055","CEOI 02-Bugs")</f>
        <v>CEOI 02-Bugs</v>
      </c>
      <c r="B208" s="37" t="s">
        <v>6160</v>
      </c>
      <c r="C208" s="24">
        <v>6.5</v>
      </c>
      <c r="D208" s="65" t="str">
        <f>HYPERLINK("https://github.com/mostafa-saad/MyCompetitiveProgramming/blob/master/Olympiad/CEOI/CEOI-02-Bugs.txt","Sol")</f>
        <v>Sol</v>
      </c>
      <c r="E208" s="31" t="s">
        <v>6157</v>
      </c>
      <c r="F208" s="37"/>
      <c r="G208" s="24"/>
      <c r="H208" s="53"/>
    </row>
    <row r="209" spans="1:8" ht="13.2">
      <c r="A209" s="65" t="str">
        <f>HYPERLINK("http://poj.org/problem?id=1912","CEOI 02-Dwarfs")</f>
        <v>CEOI 02-Dwarfs</v>
      </c>
      <c r="B209" s="37" t="s">
        <v>7072</v>
      </c>
      <c r="C209" s="24">
        <v>6.3</v>
      </c>
      <c r="D209" s="65" t="str">
        <f>HYPERLINK("https://github.com/mostafa-saad/MyCompetitiveProgramming/tree/master/Olympiad/CEOI/official/2002","Editorial")</f>
        <v>Editorial</v>
      </c>
      <c r="E209" s="31" t="s">
        <v>2510</v>
      </c>
      <c r="F209" s="37"/>
      <c r="G209" s="24"/>
      <c r="H209" s="53"/>
    </row>
    <row r="210" spans="1:8" ht="13.2">
      <c r="A210" s="65" t="str">
        <f>HYPERLINK("https://www.acmicpc.net/problem/7056","CEOI 02-Fence")</f>
        <v>CEOI 02-Fence</v>
      </c>
      <c r="B210" s="25" t="s">
        <v>7488</v>
      </c>
      <c r="C210" s="24">
        <v>6.4</v>
      </c>
      <c r="D210" s="65" t="str">
        <f>HYPERLINK("https://github.com/mostafa-saad/MyCompetitiveProgramming/blob/master/Olympiad/CEOI/CEOI-02-Fence.txt","Sol")</f>
        <v>Sol</v>
      </c>
      <c r="E210" s="31" t="s">
        <v>6419</v>
      </c>
      <c r="F210" s="37" t="s">
        <v>139</v>
      </c>
      <c r="G210" s="24"/>
      <c r="H210" s="53"/>
    </row>
    <row r="211" spans="1:8" ht="13.2">
      <c r="A211" s="65" t="str">
        <f>HYPERLINK("https://www.acmicpc.net/problem/7058","CEOI 02-Guards")</f>
        <v>CEOI 02-Guards</v>
      </c>
      <c r="B211" s="37" t="s">
        <v>4149</v>
      </c>
      <c r="C211" s="24">
        <v>6.4</v>
      </c>
      <c r="D211" s="65" t="str">
        <f>HYPERLINK("https://github.com/mostafa-saad/MyCompetitiveProgramming/blob/master/Olympiad/CEOI/CEOI-02-Guards.txt","Sol")</f>
        <v>Sol</v>
      </c>
      <c r="E211" s="31" t="s">
        <v>4144</v>
      </c>
      <c r="F211" s="37" t="s">
        <v>201</v>
      </c>
      <c r="G211" s="24"/>
      <c r="H211" s="53"/>
    </row>
    <row r="212" spans="1:8" ht="13.2">
      <c r="A212" s="65" t="str">
        <f>HYPERLINK("https://www.acmicpc.net/problem/1760","CEOI 02-NRook")</f>
        <v>CEOI 02-NRook</v>
      </c>
      <c r="B212" s="37" t="s">
        <v>7528</v>
      </c>
      <c r="C212" s="24">
        <v>5</v>
      </c>
      <c r="D212" s="69"/>
      <c r="E212" s="31" t="s">
        <v>7525</v>
      </c>
      <c r="F212" s="37"/>
      <c r="G212" s="24"/>
      <c r="H212" s="53"/>
    </row>
    <row r="213" spans="1:8" ht="13.2">
      <c r="A213" s="65" t="str">
        <f>HYPERLINK("https://www.acmicpc.net/problem/2270","CEOI 03-Hanoi")</f>
        <v>CEOI 03-Hanoi</v>
      </c>
      <c r="B213" s="37" t="s">
        <v>6618</v>
      </c>
      <c r="C213" s="24">
        <v>5.75</v>
      </c>
      <c r="D213" s="65" t="str">
        <f>HYPERLINK("https://github.com/mostafa-saad/MyCompetitiveProgramming/blob/master/Olympiad/CEOI/CEOI-03-Hanoi.txt","Sol")</f>
        <v>Sol</v>
      </c>
      <c r="E213" s="31" t="s">
        <v>125</v>
      </c>
      <c r="F213" s="37"/>
      <c r="G213" s="24"/>
      <c r="H213" s="53"/>
    </row>
    <row r="214" spans="1:8" ht="13.2">
      <c r="A214" s="65" t="str">
        <f>HYPERLINK("https://www.acmicpc.net/problem/7053","CEOI 03-Register")</f>
        <v>CEOI 03-Register</v>
      </c>
      <c r="B214" s="37" t="s">
        <v>5326</v>
      </c>
      <c r="C214" s="24">
        <v>5</v>
      </c>
      <c r="D214" s="65" t="str">
        <f>HYPERLINK("https://github.com/mostafa-saad/MyCompetitiveProgramming/tree/master/Olympiad/CEOI/official/2003","Editorial")</f>
        <v>Editorial</v>
      </c>
      <c r="E214" s="31" t="s">
        <v>5310</v>
      </c>
      <c r="F214" s="37"/>
      <c r="G214" s="24"/>
      <c r="H214" s="53"/>
    </row>
    <row r="215" spans="1:8" ht="13.2">
      <c r="A215" s="65" t="str">
        <f>HYPERLINK("https://www.acmicpc.net/problem/2284","CEOI 03-Therace")</f>
        <v>CEOI 03-Therace</v>
      </c>
      <c r="B215" s="37" t="s">
        <v>4541</v>
      </c>
      <c r="C215" s="21">
        <v>5.5</v>
      </c>
      <c r="D215" s="65" t="str">
        <f>HYPERLINK("https://github.com/mostafa-saad/MyCompetitiveProgramming/blob/master/Olympiad/CEOI/CEOI-03-Therace.txt","Sol")</f>
        <v>Sol</v>
      </c>
      <c r="E215" s="31" t="s">
        <v>4531</v>
      </c>
      <c r="F215" s="37" t="s">
        <v>154</v>
      </c>
      <c r="G215" s="24"/>
      <c r="H215" s="53"/>
    </row>
    <row r="216" spans="1:8" ht="16.5" customHeight="1">
      <c r="A216" s="65" t="str">
        <f>HYPERLINK("https://www.acmicpc.net/problem/7054","CEOI 03-Trip")</f>
        <v>CEOI 03-Trip</v>
      </c>
      <c r="B216" s="37" t="s">
        <v>7428</v>
      </c>
      <c r="C216" s="24">
        <v>5.5</v>
      </c>
      <c r="D216" s="65" t="str">
        <f>HYPERLINK("https://github.com/mostafa-saad/MyCompetitiveProgramming/tree/master/Olympiad/CEOI/official/2003","Editorial")</f>
        <v>Editorial</v>
      </c>
      <c r="E216" s="31" t="s">
        <v>6075</v>
      </c>
      <c r="F216" s="37" t="s">
        <v>201</v>
      </c>
      <c r="G216" s="24"/>
      <c r="H216" s="53"/>
    </row>
    <row r="217" spans="1:8" ht="13.2">
      <c r="A217" s="65" t="str">
        <f>HYPERLINK("https://szkopul.edu.pl/problemset/problem/qYS15kJB5WGKbGxqJCIEVM1I/site/","CEOI 04-Clouds")</f>
        <v>CEOI 04-Clouds</v>
      </c>
      <c r="B217" s="37" t="s">
        <v>7064</v>
      </c>
      <c r="C217" s="24">
        <v>7</v>
      </c>
      <c r="D217" s="65" t="str">
        <f>HYPERLINK("https://github.com/mostafa-saad/MyCompetitiveProgramming/blob/master/Olympiad/CEOI/CEOI-04-Clouds.txt","Sol")</f>
        <v>Sol</v>
      </c>
      <c r="E217" s="31" t="s">
        <v>2510</v>
      </c>
      <c r="F217" s="37"/>
      <c r="G217" s="24"/>
      <c r="H217" s="53"/>
    </row>
    <row r="218" spans="1:8" ht="13.2">
      <c r="A218" s="65" t="str">
        <f>HYPERLINK("https://szkopul.edu.pl/problemset/problem/kTJwMBMs_vXtliFNlHAZ0Hcu/site/","CEOI 04-Football")</f>
        <v>CEOI 04-Football</v>
      </c>
      <c r="B218" s="37" t="s">
        <v>7314</v>
      </c>
      <c r="C218" s="24">
        <v>6.25</v>
      </c>
      <c r="D218" s="65" t="str">
        <f>HYPERLINK("https://github.com/mostafa-saad/MyCompetitiveProgramming/blob/master/Olympiad/CEOI/CEOI-04-Football.txt","Sol")</f>
        <v>Sol</v>
      </c>
      <c r="E218" s="31" t="s">
        <v>4531</v>
      </c>
      <c r="F218" s="37" t="s">
        <v>201</v>
      </c>
      <c r="G218" s="24"/>
      <c r="H218" s="53"/>
    </row>
    <row r="219" spans="1:8" ht="13.2">
      <c r="A219" s="65" t="str">
        <f>HYPERLINK("https://szkopul.edu.pl/problemset/problem/vQpjG0o3j0x3BQDNXpuciN3n/site/","CEOI 04-Sweets")</f>
        <v>CEOI 04-Sweets</v>
      </c>
      <c r="B219" s="37" t="s">
        <v>7309</v>
      </c>
      <c r="C219" s="24">
        <v>6.75</v>
      </c>
      <c r="D219" s="65" t="str">
        <f>HYPERLINK("https://github.com/mostafa-saad/MyCompetitiveProgramming/blob/master/Olympiad/CEOI/CEOI-04-Sweets.txt","Sol")</f>
        <v>Sol</v>
      </c>
      <c r="E219" s="31" t="s">
        <v>4531</v>
      </c>
      <c r="F219" s="37" t="s">
        <v>139</v>
      </c>
      <c r="G219" s="24"/>
      <c r="H219" s="53"/>
    </row>
    <row r="220" spans="1:8" ht="13.2">
      <c r="A220" s="65" t="str">
        <f>HYPERLINK("https://szkopul.edu.pl/problemset/problem/bNkLWTHzQeDyEuAUiKCwuxnG/site/","CEOI 04-Trips")</f>
        <v>CEOI 04-Trips</v>
      </c>
      <c r="B220" s="37" t="s">
        <v>7017</v>
      </c>
      <c r="C220" s="24">
        <v>5.5</v>
      </c>
      <c r="D220" s="65" t="str">
        <f>HYPERLINK("https://github.com/mostafa-saad/MyCompetitiveProgramming/blob/master/Olympiad/CEOI/CEOI-04-Trips.txt","Sol")</f>
        <v>Sol</v>
      </c>
      <c r="E220" s="31" t="s">
        <v>2153</v>
      </c>
      <c r="F220" s="37" t="s">
        <v>201</v>
      </c>
      <c r="G220" s="24"/>
      <c r="H220" s="53"/>
    </row>
    <row r="221" spans="1:8" ht="13.2">
      <c r="A221" s="65" t="str">
        <f>HYPERLINK("https://szkopul.edu.pl/problemset/problem/ovRIpLFK3IhyFPjnVXeZtGxH/site/?key=statement","CEOI 04-Two")</f>
        <v>CEOI 04-Two</v>
      </c>
      <c r="B221" s="37" t="s">
        <v>7465</v>
      </c>
      <c r="C221" s="24">
        <v>6</v>
      </c>
      <c r="D221" s="65" t="str">
        <f>HYPERLINK("https://github.com/mostafa-saad/MyCompetitiveProgramming/blob/master/Olympiad/CEOI/CEOI-04-Two.txt","Sol")</f>
        <v>Sol</v>
      </c>
      <c r="E221" s="31" t="s">
        <v>6362</v>
      </c>
      <c r="F221" s="37"/>
      <c r="G221" s="24"/>
      <c r="H221" s="53"/>
    </row>
    <row r="222" spans="1:8" ht="13.2">
      <c r="A222" s="65" t="str">
        <f>HYPERLINK("https://cses.fi/191/list/","CEOI 05-Depot")</f>
        <v>CEOI 05-Depot</v>
      </c>
      <c r="B222" s="37" t="s">
        <v>3961</v>
      </c>
      <c r="C222" s="24">
        <v>6.5</v>
      </c>
      <c r="D222" s="65" t="str">
        <f>HYPERLINK("https://github.com/mostafa-saad/MyCompetitiveProgramming/blob/master/Olympiad/CEOI/CEOI-05-Depot.txt","Sol")</f>
        <v>Sol</v>
      </c>
      <c r="E222" s="31" t="s">
        <v>3955</v>
      </c>
      <c r="F222" s="37" t="s">
        <v>139</v>
      </c>
      <c r="G222" s="24"/>
      <c r="H222" s="53"/>
    </row>
    <row r="223" spans="1:8" ht="13.2">
      <c r="A223" s="65" t="str">
        <f>HYPERLINK("https://cses.fi/192/list/","CEOI 05-Fence")</f>
        <v>CEOI 05-Fence</v>
      </c>
      <c r="B223" s="37" t="s">
        <v>7068</v>
      </c>
      <c r="C223" s="24">
        <v>6.5</v>
      </c>
      <c r="D223" s="65" t="str">
        <f>HYPERLINK("https://github.com/mostafa-saad/MyCompetitiveProgramming/blob/master/Olympiad/CEOI/CEOI-05-Fence.txt","Sol")</f>
        <v>Sol</v>
      </c>
      <c r="E223" s="31" t="s">
        <v>2510</v>
      </c>
      <c r="F223" s="37" t="s">
        <v>139</v>
      </c>
      <c r="G223" s="24"/>
      <c r="H223" s="53"/>
    </row>
    <row r="224" spans="1:8" ht="13.2">
      <c r="A224" s="65" t="str">
        <f>HYPERLINK("https://cses.fi/191/list/","CEOI 05-keys")</f>
        <v>CEOI 05-keys</v>
      </c>
      <c r="B224" s="37" t="s">
        <v>124</v>
      </c>
      <c r="C224" s="24">
        <v>5</v>
      </c>
      <c r="D224" s="65" t="str">
        <f>HYPERLINK("https://github.com/mostafa-saad/MyCompetitiveProgramming/blob/master/Olympiad/CEOI/CEOI-05-keys.txt","Sol")</f>
        <v>Sol</v>
      </c>
      <c r="E224" s="31" t="s">
        <v>125</v>
      </c>
      <c r="F224" s="37" t="s">
        <v>139</v>
      </c>
      <c r="G224" s="24"/>
      <c r="H224" s="53"/>
    </row>
    <row r="225" spans="1:8" ht="13.2">
      <c r="A225" s="65" t="str">
        <f>HYPERLINK("https://cses.fi/192/list/","CEOI 05-Net")</f>
        <v>CEOI 05-Net</v>
      </c>
      <c r="B225" s="37" t="s">
        <v>4427</v>
      </c>
      <c r="C225" s="24">
        <v>5</v>
      </c>
      <c r="D225" s="65" t="str">
        <f>HYPERLINK("https://github.com/mostafa-saad/MyCompetitiveProgramming/blob/master/Olympiad/CEOI/CEOI-05-Net.txt","Sol")</f>
        <v>Sol</v>
      </c>
      <c r="E225" s="31" t="s">
        <v>4423</v>
      </c>
      <c r="F225" s="37" t="s">
        <v>242</v>
      </c>
      <c r="G225" s="24"/>
      <c r="H225" s="53"/>
    </row>
    <row r="226" spans="1:8" ht="13.2">
      <c r="A226" s="65" t="str">
        <f>HYPERLINK("https://cses.fi/191/list/","CEOI 05-Service")</f>
        <v>CEOI 05-Service</v>
      </c>
      <c r="B226" s="37" t="s">
        <v>7684</v>
      </c>
      <c r="C226" s="24">
        <v>6</v>
      </c>
      <c r="D226" s="65" t="str">
        <f>HYPERLINK("https://github.com/mostafa-saad/MyCompetitiveProgramming/tree/master/Olympiad/CEOI/official/2005","Editorial")</f>
        <v>Editorial</v>
      </c>
      <c r="E226" s="31" t="s">
        <v>1337</v>
      </c>
      <c r="F226" s="37"/>
      <c r="G226" s="24"/>
      <c r="H226" s="53"/>
    </row>
    <row r="227" spans="1:8" ht="13.2">
      <c r="A227" s="65" t="str">
        <f>HYPERLINK("https://cses.fi/192/list/","CEOI 05-Ticket")</f>
        <v>CEOI 05-Ticket</v>
      </c>
      <c r="B227" s="37" t="s">
        <v>7003</v>
      </c>
      <c r="C227" s="24">
        <v>6.25</v>
      </c>
      <c r="D227" s="65" t="str">
        <f>HYPERLINK("https://github.com/mostafa-saad/MyCompetitiveProgramming/blob/master/Olympiad/CEOI/CEOI-05-Ticket.txt","Sol")</f>
        <v>Sol</v>
      </c>
      <c r="E227" s="31" t="s">
        <v>2153</v>
      </c>
      <c r="F227" s="37" t="s">
        <v>139</v>
      </c>
      <c r="G227" s="24"/>
      <c r="H227" s="53"/>
    </row>
    <row r="228" spans="1:8" ht="13.2">
      <c r="A228" s="65" t="str">
        <f>HYPERLINK("https://cses.fi/185/list/","CEOI 06-Antenna")</f>
        <v>CEOI 06-Antenna</v>
      </c>
      <c r="B228" s="20" t="s">
        <v>7110</v>
      </c>
      <c r="C228" s="24">
        <v>5.5</v>
      </c>
      <c r="D228" s="65" t="str">
        <f>HYPERLINK("https://github.com/mostafa-saad/MyCompetitiveProgramming/blob/master/Olympiad/CEOI/CEOI-06-Antenna.txt","Sol")</f>
        <v>Sol</v>
      </c>
      <c r="E228" s="31" t="s">
        <v>3140</v>
      </c>
      <c r="F228" s="37" t="s">
        <v>139</v>
      </c>
      <c r="G228" s="24"/>
      <c r="H228" s="53"/>
    </row>
    <row r="229" spans="1:8" ht="13.2">
      <c r="A229" s="65" t="str">
        <f>HYPERLINK("https://cses.fi/186/list/","CEOI 06-Connect")</f>
        <v>CEOI 06-Connect</v>
      </c>
      <c r="B229" s="20" t="s">
        <v>6954</v>
      </c>
      <c r="C229" s="24">
        <v>7</v>
      </c>
      <c r="D229" s="65" t="str">
        <f>HYPERLINK("https://github.com/mostafa-saad/MyCompetitiveProgramming/blob/master/Olympiad/CEOI/CEOI-06-Connect.txt","Sol")</f>
        <v>Sol</v>
      </c>
      <c r="E229" s="31" t="s">
        <v>1819</v>
      </c>
      <c r="F229" s="37"/>
      <c r="G229" s="24"/>
      <c r="H229" s="53"/>
    </row>
    <row r="230" spans="1:8" ht="13.2">
      <c r="A230" s="65" t="str">
        <f>HYPERLINK("https://cses.fi/186/list/","CEOI 06-Link")</f>
        <v>CEOI 06-Link</v>
      </c>
      <c r="B230" s="20" t="s">
        <v>1348</v>
      </c>
      <c r="C230" s="24">
        <v>6</v>
      </c>
      <c r="D230" s="65" t="str">
        <f>HYPERLINK("https://github.com/mostafa-saad/MyCompetitiveProgramming/tree/master/Olympiad/CEOI/official/2006","Editorial")</f>
        <v>Editorial</v>
      </c>
      <c r="E230" s="31" t="s">
        <v>1337</v>
      </c>
      <c r="F230" s="37" t="s">
        <v>6891</v>
      </c>
      <c r="G230" s="24"/>
      <c r="H230" s="53"/>
    </row>
    <row r="231" spans="1:8" ht="13.2">
      <c r="A231" s="65" t="str">
        <f>HYPERLINK("https://cses.fi/186/list/","CEOI 06-Meandian")</f>
        <v>CEOI 06-Meandian</v>
      </c>
      <c r="B231" s="20" t="s">
        <v>124</v>
      </c>
      <c r="C231" s="24">
        <v>6.25</v>
      </c>
      <c r="D231" s="65" t="str">
        <f>HYPERLINK("https://github.com/mostafa-saad/MyCompetitiveProgramming/blob/master/Olympiad/CEOI/CEOI-06-Meandian.txt","Sol")</f>
        <v>Sol</v>
      </c>
      <c r="E231" s="31" t="s">
        <v>125</v>
      </c>
      <c r="F231" s="37"/>
      <c r="G231" s="24"/>
      <c r="H231" s="53"/>
    </row>
    <row r="232" spans="1:8" ht="13.2">
      <c r="A232" s="65" t="str">
        <f>HYPERLINK("https://cses.fi/185/list/","CEOI 06-Queue")</f>
        <v>CEOI 06-Queue</v>
      </c>
      <c r="B232" s="20" t="s">
        <v>6657</v>
      </c>
      <c r="C232" s="24">
        <v>6</v>
      </c>
      <c r="D232" s="65" t="str">
        <f>HYPERLINK("https://github.com/mostafa-saad/MyCompetitiveProgramming/blob/master/Olympiad/CEOI/CEOI-06-Queue.txt","Sol")</f>
        <v>Sol</v>
      </c>
      <c r="E232" s="31" t="s">
        <v>332</v>
      </c>
      <c r="F232" s="37" t="s">
        <v>201</v>
      </c>
      <c r="G232" s="24"/>
      <c r="H232" s="53"/>
    </row>
    <row r="233" spans="1:8" ht="13.2">
      <c r="A233" s="65" t="str">
        <f>HYPERLINK("https://cses.fi/185/list/","CEOI 06-Walk")</f>
        <v>CEOI 06-Walk</v>
      </c>
      <c r="B233" s="20" t="s">
        <v>6834</v>
      </c>
      <c r="C233" s="24">
        <v>7</v>
      </c>
      <c r="D233" s="65" t="str">
        <f>HYPERLINK("https://github.com/mostafa-saad/MyCompetitiveProgramming/blob/master/Olympiad/CEOI/CEOI-06-Walk.txt","Sol")</f>
        <v>Sol</v>
      </c>
      <c r="E233" s="31" t="s">
        <v>1337</v>
      </c>
      <c r="F233" s="37"/>
      <c r="G233" s="24"/>
      <c r="H233" s="53"/>
    </row>
    <row r="234" spans="1:8" ht="13.2">
      <c r="A234" s="65" t="str">
        <f>HYPERLINK("https://cses.fi/188/list/","CEOI 07-Airport")</f>
        <v>CEOI 07-Airport</v>
      </c>
      <c r="B234" s="20" t="s">
        <v>7527</v>
      </c>
      <c r="C234" s="24">
        <v>6.5</v>
      </c>
      <c r="D234" s="69"/>
      <c r="E234" s="31" t="s">
        <v>7525</v>
      </c>
      <c r="F234" s="37"/>
      <c r="G234" s="24"/>
      <c r="H234" s="53"/>
    </row>
    <row r="235" spans="1:8" ht="13.2">
      <c r="A235" s="65" t="str">
        <f>HYPERLINK("https://cses.fi/187/list/","CEOI 07-Ministry")</f>
        <v>CEOI 07-Ministry</v>
      </c>
      <c r="B235" s="20" t="s">
        <v>7527</v>
      </c>
      <c r="C235" s="24">
        <v>6.25</v>
      </c>
      <c r="D235" s="69"/>
      <c r="E235" s="31" t="s">
        <v>7525</v>
      </c>
      <c r="F235" s="37"/>
      <c r="G235" s="24"/>
      <c r="H235" s="53"/>
    </row>
    <row r="236" spans="1:8" ht="13.2">
      <c r="A236" s="65" t="str">
        <f>HYPERLINK("https://cses.fi/187/list/","CEOI 07-Nasty")</f>
        <v>CEOI 07-Nasty</v>
      </c>
      <c r="B236" s="28" t="s">
        <v>4937</v>
      </c>
      <c r="C236" s="24">
        <v>6</v>
      </c>
      <c r="D236" s="69"/>
      <c r="E236" s="31" t="s">
        <v>4932</v>
      </c>
      <c r="F236" s="37"/>
      <c r="G236" s="24"/>
      <c r="H236" s="53"/>
    </row>
    <row r="237" spans="1:8" ht="13.2">
      <c r="A237" s="65" t="str">
        <f>HYPERLINK("https://cses.fi/188/list/","CEOI 07-Necklace")</f>
        <v>CEOI 07-Necklace</v>
      </c>
      <c r="B237" s="20" t="s">
        <v>7527</v>
      </c>
      <c r="C237" s="24">
        <v>6.75</v>
      </c>
      <c r="D237" s="69"/>
      <c r="E237" s="31" t="s">
        <v>7525</v>
      </c>
      <c r="F237" s="37"/>
      <c r="G237" s="24"/>
      <c r="H237" s="53"/>
    </row>
    <row r="238" spans="1:8" ht="13.2">
      <c r="A238" s="65" t="str">
        <f>HYPERLINK("https://cses.fi/187/list/","CEOI 07-Sail")</f>
        <v>CEOI 07-Sail</v>
      </c>
      <c r="B238" s="20" t="s">
        <v>7527</v>
      </c>
      <c r="C238" s="24">
        <v>7.75</v>
      </c>
      <c r="D238" s="69"/>
      <c r="E238" s="31" t="s">
        <v>7525</v>
      </c>
      <c r="F238" s="37"/>
      <c r="G238" s="24"/>
      <c r="H238" s="53"/>
    </row>
    <row r="239" spans="1:8" ht="13.2">
      <c r="A239" s="65" t="str">
        <f>HYPERLINK("https://cses.fi/188/list/","CEOI 07-Treasury")</f>
        <v>CEOI 07-Treasury</v>
      </c>
      <c r="B239" s="20" t="s">
        <v>7529</v>
      </c>
      <c r="C239" s="24">
        <v>6.5</v>
      </c>
      <c r="D239" s="69"/>
      <c r="E239" s="31" t="s">
        <v>7525</v>
      </c>
      <c r="F239" s="37"/>
      <c r="G239" s="24"/>
      <c r="H239" s="53"/>
    </row>
    <row r="240" spans="1:8" ht="13.2">
      <c r="A240" s="65" t="str">
        <f>HYPERLINK("https://cses.fi/189/list/","CEOI 08-Dominance")</f>
        <v>CEOI 08-Dominance</v>
      </c>
      <c r="B240" s="37" t="s">
        <v>7685</v>
      </c>
      <c r="C240" s="24">
        <v>6</v>
      </c>
      <c r="D240" s="65" t="str">
        <f>HYPERLINK("https://github.com/mostafa-saad/MyCompetitiveProgramming/blob/master/Olympiad/CEOI/CEOI-08-Dominance.txt","Sol")</f>
        <v>Sol</v>
      </c>
      <c r="E240" s="31" t="s">
        <v>125</v>
      </c>
      <c r="F240" s="37" t="s">
        <v>201</v>
      </c>
      <c r="G240" s="24"/>
      <c r="H240" s="53"/>
    </row>
    <row r="241" spans="1:8" ht="13.2">
      <c r="A241" s="65" t="str">
        <f>HYPERLINK("https://cses.fi/190/list/","CEOI 08-Fence")</f>
        <v>CEOI 08-Fence</v>
      </c>
      <c r="B241" s="20" t="s">
        <v>7097</v>
      </c>
      <c r="C241" s="24">
        <v>6.75</v>
      </c>
      <c r="D241" s="65" t="str">
        <f>HYPERLINK("https://github.com/mostafa-saad/MyCompetitiveProgramming/blob/master/Olympiad/CEOI/CEOI-08-Fence.txt","Sol")</f>
        <v>Sol</v>
      </c>
      <c r="E241" s="31" t="s">
        <v>3065</v>
      </c>
      <c r="F241" s="37" t="s">
        <v>139</v>
      </c>
      <c r="G241" s="24"/>
      <c r="H241" s="53"/>
    </row>
    <row r="242" spans="1:8" ht="13.2">
      <c r="A242" s="65" t="str">
        <f>HYPERLINK("https://cses.fi/189/list/","CEOI 08-Information")</f>
        <v>CEOI 08-Information</v>
      </c>
      <c r="B242" s="20" t="s">
        <v>7262</v>
      </c>
      <c r="C242" s="24">
        <v>7.5</v>
      </c>
      <c r="D242" s="65" t="str">
        <f>HYPERLINK("https://github.com/mostafa-saad/MyCompetitiveProgramming/tree/master/Olympiad/CEOI/official/2008","Editorial")</f>
        <v>Editorial</v>
      </c>
      <c r="E242" s="31" t="s">
        <v>4275</v>
      </c>
      <c r="F242" s="37"/>
      <c r="G242" s="24"/>
      <c r="H242" s="53"/>
    </row>
    <row r="243" spans="1:8" ht="13.2">
      <c r="A243" s="65" t="str">
        <f>HYPERLINK("https://cses.fi/189/list/","CEOI 08-Knights")</f>
        <v>CEOI 08-Knights</v>
      </c>
      <c r="B243" s="20" t="s">
        <v>2419</v>
      </c>
      <c r="C243" s="24">
        <v>6</v>
      </c>
      <c r="D243" s="65" t="str">
        <f>HYPERLINK("https://github.com/mostafa-saad/MyCompetitiveProgramming/blob/master/Olympiad/CEOI/CEOI-08-Knights.txt","Sol")</f>
        <v>Sol</v>
      </c>
      <c r="E243" s="31" t="s">
        <v>2394</v>
      </c>
      <c r="F243" s="37" t="s">
        <v>154</v>
      </c>
      <c r="G243" s="24"/>
      <c r="H243" s="53"/>
    </row>
    <row r="244" spans="1:8" ht="13.2">
      <c r="A244" s="65" t="str">
        <f>HYPERLINK("https://cses.fi/190/list/","CEOI 08-Order")</f>
        <v>CEOI 08-Order</v>
      </c>
      <c r="B244" s="20" t="s">
        <v>7686</v>
      </c>
      <c r="C244" s="24">
        <v>7.25</v>
      </c>
      <c r="D244" s="65" t="str">
        <f>HYPERLINK("https://github.com/mostafa-saad/MyCompetitiveProgramming/tree/master/Olympiad/CEOI/official/2008","Editorial")</f>
        <v>Editorial</v>
      </c>
      <c r="E244" s="31" t="s">
        <v>4060</v>
      </c>
      <c r="F244" s="37"/>
      <c r="G244" s="24"/>
      <c r="H244" s="53"/>
    </row>
    <row r="245" spans="1:8" ht="13.2">
      <c r="A245" s="65" t="str">
        <f>HYPERLINK("https://cses.fi/190/list/","CEOI 08-Snake")</f>
        <v>CEOI 08-Snake</v>
      </c>
      <c r="B245" s="20" t="s">
        <v>6718</v>
      </c>
      <c r="C245" s="24">
        <v>6.6</v>
      </c>
      <c r="D245" s="65" t="str">
        <f>HYPERLINK("https://github.com/mostafa-saad/MyCompetitiveProgramming/blob/master/Olympiad/CEOI/CEOI-08-Snake.txt","Sol")</f>
        <v>Sol</v>
      </c>
      <c r="E245" s="31" t="s">
        <v>805</v>
      </c>
      <c r="F245" s="37" t="s">
        <v>201</v>
      </c>
      <c r="G245" s="24"/>
      <c r="H245" s="53"/>
    </row>
    <row r="246" spans="1:8" ht="13.2">
      <c r="A246" s="65" t="str">
        <f>HYPERLINK("https://cses.fi/179/list/","CEOI 09-Boxes")</f>
        <v>CEOI 09-Boxes</v>
      </c>
      <c r="B246" s="20" t="s">
        <v>7472</v>
      </c>
      <c r="C246" s="24">
        <v>7.75</v>
      </c>
      <c r="D246" s="65" t="str">
        <f>HYPERLINK("https://github.com/mostafa-saad/MyCompetitiveProgramming/blob/master/Olympiad/CEOI/CEOI-09-Boxes.txt","Sol")</f>
        <v>Sol</v>
      </c>
      <c r="E246" s="31" t="s">
        <v>6397</v>
      </c>
      <c r="F246" s="37" t="s">
        <v>154</v>
      </c>
      <c r="G246" s="24"/>
      <c r="H246" s="53"/>
    </row>
    <row r="247" spans="1:8" ht="13.2">
      <c r="A247" s="65" t="str">
        <f>HYPERLINK("https://cses.fi/179/list/","CEOI 09-Harbingers")</f>
        <v>CEOI 09-Harbingers</v>
      </c>
      <c r="B247" s="20" t="s">
        <v>6780</v>
      </c>
      <c r="C247" s="24">
        <v>6.25</v>
      </c>
      <c r="D247" s="65" t="str">
        <f>HYPERLINK("https://github.com/mostafa-saad/MyCompetitiveProgramming/tree/master/Olympiad/CEOI/official/2009","Editorial")</f>
        <v>Editorial</v>
      </c>
      <c r="E247" s="31" t="s">
        <v>1018</v>
      </c>
      <c r="F247" s="37"/>
      <c r="G247" s="24"/>
      <c r="H247" s="53"/>
    </row>
    <row r="248" spans="1:8" ht="13.2">
      <c r="A248" s="65" t="str">
        <f>HYPERLINK("https://cses.fi/180/list/","CEOI 09-Logs")</f>
        <v>CEOI 09-Logs</v>
      </c>
      <c r="B248" s="20" t="s">
        <v>643</v>
      </c>
      <c r="C248" s="24">
        <v>6</v>
      </c>
      <c r="D248" s="65" t="str">
        <f>HYPERLINK("https://github.com/MetalBall887/Competitive-Programming/blob/master/Olympiad/CEOI/CEOI%2009-Logs.cpp","Sol")</f>
        <v>Sol</v>
      </c>
      <c r="E248" s="31" t="s">
        <v>575</v>
      </c>
      <c r="F248" s="37" t="s">
        <v>139</v>
      </c>
      <c r="G248" s="24"/>
      <c r="H248" s="53"/>
    </row>
    <row r="249" spans="1:8" ht="13.2">
      <c r="A249" s="65" t="str">
        <f>HYPERLINK("https://cses.fi/179/list/","CEOI 09-Photo")</f>
        <v>CEOI 09-Photo</v>
      </c>
      <c r="B249" s="20" t="s">
        <v>6852</v>
      </c>
      <c r="C249" s="24">
        <v>6.5</v>
      </c>
      <c r="D249" s="65" t="str">
        <f>HYPERLINK("https://github.com/mostafa-saad/MyCompetitiveProgramming/blob/master/Olympiad/CEOI/CEOI-09-Photo.txt","Sol")</f>
        <v>Sol</v>
      </c>
      <c r="E249" s="31" t="s">
        <v>1337</v>
      </c>
      <c r="F249" s="37" t="s">
        <v>139</v>
      </c>
      <c r="G249" s="24"/>
      <c r="H249" s="53"/>
    </row>
    <row r="250" spans="1:8" ht="13.2">
      <c r="A250" s="65" t="str">
        <f>HYPERLINK("https://cses.fi/180/list/","CEOI 09-Sorting")</f>
        <v>CEOI 09-Sorting</v>
      </c>
      <c r="B250" s="20" t="s">
        <v>1348</v>
      </c>
      <c r="C250" s="24">
        <v>7</v>
      </c>
      <c r="D250" s="65" t="str">
        <f>HYPERLINK("https://github.com/mostafa-saad/MyCompetitiveProgramming/blob/master/Olympiad/CEOI/CEOI-09-Sorting.txt","Sol")</f>
        <v>Sol</v>
      </c>
      <c r="E250" s="31" t="s">
        <v>1337</v>
      </c>
      <c r="F250" s="37" t="s">
        <v>139</v>
      </c>
      <c r="G250" s="24"/>
      <c r="H250" s="53"/>
    </row>
    <row r="251" spans="1:8" ht="13.2">
      <c r="A251" s="65" t="str">
        <f>HYPERLINK("https://cses.fi/180/list/","CEOI 09-Tri")</f>
        <v>CEOI 09-Tri</v>
      </c>
      <c r="B251" s="20" t="s">
        <v>2509</v>
      </c>
      <c r="C251" s="24">
        <v>7</v>
      </c>
      <c r="D251" s="65" t="str">
        <f>HYPERLINK("https://github.com/mostafa-saad/MyCompetitiveProgramming/tree/master/Olympiad/CEOI/official/2009","Editorial")</f>
        <v>Editorial</v>
      </c>
      <c r="E251" s="31" t="s">
        <v>2510</v>
      </c>
      <c r="F251" s="37"/>
      <c r="G251" s="24"/>
      <c r="H251" s="53"/>
    </row>
    <row r="252" spans="1:8" ht="13.2">
      <c r="A252" s="65" t="str">
        <f>HYPERLINK("https://szkopul.edu.pl/problemset/problem/4Pgr_vmxb_fPeFSn1NTJPqQa/site/","CEOI 10-Alliances")</f>
        <v>CEOI 10-Alliances</v>
      </c>
      <c r="B252" s="20" t="s">
        <v>7530</v>
      </c>
      <c r="C252" s="24">
        <v>6.5</v>
      </c>
      <c r="D252" s="69"/>
      <c r="E252" s="31" t="s">
        <v>7525</v>
      </c>
      <c r="F252" s="37"/>
      <c r="G252" s="24"/>
      <c r="H252" s="53"/>
    </row>
    <row r="253" spans="1:8" ht="13.2">
      <c r="A253" s="65" t="str">
        <f>HYPERLINK("https://szkopul.edu.pl/problemset/problem/-e02GdqRC4OgV8Hjb852pqQ9/site/","CEOI 10-Arithmetic")</f>
        <v>CEOI 10-Arithmetic</v>
      </c>
      <c r="B253" s="20" t="s">
        <v>7527</v>
      </c>
      <c r="C253" s="24">
        <v>7</v>
      </c>
      <c r="D253" s="69"/>
      <c r="E253" s="31" t="s">
        <v>7525</v>
      </c>
      <c r="F253" s="37"/>
      <c r="G253" s="24"/>
      <c r="H253" s="53"/>
    </row>
    <row r="254" spans="1:8" ht="13.2">
      <c r="A254" s="65" t="str">
        <f>HYPERLINK("https://cses.fi/197/list/","CEOI 10-Bodyguards")</f>
        <v>CEOI 10-Bodyguards</v>
      </c>
      <c r="B254" s="20" t="s">
        <v>7527</v>
      </c>
      <c r="C254" s="24">
        <v>7</v>
      </c>
      <c r="D254" s="69"/>
      <c r="E254" s="31" t="s">
        <v>7525</v>
      </c>
      <c r="F254" s="37"/>
      <c r="G254" s="24"/>
      <c r="H254" s="53"/>
    </row>
    <row r="255" spans="1:8" ht="13.2">
      <c r="A255" s="65" t="str">
        <f>HYPERLINK("https://szkopul.edu.pl/problemset/problem/M09kYLBv3P6homsLzx_fmpgn/site/","CEOI 10-MP3player")</f>
        <v>CEOI 10-MP3player</v>
      </c>
      <c r="B255" s="20" t="s">
        <v>7527</v>
      </c>
      <c r="C255" s="24">
        <v>6.5</v>
      </c>
      <c r="D255" s="69"/>
      <c r="E255" s="31" t="s">
        <v>7525</v>
      </c>
      <c r="F255" s="37"/>
      <c r="G255" s="24"/>
      <c r="H255" s="53"/>
    </row>
    <row r="256" spans="1:8" ht="13.2">
      <c r="A256" s="65" t="str">
        <f>HYPERLINK("https://szkopul.edu.pl/problemset/problem/v6-xa-25AJSF4_oV5LAKvz7H/site/","CEOI 10-PIN")</f>
        <v>CEOI 10-PIN</v>
      </c>
      <c r="B256" s="20" t="s">
        <v>7351</v>
      </c>
      <c r="C256" s="24">
        <v>5</v>
      </c>
      <c r="D256" s="65" t="str">
        <f>HYPERLINK("https://github.com/mostafa-saad/MyCompetitiveProgramming/blob/master/Olympiad/CEOI/CEOI%2010-pin.cpp","Sol")</f>
        <v>Sol</v>
      </c>
      <c r="E256" s="31" t="s">
        <v>5134</v>
      </c>
      <c r="F256" s="37"/>
      <c r="G256" s="24"/>
      <c r="H256" s="53"/>
    </row>
    <row r="257" spans="1:8" ht="13.2">
      <c r="A257" s="65" t="str">
        <f>HYPERLINK("https://szkopul.edu.pl/problemset/problem/5TfG0f1dOXc2sUTq9NMM9zSD/site/","CEOI 10-Tower")</f>
        <v>CEOI 10-Tower</v>
      </c>
      <c r="B257" s="20" t="s">
        <v>124</v>
      </c>
      <c r="C257" s="24">
        <v>6.25</v>
      </c>
      <c r="D257" s="65" t="str">
        <f>HYPERLINK("https://github.com/mostafa-saad/MyCompetitiveProgramming/blob/master/Olympiad/CEOI/CEOI-10-Tower.txt","Sol")</f>
        <v>Sol</v>
      </c>
      <c r="E257" s="31" t="s">
        <v>125</v>
      </c>
      <c r="F257" s="37" t="s">
        <v>139</v>
      </c>
      <c r="G257" s="24"/>
      <c r="H257" s="53"/>
    </row>
    <row r="258" spans="1:8" ht="13.2">
      <c r="A258" s="65" t="str">
        <f>HYPERLINK("https://szkopul.edu.pl/problemset/problem/XcxwG3EBHwd-6_fIF1NG3Wfg/site/?key=statement","CEOI 11-Balloons")</f>
        <v>CEOI 11-Balloons</v>
      </c>
      <c r="B258" s="15" t="s">
        <v>7083</v>
      </c>
      <c r="C258" s="17">
        <v>6</v>
      </c>
      <c r="D258" s="69" t="s">
        <v>7810</v>
      </c>
      <c r="E258" s="31" t="s">
        <v>2798</v>
      </c>
      <c r="F258" s="37" t="s">
        <v>201</v>
      </c>
      <c r="G258" s="24"/>
      <c r="H258" s="53"/>
    </row>
    <row r="259" spans="1:8" ht="13.2">
      <c r="A259" s="65" t="str">
        <f>HYPERLINK("https://szkopul.edu.pl/problemset/problem/a9Oxizbg6JUS3CkEZr9BOd_H/site/?key=statement","CEOI 11-Hotel")</f>
        <v>CEOI 11-Hotel</v>
      </c>
      <c r="B259" s="18" t="s">
        <v>2163</v>
      </c>
      <c r="C259" s="17">
        <v>5.5</v>
      </c>
      <c r="D259" s="65" t="str">
        <f>HYPERLINK("https://github.com/mostafa-saad/MyCompetitiveProgramming/blob/master/Olympiad/CEOI/CEOI-11-Hotel.txt","Sol")</f>
        <v>Sol</v>
      </c>
      <c r="E259" s="31" t="s">
        <v>2153</v>
      </c>
      <c r="F259" s="37" t="s">
        <v>139</v>
      </c>
      <c r="G259" s="24"/>
      <c r="H259" s="53"/>
    </row>
    <row r="260" spans="1:8" ht="13.2">
      <c r="A260" s="65" t="str">
        <f>HYPERLINK("https://szkopul.edu.pl/problemset/problem/in7jx1ATY7fnkmK87b9m_Nu_/site/","CEOI 11-Matching")</f>
        <v>CEOI 11-Matching</v>
      </c>
      <c r="B260" s="20" t="s">
        <v>5714</v>
      </c>
      <c r="C260" s="24">
        <v>6</v>
      </c>
      <c r="D260" s="65" t="str">
        <f>HYPERLINK("https://github.com/mostafa-saad/MyCompetitiveProgramming/blob/master/Olympiad/CEOI/official/2011/","Editorial")</f>
        <v>Editorial</v>
      </c>
      <c r="E260" s="31" t="s">
        <v>5702</v>
      </c>
      <c r="F260" s="37"/>
      <c r="G260" s="24"/>
      <c r="H260" s="53"/>
    </row>
    <row r="261" spans="1:8" ht="13.2">
      <c r="A261" s="65" t="str">
        <f>HYPERLINK("https://szkopul.edu.pl/problemset/problem/XZhW8DteK37aYwrB_JoHxd2E/site/","CEOI 11-Similarity")</f>
        <v>CEOI 11-Similarity</v>
      </c>
      <c r="B261" s="20" t="s">
        <v>6972</v>
      </c>
      <c r="C261" s="24">
        <v>5</v>
      </c>
      <c r="D261" s="65" t="str">
        <f>HYPERLINK("https://github.com/mostafa-saad/MyCompetitiveProgramming/blob/master/Olympiad/CEOI/CEOI-11-Similarity.txt","Sol")</f>
        <v>Sol</v>
      </c>
      <c r="E261" s="31" t="s">
        <v>1909</v>
      </c>
      <c r="F261" s="37" t="s">
        <v>139</v>
      </c>
      <c r="G261" s="24"/>
      <c r="H261" s="53"/>
    </row>
    <row r="262" spans="1:8" ht="13.2">
      <c r="A262" s="65" t="str">
        <f>HYPERLINK("https://oj.uz/problem/view/CEOI11_tea","CEOI 11-Teams")</f>
        <v>CEOI 11-Teams</v>
      </c>
      <c r="B262" s="20" t="s">
        <v>6679</v>
      </c>
      <c r="C262" s="24">
        <v>6.6</v>
      </c>
      <c r="D262" s="65" t="str">
        <f>HYPERLINK("https://github.com/mostafa-saad/MyCompetitiveProgramming/blob/master/Olympiad/CEOI/CEOI-11-Teams.txt","Sol. Find O(N)")</f>
        <v>Sol. Find O(N)</v>
      </c>
      <c r="E262" s="31" t="s">
        <v>575</v>
      </c>
      <c r="F262" s="37"/>
      <c r="G262" s="24"/>
      <c r="H262" s="53"/>
    </row>
    <row r="263" spans="1:8" ht="13.2">
      <c r="A263" s="65" t="str">
        <f>HYPERLINK("https://szkopul.edu.pl/problemset/problem/pWnFB3uRHH0y29PwkMBS2T0Z/site/","CEOI 11-Traffic")</f>
        <v>CEOI 11-Traffic</v>
      </c>
      <c r="B263" s="20" t="s">
        <v>7278</v>
      </c>
      <c r="C263" s="24">
        <v>6</v>
      </c>
      <c r="D263" s="65" t="str">
        <f>HYPERLINK("https://github.com/mostafa-saad/MyCompetitiveProgramming/blob/master/Olympiad/CEOI/CEOI-11-Traffic.txt","Sol")</f>
        <v>Sol</v>
      </c>
      <c r="E263" s="31" t="s">
        <v>4344</v>
      </c>
      <c r="F263" s="37" t="s">
        <v>139</v>
      </c>
      <c r="G263" s="24"/>
      <c r="H263" s="53"/>
    </row>
    <row r="264" spans="1:8" ht="13.2">
      <c r="A264" s="65" t="str">
        <f>HYPERLINK("https://oj.uz/problem/view/CEOI12_circuit","CEOI 12-circuit")</f>
        <v>CEOI 12-circuit</v>
      </c>
      <c r="B264" s="37" t="s">
        <v>7088</v>
      </c>
      <c r="C264" s="24">
        <v>7.75</v>
      </c>
      <c r="D264" s="65" t="str">
        <f>HYPERLINK("https://github.com/mostafa-saad/MyCompetitiveProgramming/blob/master/Olympiad/CEOI/CEOI-12-circuit.txt","Sol")</f>
        <v>Sol</v>
      </c>
      <c r="E264" s="31" t="s">
        <v>2948</v>
      </c>
      <c r="F264" s="37" t="s">
        <v>154</v>
      </c>
      <c r="G264" s="24"/>
      <c r="H264" s="53"/>
    </row>
    <row r="265" spans="1:8" ht="13.2">
      <c r="A265" s="65" t="str">
        <f>HYPERLINK("https://oj.uz/problem/view/CEOI12_highway","CEOI 12-highway")</f>
        <v>CEOI 12-highway</v>
      </c>
      <c r="B265" s="23" t="s">
        <v>6988</v>
      </c>
      <c r="C265" s="24">
        <v>6.75</v>
      </c>
      <c r="D265" s="65" t="str">
        <f>HYPERLINK("https://github.com/tmwilliamlin168/CompetitiveProgramming/blob/master/CEOI/12-Highway.cpp", "Sol")</f>
        <v>Sol</v>
      </c>
      <c r="E265" s="31" t="s">
        <v>2153</v>
      </c>
      <c r="F265" s="37"/>
      <c r="G265" s="24"/>
      <c r="H265" s="53"/>
    </row>
    <row r="266" spans="1:8" ht="13.2">
      <c r="A266" s="65" t="str">
        <f>HYPERLINK("https://oj.uz/problem/view/CEOI12_jobs","CEOI 12-Jobs")</f>
        <v>CEOI 12-Jobs</v>
      </c>
      <c r="B266" s="18" t="s">
        <v>2256</v>
      </c>
      <c r="C266" s="17">
        <v>4</v>
      </c>
      <c r="D266" s="65" t="str">
        <f>HYPERLINK("https://github.com/SpeedOfMagic/CompetitiveProgramming/blob/master/CEOI/CEOI%2012-Jobs.cpp","Sol")</f>
        <v>Sol</v>
      </c>
      <c r="E266" s="31" t="s">
        <v>2153</v>
      </c>
      <c r="F266" s="37" t="s">
        <v>201</v>
      </c>
      <c r="G266" s="24"/>
      <c r="H266" s="53"/>
    </row>
    <row r="267" spans="1:8" ht="13.2">
      <c r="A267" s="65" t="str">
        <f>HYPERLINK("https://oj.uz/problem/view/CEOI12_race","CEOI 12-race")</f>
        <v>CEOI 12-race</v>
      </c>
      <c r="B267" s="20" t="s">
        <v>6976</v>
      </c>
      <c r="C267" s="24">
        <v>6.75</v>
      </c>
      <c r="D267" s="65" t="str">
        <f>HYPERLINK("https://github.com/mostafa-saad/MyCompetitiveProgramming/blob/master/Olympiad/CEOI/CEOI-12-race.txt","Sol")</f>
        <v>Sol</v>
      </c>
      <c r="E267" s="31" t="s">
        <v>2113</v>
      </c>
      <c r="F267" s="37" t="s">
        <v>139</v>
      </c>
      <c r="G267" s="24"/>
      <c r="H267" s="53"/>
    </row>
    <row r="268" spans="1:8" ht="13.2">
      <c r="A268" s="65" t="str">
        <f>HYPERLINK("https://oj.uz/problems/source/60", "CEOI 13-adriatic")</f>
        <v>CEOI 13-adriatic</v>
      </c>
      <c r="B268" s="23" t="s">
        <v>6675</v>
      </c>
      <c r="C268" s="17">
        <v>7</v>
      </c>
      <c r="D268" s="65" t="str">
        <f>HYPERLINK("https://github.com/tmwilliamlin168/CompetitiveProgramming/blob/master/CEOI/13-Adriatic.cpp", "Sol")</f>
        <v>Sol</v>
      </c>
      <c r="E268" s="31" t="s">
        <v>575</v>
      </c>
      <c r="F268" s="37"/>
      <c r="G268" s="24"/>
      <c r="H268" s="53"/>
    </row>
    <row r="269" spans="1:8" ht="13.2">
      <c r="A269" s="65" t="str">
        <f>HYPERLINK("https://oj.uz/problems/source/60", "CEOI 13-board")</f>
        <v>CEOI 13-board</v>
      </c>
      <c r="B269" s="20" t="s">
        <v>6995</v>
      </c>
      <c r="C269" s="17">
        <v>6.5</v>
      </c>
      <c r="D269" s="65" t="str">
        <f>HYPERLINK("https://github.com/mostafa-saad/MyCompetitiveProgramming/blob/master/Olympiad/CEOI/CEOI-13-board.txt", "Sol")</f>
        <v>Sol</v>
      </c>
      <c r="E269" s="31" t="s">
        <v>2153</v>
      </c>
      <c r="F269" s="37"/>
      <c r="G269" s="24"/>
      <c r="H269" s="53"/>
    </row>
    <row r="270" spans="1:8" ht="13.2">
      <c r="A270" s="65" t="str">
        <f>HYPERLINK("https://www.acmicpc.net/problem/9282","CEOI 13-splot")</f>
        <v>CEOI 13-splot</v>
      </c>
      <c r="B270" s="74" t="s">
        <v>7391</v>
      </c>
      <c r="C270" s="78">
        <v>8</v>
      </c>
      <c r="D270" s="65" t="str">
        <f>HYPERLINK("https://github.com/mostafa-saad/MyCompetitiveProgramming/blob/master/Olympiad/CEOI/official/2013","Editorial")</f>
        <v>Editorial</v>
      </c>
      <c r="E270" s="31" t="s">
        <v>5958</v>
      </c>
      <c r="F270" s="37"/>
      <c r="G270" s="24"/>
      <c r="H270" s="53"/>
    </row>
    <row r="271" spans="1:8" ht="13.2">
      <c r="A271" s="65" t="str">
        <f>HYPERLINK("https://oj.uz/problems/source/59", "CEOI 13-tram")</f>
        <v>CEOI 13-tram</v>
      </c>
      <c r="B271" s="23" t="s">
        <v>601</v>
      </c>
      <c r="C271" s="17">
        <v>6.5</v>
      </c>
      <c r="D271" s="65" t="str">
        <f>HYPERLINK("https://github.com/tmwilliamlin168/CompetitiveProgramming/blob/master/CEOI/13-Tram.cpp", "Sol")</f>
        <v>Sol</v>
      </c>
      <c r="E271" s="31" t="s">
        <v>575</v>
      </c>
      <c r="F271" s="37"/>
      <c r="G271" s="24"/>
      <c r="H271" s="53"/>
    </row>
    <row r="272" spans="1:8" ht="13.2">
      <c r="A272" s="65" t="str">
        <f>HYPERLINK("https://oj.uz/problems/source/59", "CEOI 13-treasure2")</f>
        <v>CEOI 13-treasure2</v>
      </c>
      <c r="B272" s="20" t="s">
        <v>6969</v>
      </c>
      <c r="C272" s="17">
        <v>6.25</v>
      </c>
      <c r="D272" s="65" t="str">
        <f>HYPERLINK("https://github.com/mostafa-saad/MyCompetitiveProgramming/blob/master/Olympiad/CEOI/CEOI-13-treasure2.txt","Sol")</f>
        <v>Sol</v>
      </c>
      <c r="E272" s="31" t="s">
        <v>1909</v>
      </c>
      <c r="F272" s="37" t="s">
        <v>1053</v>
      </c>
      <c r="G272" s="24"/>
      <c r="H272" s="53"/>
    </row>
    <row r="273" spans="1:8" ht="13.2">
      <c r="A273" s="65" t="str">
        <f>HYPERLINK("https://dunjudge.me/analysis/problems/802/","CEOI 13-watering")</f>
        <v>CEOI 13-watering</v>
      </c>
      <c r="B273" s="20" t="s">
        <v>7392</v>
      </c>
      <c r="C273" s="79">
        <v>8</v>
      </c>
      <c r="D273" s="65" t="str">
        <f>HYPERLINK("https://github.com/mostafa-saad/MyCompetitiveProgramming/blob/master/Olympiad/CEOI/official/2013","Editorial")</f>
        <v>Editorial</v>
      </c>
      <c r="E273" s="31" t="s">
        <v>5958</v>
      </c>
      <c r="F273" s="37"/>
      <c r="G273" s="24"/>
      <c r="H273" s="53"/>
    </row>
    <row r="274" spans="1:8" ht="13.2">
      <c r="A274" s="65" t="str">
        <f>HYPERLINK("https://oj.uz/problems/source/121", "CEOI 14-007")</f>
        <v>CEOI 14-007</v>
      </c>
      <c r="B274" s="20" t="s">
        <v>7055</v>
      </c>
      <c r="C274" s="24">
        <v>6.5</v>
      </c>
      <c r="D274" s="65" t="str">
        <f>HYPERLINK("https://github.com/tmwilliamlin168/CompetitiveProgramming/blob/master/CEOI/14-007.cpp", "Sol")</f>
        <v>Sol</v>
      </c>
      <c r="E274" s="31" t="s">
        <v>2394</v>
      </c>
      <c r="F274" s="37"/>
      <c r="G274" s="24"/>
      <c r="H274" s="53"/>
    </row>
    <row r="275" spans="1:8" ht="13.2">
      <c r="A275" s="65" t="str">
        <f>HYPERLINK("https://oj.uz/problems/source/121", "CEOI 14-cake")</f>
        <v>CEOI 14-cake</v>
      </c>
      <c r="B275" s="20" t="s">
        <v>7687</v>
      </c>
      <c r="C275" s="17">
        <v>6.3</v>
      </c>
      <c r="D275" s="65" t="str">
        <f>HYPERLINK("https://github.com/stefdasca/CompetitiveProgramming/blob/master/CEOI/CEOI%2014-cake.cpp","Sol")</f>
        <v>Sol</v>
      </c>
      <c r="E275" s="31" t="s">
        <v>1018</v>
      </c>
      <c r="F275" s="37" t="s">
        <v>139</v>
      </c>
      <c r="G275" s="24"/>
      <c r="H275" s="53"/>
    </row>
    <row r="276" spans="1:8" ht="13.2">
      <c r="A276" s="65" t="str">
        <f>HYPERLINK("https://oj.uz/problems/source/120", "CEOI 14-carnival")</f>
        <v>CEOI 14-carnival</v>
      </c>
      <c r="B276" s="20" t="s">
        <v>6737</v>
      </c>
      <c r="C276" s="17">
        <v>5</v>
      </c>
      <c r="D276" s="65" t="str">
        <f>HYPERLINK("https://github.com/mostafa-saad/MyCompetitiveProgramming/blob/master/Olympiad/CEOI/CEOI-14-carnival.txt","Sol")</f>
        <v>Sol</v>
      </c>
      <c r="E276" s="31" t="s">
        <v>805</v>
      </c>
      <c r="F276" s="37" t="s">
        <v>139</v>
      </c>
      <c r="G276" s="24"/>
      <c r="H276" s="53"/>
    </row>
    <row r="277" spans="1:8" ht="13.2">
      <c r="A277" s="65" t="str">
        <f>HYPERLINK("https://oj.uz/problems/source/120", "CEOI 14-fangorn")</f>
        <v>CEOI 14-fangorn</v>
      </c>
      <c r="B277" s="20" t="s">
        <v>7077</v>
      </c>
      <c r="C277" s="24">
        <v>6</v>
      </c>
      <c r="D277" s="65" t="str">
        <f>HYPERLINK("https://github.com/tmwilliamlin168/CompetitiveProgramming/blob/master/CEOI/14-Fangorn.cpp", "Sol")</f>
        <v>Sol</v>
      </c>
      <c r="E277" s="31" t="s">
        <v>2510</v>
      </c>
      <c r="F277" s="37"/>
      <c r="G277" s="24"/>
      <c r="H277" s="53"/>
    </row>
    <row r="278" spans="1:8" ht="13.2">
      <c r="A278" s="65" t="str">
        <f>HYPERLINK("https://oj.uz/problems/source/120", "CEOI 14-questiongrader")</f>
        <v>CEOI 14-questiongrader</v>
      </c>
      <c r="B278" s="20" t="s">
        <v>6577</v>
      </c>
      <c r="C278" s="17">
        <v>7</v>
      </c>
      <c r="D278" s="69"/>
      <c r="E278" s="31" t="s">
        <v>125</v>
      </c>
      <c r="F278" s="37"/>
      <c r="G278" s="24"/>
      <c r="H278" s="53"/>
    </row>
    <row r="279" spans="1:8" ht="13.2">
      <c r="A279" s="65" t="str">
        <f>HYPERLINK("https://oj.uz/problems/source/121", "CEOI 14-wall")</f>
        <v>CEOI 14-wall</v>
      </c>
      <c r="B279" s="20" t="s">
        <v>7204</v>
      </c>
      <c r="C279" s="21">
        <v>7.75</v>
      </c>
      <c r="D279" s="65" t="str">
        <f>HYPERLINK("https://github.com/tmwilliamlin168/CompetitiveProgramming/blob/master/CEOI/14-Wall.cpp", "Sol")</f>
        <v>Sol</v>
      </c>
      <c r="E279" s="31" t="s">
        <v>3784</v>
      </c>
      <c r="F279" s="37" t="s">
        <v>173</v>
      </c>
      <c r="G279" s="24"/>
      <c r="H279" s="53"/>
    </row>
    <row r="280" spans="1:8" ht="13.2">
      <c r="A280" s="65" t="str">
        <f>HYPERLINK("https://oj.uz/problem/view/CEOI15_bobek","CEOI 15-bobek")</f>
        <v>CEOI 15-bobek</v>
      </c>
      <c r="B280" s="20" t="s">
        <v>6742</v>
      </c>
      <c r="C280" s="17">
        <v>5.5</v>
      </c>
      <c r="D280" s="65" t="str">
        <f>HYPERLINK("https://github.com/SpeedOfMagic/CompetitiveProgramming/blob/master/CEOI/15-bobek.cpp","AC")</f>
        <v>AC</v>
      </c>
      <c r="E280" s="31" t="s">
        <v>951</v>
      </c>
      <c r="F280" s="37" t="s">
        <v>139</v>
      </c>
      <c r="G280" s="24"/>
      <c r="H280" s="53"/>
    </row>
    <row r="281" spans="1:8" ht="13.2">
      <c r="A281" s="65" t="str">
        <f>HYPERLINK("https://oj.uz/problems/source/245", "CEOI 15-indcyc")</f>
        <v>CEOI 15-indcyc</v>
      </c>
      <c r="B281" s="20" t="s">
        <v>3731</v>
      </c>
      <c r="C281" s="24">
        <v>6.5</v>
      </c>
      <c r="D281" s="65" t="str">
        <f>HYPERLINK("https://github.com/luciocf/OI-Problems/blob/master/CEOI/CEOI%202015/potemkin.cpp","Sol")</f>
        <v>Sol</v>
      </c>
      <c r="E281" s="31" t="s">
        <v>3650</v>
      </c>
      <c r="F281" s="37" t="s">
        <v>139</v>
      </c>
      <c r="G281" s="24"/>
      <c r="H281" s="53"/>
    </row>
    <row r="282" spans="1:8" ht="13.2">
      <c r="A282" s="65" t="str">
        <f>HYPERLINK("https://oj.uz/problem/view/CEOI15_nuclearia","CEOI 15-nuclearia")</f>
        <v>CEOI 15-nuclearia</v>
      </c>
      <c r="B282" s="15" t="s">
        <v>6565</v>
      </c>
      <c r="C282" s="24">
        <v>8</v>
      </c>
      <c r="D282" s="65" t="str">
        <f>HYPERLINK("https://github.com/mostafa-saad/MyCompetitiveProgramming/tree/master/Olympiad/CEOI/official/2015/day2","Editorial")</f>
        <v>Editorial</v>
      </c>
      <c r="E282" s="31" t="s">
        <v>125</v>
      </c>
      <c r="F282" s="37"/>
      <c r="G282" s="24"/>
      <c r="H282" s="53"/>
    </row>
    <row r="283" spans="1:8" ht="13.2">
      <c r="A283" s="65" t="str">
        <f>HYPERLINK("https://oj.uz/problems/source/245", "CEOI 15-pipes")</f>
        <v>CEOI 15-pipes</v>
      </c>
      <c r="B283" s="20" t="s">
        <v>7279</v>
      </c>
      <c r="C283" s="17">
        <v>6</v>
      </c>
      <c r="D283" s="69" t="s">
        <v>7810</v>
      </c>
      <c r="E283" s="31" t="s">
        <v>4344</v>
      </c>
      <c r="F283" s="37"/>
      <c r="G283" s="24"/>
      <c r="H283" s="53"/>
    </row>
    <row r="284" spans="1:8" ht="13.2">
      <c r="A284" s="65" t="str">
        <f>HYPERLINK("https://oj.uz/problems/source/245", "CEOI 15-teams")</f>
        <v>CEOI 15-teams</v>
      </c>
      <c r="B284" s="20" t="s">
        <v>6967</v>
      </c>
      <c r="C284" s="24">
        <v>6.5</v>
      </c>
      <c r="D284" s="65" t="str">
        <f>HYPERLINK("https://github.com/mostafa-saad/MyCompetitiveProgramming/blob/master/Olympiad/CEOI/CEOI-15-teams.txt","Sol")</f>
        <v>Sol</v>
      </c>
      <c r="E284" s="31" t="s">
        <v>1909</v>
      </c>
      <c r="F284" s="37" t="s">
        <v>613</v>
      </c>
      <c r="G284" s="24"/>
      <c r="H284" s="53"/>
    </row>
    <row r="285" spans="1:8" ht="13.2">
      <c r="A285" s="65" t="str">
        <f>HYPERLINK("https://oj.uz/problem/view/CEOI16_icc","CEOI 16-icc")</f>
        <v>CEOI 16-icc</v>
      </c>
      <c r="B285" s="20" t="s">
        <v>6716</v>
      </c>
      <c r="C285" s="17">
        <v>7</v>
      </c>
      <c r="D285" s="65" t="str">
        <f>HYPERLINK("https://github.com/mostafa-saad/MyCompetitiveProgramming/blob/master/Olympiad/CEOI/CEOI-16-icc.txt", "Sol")</f>
        <v>Sol</v>
      </c>
      <c r="E285" s="31" t="s">
        <v>805</v>
      </c>
      <c r="F285" s="37" t="s">
        <v>139</v>
      </c>
      <c r="G285" s="24"/>
      <c r="H285" s="53"/>
    </row>
    <row r="286" spans="1:8" ht="13.2">
      <c r="A286" s="65" t="str">
        <f>HYPERLINK("https://oj.uz/problem/view/CEOI16_kangaroo","CEOI 16-Kangaroo")</f>
        <v>CEOI 16-Kangaroo</v>
      </c>
      <c r="B286" s="18" t="s">
        <v>7494</v>
      </c>
      <c r="C286" s="17">
        <v>6.5</v>
      </c>
      <c r="D286" s="65" t="str">
        <f>HYPERLINK("https://github.com/mostafa-saad/MyCompetitiveProgramming/blob/master/Olympiad/CEOI/CEOI-16-Kangaroo.txt","Sol")</f>
        <v>Sol</v>
      </c>
      <c r="E286" s="31" t="s">
        <v>7492</v>
      </c>
      <c r="F286" s="37" t="s">
        <v>154</v>
      </c>
      <c r="G286" s="24"/>
      <c r="H286" s="53"/>
    </row>
    <row r="287" spans="1:8" ht="13.2">
      <c r="A287" s="65" t="str">
        <f>HYPERLINK("https://oj.uz/problems/source/197", "CEOI 16-match")</f>
        <v>CEOI 16-match</v>
      </c>
      <c r="B287" s="20" t="s">
        <v>6974</v>
      </c>
      <c r="C287" s="24">
        <v>7.75</v>
      </c>
      <c r="D287" s="65" t="str">
        <f>HYPERLINK("https://github.com/mostafa-saad/MyCompetitiveProgramming/blob/master/Olympiad/CEOI/CEOI-16-match.txt", "Sol")</f>
        <v>Sol</v>
      </c>
      <c r="E287" s="31" t="s">
        <v>2113</v>
      </c>
      <c r="F287" s="37" t="s">
        <v>173</v>
      </c>
      <c r="G287" s="24"/>
      <c r="H287" s="53"/>
    </row>
    <row r="288" spans="1:8" ht="13.2">
      <c r="A288" s="65" t="str">
        <f>HYPERLINK("https://oj.uz/problems/source/197", "CEOI 16-popeala")</f>
        <v>CEOI 16-popeala</v>
      </c>
      <c r="B288" s="20" t="s">
        <v>1348</v>
      </c>
      <c r="C288" s="24">
        <v>6.5</v>
      </c>
      <c r="D288" s="65" t="str">
        <f>HYPERLINK("https://github.com/mostafa-saad/MyCompetitiveProgramming/blob/master/Olympiad/CEOI/CEOI-16-popeala.txt","Sol")</f>
        <v>Sol</v>
      </c>
      <c r="E288" s="31" t="s">
        <v>1337</v>
      </c>
      <c r="F288" s="37"/>
      <c r="G288" s="24"/>
      <c r="H288" s="53"/>
    </row>
    <row r="289" spans="1:8" ht="13.2">
      <c r="A289" s="65" t="str">
        <f>HYPERLINK("https://cses.fi/194/list/","CEOI 16-router")</f>
        <v>CEOI 16-router</v>
      </c>
      <c r="B289" s="37" t="s">
        <v>7145</v>
      </c>
      <c r="C289" s="17">
        <v>6.25</v>
      </c>
      <c r="D289" s="65" t="str">
        <f>HYPERLINK("https://github.com/SpeedOfMagic/CompetitiveProgramming/blob/master/CEOI/16-router.txt","Sol")</f>
        <v>Sol</v>
      </c>
      <c r="E289" s="31" t="s">
        <v>3257</v>
      </c>
      <c r="F289" s="37" t="s">
        <v>139</v>
      </c>
      <c r="G289" s="24"/>
      <c r="H289" s="53"/>
    </row>
    <row r="290" spans="1:8" ht="13.2">
      <c r="A290" s="65" t="str">
        <f>HYPERLINK("https://cses.fi/193/list/", "CEOI 16-trick")</f>
        <v>CEOI 16-trick</v>
      </c>
      <c r="B290" s="20" t="s">
        <v>4710</v>
      </c>
      <c r="C290" s="24">
        <v>7.5</v>
      </c>
      <c r="D290" s="65" t="str">
        <f>HYPERLINK("https://github.com/mostafa-saad/MyCompetitiveProgramming/blob/master/Olympiad/CEOI/CEOI-16-trick.txt","Sol")</f>
        <v>Sol</v>
      </c>
      <c r="E290" s="31" t="s">
        <v>4531</v>
      </c>
      <c r="F290" s="37" t="s">
        <v>139</v>
      </c>
      <c r="G290" s="24"/>
      <c r="H290" s="53"/>
    </row>
    <row r="291" spans="1:8" ht="13.2">
      <c r="A291" s="65" t="str">
        <f>HYPERLINK("https://csacademy.com/contest/ceoi-2017-day-2/","CEOI 17-Building")</f>
        <v>CEOI 17-Building</v>
      </c>
      <c r="B291" s="18" t="s">
        <v>7466</v>
      </c>
      <c r="C291" s="24">
        <v>5.75</v>
      </c>
      <c r="D291" s="65" t="str">
        <f>HYPERLINK("https://github.com/mostafa-saad/MyCompetitiveProgramming/blob/master/Olympiad/CEOI/CEOI-17-Building.txt","Sol")</f>
        <v>Sol</v>
      </c>
      <c r="E291" s="31" t="s">
        <v>6362</v>
      </c>
      <c r="F291" s="37" t="s">
        <v>139</v>
      </c>
      <c r="G291" s="24"/>
      <c r="H291" s="53"/>
    </row>
    <row r="292" spans="1:8" ht="13.2">
      <c r="A292" s="65" t="str">
        <f>HYPERLINK("https://csacademy.com/contest/ceoi-2017-day-2/","CEOI 17-Chase")</f>
        <v>CEOI 17-Chase</v>
      </c>
      <c r="B292" s="18" t="s">
        <v>6458</v>
      </c>
      <c r="C292" s="17">
        <v>6.25</v>
      </c>
      <c r="D292" s="65" t="str">
        <f>HYPERLINK("https://github.com/samyravitoria/olympics-problems/blob/master/CEOI/2017/chase.cpp","Sol")</f>
        <v>Sol</v>
      </c>
      <c r="E292" s="31" t="s">
        <v>6459</v>
      </c>
      <c r="F292" s="37" t="s">
        <v>196</v>
      </c>
      <c r="G292" s="24"/>
      <c r="H292" s="53"/>
    </row>
    <row r="293" spans="1:8" ht="13.2">
      <c r="A293" s="65" t="str">
        <f>HYPERLINK("https://csacademy.com/contest/ceoi-2017-day-1/tasks/","CEOI 17-mousetrap")</f>
        <v>CEOI 17-mousetrap</v>
      </c>
      <c r="B293" s="18" t="s">
        <v>6733</v>
      </c>
      <c r="C293" s="24">
        <v>5.5</v>
      </c>
      <c r="D293" s="65" t="str">
        <f>HYPERLINK("https://github.com/mostafa-saad/MyCompetitiveProgramming/tree/master/Olympiad/JOI/CEOI/official/2017","Editorial")</f>
        <v>Editorial</v>
      </c>
      <c r="E293" s="31" t="s">
        <v>805</v>
      </c>
      <c r="F293" s="37"/>
      <c r="G293" s="24"/>
      <c r="H293" s="53"/>
    </row>
    <row r="294" spans="1:8" ht="13.2">
      <c r="A294" s="65" t="str">
        <f>HYPERLINK("https://csacademy.com/contest/ceoi-2017-day-1/tasks/","CEOI 17-OneWay")</f>
        <v>CEOI 17-OneWay</v>
      </c>
      <c r="B294" s="18" t="s">
        <v>7274</v>
      </c>
      <c r="C294" s="17">
        <v>6.5</v>
      </c>
      <c r="D294" s="65" t="str">
        <f>HYPERLINK("https://github.com/mostafa-saad/MyCompetitiveProgramming/blob/master/Olympiad/CEOI/CEOI-17-OneWay.txt","Sol")</f>
        <v>Sol</v>
      </c>
      <c r="E294" s="31" t="s">
        <v>4344</v>
      </c>
      <c r="F294" s="37" t="s">
        <v>154</v>
      </c>
      <c r="G294" s="24"/>
      <c r="H294" s="53"/>
    </row>
    <row r="295" spans="1:8" ht="13.2">
      <c r="A295" s="65" t="str">
        <f>HYPERLINK("https://csacademy.com/contest/ceoi-2017-day-2/","CEOI 17-Palindromic")</f>
        <v>CEOI 17-Palindromic</v>
      </c>
      <c r="B295" s="18" t="s">
        <v>7031</v>
      </c>
      <c r="C295" s="17">
        <v>5</v>
      </c>
      <c r="D295" s="69"/>
      <c r="E295" s="31" t="s">
        <v>2153</v>
      </c>
      <c r="F295" s="37"/>
      <c r="G295" s="24"/>
      <c r="H295" s="53"/>
    </row>
    <row r="296" spans="1:8" ht="13.2">
      <c r="A296" s="65" t="str">
        <f>HYPERLINK("https://csacademy.com/contest/ceoi-2017-day-1/tasks/","CEOI 17-sure")</f>
        <v>CEOI 17-sure</v>
      </c>
      <c r="B296" s="18" t="s">
        <v>7032</v>
      </c>
      <c r="C296" s="24">
        <v>5</v>
      </c>
      <c r="D296" s="65" t="str">
        <f>HYPERLINK("https://github.com/tmwilliamlin168/CompetitiveProgramming/blob/master/CEOI/17-Sure.cpp", "Sol")</f>
        <v>Sol</v>
      </c>
      <c r="E296" s="31" t="s">
        <v>2153</v>
      </c>
      <c r="F296" s="37"/>
      <c r="G296" s="24"/>
      <c r="H296" s="53"/>
    </row>
    <row r="297" spans="1:8" ht="13.2">
      <c r="A297" s="65" t="str">
        <f>HYPERLINK("https://csacademy.com/contest/ceoi-2018-day-1/task/cloud-computing/", "CEOI 18-Cloud")</f>
        <v>CEOI 18-Cloud</v>
      </c>
      <c r="B297" s="20" t="s">
        <v>6949</v>
      </c>
      <c r="C297" s="21">
        <v>6</v>
      </c>
      <c r="D297" s="65" t="str">
        <f>HYPERLINK("https://github.com/mostafa-saad/MyCompetitiveProgramming/blob/master/Olympiad/CEOI/CEOI-18-Cloud.txt","Sol")</f>
        <v>Sol</v>
      </c>
      <c r="E297" s="31" t="s">
        <v>1793</v>
      </c>
      <c r="F297" s="37" t="s">
        <v>139</v>
      </c>
      <c r="G297" s="24"/>
      <c r="H297" s="53"/>
    </row>
    <row r="298" spans="1:8" ht="13.2">
      <c r="A298" s="65" t="str">
        <f>HYPERLINK("https://oj.uz/problem/view/CEOI18_fib","CEOI 18-Fib")</f>
        <v>CEOI 18-Fib</v>
      </c>
      <c r="B298" s="15" t="s">
        <v>6743</v>
      </c>
      <c r="C298" s="21">
        <v>8.5</v>
      </c>
      <c r="D298" s="65" t="str">
        <f>HYPERLINK("https://github.com/mostafa-saad/MyCompetitiveProgramming/tree/master/Olympiad/CEOI/official/2018/day2","Editorial")</f>
        <v>Editorial</v>
      </c>
      <c r="E298" s="31" t="s">
        <v>1018</v>
      </c>
      <c r="F298" s="37"/>
      <c r="G298" s="24"/>
      <c r="H298" s="53"/>
    </row>
    <row r="299" spans="1:8" ht="13.2">
      <c r="A299" s="65" t="str">
        <f>HYPERLINK("https://csacademy.com/contest/ceoi-2018-day-1/task/global-warming/", "CEOI 18-Global")</f>
        <v>CEOI 18-Global</v>
      </c>
      <c r="B299" s="20" t="s">
        <v>6785</v>
      </c>
      <c r="C299" s="21">
        <v>6</v>
      </c>
      <c r="D299" s="65" t="str">
        <f>HYPERLINK("https://github.com/mostafa-saad/MyCompetitiveProgramming/blob/master/Olympiad/CEOI/CEOI-18-Global.txt","Sol")</f>
        <v>Sol</v>
      </c>
      <c r="E299" s="31" t="s">
        <v>1018</v>
      </c>
      <c r="F299" s="37" t="s">
        <v>201</v>
      </c>
      <c r="G299" s="24"/>
      <c r="H299" s="53"/>
    </row>
    <row r="300" spans="1:8" ht="13.2">
      <c r="A300" s="65" t="str">
        <f>HYPERLINK("https://csacademy.com/contest/ceoi-2018-day-1/task/lottery/", "CEOI 18-Lottery")</f>
        <v>CEOI 18-Lottery</v>
      </c>
      <c r="B300" s="20" t="s">
        <v>6685</v>
      </c>
      <c r="C300" s="21">
        <v>6.25</v>
      </c>
      <c r="D300" s="65" t="str">
        <f>HYPERLINK("https://github.com/mostafa-saad/MyCompetitiveProgramming/blob/master/Olympiad/CEOI/CEOI-18-Lottery.txt","Sol")</f>
        <v>Sol</v>
      </c>
      <c r="E300" s="31" t="s">
        <v>575</v>
      </c>
      <c r="F300" s="37" t="s">
        <v>139</v>
      </c>
      <c r="G300" s="24"/>
      <c r="H300" s="53"/>
    </row>
    <row r="301" spans="1:8" ht="13.2">
      <c r="A301" s="65" t="str">
        <f>HYPERLINK("https://oj.uz/problem/view/CEOI18_toy","CEOI 18-Toy")</f>
        <v>CEOI 18-Toy</v>
      </c>
      <c r="B301" s="15" t="s">
        <v>7192</v>
      </c>
      <c r="C301" s="24">
        <v>6</v>
      </c>
      <c r="D301" s="65" t="str">
        <f>HYPERLINK("https://github.com/tmwilliamlin168/CompetitiveProgramming/blob/master/CEOI/18-Toy.cpp", "Sol")</f>
        <v>Sol</v>
      </c>
      <c r="E301" s="31" t="s">
        <v>3650</v>
      </c>
      <c r="F301" s="37"/>
      <c r="G301" s="24"/>
      <c r="H301" s="53"/>
    </row>
    <row r="302" spans="1:8" ht="13.2">
      <c r="A302" s="65" t="str">
        <f>HYPERLINK("https://oj.uz/problem/view/CEOI18_tri","CEOI 18-Tri")</f>
        <v>CEOI 18-Tri</v>
      </c>
      <c r="B302" s="15" t="s">
        <v>7098</v>
      </c>
      <c r="C302" s="21">
        <v>6.75</v>
      </c>
      <c r="D302" s="69"/>
      <c r="E302" s="31" t="s">
        <v>3065</v>
      </c>
      <c r="F302" s="37"/>
      <c r="G302" s="24"/>
      <c r="H302" s="53"/>
    </row>
    <row r="303" spans="1:8" ht="13.2">
      <c r="A303" s="65" t="str">
        <f>HYPERLINK("https://codeforces.com/contest/1193","CEOI 19-AmusementPark")</f>
        <v>CEOI 19-AmusementPark</v>
      </c>
      <c r="B303" s="37" t="s">
        <v>6951</v>
      </c>
      <c r="C303" s="24">
        <v>7.5</v>
      </c>
      <c r="D303" s="65" t="str">
        <f>HYPERLINK("https://codeforces.com/blog/entry/68748","Editorial")</f>
        <v>Editorial</v>
      </c>
      <c r="E303" s="31" t="s">
        <v>1819</v>
      </c>
      <c r="F303" s="37" t="s">
        <v>139</v>
      </c>
      <c r="G303" s="24"/>
      <c r="H303" s="53"/>
    </row>
    <row r="304" spans="1:8" ht="13.2">
      <c r="A304" s="65" t="str">
        <f>HYPERLINK("https://codeforces.com/contest/1192/problem/C","CEOI 19-cubeword")</f>
        <v>CEOI 19-cubeword</v>
      </c>
      <c r="B304" s="23" t="s">
        <v>6872</v>
      </c>
      <c r="C304" s="24">
        <v>6.25</v>
      </c>
      <c r="D304" s="65" t="str">
        <f t="shared" ref="D304:D305" si="5">HYPERLINK("https://codeforces.com/blog/entry/68676","Editorial")</f>
        <v>Editorial</v>
      </c>
      <c r="E304" s="31" t="s">
        <v>1337</v>
      </c>
      <c r="F304" s="37" t="s">
        <v>139</v>
      </c>
      <c r="G304" s="24"/>
      <c r="H304" s="53"/>
    </row>
    <row r="305" spans="1:8" ht="13.2">
      <c r="A305" s="65" t="str">
        <f>HYPERLINK("https://codeforces.com/contest/1192/problem/B","CEOI 19-Diameter")</f>
        <v>CEOI 19-Diameter</v>
      </c>
      <c r="B305" s="23" t="s">
        <v>6745</v>
      </c>
      <c r="C305" s="24">
        <v>8</v>
      </c>
      <c r="D305" s="65" t="str">
        <f t="shared" si="5"/>
        <v>Editorial</v>
      </c>
      <c r="E305" s="31" t="s">
        <v>1018</v>
      </c>
      <c r="F305" s="37" t="s">
        <v>201</v>
      </c>
      <c r="G305" s="24"/>
      <c r="H305" s="53"/>
    </row>
    <row r="306" spans="1:8" ht="13.2">
      <c r="A306" s="65" t="str">
        <f>HYPERLINK("https://codeforces.com/contest/1193","CEOI 19-MagicTree")</f>
        <v>CEOI 19-MagicTree</v>
      </c>
      <c r="B306" s="37" t="s">
        <v>6845</v>
      </c>
      <c r="C306" s="24">
        <v>6.7</v>
      </c>
      <c r="D306" s="65" t="str">
        <f>HYPERLINK("https://github.com/mostafa-saad/MyCompetitiveProgramming/blob/master/Olympiad/CEOI/CEOI-19-MagicTree.txt","Sol")</f>
        <v>Sol</v>
      </c>
      <c r="E306" s="31" t="s">
        <v>1337</v>
      </c>
      <c r="F306" s="37" t="s">
        <v>154</v>
      </c>
      <c r="G306" s="24"/>
      <c r="H306" s="53"/>
    </row>
    <row r="307" spans="1:8" ht="13.2">
      <c r="A307" s="65" t="str">
        <f>HYPERLINK("https://codeforces.com/contest/1193","CEOI 19-Scissors")</f>
        <v>CEOI 19-Scissors</v>
      </c>
      <c r="B307" s="37" t="s">
        <v>7527</v>
      </c>
      <c r="C307" s="24">
        <v>8.5</v>
      </c>
      <c r="D307" s="65" t="str">
        <f>HYPERLINK("https://codeforces.com/blog/entry/68748","Editorial")</f>
        <v>Editorial</v>
      </c>
      <c r="E307" s="31" t="s">
        <v>7525</v>
      </c>
      <c r="F307" s="37"/>
      <c r="G307" s="24"/>
      <c r="H307" s="53"/>
    </row>
    <row r="308" spans="1:8" ht="13.2">
      <c r="A308" s="65" t="str">
        <f>HYPERLINK("https://codeforces.com/contest/1192/problem/A","CEOI 19-Skyscrapers")</f>
        <v>CEOI 19-Skyscrapers</v>
      </c>
      <c r="B308" s="37" t="s">
        <v>7283</v>
      </c>
      <c r="C308" s="24">
        <v>8</v>
      </c>
      <c r="D308" s="65" t="str">
        <f>HYPERLINK("https://codeforces.com/blog/entry/68676","Editorial")</f>
        <v>Editorial</v>
      </c>
      <c r="E308" s="31" t="s">
        <v>4423</v>
      </c>
      <c r="F308" s="37" t="s">
        <v>139</v>
      </c>
      <c r="G308" s="24"/>
      <c r="H308" s="53"/>
    </row>
    <row r="309" spans="1:8" ht="13.2">
      <c r="A309" s="65" t="str">
        <f>HYPERLINK("https://oj.uz/problem/view/CEOI17_museum","CEOIPractice 17-Museum")</f>
        <v>CEOIPractice 17-Museum</v>
      </c>
      <c r="B309" s="18" t="s">
        <v>7505</v>
      </c>
      <c r="C309" s="17">
        <v>6.3</v>
      </c>
      <c r="D309" s="65" t="str">
        <f>HYPERLINK("https://github.com/mostafa-saad/MyCompetitiveProgramming/blob/master/Olympiad/CEOI/CEOIPractice_17-Museum.txt","Sol")</f>
        <v>Sol</v>
      </c>
      <c r="E309" s="31" t="s">
        <v>6459</v>
      </c>
      <c r="F309" s="37" t="s">
        <v>1053</v>
      </c>
      <c r="G309" s="24"/>
      <c r="H309" s="53"/>
    </row>
    <row r="310" spans="1:8" ht="13.2">
      <c r="A310" s="65" t="str">
        <f>HYPERLINK("https://dmoj.ca/problem/coci06c2p2","COCI 06-ABC")</f>
        <v>COCI 06-ABC</v>
      </c>
      <c r="B310" s="15" t="s">
        <v>6646</v>
      </c>
      <c r="C310" s="24">
        <v>2</v>
      </c>
      <c r="D310" s="65" t="str">
        <f>HYPERLINK("https://github.com/mostafa-saad/MyCompetitiveProgramming/tree/master/Olympiad/COCI/official/2007/contest2_solutions","Editorial")</f>
        <v>Editorial</v>
      </c>
      <c r="E310" s="31" t="s">
        <v>125</v>
      </c>
      <c r="F310" s="37"/>
      <c r="G310" s="24"/>
      <c r="H310" s="53"/>
    </row>
    <row r="311" spans="1:8" ht="13.2">
      <c r="A311" s="65" t="str">
        <f>HYPERLINK("https://wcipeg.com/problem/coci067p1","COCI 06-Bard")</f>
        <v>COCI 06-Bard</v>
      </c>
      <c r="B311" s="15" t="s">
        <v>7527</v>
      </c>
      <c r="C311" s="24">
        <v>3</v>
      </c>
      <c r="D311" s="65" t="str">
        <f>HYPERLINK("https://github.com/mostafa-saad/MyCompetitiveProgramming/tree/master/Olympiad/COCI/official/2007/regional_solutions","Editorial")</f>
        <v>Editorial</v>
      </c>
      <c r="E311" s="31" t="s">
        <v>7525</v>
      </c>
      <c r="F311" s="37"/>
      <c r="G311" s="24"/>
      <c r="H311" s="53"/>
    </row>
    <row r="312" spans="1:8" ht="13.2">
      <c r="A312" s="65" t="str">
        <f>HYPERLINK("https://dmoj.ca/problem/coci06c3p5","COCI 06-Bicikli")</f>
        <v>COCI 06-Bicikli</v>
      </c>
      <c r="B312" s="15" t="s">
        <v>7280</v>
      </c>
      <c r="C312" s="24">
        <v>4.5</v>
      </c>
      <c r="D312" s="65" t="str">
        <f>HYPERLINK("https://github.com/mostafa-saad/MyCompetitiveProgramming/blob/master/Olympiad/CEOI/06-Bicikli.txt","Sol")</f>
        <v>Sol</v>
      </c>
      <c r="E312" s="31" t="s">
        <v>4344</v>
      </c>
      <c r="F312" s="37" t="s">
        <v>196</v>
      </c>
      <c r="G312" s="24"/>
      <c r="H312" s="53"/>
    </row>
    <row r="313" spans="1:8" ht="13.2">
      <c r="A313" s="65" t="str">
        <f>HYPERLINK("https://dmoj.ca/problem/coci06c1p5","COCI 06-Bond")</f>
        <v>COCI 06-Bond</v>
      </c>
      <c r="B313" s="15" t="s">
        <v>6962</v>
      </c>
      <c r="C313" s="24">
        <v>4.5</v>
      </c>
      <c r="D313" s="65" t="str">
        <f>HYPERLINK("https://github.com/mostafa-saad/MyCompetitiveProgramming/tree/master/Olympiad/COCI/official/2007/contest1_solutions","Editorial")</f>
        <v>Editorial</v>
      </c>
      <c r="E313" s="31" t="s">
        <v>1819</v>
      </c>
      <c r="F313" s="37" t="s">
        <v>139</v>
      </c>
      <c r="G313" s="24"/>
      <c r="H313" s="53"/>
    </row>
    <row r="314" spans="1:8" ht="13.2">
      <c r="A314" s="65" t="str">
        <f>HYPERLINK("https://wcipeg.com/problem/coci067p4","COCI 06-Circle")</f>
        <v>COCI 06-Circle</v>
      </c>
      <c r="B314" s="15" t="s">
        <v>7086</v>
      </c>
      <c r="C314" s="24">
        <v>5</v>
      </c>
      <c r="D314" s="65" t="str">
        <f>HYPERLINK("https://github.com/mostafa-saad/MyCompetitiveProgramming/blob/master/Olympiad/COCI/COCI-06-Circle.txt","Sol")</f>
        <v>Sol</v>
      </c>
      <c r="E314" s="31" t="s">
        <v>2798</v>
      </c>
      <c r="F314" s="37" t="s">
        <v>201</v>
      </c>
      <c r="G314" s="24"/>
      <c r="H314" s="53"/>
    </row>
    <row r="315" spans="1:8" ht="13.2">
      <c r="A315" s="65" t="str">
        <f>HYPERLINK("https://dmoj.ca/problem/coci06c1p6","COCI 06-Debug")</f>
        <v>COCI 06-Debug</v>
      </c>
      <c r="B315" s="15" t="s">
        <v>7521</v>
      </c>
      <c r="C315" s="24">
        <v>6</v>
      </c>
      <c r="D315" s="65" t="str">
        <f>HYPERLINK("https://github.com/mostafa-saad/MyCompetitiveProgramming/blob/master/Olympiad/COCI/COCI-06-Debug.txt","Sol")</f>
        <v>Sol</v>
      </c>
      <c r="E315" s="31" t="s">
        <v>6505</v>
      </c>
      <c r="F315" s="37" t="s">
        <v>201</v>
      </c>
      <c r="G315" s="24"/>
      <c r="H315" s="53"/>
    </row>
    <row r="316" spans="1:8" ht="13.2">
      <c r="A316" s="65" t="str">
        <f>HYPERLINK("https://dmoj.ca/problem/coci06c5p6","COCI 06-Dvaput")</f>
        <v>COCI 06-Dvaput</v>
      </c>
      <c r="B316" s="15" t="s">
        <v>7688</v>
      </c>
      <c r="C316" s="24">
        <v>5.5</v>
      </c>
      <c r="D316" s="65" t="str">
        <f>HYPERLINK("https://github.com/mostafa-saad/MyCompetitiveProgramming/blob/master/Olympiad/COCI/COCI-06-Dvaput.txt","Sol")</f>
        <v>Sol</v>
      </c>
      <c r="E316" s="31" t="s">
        <v>6505</v>
      </c>
      <c r="F316" s="37" t="s">
        <v>242</v>
      </c>
      <c r="G316" s="24"/>
      <c r="H316" s="53"/>
    </row>
    <row r="317" spans="1:8" ht="13.2">
      <c r="A317" s="65" t="str">
        <f>HYPERLINK("https://wcipeg.com/problem/coci067p3","COCI 06-Firefly")</f>
        <v>COCI 06-Firefly</v>
      </c>
      <c r="B317" s="15" t="s">
        <v>245</v>
      </c>
      <c r="C317" s="24">
        <v>3</v>
      </c>
      <c r="D317" s="65" t="str">
        <f>HYPERLINK("https://github.com/mostafa-saad/MyCompetitiveProgramming/tree/master/Olympiad/COCI/official/2007/regional_solutions","Editorial")</f>
        <v>Editorial</v>
      </c>
      <c r="E317" s="31" t="s">
        <v>125</v>
      </c>
      <c r="F317" s="37"/>
      <c r="G317" s="24"/>
      <c r="H317" s="53"/>
    </row>
    <row r="318" spans="1:8" ht="13.2">
      <c r="A318" s="65" t="str">
        <f>HYPERLINK("https://dmoj.ca/problem/coci06c1p2","COCI 06-Herman")</f>
        <v>COCI 06-Herman</v>
      </c>
      <c r="B318" s="15" t="s">
        <v>6646</v>
      </c>
      <c r="C318" s="24">
        <v>2</v>
      </c>
      <c r="D318" s="65" t="str">
        <f>HYPERLINK("https://github.com/mostafa-saad/MyCompetitiveProgramming/tree/master/Olympiad/COCI/official/2007/contest1_solutions","Editorial")</f>
        <v>Editorial</v>
      </c>
      <c r="E318" s="31" t="s">
        <v>125</v>
      </c>
      <c r="F318" s="37"/>
      <c r="G318" s="24"/>
      <c r="H318" s="53"/>
    </row>
    <row r="319" spans="1:8" ht="13.2">
      <c r="A319" s="65" t="str">
        <f>HYPERLINK("https://dmoj.ca/problem/coci06c4p6","COCI 06-Ispiti")</f>
        <v>COCI 06-Ispiti</v>
      </c>
      <c r="B319" s="15" t="s">
        <v>6787</v>
      </c>
      <c r="C319" s="24">
        <v>6</v>
      </c>
      <c r="D319" s="65" t="str">
        <f>HYPERLINK("https://github.com/mostafa-saad/MyCompetitiveProgramming/blob/master/Olympiad/COCI/COCI-06-Ispiti.txt","Sol")</f>
        <v>Sol</v>
      </c>
      <c r="E319" s="31" t="s">
        <v>1018</v>
      </c>
      <c r="F319" s="37" t="s">
        <v>201</v>
      </c>
      <c r="G319" s="24"/>
      <c r="H319" s="53"/>
    </row>
    <row r="320" spans="1:8" ht="13.2">
      <c r="A320" s="65" t="str">
        <f>HYPERLINK("https://dmoj.ca/problem/coci06c5p5","COCI 06-Ivana")</f>
        <v>COCI 06-Ivana</v>
      </c>
      <c r="B320" s="15" t="s">
        <v>124</v>
      </c>
      <c r="C320" s="24">
        <v>5</v>
      </c>
      <c r="D320" s="65" t="str">
        <f>HYPERLINK("https://github.com/mostafa-saad/MyCompetitiveProgramming/tree/master/Olympiad/COCI/official/2007/contest5_solutions","Editorial")</f>
        <v>Editorial</v>
      </c>
      <c r="E320" s="31" t="s">
        <v>125</v>
      </c>
      <c r="F320" s="37"/>
      <c r="G320" s="24"/>
      <c r="H320" s="53"/>
    </row>
    <row r="321" spans="1:8" ht="13.2">
      <c r="A321" s="65" t="str">
        <f>HYPERLINK("https://dmoj.ca/problem/coci06c4p5","COCI 06-Jogurt")</f>
        <v>COCI 06-Jogurt</v>
      </c>
      <c r="B321" s="15" t="s">
        <v>3264</v>
      </c>
      <c r="C321" s="24">
        <v>5.25</v>
      </c>
      <c r="D321" s="65" t="str">
        <f>HYPERLINK("https://github.com/mostafa-saad/MyCompetitiveProgramming/blob/master/Olympiad/COCI/COCI-06-Jogurt.txt","Sol")</f>
        <v>Sol</v>
      </c>
      <c r="E321" s="31" t="s">
        <v>3257</v>
      </c>
      <c r="F321" s="37" t="s">
        <v>139</v>
      </c>
      <c r="G321" s="24"/>
      <c r="H321" s="53"/>
    </row>
    <row r="322" spans="1:8" ht="13.2">
      <c r="A322" s="65" t="str">
        <f>HYPERLINK("https://dmoj.ca/problem/coci06c6p4","COCI 06-Kamen")</f>
        <v>COCI 06-Kamen</v>
      </c>
      <c r="B322" s="15" t="s">
        <v>3649</v>
      </c>
      <c r="C322" s="24">
        <v>5.25</v>
      </c>
      <c r="D322" s="65" t="str">
        <f>HYPERLINK("https://github.com/mostafa-saad/MyCompetitiveProgramming/blob/master/Olympiad/CEOI/COCI-06-Kamen.txt","Sol")</f>
        <v>Sol</v>
      </c>
      <c r="E322" s="31" t="s">
        <v>3650</v>
      </c>
      <c r="F322" s="37" t="s">
        <v>139</v>
      </c>
      <c r="G322" s="24"/>
      <c r="H322" s="53"/>
    </row>
    <row r="323" spans="1:8" ht="13.2">
      <c r="A323" s="65" t="str">
        <f>HYPERLINK("https://dmoj.ca/problem/coci06c2p3","COCI 06-Kolone")</f>
        <v>COCI 06-Kolone</v>
      </c>
      <c r="B323" s="15" t="s">
        <v>587</v>
      </c>
      <c r="C323" s="24">
        <v>2</v>
      </c>
      <c r="D323" s="65" t="str">
        <f>HYPERLINK("https://github.com/mostafa-saad/MyCompetitiveProgramming/tree/master/Olympiad/COCI/official/2007/contest2_solutions","Editorial")</f>
        <v>Editorial</v>
      </c>
      <c r="E323" s="31" t="s">
        <v>575</v>
      </c>
      <c r="F323" s="37"/>
      <c r="G323" s="24"/>
      <c r="H323" s="53"/>
    </row>
    <row r="324" spans="1:8" ht="13.2">
      <c r="A324" s="65" t="str">
        <f>HYPERLINK("https://wcipeg.com/problem/coci065p4","COCI 06-Liga")</f>
        <v>COCI 06-Liga</v>
      </c>
      <c r="B324" s="15" t="s">
        <v>7527</v>
      </c>
      <c r="C324" s="24">
        <v>4.5</v>
      </c>
      <c r="D324" s="65" t="str">
        <f>HYPERLINK("https://github.com/mostafa-saad/MyCompetitiveProgramming/tree/master/Olympiad/COCI/official/2007/contest5_solutions","Editorial")</f>
        <v>Editorial</v>
      </c>
      <c r="E324" s="31" t="s">
        <v>7525</v>
      </c>
      <c r="F324" s="37"/>
      <c r="G324" s="24"/>
      <c r="H324" s="53"/>
    </row>
    <row r="325" spans="1:8" ht="13.2">
      <c r="A325" s="65" t="str">
        <f>HYPERLINK("https://dmoj.ca/problem/coci06c3p6","COCI 06-lista")</f>
        <v>COCI 06-lista</v>
      </c>
      <c r="B325" s="15" t="s">
        <v>7404</v>
      </c>
      <c r="C325" s="24">
        <v>5.5</v>
      </c>
      <c r="D325" s="65" t="str">
        <f>HYPERLINK("https://github.com/tsouza0/CompetitiveProgramming/blob/master/Olympiads/COCI/lista.cpp","Sol")</f>
        <v>Sol</v>
      </c>
      <c r="E325" s="31" t="s">
        <v>5958</v>
      </c>
      <c r="F325" s="37"/>
      <c r="G325" s="24"/>
      <c r="H325" s="53"/>
    </row>
    <row r="326" spans="1:8" ht="13.2">
      <c r="A326" s="65" t="str">
        <f>HYPERLINK("https://dmoj.ca/problem/coci06c6p2","COCI 06-Magija")</f>
        <v>COCI 06-Magija</v>
      </c>
      <c r="B326" s="20" t="s">
        <v>6646</v>
      </c>
      <c r="C326" s="24">
        <v>2</v>
      </c>
      <c r="D326" s="65" t="str">
        <f t="shared" ref="D326:D327" si="6">HYPERLINK("https://github.com/mostafa-saad/MyCompetitiveProgramming/tree/master/Olympiad/COCI/official/2007/contest6_solutions","Editorial")</f>
        <v>Editorial</v>
      </c>
      <c r="E326" s="31" t="s">
        <v>125</v>
      </c>
      <c r="F326" s="37"/>
      <c r="G326" s="24"/>
      <c r="H326" s="53"/>
    </row>
    <row r="327" spans="1:8" ht="13.2">
      <c r="A327" s="65" t="str">
        <f>HYPERLINK("https://dmoj.ca/problem/coci06c6p3","COCI 06-Maraton")</f>
        <v>COCI 06-Maraton</v>
      </c>
      <c r="B327" s="15" t="s">
        <v>7527</v>
      </c>
      <c r="C327" s="24">
        <v>3</v>
      </c>
      <c r="D327" s="65" t="str">
        <f t="shared" si="6"/>
        <v>Editorial</v>
      </c>
      <c r="E327" s="31" t="s">
        <v>7525</v>
      </c>
      <c r="F327" s="37"/>
      <c r="G327" s="24"/>
      <c r="H327" s="53"/>
    </row>
    <row r="328" spans="1:8" ht="13.2">
      <c r="A328" s="65" t="str">
        <f>HYPERLINK("https://dmoj.ca/problem/coci06c1p1","COCI 06-Modulo")</f>
        <v>COCI 06-Modulo</v>
      </c>
      <c r="B328" s="15" t="s">
        <v>6646</v>
      </c>
      <c r="C328" s="24">
        <v>1</v>
      </c>
      <c r="D328" s="65" t="str">
        <f>HYPERLINK("https://github.com/mostafa-saad/MyCompetitiveProgramming/tree/master/Olympiad/COCI/official/2007/contest1_solutions","Editorial")</f>
        <v>Editorial</v>
      </c>
      <c r="E328" s="31" t="s">
        <v>125</v>
      </c>
      <c r="F328" s="37"/>
      <c r="G328" s="24"/>
      <c r="H328" s="53"/>
    </row>
    <row r="329" spans="1:8" ht="13.2">
      <c r="A329" s="65" t="str">
        <f>HYPERLINK("https://dmoj.ca/problem/coci06c5p2","COCI 06-Natrij")</f>
        <v>COCI 06-Natrij</v>
      </c>
      <c r="B329" s="20" t="s">
        <v>6646</v>
      </c>
      <c r="C329" s="24">
        <v>2</v>
      </c>
      <c r="D329" s="65" t="str">
        <f>HYPERLINK("https://github.com/mostafa-saad/MyCompetitiveProgramming/tree/master/Olympiad/COCI/official/2007/contest5_solutions","Editorial")</f>
        <v>Editorial</v>
      </c>
      <c r="E329" s="31" t="s">
        <v>125</v>
      </c>
      <c r="F329" s="37"/>
      <c r="G329" s="24"/>
      <c r="H329" s="53"/>
    </row>
    <row r="330" spans="1:8" ht="13.2">
      <c r="A330" s="65" t="str">
        <f>HYPERLINK("https://dmoj.ca/problem/coci06c3p2","COCI 06-npuzzle")</f>
        <v>COCI 06-npuzzle</v>
      </c>
      <c r="B330" s="20" t="s">
        <v>6646</v>
      </c>
      <c r="C330" s="24">
        <v>2</v>
      </c>
      <c r="D330" s="65" t="str">
        <f>HYPERLINK("https://github.com/mostafa-saad/MyCompetitiveProgramming/tree/master/Olympiad/COCI/official/2007/contest3_solutions","Editorial")</f>
        <v>Editorial</v>
      </c>
      <c r="E330" s="31" t="s">
        <v>125</v>
      </c>
      <c r="F330" s="37"/>
      <c r="G330" s="24"/>
      <c r="H330" s="53"/>
    </row>
    <row r="331" spans="1:8" ht="13.2">
      <c r="A331" s="65" t="str">
        <f>HYPERLINK("https://dmoj.ca/problem/coci06c1p3","COCI 06-Okviri")</f>
        <v>COCI 06-Okviri</v>
      </c>
      <c r="B331" s="15" t="s">
        <v>7527</v>
      </c>
      <c r="C331" s="24">
        <v>3</v>
      </c>
      <c r="D331" s="65" t="str">
        <f>HYPERLINK("https://github.com/mostafa-saad/MyCompetitiveProgramming/tree/master/Olympiad/COCI/official/2007/contest1_solutions","Editorial")</f>
        <v>Editorial</v>
      </c>
      <c r="E331" s="31" t="s">
        <v>7525</v>
      </c>
      <c r="F331" s="37"/>
      <c r="G331" s="24"/>
      <c r="H331" s="53"/>
    </row>
    <row r="332" spans="1:8" ht="13.2">
      <c r="A332" s="65" t="str">
        <f>HYPERLINK("https://dmoj.ca/problem/coci06c3p1","COCI 06-Patuljci")</f>
        <v>COCI 06-Patuljci</v>
      </c>
      <c r="B332" s="15" t="s">
        <v>7527</v>
      </c>
      <c r="C332" s="24">
        <v>1</v>
      </c>
      <c r="D332" s="65" t="str">
        <f>HYPERLINK("https://github.com/mostafa-saad/MyCompetitiveProgramming/tree/master/Olympiad/COCI/official/2007/contest3_solutions","Editorial")</f>
        <v>Editorial</v>
      </c>
      <c r="E332" s="31" t="s">
        <v>7525</v>
      </c>
      <c r="F332" s="37"/>
      <c r="G332" s="24"/>
      <c r="H332" s="53"/>
    </row>
    <row r="333" spans="1:8" ht="13.2">
      <c r="A333" s="65" t="str">
        <f>HYPERLINK("https://dmoj.ca/problem/coci06c6p1","COCI 06-Prase")</f>
        <v>COCI 06-Prase</v>
      </c>
      <c r="B333" s="15" t="s">
        <v>7527</v>
      </c>
      <c r="C333" s="24">
        <v>1</v>
      </c>
      <c r="D333" s="65" t="str">
        <f>HYPERLINK("https://github.com/mostafa-saad/MyCompetitiveProgramming/tree/master/Olympiad/COCI/official/2007/contest6_solutions","Editorial")</f>
        <v>Editorial</v>
      </c>
      <c r="E333" s="31" t="s">
        <v>7525</v>
      </c>
      <c r="F333" s="37"/>
      <c r="G333" s="24"/>
      <c r="H333" s="53"/>
    </row>
    <row r="334" spans="1:8" ht="13.2">
      <c r="A334" s="65" t="str">
        <f>HYPERLINK("https://dmoj.ca/problem/coci06c6p6","COCI 06-Prostor")</f>
        <v>COCI 06-Prostor</v>
      </c>
      <c r="B334" s="15" t="s">
        <v>7106</v>
      </c>
      <c r="C334" s="24">
        <v>6.75</v>
      </c>
      <c r="D334" s="65" t="str">
        <f>HYPERLINK("https://github.com/mostafa-saad/MyCompetitiveProgramming/blob/master/Olympiad/COCI/COCI-06-Prostor.txt","Sol")</f>
        <v>Sol</v>
      </c>
      <c r="E334" s="31" t="s">
        <v>3140</v>
      </c>
      <c r="F334" s="37" t="s">
        <v>154</v>
      </c>
      <c r="G334" s="24"/>
      <c r="H334" s="53"/>
    </row>
    <row r="335" spans="1:8" ht="13.2">
      <c r="A335" s="65" t="str">
        <f>HYPERLINK("https://dmoj.ca/problem/coci06c4p3","COCI 06-Prsteni")</f>
        <v>COCI 06-Prsteni</v>
      </c>
      <c r="B335" s="20" t="s">
        <v>6646</v>
      </c>
      <c r="C335" s="24">
        <v>2</v>
      </c>
      <c r="D335" s="65" t="str">
        <f>HYPERLINK("https://github.com/mostafa-saad/MyCompetitiveProgramming/tree/master/Olympiad/COCI/official/2007/contest4_solutions","Editorial")</f>
        <v>Editorial</v>
      </c>
      <c r="E335" s="31" t="s">
        <v>125</v>
      </c>
      <c r="F335" s="37"/>
      <c r="G335" s="24"/>
      <c r="H335" s="53"/>
    </row>
    <row r="336" spans="1:8" ht="13.2">
      <c r="A336" s="65" t="str">
        <f>HYPERLINK("https://dmoj.ca/problem/coci06c2p1","COCI 06-R2")</f>
        <v>COCI 06-R2</v>
      </c>
      <c r="B336" s="15" t="s">
        <v>6646</v>
      </c>
      <c r="C336" s="24">
        <v>1</v>
      </c>
      <c r="D336" s="65" t="str">
        <f>HYPERLINK("https://github.com/mostafa-saad/MyCompetitiveProgramming/tree/master/Olympiad/COCI/official/2007/contest2_solutions","Editorial")</f>
        <v>Editorial</v>
      </c>
      <c r="E336" s="31" t="s">
        <v>125</v>
      </c>
      <c r="F336" s="37"/>
      <c r="G336" s="24"/>
      <c r="H336" s="53"/>
    </row>
    <row r="337" spans="1:8" ht="13.2">
      <c r="A337" s="65" t="str">
        <f>HYPERLINK("https://dmoj.ca/problem/coci06c4p1","COCI 06-Sibice")</f>
        <v>COCI 06-Sibice</v>
      </c>
      <c r="B337" s="15" t="s">
        <v>7527</v>
      </c>
      <c r="C337" s="24">
        <v>1</v>
      </c>
      <c r="D337" s="65" t="str">
        <f>HYPERLINK("https://github.com/mostafa-saad/MyCompetitiveProgramming/tree/master/Olympiad/COCI/official/2007/contest4_solutions","Editorial")</f>
        <v>Editorial</v>
      </c>
      <c r="E337" s="31" t="s">
        <v>7525</v>
      </c>
      <c r="F337" s="37"/>
      <c r="G337" s="24"/>
      <c r="H337" s="53"/>
    </row>
    <row r="338" spans="1:8" ht="13.2">
      <c r="A338" s="65" t="str">
        <f>HYPERLINK("https://dmoj.ca/problem/coci06c2p4","COCI 06-Sjecista")</f>
        <v>COCI 06-Sjecista</v>
      </c>
      <c r="B338" s="15" t="s">
        <v>7527</v>
      </c>
      <c r="C338" s="24">
        <v>4</v>
      </c>
      <c r="D338" s="65" t="str">
        <f>HYPERLINK("https://github.com/mostafa-saad/MyCompetitiveProgramming/tree/master/Olympiad/COCI/official/2007/contest2_solutions","Editorial")</f>
        <v>Editorial</v>
      </c>
      <c r="E338" s="31" t="s">
        <v>7525</v>
      </c>
      <c r="F338" s="37"/>
      <c r="G338" s="24"/>
      <c r="H338" s="53"/>
    </row>
    <row r="339" spans="1:8" ht="13.2">
      <c r="A339" s="65" t="str">
        <f>HYPERLINK("https://dmoj.ca/problem/coci06c4p2","COCI 06-Skener")</f>
        <v>COCI 06-Skener</v>
      </c>
      <c r="B339" s="20" t="s">
        <v>6646</v>
      </c>
      <c r="C339" s="24">
        <v>2</v>
      </c>
      <c r="D339" s="65" t="str">
        <f>HYPERLINK("https://github.com/mostafa-saad/MyCompetitiveProgramming/tree/master/Olympiad/COCI/official/2007/contest4_solutions","Editorial")</f>
        <v>Editorial</v>
      </c>
      <c r="E339" s="31" t="s">
        <v>125</v>
      </c>
      <c r="F339" s="37"/>
      <c r="G339" s="24"/>
      <c r="H339" s="53"/>
    </row>
    <row r="340" spans="1:8" ht="13.2">
      <c r="A340" s="65" t="str">
        <f>HYPERLINK("https://dmoj.ca/problem/coci06c1p4","COCI 06-Slikar")</f>
        <v>COCI 06-Slikar</v>
      </c>
      <c r="B340" s="15" t="s">
        <v>3466</v>
      </c>
      <c r="C340" s="24">
        <v>4</v>
      </c>
      <c r="D340" s="65" t="str">
        <f>HYPERLINK("https://github.com/mostafa-saad/MyCompetitiveProgramming/tree/master/Olympiad/COCI/official/2007/contest1_solutions","Editorial")</f>
        <v>Editorial</v>
      </c>
      <c r="E340" s="31" t="s">
        <v>3467</v>
      </c>
      <c r="F340" s="37" t="s">
        <v>201</v>
      </c>
      <c r="G340" s="24"/>
      <c r="H340" s="53"/>
    </row>
    <row r="341" spans="1:8" ht="13.2">
      <c r="A341" s="65" t="str">
        <f>HYPERLINK("https://dmoj.ca/problem/coci06c2p5","COCI 06-Stol")</f>
        <v>COCI 06-Stol</v>
      </c>
      <c r="B341" s="15" t="s">
        <v>1348</v>
      </c>
      <c r="C341" s="24">
        <v>5</v>
      </c>
      <c r="D341" s="65" t="str">
        <f>HYPERLINK("https://github.com/mostafa-saad/MyCompetitiveProgramming/tree/master/Olympiad/COCI/official/2007/contest2_solutions","Editorial")</f>
        <v>Editorial</v>
      </c>
      <c r="E341" s="31" t="s">
        <v>1337</v>
      </c>
      <c r="F341" s="37"/>
      <c r="G341" s="24"/>
      <c r="H341" s="53"/>
    </row>
    <row r="342" spans="1:8" ht="13.2">
      <c r="A342" s="65" t="str">
        <f>HYPERLINK("https://dmoj.ca/problem/coci06c2p6","COCI 06-Straza")</f>
        <v>COCI 06-Straza</v>
      </c>
      <c r="B342" s="15" t="s">
        <v>2891</v>
      </c>
      <c r="C342" s="24">
        <v>6.5</v>
      </c>
      <c r="D342" s="65" t="str">
        <f>HYPERLINK("https://github.com/mostafa-saad/MyCompetitiveProgramming/blob/master/Olympiad/COCI/COCI-06-Straza.txt","Sol")</f>
        <v>Sol</v>
      </c>
      <c r="E342" s="31" t="s">
        <v>2865</v>
      </c>
      <c r="F342" s="37" t="s">
        <v>139</v>
      </c>
      <c r="G342" s="24"/>
      <c r="H342" s="53"/>
    </row>
    <row r="343" spans="1:8" ht="13.2">
      <c r="A343" s="65" t="str">
        <f>HYPERLINK("https://dmoj.ca/problem/coci06c5p3","COCI 06-Tenis")</f>
        <v>COCI 06-Tenis</v>
      </c>
      <c r="B343" s="15" t="s">
        <v>7527</v>
      </c>
      <c r="C343" s="24">
        <v>4.5</v>
      </c>
      <c r="D343" s="65" t="str">
        <f>HYPERLINK("https://github.com/mostafa-saad/MyCompetitiveProgramming/tree/master/Olympiad/COCI/official/2007/contest5_solutions","Editorial")</f>
        <v>Editorial</v>
      </c>
      <c r="E343" s="31" t="s">
        <v>7525</v>
      </c>
      <c r="F343" s="37"/>
      <c r="G343" s="24"/>
      <c r="H343" s="53"/>
    </row>
    <row r="344" spans="1:8" ht="13.2">
      <c r="A344" s="65" t="str">
        <f>HYPERLINK("https://wcipeg.com/problem/coci063p4","COCI 06-Tenkici")</f>
        <v>COCI 06-Tenkici</v>
      </c>
      <c r="B344" s="15" t="s">
        <v>6820</v>
      </c>
      <c r="C344" s="24">
        <v>5</v>
      </c>
      <c r="D344" s="65" t="str">
        <f>HYPERLINK("https://github.com/mostafa-saad/MyCompetitiveProgramming/blob/master/Olympiad/CEOI/COCI-06-Tenkici","Sol")</f>
        <v>Sol</v>
      </c>
      <c r="E344" s="31" t="s">
        <v>1223</v>
      </c>
      <c r="F344" s="37" t="s">
        <v>201</v>
      </c>
      <c r="G344" s="24"/>
      <c r="H344" s="53"/>
    </row>
    <row r="345" spans="1:8" ht="13.2">
      <c r="A345" s="65" t="str">
        <f>HYPERLINK("https://wcipeg.com/problem/coci067p2","COCI 06-Tetris")</f>
        <v>COCI 06-Tetris</v>
      </c>
      <c r="B345" s="15" t="s">
        <v>124</v>
      </c>
      <c r="C345" s="24">
        <v>3</v>
      </c>
      <c r="D345" s="65" t="str">
        <f>HYPERLINK("https://github.com/mostafa-saad/MyCompetitiveProgramming/tree/master/Olympiad/COCI/official/2007/regional_solutions","Editorial")</f>
        <v>Editorial</v>
      </c>
      <c r="E345" s="31" t="s">
        <v>125</v>
      </c>
      <c r="F345" s="37"/>
      <c r="G345" s="24"/>
      <c r="H345" s="53"/>
    </row>
    <row r="346" spans="1:8" ht="13.2">
      <c r="A346" s="65" t="str">
        <f>HYPERLINK("https://dmoj.ca/problem/coci06c5p1","COCI 06-Trik")</f>
        <v>COCI 06-Trik</v>
      </c>
      <c r="B346" s="15" t="s">
        <v>7527</v>
      </c>
      <c r="C346" s="24">
        <v>1</v>
      </c>
      <c r="D346" s="65" t="str">
        <f>HYPERLINK("https://github.com/mostafa-saad/MyCompetitiveProgramming/tree/master/Olympiad/COCI/official/2007/contest5_solutions","Editorial")</f>
        <v>Editorial</v>
      </c>
      <c r="E346" s="31" t="s">
        <v>7525</v>
      </c>
      <c r="F346" s="37"/>
      <c r="G346" s="24"/>
      <c r="H346" s="53"/>
    </row>
    <row r="347" spans="1:8" ht="13.2">
      <c r="A347" s="65" t="str">
        <f>HYPERLINK("https://dmoj.ca/problem/coci06c3p3","COCI 06-Trojke")</f>
        <v>COCI 06-Trojke</v>
      </c>
      <c r="B347" s="15" t="s">
        <v>4530</v>
      </c>
      <c r="C347" s="24">
        <v>2</v>
      </c>
      <c r="D347" s="65" t="str">
        <f>HYPERLINK("https://github.com/mostafa-saad/MyCompetitiveProgramming/tree/master/Olympiad/COCI/official/2007/contest3_solutions","Editorial")</f>
        <v>Editorial</v>
      </c>
      <c r="E347" s="31" t="s">
        <v>4531</v>
      </c>
      <c r="F347" s="37"/>
      <c r="G347" s="24"/>
      <c r="H347" s="53"/>
    </row>
    <row r="348" spans="1:8" ht="13.2">
      <c r="A348" s="65" t="str">
        <f>HYPERLINK("https://dmoj.ca/problem/coci06c6p5","COCI 06-V")</f>
        <v>COCI 06-V</v>
      </c>
      <c r="B348" s="15" t="s">
        <v>1913</v>
      </c>
      <c r="C348" s="24">
        <v>5.5</v>
      </c>
      <c r="D348" s="65" t="str">
        <f>HYPERLINK("https://github.com/mostafa-saad/MyCompetitiveProgramming/tree/master/Olympiad/COCI/official/2007/contest6_solutions","Editorial")</f>
        <v>Editorial</v>
      </c>
      <c r="E348" s="31" t="s">
        <v>1909</v>
      </c>
      <c r="F348" s="37"/>
      <c r="G348" s="24"/>
      <c r="H348" s="53"/>
    </row>
    <row r="349" spans="1:8" ht="13.2">
      <c r="A349" s="65" t="str">
        <f>HYPERLINK("https://dmoj.ca/problem/coci06c4p4","COCI 06-Zbrka")</f>
        <v>COCI 06-Zbrka</v>
      </c>
      <c r="B349" s="15" t="s">
        <v>1348</v>
      </c>
      <c r="C349" s="24">
        <v>4.5</v>
      </c>
      <c r="D349" s="65" t="str">
        <f>HYPERLINK("https://github.com/mostafa-saad/MyCompetitiveProgramming/tree/master/Olympiad/COCI/official/2007/contest4_solutions","Editorial")</f>
        <v>Editorial</v>
      </c>
      <c r="E349" s="31" t="s">
        <v>1337</v>
      </c>
      <c r="F349" s="37" t="s">
        <v>139</v>
      </c>
      <c r="G349" s="24"/>
      <c r="H349" s="53"/>
    </row>
    <row r="350" spans="1:8" ht="13.2">
      <c r="A350" s="65" t="str">
        <f>HYPERLINK("https://dmoj.ca/problem/coci07c5p4","COCI 07-Avogadro")</f>
        <v>COCI 07-Avogadro</v>
      </c>
      <c r="B350" s="15" t="s">
        <v>2163</v>
      </c>
      <c r="C350" s="24">
        <v>5</v>
      </c>
      <c r="D350" s="65" t="str">
        <f>HYPERLINK("https://github.com/mostafa-saad/MyCompetitiveProgramming/tree/master/Olympiad/COCI/official/2008/contest5_solutions","Editorial")</f>
        <v>Editorial</v>
      </c>
      <c r="E350" s="31" t="s">
        <v>2153</v>
      </c>
      <c r="F350" s="37" t="s">
        <v>139</v>
      </c>
      <c r="G350" s="24"/>
      <c r="H350" s="53"/>
    </row>
    <row r="351" spans="1:8" ht="13.2">
      <c r="A351" s="65" t="str">
        <f>HYPERLINK("https://dmoj.ca/problem/coci07c5p5","COCI 07-Barica")</f>
        <v>COCI 07-Barica</v>
      </c>
      <c r="B351" s="15" t="s">
        <v>6919</v>
      </c>
      <c r="C351" s="24">
        <v>5.25</v>
      </c>
      <c r="D351" s="65" t="str">
        <f>HYPERLINK("https://github.com/mostafa-saad/MyCompetitiveProgramming/blob/master/Olympiad/COCI/COCI-07-Barica.txt","Sol")</f>
        <v>Sol</v>
      </c>
      <c r="E351" s="31" t="s">
        <v>1337</v>
      </c>
      <c r="F351" s="37" t="s">
        <v>201</v>
      </c>
      <c r="G351" s="24"/>
      <c r="H351" s="53"/>
    </row>
    <row r="352" spans="1:8" ht="13.2">
      <c r="A352" s="65" t="str">
        <f>HYPERLINK("https://dmoj.ca/problem/coci07c5p6","COCI 07-Baza")</f>
        <v>COCI 07-Baza</v>
      </c>
      <c r="B352" s="15" t="s">
        <v>7370</v>
      </c>
      <c r="C352" s="24">
        <v>6.5</v>
      </c>
      <c r="D352" s="65" t="str">
        <f>HYPERLINK("https://github.com/mostafa-saad/MyCompetitiveProgramming/blob/master/Olympiad/COCI/COCI-07-Baza.txt","Sol")</f>
        <v>Sol</v>
      </c>
      <c r="E352" s="31" t="s">
        <v>5643</v>
      </c>
      <c r="F352" s="37" t="s">
        <v>242</v>
      </c>
      <c r="G352" s="24"/>
      <c r="H352" s="53"/>
    </row>
    <row r="353" spans="1:8" ht="13.2">
      <c r="A353" s="65" t="str">
        <f>HYPERLINK("https://dmoj.ca/problem/coci07c2p1","COCI 07-Bijele")</f>
        <v>COCI 07-Bijele</v>
      </c>
      <c r="B353" s="15" t="s">
        <v>6646</v>
      </c>
      <c r="C353" s="24">
        <v>1</v>
      </c>
      <c r="D353" s="65" t="str">
        <f>HYPERLINK("https://github.com/mostafa-saad/MyCompetitiveProgramming/tree/master/Olympiad/COCI/official/2008/contest2_solutions","Editorial")</f>
        <v>Editorial</v>
      </c>
      <c r="E353" s="31" t="s">
        <v>125</v>
      </c>
      <c r="F353" s="37"/>
      <c r="G353" s="24"/>
      <c r="H353" s="53"/>
    </row>
    <row r="354" spans="1:8" ht="13.2">
      <c r="A354" s="65" t="str">
        <f>HYPERLINK("https://dmoj.ca/problem/coci07c6p6","COCI 07-Cestarine")</f>
        <v>COCI 07-Cestarine</v>
      </c>
      <c r="B354" s="15" t="s">
        <v>6864</v>
      </c>
      <c r="C354" s="24">
        <v>6.3</v>
      </c>
      <c r="D354" s="65" t="str">
        <f>HYPERLINK("https://github.com/mostafa-saad/MyCompetitiveProgramming/blob/master/Olympiad/COCI/COCI-07-Cestarine.txt","Sol")</f>
        <v>Sol</v>
      </c>
      <c r="E354" s="31" t="s">
        <v>1337</v>
      </c>
      <c r="F354" s="37" t="s">
        <v>139</v>
      </c>
      <c r="G354" s="24"/>
      <c r="H354" s="53"/>
    </row>
    <row r="355" spans="1:8" ht="13.2">
      <c r="A355" s="65" t="str">
        <f>HYPERLINK("https://dmoj.ca/problem/coci07c3p1","COCI 07-Cetiri")</f>
        <v>COCI 07-Cetiri</v>
      </c>
      <c r="B355" s="15" t="s">
        <v>7527</v>
      </c>
      <c r="C355" s="24">
        <v>1</v>
      </c>
      <c r="D355" s="65" t="str">
        <f>HYPERLINK("https://github.com/mostafa-saad/MyCompetitiveProgramming/tree/master/Olympiad/COCI/official/2008/contest3_solutions","Editorial")</f>
        <v>Editorial</v>
      </c>
      <c r="E355" s="31" t="s">
        <v>7525</v>
      </c>
      <c r="F355" s="37"/>
      <c r="G355" s="24"/>
      <c r="H355" s="53"/>
    </row>
    <row r="356" spans="1:8" ht="13.2">
      <c r="A356" s="65" t="str">
        <f>HYPERLINK("https://dmoj.ca/problem/coci07c1p1","COCI 07-Cetvrta")</f>
        <v>COCI 07-Cetvrta</v>
      </c>
      <c r="B356" s="15" t="s">
        <v>7527</v>
      </c>
      <c r="C356" s="24">
        <v>1</v>
      </c>
      <c r="D356" s="65" t="str">
        <f>HYPERLINK("https://github.com/mostafa-saad/MyCompetitiveProgramming/tree/master/Olympiad/COCI/official/2008/contest1_solutions","Editorial")</f>
        <v>Editorial</v>
      </c>
      <c r="E356" s="31" t="s">
        <v>7525</v>
      </c>
      <c r="F356" s="37"/>
      <c r="G356" s="24"/>
      <c r="H356" s="53"/>
    </row>
    <row r="357" spans="1:8" ht="13.2">
      <c r="A357" s="65" t="str">
        <f>HYPERLINK("https://dmoj.ca/problem/coci07c2p2","COCI 07-Crne")</f>
        <v>COCI 07-Crne</v>
      </c>
      <c r="B357" s="15" t="s">
        <v>7527</v>
      </c>
      <c r="C357" s="24">
        <v>1</v>
      </c>
      <c r="D357" s="65" t="str">
        <f>HYPERLINK("https://github.com/mostafa-saad/MyCompetitiveProgramming/tree/master/Olympiad/COCI/official/2008/contest2_solutions","Editorial")</f>
        <v>Editorial</v>
      </c>
      <c r="E357" s="31" t="s">
        <v>7525</v>
      </c>
      <c r="F357" s="37"/>
      <c r="G357" s="24"/>
      <c r="H357" s="53"/>
    </row>
    <row r="358" spans="1:8" ht="13.2">
      <c r="A358" s="65" t="str">
        <f>HYPERLINK("https://dmoj.ca/problem/coci07c3p5","COCI 07-Cudak")</f>
        <v>COCI 07-Cudak</v>
      </c>
      <c r="B358" s="15" t="s">
        <v>6122</v>
      </c>
      <c r="C358" s="24">
        <v>5.5</v>
      </c>
      <c r="D358" s="65" t="str">
        <f t="shared" ref="D358:D359" si="7">HYPERLINK("https://github.com/mostafa-saad/MyCompetitiveProgramming/tree/master/Olympiad/COCI/official/2008/contest3_solutions","Editorial")</f>
        <v>Editorial</v>
      </c>
      <c r="E358" s="31" t="s">
        <v>6118</v>
      </c>
      <c r="F358" s="37" t="s">
        <v>201</v>
      </c>
      <c r="G358" s="24"/>
      <c r="H358" s="53"/>
    </row>
    <row r="359" spans="1:8" ht="13.2">
      <c r="A359" s="65" t="str">
        <f>HYPERLINK("https://dmoj.ca/problem/coci07c3p4","COCI 07-Dejavu")</f>
        <v>COCI 07-Dejavu</v>
      </c>
      <c r="B359" s="15" t="s">
        <v>2509</v>
      </c>
      <c r="C359" s="24">
        <v>4</v>
      </c>
      <c r="D359" s="65" t="str">
        <f t="shared" si="7"/>
        <v>Editorial</v>
      </c>
      <c r="E359" s="31" t="s">
        <v>2510</v>
      </c>
      <c r="F359" s="37" t="s">
        <v>201</v>
      </c>
      <c r="G359" s="24"/>
      <c r="H359" s="53"/>
    </row>
    <row r="360" spans="1:8" ht="13.2">
      <c r="A360" s="65" t="str">
        <f>HYPERLINK("https://dmoj.ca/problem/coci07c6p4","COCI 07-George")</f>
        <v>COCI 07-George</v>
      </c>
      <c r="B360" s="15" t="s">
        <v>3791</v>
      </c>
      <c r="C360" s="24">
        <v>4</v>
      </c>
      <c r="D360" s="65" t="str">
        <f>HYPERLINK("https://github.com/mostafa-saad/MyCompetitiveProgramming/tree/master/Olympiad/COCI/official/2008/contest6_solutions","Editorial")</f>
        <v>Editorial</v>
      </c>
      <c r="E360" s="31" t="s">
        <v>3784</v>
      </c>
      <c r="F360" s="37"/>
      <c r="G360" s="24"/>
      <c r="H360" s="53"/>
    </row>
    <row r="361" spans="1:8" ht="13.2">
      <c r="A361" s="65" t="str">
        <f>HYPERLINK("https://dmoj.ca/problem/coci07c6p3","COCI 07-Granica")</f>
        <v>COCI 07-Granica</v>
      </c>
      <c r="B361" s="15" t="s">
        <v>7335</v>
      </c>
      <c r="C361" s="24">
        <v>5.5</v>
      </c>
      <c r="D361" s="65" t="str">
        <f>HYPERLINK("https://github.com/mostafa-saad/MyCompetitiveProgramming/blob/master/Olympiad/COCI/COCI-07-Granica.txt","Sol")</f>
        <v>Sol</v>
      </c>
      <c r="E361" s="31" t="s">
        <v>4809</v>
      </c>
      <c r="F361" s="37" t="s">
        <v>139</v>
      </c>
      <c r="G361" s="24"/>
      <c r="H361" s="53"/>
    </row>
    <row r="362" spans="1:8" ht="13.2">
      <c r="A362" s="65" t="str">
        <f>HYPERLINK("https://dmoj.ca/problem/coci07c5p3","COCI 07-Jabuke")</f>
        <v>COCI 07-Jabuke</v>
      </c>
      <c r="B362" s="15" t="s">
        <v>4530</v>
      </c>
      <c r="C362" s="24">
        <v>4</v>
      </c>
      <c r="D362" s="65" t="str">
        <f>HYPERLINK("https://github.com/mostafa-saad/MyCompetitiveProgramming/tree/master/Olympiad/COCI/official/2008/contest5_solutions","Editorial")</f>
        <v>Editorial</v>
      </c>
      <c r="E362" s="31" t="s">
        <v>4531</v>
      </c>
      <c r="F362" s="37" t="s">
        <v>201</v>
      </c>
      <c r="G362" s="24"/>
      <c r="H362" s="53"/>
    </row>
    <row r="363" spans="1:8" ht="13.2">
      <c r="A363" s="65" t="str">
        <f>HYPERLINK("https://wcipeg.com/problem/coci077p4","COCI 07-Jednakost")</f>
        <v>COCI 07-Jednakost</v>
      </c>
      <c r="B363" s="15" t="s">
        <v>1348</v>
      </c>
      <c r="C363" s="24">
        <v>5</v>
      </c>
      <c r="D363" s="65" t="str">
        <f>HYPERLINK("https://github.com/mostafa-saad/MyCompetitiveProgramming/blob/master/Olympiad/COCI/COCI-07-Jednakost.txt","Sol")</f>
        <v>Sol</v>
      </c>
      <c r="E363" s="31" t="s">
        <v>1337</v>
      </c>
      <c r="F363" s="37" t="s">
        <v>201</v>
      </c>
      <c r="G363" s="24"/>
      <c r="H363" s="53"/>
    </row>
    <row r="364" spans="1:8" ht="13.2">
      <c r="A364" s="65" t="str">
        <f>HYPERLINK("https://dmoj.ca/problem/coci07c2p5","COCI 07-Kemija")</f>
        <v>COCI 07-Kemija</v>
      </c>
      <c r="B364" s="15" t="s">
        <v>4535</v>
      </c>
      <c r="C364" s="24">
        <v>5.5</v>
      </c>
      <c r="D364" s="65" t="str">
        <f>HYPERLINK("https://github.com/mostafa-saad/MyCompetitiveProgramming/blob/master/Olympiad/COCI/COCI-07-Kemija.txt","Sol")</f>
        <v>Sol</v>
      </c>
      <c r="E364" s="31" t="s">
        <v>4531</v>
      </c>
      <c r="F364" s="37" t="s">
        <v>139</v>
      </c>
      <c r="G364" s="24"/>
      <c r="H364" s="53"/>
    </row>
    <row r="365" spans="1:8" ht="13.2">
      <c r="A365" s="65" t="str">
        <f>HYPERLINK("https://wcipeg.com/problem/coci074p6","COCI 07-Kocke")</f>
        <v>COCI 07-Kocke</v>
      </c>
      <c r="B365" s="15" t="s">
        <v>6669</v>
      </c>
      <c r="C365" s="24">
        <v>7</v>
      </c>
      <c r="D365" s="65" t="str">
        <f>HYPERLINK("https://github.com/mostafa-saad/MyCompetitiveProgramming/blob/master/Olympiad/COCI/COCI-07-Kocke.txt","Sol")</f>
        <v>Sol</v>
      </c>
      <c r="E365" s="31" t="s">
        <v>503</v>
      </c>
      <c r="F365" s="37" t="s">
        <v>201</v>
      </c>
      <c r="G365" s="24"/>
      <c r="H365" s="53"/>
    </row>
    <row r="366" spans="1:8" ht="13.2">
      <c r="A366" s="65" t="str">
        <f>HYPERLINK("https://dmoj.ca/problem/crci07p3","COCI 07-Kuhar")</f>
        <v>COCI 07-Kuhar</v>
      </c>
      <c r="B366" s="15" t="s">
        <v>4653</v>
      </c>
      <c r="C366" s="24">
        <v>5</v>
      </c>
      <c r="D366" s="65" t="str">
        <f>HYPERLINK("https://github.com/mostafa-saad/MyCompetitiveProgramming/tree/master/Olympiad/COCI/official/2008/regional_solutions","Editorial")</f>
        <v>Editorial</v>
      </c>
      <c r="E366" s="31" t="s">
        <v>4531</v>
      </c>
      <c r="F366" s="37"/>
      <c r="G366" s="24"/>
      <c r="H366" s="53"/>
    </row>
    <row r="367" spans="1:8" ht="13.2">
      <c r="A367" s="65" t="str">
        <f>HYPERLINK("https://dmoj.ca/problem/coci07c4p3","COCI 07-Lektira")</f>
        <v>COCI 07-Lektira</v>
      </c>
      <c r="B367" s="15" t="s">
        <v>359</v>
      </c>
      <c r="C367" s="24">
        <v>5</v>
      </c>
      <c r="D367" s="65" t="str">
        <f t="shared" ref="D367:D368" si="8">HYPERLINK("https://github.com/mostafa-saad/MyCompetitiveProgramming/tree/master/Olympiad/COCI/official/2008/contest4_solutions","Editorial")</f>
        <v>Editorial</v>
      </c>
      <c r="E367" s="31" t="s">
        <v>332</v>
      </c>
      <c r="F367" s="37"/>
      <c r="G367" s="24"/>
      <c r="H367" s="53"/>
    </row>
    <row r="368" spans="1:8" ht="13.2">
      <c r="A368" s="65" t="str">
        <f>HYPERLINK("https://dmoj.ca/problem/coci07c4p4","COCI 07-Muzicari")</f>
        <v>COCI 07-Muzicari</v>
      </c>
      <c r="B368" s="15" t="s">
        <v>124</v>
      </c>
      <c r="C368" s="24">
        <v>5</v>
      </c>
      <c r="D368" s="65" t="str">
        <f t="shared" si="8"/>
        <v>Editorial</v>
      </c>
      <c r="E368" s="31" t="s">
        <v>125</v>
      </c>
      <c r="F368" s="37"/>
      <c r="G368" s="24"/>
      <c r="H368" s="53"/>
    </row>
    <row r="369" spans="1:8" ht="13.2">
      <c r="A369" s="65" t="str">
        <f>HYPERLINK("https://dmoj.ca/problem/crci07p2","COCI 07-Nikola")</f>
        <v>COCI 07-Nikola</v>
      </c>
      <c r="B369" s="15" t="s">
        <v>7527</v>
      </c>
      <c r="C369" s="24">
        <v>3.5</v>
      </c>
      <c r="D369" s="65" t="str">
        <f>HYPERLINK("https://github.com/mostafa-saad/MyCompetitiveProgramming/tree/master/Olympiad/COCI/official/2008/regional_solutions","Editorial")</f>
        <v>Editorial</v>
      </c>
      <c r="E369" s="31" t="s">
        <v>7525</v>
      </c>
      <c r="F369" s="37"/>
      <c r="G369" s="24"/>
      <c r="H369" s="53"/>
    </row>
    <row r="370" spans="1:8" ht="13.2">
      <c r="A370" s="65" t="str">
        <f>HYPERLINK("https://dmoj.ca/problem/coci07c3p2","COCI 07-Oktalni")</f>
        <v>COCI 07-Oktalni</v>
      </c>
      <c r="B370" s="15" t="s">
        <v>7527</v>
      </c>
      <c r="C370" s="24">
        <v>1</v>
      </c>
      <c r="D370" s="65" t="str">
        <f>HYPERLINK("https://github.com/mostafa-saad/MyCompetitiveProgramming/tree/master/Olympiad/COCI/official/2008/contest3_solutions","Editorial")</f>
        <v>Editorial</v>
      </c>
      <c r="E370" s="31" t="s">
        <v>7525</v>
      </c>
      <c r="F370" s="37"/>
      <c r="G370" s="24"/>
      <c r="H370" s="53"/>
    </row>
    <row r="371" spans="1:8" ht="13.2">
      <c r="A371" s="65" t="str">
        <f>HYPERLINK("https://dmoj.ca/problem/coci07c6p1","COCI 07-Parking")</f>
        <v>COCI 07-Parking</v>
      </c>
      <c r="B371" s="20" t="s">
        <v>6646</v>
      </c>
      <c r="C371" s="24">
        <v>2</v>
      </c>
      <c r="D371" s="65" t="str">
        <f>HYPERLINK("https://github.com/mostafa-saad/MyCompetitiveProgramming/tree/master/Olympiad/COCI/official/2008/contest6_solutions","Editorial")</f>
        <v>Editorial</v>
      </c>
      <c r="E371" s="31" t="s">
        <v>125</v>
      </c>
      <c r="F371" s="37"/>
      <c r="G371" s="24"/>
      <c r="H371" s="53"/>
    </row>
    <row r="372" spans="1:8" ht="13.2">
      <c r="A372" s="65" t="str">
        <f>HYPERLINK("https://dmoj.ca/problem/coci07c5p2","COCI 07-Pascal")</f>
        <v>COCI 07-Pascal</v>
      </c>
      <c r="B372" s="15" t="s">
        <v>7527</v>
      </c>
      <c r="C372" s="24">
        <v>1</v>
      </c>
      <c r="D372" s="65" t="str">
        <f>HYPERLINK("https://github.com/mostafa-saad/MyCompetitiveProgramming/tree/master/Olympiad/COCI/official/2008/contest5_solutions","Editorial")</f>
        <v>Editorial</v>
      </c>
      <c r="E372" s="31" t="s">
        <v>7525</v>
      </c>
      <c r="F372" s="37"/>
      <c r="G372" s="24"/>
      <c r="H372" s="53"/>
    </row>
    <row r="373" spans="1:8" ht="13.2">
      <c r="A373" s="65" t="str">
        <f>HYPERLINK("https://wcipeg.com/problem/coci071p2","COCI 07-Peg")</f>
        <v>COCI 07-Peg</v>
      </c>
      <c r="B373" s="20" t="s">
        <v>6646</v>
      </c>
      <c r="C373" s="24">
        <v>2</v>
      </c>
      <c r="D373" s="65" t="str">
        <f>HYPERLINK("https://github.com/mostafa-saad/MyCompetitiveProgramming/tree/master/Olympiad/COCI/official/2008/contest1_solutions","Editorial")</f>
        <v>Editorial</v>
      </c>
      <c r="E373" s="31" t="s">
        <v>125</v>
      </c>
      <c r="F373" s="37"/>
      <c r="G373" s="24"/>
      <c r="H373" s="53"/>
    </row>
    <row r="374" spans="1:8" ht="13.2">
      <c r="A374" s="65" t="str">
        <f>HYPERLINK("https://dmoj.ca/problem/crci07p1","COCI 07-Platforme")</f>
        <v>COCI 07-Platforme</v>
      </c>
      <c r="B374" s="20" t="s">
        <v>6646</v>
      </c>
      <c r="C374" s="24">
        <v>2</v>
      </c>
      <c r="D374" s="65" t="str">
        <f>HYPERLINK("https://github.com/mostafa-saad/MyCompetitiveProgramming/tree/master/Olympiad/COCI/official/2008/regional_solutions","Editorial")</f>
        <v>Editorial</v>
      </c>
      <c r="E374" s="31" t="s">
        <v>125</v>
      </c>
      <c r="F374" s="37"/>
      <c r="G374" s="24"/>
      <c r="H374" s="53"/>
    </row>
    <row r="375" spans="1:8" ht="13.2">
      <c r="A375" s="65" t="str">
        <f>HYPERLINK("https://dmoj.ca/problem/coci07c4p5","COCI 07-Poklon")</f>
        <v>COCI 07-Poklon</v>
      </c>
      <c r="B375" s="15" t="s">
        <v>587</v>
      </c>
      <c r="C375" s="24">
        <v>6</v>
      </c>
      <c r="D375" s="65" t="str">
        <f>HYPERLINK("https://github.com/mostafa-saad/MyCompetitiveProgramming/tree/master/Olympiad/COCI/official/2008/contest4_solutions","Editorial")</f>
        <v>Editorial</v>
      </c>
      <c r="E375" s="31" t="s">
        <v>575</v>
      </c>
      <c r="F375" s="37"/>
      <c r="G375" s="24"/>
      <c r="H375" s="53"/>
    </row>
    <row r="376" spans="1:8" ht="13.2">
      <c r="A376" s="65" t="str">
        <f>HYPERLINK("https://dmoj.ca/problem/coci07c2p6","COCI 07-Pravokutni")</f>
        <v>COCI 07-Pravokutni</v>
      </c>
      <c r="B376" s="15" t="s">
        <v>7074</v>
      </c>
      <c r="C376" s="24">
        <v>6.25</v>
      </c>
      <c r="D376" s="65" t="str">
        <f>HYPERLINK("https://github.com/mostafa-saad/MyCompetitiveProgramming/blob/master/Olympiad/COCI/COCI-07-Pravokutni.txt","Sol")</f>
        <v>Sol</v>
      </c>
      <c r="E376" s="31" t="s">
        <v>2510</v>
      </c>
      <c r="F376" s="37" t="s">
        <v>201</v>
      </c>
      <c r="G376" s="24"/>
      <c r="H376" s="53"/>
    </row>
    <row r="377" spans="1:8" ht="13.2">
      <c r="A377" s="65" t="str">
        <f>HYPERLINK("https://dmoj.ca/problem/coci07c6p5","COCI 07-Princeza")</f>
        <v>COCI 07-Princeza</v>
      </c>
      <c r="B377" s="15" t="s">
        <v>2514</v>
      </c>
      <c r="C377" s="24">
        <v>5.25</v>
      </c>
      <c r="D377" s="65" t="str">
        <f>HYPERLINK("https://github.com/mostafa-saad/MyCompetitiveProgramming/tree/master/Olympiad/COCI/official/2008/contest6_solutions","Editorial")</f>
        <v>Editorial</v>
      </c>
      <c r="E377" s="31" t="s">
        <v>2510</v>
      </c>
      <c r="F377" s="37" t="s">
        <v>139</v>
      </c>
      <c r="G377" s="24"/>
      <c r="H377" s="53"/>
    </row>
    <row r="378" spans="1:8" ht="13.2">
      <c r="A378" s="65" t="str">
        <f>HYPERLINK("https://dmoj.ca/problem/coci07c1p3","COCI 07-Prinova")</f>
        <v>COCI 07-Prinova</v>
      </c>
      <c r="B378" s="15" t="s">
        <v>7527</v>
      </c>
      <c r="C378" s="24">
        <v>1</v>
      </c>
      <c r="D378" s="65" t="str">
        <f>HYPERLINK("https://github.com/mostafa-saad/MyCompetitiveProgramming/tree/master/Olympiad/COCI/official/2008/contest1_solutions","Editorial")</f>
        <v>Editorial</v>
      </c>
      <c r="E378" s="31" t="s">
        <v>7525</v>
      </c>
      <c r="F378" s="37"/>
      <c r="G378" s="24"/>
      <c r="H378" s="53"/>
    </row>
    <row r="379" spans="1:8" ht="13.2">
      <c r="A379" s="65" t="str">
        <f>HYPERLINK("https://dmoj.ca/problem/coci07c2p3","COCI 07-Prva")</f>
        <v>COCI 07-Prva</v>
      </c>
      <c r="B379" s="20" t="s">
        <v>6646</v>
      </c>
      <c r="C379" s="24">
        <v>2</v>
      </c>
      <c r="D379" s="65" t="str">
        <f>HYPERLINK("https://github.com/mostafa-saad/MyCompetitiveProgramming/tree/master/Olympiad/COCI/official/2008/contest2_solutions","Editorial")</f>
        <v>Editorial</v>
      </c>
      <c r="E379" s="31" t="s">
        <v>125</v>
      </c>
      <c r="F379" s="37"/>
      <c r="G379" s="24"/>
      <c r="H379" s="53"/>
    </row>
    <row r="380" spans="1:8" ht="13.2">
      <c r="A380" s="65" t="str">
        <f>HYPERLINK("https://dmoj.ca/problem/coci07c3p6","COCI 07-Redoks")</f>
        <v>COCI 07-Redoks</v>
      </c>
      <c r="B380" s="15" t="s">
        <v>1043</v>
      </c>
      <c r="C380" s="24">
        <v>5</v>
      </c>
      <c r="D380" s="65" t="str">
        <f>HYPERLINK("https://github.com/mostafa-saad/MyCompetitiveProgramming/blob/master/Olympiad/COCI/COCI-07-Redoks.txt","Sol")</f>
        <v>Sol</v>
      </c>
      <c r="E380" s="31" t="s">
        <v>1018</v>
      </c>
      <c r="F380" s="37"/>
      <c r="G380" s="24"/>
      <c r="H380" s="53"/>
    </row>
    <row r="381" spans="1:8" ht="13.2">
      <c r="A381" s="65" t="str">
        <f>HYPERLINK("https://dmoj.ca/problem/coci07c6p2","COCI 07-Semafori")</f>
        <v>COCI 07-Semafori</v>
      </c>
      <c r="B381" s="20" t="s">
        <v>6646</v>
      </c>
      <c r="C381" s="24">
        <v>2</v>
      </c>
      <c r="D381" s="65" t="str">
        <f>HYPERLINK("https://github.com/mostafa-saad/MyCompetitiveProgramming/tree/master/Olympiad/COCI/official/2008/contest6_solutions","Editorial")</f>
        <v>Editorial</v>
      </c>
      <c r="E381" s="31" t="s">
        <v>125</v>
      </c>
      <c r="F381" s="37"/>
      <c r="G381" s="24"/>
      <c r="H381" s="53"/>
    </row>
    <row r="382" spans="1:8" ht="13.2">
      <c r="A382" s="65" t="str">
        <f>HYPERLINK("https://dmoj.ca/problem/coci07c1p5","COCI 07-Srednji")</f>
        <v>COCI 07-Srednji</v>
      </c>
      <c r="B382" s="15" t="s">
        <v>124</v>
      </c>
      <c r="C382" s="24">
        <v>3</v>
      </c>
      <c r="D382" s="65" t="str">
        <f>HYPERLINK("https://github.com/mostafa-saad/MyCompetitiveProgramming/tree/master/Olympiad/COCI/official/2008/contest1_solutions","Editorial")</f>
        <v>Editorial</v>
      </c>
      <c r="E382" s="31" t="s">
        <v>125</v>
      </c>
      <c r="F382" s="37" t="s">
        <v>201</v>
      </c>
      <c r="G382" s="24"/>
      <c r="H382" s="53"/>
    </row>
    <row r="383" spans="1:8" ht="13.2">
      <c r="A383" s="65" t="str">
        <f>HYPERLINK("https://dmoj.ca/problem/coci07c1p6","COCI 07-Staza")</f>
        <v>COCI 07-Staza</v>
      </c>
      <c r="B383" s="15" t="s">
        <v>7287</v>
      </c>
      <c r="C383" s="24">
        <v>6.5</v>
      </c>
      <c r="D383" s="65" t="str">
        <f>HYPERLINK("https://github.com/mostafa-saad/MyCompetitiveProgramming/blob/master/Olympiad/COCI/COCI-07-Staza.txt","Sol")</f>
        <v>Sol</v>
      </c>
      <c r="E383" s="31" t="s">
        <v>4423</v>
      </c>
      <c r="F383" s="37"/>
      <c r="G383" s="24"/>
      <c r="H383" s="53"/>
    </row>
    <row r="384" spans="1:8" ht="13.2">
      <c r="A384" s="65" t="str">
        <f>HYPERLINK("https://dmoj.ca/problem/coci07c3p3","COCI 07-Tajna")</f>
        <v>COCI 07-Tajna</v>
      </c>
      <c r="B384" s="37" t="s">
        <v>124</v>
      </c>
      <c r="C384" s="24">
        <v>2</v>
      </c>
      <c r="D384" s="65" t="str">
        <f>HYPERLINK("https://github.com/mostafa-saad/MyCompetitiveProgramming/tree/master/Olympiad/COCI/official/2008/contest3_solutions","Editorial")</f>
        <v>Editorial</v>
      </c>
      <c r="E384" s="31" t="s">
        <v>125</v>
      </c>
      <c r="F384" s="37"/>
      <c r="G384" s="24"/>
      <c r="H384" s="53"/>
    </row>
    <row r="385" spans="1:8" ht="13.2">
      <c r="A385" s="65" t="str">
        <f>HYPERLINK("https://dmoj.ca/problem/coci07c5p1","COCI 07-Tri")</f>
        <v>COCI 07-Tri</v>
      </c>
      <c r="B385" s="15" t="s">
        <v>6646</v>
      </c>
      <c r="C385" s="24">
        <v>1</v>
      </c>
      <c r="D385" s="65" t="str">
        <f>HYPERLINK("https://github.com/mostafa-saad/MyCompetitiveProgramming/tree/master/Olympiad/COCI/official/2008/contest5_solutions","Editorial")</f>
        <v>Editorial</v>
      </c>
      <c r="E385" s="31" t="s">
        <v>125</v>
      </c>
      <c r="F385" s="37"/>
      <c r="G385" s="24"/>
      <c r="H385" s="53"/>
    </row>
    <row r="386" spans="1:8" ht="13.2">
      <c r="A386" s="65" t="str">
        <f>HYPERLINK("https://dmoj.ca/problem/coci07c2p4","COCI 07-Turbo")</f>
        <v>COCI 07-Turbo</v>
      </c>
      <c r="B386" s="15" t="s">
        <v>1222</v>
      </c>
      <c r="C386" s="24">
        <v>5.25</v>
      </c>
      <c r="D386" s="65" t="str">
        <f>HYPERLINK("https://github.com/mostafa-saad/MyCompetitiveProgramming/tree/master/Olympiad/COCI/official/2008/contest2_solutions","Editorial")</f>
        <v>Editorial</v>
      </c>
      <c r="E386" s="31" t="s">
        <v>1223</v>
      </c>
      <c r="F386" s="37" t="s">
        <v>139</v>
      </c>
      <c r="G386" s="24"/>
      <c r="H386" s="53"/>
    </row>
    <row r="387" spans="1:8" ht="13.2">
      <c r="A387" s="65" t="str">
        <f>HYPERLINK("https://dmoj.ca/problem/coci07c4p1","COCI 07-Vauvau")</f>
        <v>COCI 07-Vauvau</v>
      </c>
      <c r="B387" s="20" t="s">
        <v>6646</v>
      </c>
      <c r="C387" s="24">
        <v>2</v>
      </c>
      <c r="D387" s="65" t="str">
        <f t="shared" ref="D387:D388" si="9">HYPERLINK("https://github.com/mostafa-saad/MyCompetitiveProgramming/tree/master/Olympiad/COCI/official/2008/contest4_solutions","Editorial")</f>
        <v>Editorial</v>
      </c>
      <c r="E387" s="31" t="s">
        <v>125</v>
      </c>
      <c r="F387" s="37"/>
      <c r="G387" s="24"/>
      <c r="H387" s="53"/>
    </row>
    <row r="388" spans="1:8" ht="13.2">
      <c r="A388" s="65" t="str">
        <f>HYPERLINK("https://dmoj.ca/problem/coci07c4p2","COCI 07-Veci")</f>
        <v>COCI 07-Veci</v>
      </c>
      <c r="B388" s="20" t="s">
        <v>6646</v>
      </c>
      <c r="C388" s="24">
        <v>2</v>
      </c>
      <c r="D388" s="65" t="str">
        <f t="shared" si="9"/>
        <v>Editorial</v>
      </c>
      <c r="E388" s="31" t="s">
        <v>125</v>
      </c>
      <c r="F388" s="37"/>
      <c r="G388" s="24"/>
      <c r="H388" s="53"/>
    </row>
    <row r="389" spans="1:8" ht="13.2">
      <c r="A389" s="65" t="str">
        <f>HYPERLINK("https://dmoj.ca/problem/coci07c1p4","COCI 07-Zapis")</f>
        <v>COCI 07-Zapis</v>
      </c>
      <c r="B389" s="15" t="s">
        <v>1348</v>
      </c>
      <c r="C389" s="24">
        <v>5</v>
      </c>
      <c r="D389" s="65" t="str">
        <f>HYPERLINK("https://github.com/mostafa-saad/MyCompetitiveProgramming/tree/master/Olympiad/COCI/official/2008/contest1_solutions","Editorial")</f>
        <v>Editorial</v>
      </c>
      <c r="E389" s="31" t="s">
        <v>1337</v>
      </c>
      <c r="F389" s="37" t="s">
        <v>201</v>
      </c>
      <c r="G389" s="24"/>
      <c r="H389" s="53"/>
    </row>
    <row r="390" spans="1:8" ht="13.2">
      <c r="A390" s="65" t="str">
        <f>HYPERLINK("https://dmoj.ca/problem/coci08c6p2","COCI 08-Bazen")</f>
        <v>COCI 08-Bazen</v>
      </c>
      <c r="B390" s="20" t="s">
        <v>6646</v>
      </c>
      <c r="C390" s="24">
        <v>2</v>
      </c>
      <c r="D390" s="65" t="str">
        <f>HYPERLINK("https://github.com/mostafa-saad/MyCompetitiveProgramming/blob/master/Olympiad/COCI/official/2009/contest6_solutions","Editorial")</f>
        <v>Editorial</v>
      </c>
      <c r="E390" s="31" t="s">
        <v>125</v>
      </c>
      <c r="F390" s="37"/>
      <c r="G390" s="24"/>
      <c r="H390" s="53"/>
    </row>
    <row r="391" spans="1:8" ht="13.2">
      <c r="A391" s="65" t="str">
        <f>HYPERLINK("https://dmoj.ca/problem/coci08c3p5","COCI 08-BST")</f>
        <v>COCI 08-BST</v>
      </c>
      <c r="B391" s="15" t="s">
        <v>7158</v>
      </c>
      <c r="C391" s="24">
        <v>5.0999999999999996</v>
      </c>
      <c r="D391" s="65" t="str">
        <f>HYPERLINK("https://github.com/mostafa-saad/MyCompetitiveProgramming/blob/master/Olympiad/COCI/COCI-08-BST.txt","Sol")</f>
        <v>Sol</v>
      </c>
      <c r="E391" s="31" t="s">
        <v>3257</v>
      </c>
      <c r="F391" s="37" t="s">
        <v>139</v>
      </c>
      <c r="G391" s="24"/>
      <c r="H391" s="53"/>
    </row>
    <row r="392" spans="1:8" ht="13.2">
      <c r="A392" s="65" t="str">
        <f>HYPERLINK("https://dmoj.ca/problem/coci08c6p1","COCI 08-Buka")</f>
        <v>COCI 08-Buka</v>
      </c>
      <c r="B392" s="15" t="s">
        <v>7527</v>
      </c>
      <c r="C392" s="24">
        <v>1</v>
      </c>
      <c r="D392" s="65" t="str">
        <f>HYPERLINK("https://github.com/mostafa-saad/MyCompetitiveProgramming/blob/master/Olympiad/COCI/official/2009/contest6_solutions","Editorial")</f>
        <v>Editorial</v>
      </c>
      <c r="E392" s="31" t="s">
        <v>7525</v>
      </c>
      <c r="F392" s="37"/>
      <c r="G392" s="24"/>
      <c r="H392" s="53"/>
    </row>
    <row r="393" spans="1:8" ht="13.2">
      <c r="A393" s="65" t="str">
        <f>HYPERLINK("https://dmoj.ca/problem/coci08c2p6","COCI 08-Cavli")</f>
        <v>COCI 08-Cavli</v>
      </c>
      <c r="B393" s="15" t="s">
        <v>7531</v>
      </c>
      <c r="C393" s="24">
        <v>7</v>
      </c>
      <c r="D393" s="65" t="str">
        <f>HYPERLINK("https://github.com/mostafa-saad/MyCompetitiveProgramming/blob/master/Olympiad/COCI/official/2009/contest2_solutions","Editorial")</f>
        <v>Editorial</v>
      </c>
      <c r="E393" s="31" t="s">
        <v>7525</v>
      </c>
      <c r="F393" s="37"/>
      <c r="G393" s="24"/>
      <c r="H393" s="53"/>
    </row>
    <row r="394" spans="1:8" ht="13.2">
      <c r="A394" s="65" t="str">
        <f>HYPERLINK("https://dmoj.ca/problem/coci08c3p3","COCI 08-Cross")</f>
        <v>COCI 08-Cross</v>
      </c>
      <c r="B394" s="20" t="s">
        <v>6646</v>
      </c>
      <c r="C394" s="24">
        <v>2</v>
      </c>
      <c r="D394" s="65" t="str">
        <f>HYPERLINK("https://github.com/mostafa-saad/MyCompetitiveProgramming/blob/master/Olympiad/COCI/official/2009/contest3_solutions","Editorial")</f>
        <v>Editorial</v>
      </c>
      <c r="E394" s="31" t="s">
        <v>125</v>
      </c>
      <c r="F394" s="37"/>
      <c r="G394" s="24"/>
      <c r="H394" s="53"/>
    </row>
    <row r="395" spans="1:8" ht="13.2">
      <c r="A395" s="65" t="str">
        <f>HYPERLINK("https://dmoj.ca/problem/coci08c6p4","COCI 08-Cuskija")</f>
        <v>COCI 08-Cuskija</v>
      </c>
      <c r="B395" s="15" t="s">
        <v>7527</v>
      </c>
      <c r="C395" s="24">
        <v>4.5</v>
      </c>
      <c r="D395" s="65" t="str">
        <f>HYPERLINK("https://github.com/mostafa-saad/MyCompetitiveProgramming/blob/master/Olympiad/COCI/official/2009/contest6_solutions","Editorial")</f>
        <v>Editorial</v>
      </c>
      <c r="E395" s="31" t="s">
        <v>7525</v>
      </c>
      <c r="F395" s="37"/>
      <c r="G395" s="24"/>
      <c r="H395" s="53"/>
    </row>
    <row r="396" spans="1:8" ht="13.2">
      <c r="A396" s="65" t="str">
        <f>HYPERLINK("https://dmoj.ca/problem/coci08c4p2","COCI 08-Datum")</f>
        <v>COCI 08-Datum</v>
      </c>
      <c r="B396" s="15" t="s">
        <v>7527</v>
      </c>
      <c r="C396" s="24">
        <v>1</v>
      </c>
      <c r="D396" s="65" t="str">
        <f>HYPERLINK("https://github.com/mostafa-saad/MyCompetitiveProgramming/blob/master/Olympiad/COCI/official/2009/contest4_solutions","Editorial")</f>
        <v>Editorial</v>
      </c>
      <c r="E396" s="31" t="s">
        <v>7525</v>
      </c>
      <c r="F396" s="37"/>
      <c r="G396" s="24"/>
      <c r="H396" s="53"/>
    </row>
    <row r="397" spans="1:8" ht="13.2">
      <c r="A397" s="65" t="str">
        <f>HYPERLINK("https://dmoj.ca/problem/coci08c6p5","COCI 08-Dostava")</f>
        <v>COCI 08-Dostava</v>
      </c>
      <c r="B397" s="15" t="s">
        <v>6853</v>
      </c>
      <c r="C397" s="24">
        <v>6.5</v>
      </c>
      <c r="D397" s="65" t="str">
        <f>HYPERLINK("https://github.com/mostafa-saad/MyCompetitiveProgramming/blob/master/Olympiad/COCI/COCI-08-Dostava.txt","Sol")</f>
        <v>Sol</v>
      </c>
      <c r="E397" s="31" t="s">
        <v>1337</v>
      </c>
      <c r="F397" s="37" t="s">
        <v>139</v>
      </c>
      <c r="G397" s="24"/>
      <c r="H397" s="53"/>
    </row>
    <row r="398" spans="1:8" ht="13.2">
      <c r="A398" s="65" t="str">
        <f>HYPERLINK("https://dmoj.ca/problem/coci08c5p2","COCI 08-Jabuka")</f>
        <v>COCI 08-Jabuka</v>
      </c>
      <c r="B398" s="20" t="s">
        <v>6646</v>
      </c>
      <c r="C398" s="24">
        <v>2</v>
      </c>
      <c r="D398" s="65" t="str">
        <f t="shared" ref="D398:D399" si="10">HYPERLINK("https://github.com/mostafa-saad/MyCompetitiveProgramming/blob/master/Olympiad/COCI/official/2009/contest5_solutions","Editorial")</f>
        <v>Editorial</v>
      </c>
      <c r="E398" s="31" t="s">
        <v>125</v>
      </c>
      <c r="F398" s="37"/>
      <c r="G398" s="24"/>
      <c r="H398" s="53"/>
    </row>
    <row r="399" spans="1:8" ht="13.2">
      <c r="A399" s="65" t="str">
        <f>HYPERLINK("https://dmoj.ca/problem/coci08c5p3","COCI 08-Jagoda")</f>
        <v>COCI 08-Jagoda</v>
      </c>
      <c r="B399" s="20" t="s">
        <v>6646</v>
      </c>
      <c r="C399" s="24">
        <v>2</v>
      </c>
      <c r="D399" s="65" t="str">
        <f t="shared" si="10"/>
        <v>Editorial</v>
      </c>
      <c r="E399" s="31" t="s">
        <v>125</v>
      </c>
      <c r="F399" s="37"/>
      <c r="G399" s="24"/>
      <c r="H399" s="53"/>
    </row>
    <row r="400" spans="1:8" ht="13.2">
      <c r="A400" s="65" t="str">
        <f>HYPERLINK("https://dmoj.ca/problem/coci08c1p4","COCI 08-Jez")</f>
        <v>COCI 08-Jez</v>
      </c>
      <c r="B400" s="15" t="s">
        <v>7527</v>
      </c>
      <c r="C400" s="24">
        <v>4.5</v>
      </c>
      <c r="D400" s="65" t="str">
        <f>HYPERLINK("https://github.com/mostafa-saad/MyCompetitiveProgramming/blob/master/Olympiad/COCI/official/2009/contest1_solutions","Editorial")</f>
        <v>Editorial</v>
      </c>
      <c r="E400" s="31" t="s">
        <v>7525</v>
      </c>
      <c r="F400" s="37"/>
      <c r="G400" s="24"/>
      <c r="H400" s="53"/>
    </row>
    <row r="401" spans="1:8" ht="13.2">
      <c r="A401" s="65" t="str">
        <f>HYPERLINK("https://dmoj.ca/problem/coci08c3p2","COCI 08-Kemija")</f>
        <v>COCI 08-Kemija</v>
      </c>
      <c r="B401" s="15" t="s">
        <v>7527</v>
      </c>
      <c r="C401" s="24">
        <v>1</v>
      </c>
      <c r="D401" s="65" t="str">
        <f>HYPERLINK("https://github.com/mostafa-saad/MyCompetitiveProgramming/blob/master/Olympiad/COCI/official/2009/contest3_solutions","Editorial")</f>
        <v>Editorial</v>
      </c>
      <c r="E401" s="31" t="s">
        <v>7525</v>
      </c>
      <c r="F401" s="37"/>
      <c r="G401" s="24"/>
      <c r="H401" s="53"/>
    </row>
    <row r="402" spans="1:8" ht="13.2">
      <c r="A402" s="65" t="str">
        <f>HYPERLINK("https://dmoj.ca/problem/coci08c2p1","COCI 08-Kornislav")</f>
        <v>COCI 08-Kornislav</v>
      </c>
      <c r="B402" s="15" t="s">
        <v>7527</v>
      </c>
      <c r="C402" s="24">
        <v>1</v>
      </c>
      <c r="D402" s="65" t="str">
        <f>HYPERLINK("https://github.com/mostafa-saad/MyCompetitiveProgramming/blob/master/Olympiad/COCI/official/2009/contest2_solutions","Editorial")</f>
        <v>Editorial</v>
      </c>
      <c r="E402" s="31" t="s">
        <v>7525</v>
      </c>
      <c r="F402" s="37"/>
      <c r="G402" s="24"/>
      <c r="H402" s="53"/>
    </row>
    <row r="403" spans="1:8" ht="13.2">
      <c r="A403" s="65" t="str">
        <f>HYPERLINK("https://dmoj.ca/problem/coci08c1p6","COCI 08-Krtica")</f>
        <v>COCI 08-Krtica</v>
      </c>
      <c r="B403" s="15" t="s">
        <v>6828</v>
      </c>
      <c r="C403" s="24">
        <v>7.25</v>
      </c>
      <c r="D403" s="65" t="str">
        <f>HYPERLINK("https://github.com/mostafa-saad/MyCompetitiveProgramming/blob/master/Olympiad/COCI/COCI-08-Krtica.txt","Sol")</f>
        <v>Sol</v>
      </c>
      <c r="E403" s="31" t="s">
        <v>1337</v>
      </c>
      <c r="F403" s="37"/>
      <c r="G403" s="24"/>
      <c r="H403" s="53"/>
    </row>
    <row r="404" spans="1:8" ht="13.2">
      <c r="A404" s="65" t="str">
        <f>HYPERLINK("https://dmoj.ca/problem/coci08c5p6","COCI 08-Kruska")</f>
        <v>COCI 08-Kruska</v>
      </c>
      <c r="B404" s="15" t="s">
        <v>6661</v>
      </c>
      <c r="C404" s="24">
        <v>5</v>
      </c>
      <c r="D404" s="65" t="str">
        <f t="shared" ref="D404:D405" si="11">HYPERLINK("https://github.com/mostafa-saad/MyCompetitiveProgramming/blob/master/Olympiad/COCI/official/2009/contest5_solutions","Editorial")</f>
        <v>Editorial</v>
      </c>
      <c r="E404" s="31" t="s">
        <v>332</v>
      </c>
      <c r="F404" s="37"/>
      <c r="G404" s="24"/>
      <c r="H404" s="53"/>
    </row>
    <row r="405" spans="1:8" ht="13.2">
      <c r="A405" s="65" t="str">
        <f>HYPERLINK("https://dmoj.ca/problem/coci08c5p1","COCI 08-Ljesnjak")</f>
        <v>COCI 08-Ljesnjak</v>
      </c>
      <c r="B405" s="20" t="s">
        <v>6646</v>
      </c>
      <c r="C405" s="24">
        <v>2</v>
      </c>
      <c r="D405" s="65" t="str">
        <f t="shared" si="11"/>
        <v>Editorial</v>
      </c>
      <c r="E405" s="31" t="s">
        <v>125</v>
      </c>
      <c r="F405" s="37"/>
      <c r="G405" s="24"/>
      <c r="H405" s="53"/>
    </row>
    <row r="406" spans="1:8" ht="13.2">
      <c r="A406" s="65" t="str">
        <f>HYPERLINK("https://dmoj.ca/problem/coci08c5p4","COCI 08-Lubenica")</f>
        <v>COCI 08-Lubenica</v>
      </c>
      <c r="B406" s="15" t="s">
        <v>1818</v>
      </c>
      <c r="C406" s="24">
        <v>5.5</v>
      </c>
      <c r="D406" s="65" t="str">
        <f>HYPERLINK("https://github.com/mostafa-saad/MyCompetitiveProgramming/blob/master/Olympiad/COCI/COCI-08-Lubenica.txt","Sol")</f>
        <v>Sol</v>
      </c>
      <c r="E406" s="31" t="s">
        <v>1819</v>
      </c>
      <c r="F406" s="37"/>
      <c r="G406" s="24"/>
      <c r="H406" s="53"/>
    </row>
    <row r="407" spans="1:8" ht="13.2">
      <c r="A407" s="65" t="str">
        <f>HYPERLINK("https://dmoj.ca/problem/coci08c3p4","COCI 08-Matrica")</f>
        <v>COCI 08-Matrica</v>
      </c>
      <c r="B407" s="15" t="s">
        <v>5961</v>
      </c>
      <c r="C407" s="24">
        <v>6</v>
      </c>
      <c r="D407" s="65" t="str">
        <f>HYPERLINK("https://github.com/mostafa-saad/MyCompetitiveProgramming/blob/master/Olympiad/COCI/COCI-08-Matrica","Sol")</f>
        <v>Sol</v>
      </c>
      <c r="E407" s="31" t="s">
        <v>5958</v>
      </c>
      <c r="F407" s="37"/>
      <c r="G407" s="24"/>
      <c r="H407" s="53"/>
    </row>
    <row r="408" spans="1:8" ht="13.2">
      <c r="A408" s="65" t="str">
        <f>HYPERLINK("https://dmoj.ca/problem/coci08c4p1","COCI 08-Mjehuric")</f>
        <v>COCI 08-Mjehuric</v>
      </c>
      <c r="B408" s="15" t="s">
        <v>7527</v>
      </c>
      <c r="C408" s="24">
        <v>1</v>
      </c>
      <c r="D408" s="65" t="str">
        <f>HYPERLINK("https://github.com/mostafa-saad/MyCompetitiveProgramming/blob/master/Olympiad/COCI/official/2009/contest4_solutions","Editorial")</f>
        <v>Editorial</v>
      </c>
      <c r="E408" s="31" t="s">
        <v>7525</v>
      </c>
      <c r="F408" s="37"/>
      <c r="G408" s="24"/>
      <c r="H408" s="53"/>
    </row>
    <row r="409" spans="1:8" ht="13.2">
      <c r="A409" s="65" t="str">
        <f>HYPERLINK("https://dmoj.ca/problem/coci08c1p3","COCI 08-Mravojed")</f>
        <v>COCI 08-Mravojed</v>
      </c>
      <c r="B409" s="15" t="s">
        <v>7527</v>
      </c>
      <c r="C409" s="24">
        <v>3</v>
      </c>
      <c r="D409" s="65" t="str">
        <f>HYPERLINK("https://github.com/mostafa-saad/MyCompetitiveProgramming/blob/master/Olympiad/COCI/official/2009/contest1_solutions","Editorial")</f>
        <v>Editorial</v>
      </c>
      <c r="E409" s="31" t="s">
        <v>7525</v>
      </c>
      <c r="F409" s="37"/>
      <c r="G409" s="24"/>
      <c r="H409" s="53"/>
    </row>
    <row r="410" spans="1:8" ht="13.2">
      <c r="A410" s="65" t="str">
        <f>HYPERLINK("https://dmoj.ca/problem/coci08c3p6","COCI 08-Najkraci")</f>
        <v>COCI 08-Najkraci</v>
      </c>
      <c r="B410" s="15" t="s">
        <v>7509</v>
      </c>
      <c r="C410" s="24">
        <v>6</v>
      </c>
      <c r="D410" s="65" t="str">
        <f>HYPERLINK("https://github.com/mostafa-saad/MyCompetitiveProgramming/blob/master/Olympiad/COCI/COCI-08-Najkraci.txt","Sol")</f>
        <v>Sol</v>
      </c>
      <c r="E410" s="31" t="s">
        <v>6459</v>
      </c>
      <c r="F410" s="37" t="s">
        <v>139</v>
      </c>
      <c r="G410" s="24"/>
      <c r="H410" s="53"/>
    </row>
    <row r="411" spans="1:8" ht="13.2">
      <c r="A411" s="65" t="str">
        <f>HYPERLINK("https://dmoj.ca/problem/coci08c6p3","COCI 08-Nered")</f>
        <v>COCI 08-Nered</v>
      </c>
      <c r="B411" s="20" t="s">
        <v>6646</v>
      </c>
      <c r="C411" s="24">
        <v>2</v>
      </c>
      <c r="D411" s="65" t="str">
        <f>HYPERLINK("https://github.com/mostafa-saad/MyCompetitiveProgramming/blob/master/Olympiad/COCI/official/2009/contest6_solutions","Editorial")</f>
        <v>Editorial</v>
      </c>
      <c r="E411" s="31" t="s">
        <v>125</v>
      </c>
      <c r="F411" s="37"/>
      <c r="G411" s="24"/>
      <c r="H411" s="53"/>
    </row>
    <row r="412" spans="1:8" ht="13.2">
      <c r="A412" s="65" t="str">
        <f>HYPERLINK("https://dmoj.ca/problem/coci08c4p6","COCI 08-Periodni")</f>
        <v>COCI 08-Periodni</v>
      </c>
      <c r="B412" s="15" t="s">
        <v>6966</v>
      </c>
      <c r="C412" s="24">
        <v>6.75</v>
      </c>
      <c r="D412" s="65" t="str">
        <f>HYPERLINK("https://github.com/mostafa-saad/MyCompetitiveProgramming/blob/master/Olympiad/COCI/COCI-08-Periodni.txt","Sol")</f>
        <v>Sol</v>
      </c>
      <c r="E412" s="31" t="s">
        <v>1909</v>
      </c>
      <c r="F412" s="37" t="s">
        <v>154</v>
      </c>
      <c r="G412" s="24"/>
      <c r="H412" s="53"/>
    </row>
    <row r="413" spans="1:8" ht="13.2">
      <c r="A413" s="65" t="str">
        <f>HYPERLINK("https://dmoj.ca/problem/coci08c2p3","COCI 08-Perket")</f>
        <v>COCI 08-Perket</v>
      </c>
      <c r="B413" s="15" t="s">
        <v>7527</v>
      </c>
      <c r="C413" s="24">
        <v>3</v>
      </c>
      <c r="D413" s="65" t="str">
        <f>HYPERLINK("https://github.com/mostafa-saad/MyCompetitiveProgramming/blob/master/Olympiad/COCI/official/2009/contest2_solutions","Editorial")</f>
        <v>Editorial</v>
      </c>
      <c r="E413" s="31" t="s">
        <v>7525</v>
      </c>
      <c r="F413" s="37"/>
      <c r="G413" s="24"/>
      <c r="H413" s="53"/>
    </row>
    <row r="414" spans="1:8" ht="13.2">
      <c r="A414" s="65" t="str">
        <f>HYPERLINK("https://dmoj.ca/problem/coci08c3p1","COCI 08-Pet")</f>
        <v>COCI 08-Pet</v>
      </c>
      <c r="B414" s="20" t="s">
        <v>6646</v>
      </c>
      <c r="C414" s="24">
        <v>1</v>
      </c>
      <c r="D414" s="65" t="str">
        <f>HYPERLINK("https://github.com/mostafa-saad/MyCompetitiveProgramming/blob/master/Olympiad/COCI/official/2009/contest3_solutions","Editorial")</f>
        <v>Editorial</v>
      </c>
      <c r="E414" s="31" t="s">
        <v>125</v>
      </c>
      <c r="F414" s="37"/>
      <c r="G414" s="24"/>
      <c r="H414" s="53"/>
    </row>
    <row r="415" spans="1:8" ht="13.2">
      <c r="A415" s="65" t="str">
        <f>HYPERLINK("https://dmoj.ca/problem/coci08c1p2","COCI 08-Ptice")</f>
        <v>COCI 08-Ptice</v>
      </c>
      <c r="B415" s="15" t="s">
        <v>7527</v>
      </c>
      <c r="C415" s="24">
        <v>1</v>
      </c>
      <c r="D415" s="65" t="str">
        <f>HYPERLINK("https://github.com/mostafa-saad/MyCompetitiveProgramming/blob/master/Olympiad/COCI/official/2009/contest1_solutions","Editorial")</f>
        <v>Editorial</v>
      </c>
      <c r="E415" s="31" t="s">
        <v>7525</v>
      </c>
      <c r="F415" s="37"/>
      <c r="G415" s="24"/>
      <c r="H415" s="53"/>
    </row>
    <row r="416" spans="1:8" ht="13.2">
      <c r="A416" s="65" t="str">
        <f>HYPERLINK("https://dmoj.ca/problem/coci08c2p2","COCI 08-Reseto")</f>
        <v>COCI 08-Reseto</v>
      </c>
      <c r="B416" s="15" t="s">
        <v>7527</v>
      </c>
      <c r="C416" s="24">
        <v>1</v>
      </c>
      <c r="D416" s="65" t="str">
        <f>HYPERLINK("https://github.com/mostafa-saad/MyCompetitiveProgramming/blob/master/Olympiad/COCI/official/2009/contest2_solutions","Editorial")</f>
        <v>Editorial</v>
      </c>
      <c r="E416" s="31" t="s">
        <v>7525</v>
      </c>
      <c r="F416" s="37"/>
      <c r="G416" s="24"/>
      <c r="H416" s="53"/>
    </row>
    <row r="417" spans="1:8" ht="13.2">
      <c r="A417" s="65" t="str">
        <f>HYPERLINK("https://dmoj.ca/problem/coci08c4p3","COCI 08-Rot")</f>
        <v>COCI 08-Rot</v>
      </c>
      <c r="B417" s="20" t="s">
        <v>6646</v>
      </c>
      <c r="C417" s="24">
        <v>2</v>
      </c>
      <c r="D417" s="65" t="str">
        <f>HYPERLINK("https://github.com/mostafa-saad/MyCompetitiveProgramming/blob/master/Olympiad/COCI/official/2009/contest4_solutions","Editorial")</f>
        <v>Editorial</v>
      </c>
      <c r="E417" s="31" t="s">
        <v>125</v>
      </c>
      <c r="F417" s="37"/>
      <c r="G417" s="24"/>
      <c r="H417" s="53"/>
    </row>
    <row r="418" spans="1:8" ht="13.2">
      <c r="A418" s="65" t="str">
        <f>HYPERLINK("https://dmoj.ca/problem/coci08c2p5","COCI 08-Setnja")</f>
        <v>COCI 08-Setnja</v>
      </c>
      <c r="B418" s="15" t="s">
        <v>6930</v>
      </c>
      <c r="C418" s="24">
        <v>5</v>
      </c>
      <c r="D418" s="65" t="str">
        <f>HYPERLINK("https://github.com/mostafa-saad/MyCompetitiveProgramming/blob/master/Olympiad/COCI/official/2009/contest2_solutions","Editorial")</f>
        <v>Editorial</v>
      </c>
      <c r="E418" s="31" t="s">
        <v>1337</v>
      </c>
      <c r="F418" s="37"/>
      <c r="G418" s="24"/>
      <c r="H418" s="53"/>
    </row>
    <row r="419" spans="1:8" ht="13.2">
      <c r="A419" s="65" t="str">
        <f>HYPERLINK("https://dmoj.ca/problem/coci08c1p5","COCI 08-Skakavac")</f>
        <v>COCI 08-Skakavac</v>
      </c>
      <c r="B419" s="15" t="s">
        <v>7527</v>
      </c>
      <c r="C419" s="24">
        <v>5</v>
      </c>
      <c r="D419" s="65" t="str">
        <f t="shared" ref="D419:D420" si="12">HYPERLINK("https://github.com/mostafa-saad/MyCompetitiveProgramming/blob/master/Olympiad/COCI/official/2009/contest1_solutions","Editorial")</f>
        <v>Editorial</v>
      </c>
      <c r="E419" s="31" t="s">
        <v>7525</v>
      </c>
      <c r="F419" s="37"/>
      <c r="G419" s="24"/>
      <c r="H419" s="53"/>
    </row>
    <row r="420" spans="1:8" ht="13.2">
      <c r="A420" s="65" t="str">
        <f>HYPERLINK("https://dmoj.ca/problem/coci08c1p1","COCI 08-Skocimis")</f>
        <v>COCI 08-Skocimis</v>
      </c>
      <c r="B420" s="15" t="s">
        <v>7527</v>
      </c>
      <c r="C420" s="24">
        <v>3</v>
      </c>
      <c r="D420" s="65" t="str">
        <f t="shared" si="12"/>
        <v>Editorial</v>
      </c>
      <c r="E420" s="31" t="s">
        <v>7525</v>
      </c>
      <c r="F420" s="37"/>
      <c r="G420" s="24"/>
      <c r="H420" s="53"/>
    </row>
    <row r="421" spans="1:8" ht="13.2">
      <c r="A421" s="65" t="str">
        <f>HYPERLINK("https://dmoj.ca/problem/coci08c6p6","COCI 08-Slicice")</f>
        <v>COCI 08-Slicice</v>
      </c>
      <c r="B421" s="15" t="s">
        <v>4059</v>
      </c>
      <c r="C421" s="24">
        <v>6.5</v>
      </c>
      <c r="D421" s="65" t="str">
        <f>HYPERLINK("https://github.com/mostafa-saad/MyCompetitiveProgramming/blob/master/Olympiad/CEOI/COCI-08-Slicice.txt","Sol")</f>
        <v>Sol</v>
      </c>
      <c r="E421" s="31" t="s">
        <v>4060</v>
      </c>
      <c r="F421" s="37" t="s">
        <v>139</v>
      </c>
      <c r="G421" s="24"/>
      <c r="H421" s="53"/>
    </row>
    <row r="422" spans="1:8" ht="13.2">
      <c r="A422" s="65" t="str">
        <f>HYPERLINK("https://dmoj.ca/problem/coci08c4p4","COCI 08-Slikar")</f>
        <v>COCI 08-Slikar</v>
      </c>
      <c r="B422" s="23" t="s">
        <v>6898</v>
      </c>
      <c r="C422" s="24">
        <v>5.75</v>
      </c>
      <c r="D422" s="65" t="str">
        <f>HYPERLINK("https://github.com/mostafa-saad/MyCompetitiveProgramming/blob/master/Olympiad/COCI/COCI-08-Slikar.txt","Sol")</f>
        <v>Sol</v>
      </c>
      <c r="E422" s="31" t="s">
        <v>1337</v>
      </c>
      <c r="F422" s="37" t="s">
        <v>139</v>
      </c>
      <c r="G422" s="24"/>
      <c r="H422" s="53"/>
    </row>
    <row r="423" spans="1:8" ht="13.2">
      <c r="A423" s="65" t="str">
        <f>HYPERLINK("https://dmoj.ca/problem/coci08c2p4","COCI 08-Svada")</f>
        <v>COCI 08-Svada</v>
      </c>
      <c r="B423" s="15" t="s">
        <v>814</v>
      </c>
      <c r="C423" s="24">
        <v>5.25</v>
      </c>
      <c r="D423" s="65" t="str">
        <f>HYPERLINK("https://github.com/mostafa-saad/MyCompetitiveProgramming/blob/master/Olympiad/COCI/official/2009/contest2_solutions","Editorial")</f>
        <v>Editorial</v>
      </c>
      <c r="E423" s="31" t="s">
        <v>805</v>
      </c>
      <c r="F423" s="37"/>
      <c r="G423" s="24"/>
      <c r="H423" s="53"/>
    </row>
    <row r="424" spans="1:8" ht="13.2">
      <c r="A424" s="65" t="str">
        <f>HYPERLINK("https://dmoj.ca/problem/coci08c5p5","COCI 08-Tresnja")</f>
        <v>COCI 08-Tresnja</v>
      </c>
      <c r="B424" s="15" t="s">
        <v>6122</v>
      </c>
      <c r="C424" s="24">
        <v>5.5</v>
      </c>
      <c r="D424" s="65" t="str">
        <f>HYPERLINK("https://github.com/mostafa-saad/MyCompetitiveProgramming/blob/master/Olympiad/COCI/COCI-08-Tresnja.txt","Sol")</f>
        <v>Sol</v>
      </c>
      <c r="E424" s="31" t="s">
        <v>6118</v>
      </c>
      <c r="F424" s="37" t="s">
        <v>201</v>
      </c>
      <c r="G424" s="24"/>
      <c r="H424" s="53"/>
    </row>
    <row r="425" spans="1:8" ht="13.2">
      <c r="A425" s="65" t="str">
        <f>HYPERLINK("https://dmoj.ca/problem/coci08c4p5","COCI 08-Trezor")</f>
        <v>COCI 08-Trezor</v>
      </c>
      <c r="B425" s="15" t="s">
        <v>7348</v>
      </c>
      <c r="C425" s="24">
        <v>6.3</v>
      </c>
      <c r="D425" s="65" t="str">
        <f>HYPERLINK("https://github.com/mostafa-saad/MyCompetitiveProgramming/blob/master/Olympiad/COCI/COCI-08-Trezor.txt","Sol")</f>
        <v>Sol</v>
      </c>
      <c r="E425" s="31" t="s">
        <v>5134</v>
      </c>
      <c r="F425" s="37" t="s">
        <v>139</v>
      </c>
      <c r="G425" s="24"/>
      <c r="H425" s="53"/>
    </row>
    <row r="426" spans="1:8" ht="13.2">
      <c r="A426" s="65" t="str">
        <f>HYPERLINK("https://wcipeg.com/problem/coci091p6","COCI 09-Aladin")</f>
        <v>COCI 09-Aladin</v>
      </c>
      <c r="B426" s="15" t="s">
        <v>6767</v>
      </c>
      <c r="C426" s="24">
        <v>6.75</v>
      </c>
      <c r="D426" s="65" t="str">
        <f>HYPERLINK("https://github.com/mostafa-saad/MyCompetitiveProgramming/blob/master/Olympiad/COCI/COCI-09-Aladin.txt","Sol")</f>
        <v>Sol</v>
      </c>
      <c r="E426" s="31" t="s">
        <v>1018</v>
      </c>
      <c r="F426" s="37" t="s">
        <v>201</v>
      </c>
      <c r="G426" s="24"/>
      <c r="H426" s="53"/>
    </row>
    <row r="427" spans="1:8" ht="13.2">
      <c r="A427" s="65" t="str">
        <f>HYPERLINK("https://wcipeg.com/problem/coci094p1","COCI 09-Autori")</f>
        <v>COCI 09-Autori</v>
      </c>
      <c r="B427" s="15" t="s">
        <v>7527</v>
      </c>
      <c r="C427" s="24">
        <v>1</v>
      </c>
      <c r="D427" s="65" t="str">
        <f>HYPERLINK("https://github.com/mostafa-saad/MyCompetitiveProgramming/blob/master/Olympiad/COCI/official/2010/contest4_solutions","Editorial")</f>
        <v>Editorial</v>
      </c>
      <c r="E427" s="31" t="s">
        <v>7525</v>
      </c>
      <c r="F427" s="37"/>
      <c r="G427" s="24"/>
      <c r="H427" s="53"/>
    </row>
    <row r="428" spans="1:8" ht="13.2">
      <c r="A428" s="65" t="str">
        <f>HYPERLINK("https://wcipeg.com/problem/coci097p3","COCI 09-Bakice")</f>
        <v>COCI 09-Bakice</v>
      </c>
      <c r="B428" s="15" t="s">
        <v>7527</v>
      </c>
      <c r="C428" s="24">
        <v>5</v>
      </c>
      <c r="D428" s="65" t="str">
        <f t="shared" ref="D428:D429" si="13">HYPERLINK("https://github.com/mostafa-saad/MyCompetitiveProgramming/blob/master/Olympiad/COCI/official/2010/contest7_solutions","Editorial")</f>
        <v>Editorial</v>
      </c>
      <c r="E428" s="31" t="s">
        <v>7525</v>
      </c>
      <c r="F428" s="37"/>
      <c r="G428" s="24"/>
      <c r="H428" s="53"/>
    </row>
    <row r="429" spans="1:8" ht="13.2">
      <c r="A429" s="65" t="str">
        <f>HYPERLINK("https://wcipeg.com/problem/coci097p2","COCI 09-Cokolada")</f>
        <v>COCI 09-Cokolada</v>
      </c>
      <c r="B429" s="15" t="s">
        <v>7527</v>
      </c>
      <c r="C429" s="24">
        <v>1</v>
      </c>
      <c r="D429" s="65" t="str">
        <f t="shared" si="13"/>
        <v>Editorial</v>
      </c>
      <c r="E429" s="31" t="s">
        <v>7525</v>
      </c>
      <c r="F429" s="37"/>
      <c r="G429" s="24"/>
      <c r="H429" s="53"/>
    </row>
    <row r="430" spans="1:8" ht="13.2">
      <c r="A430" s="65" t="str">
        <f>HYPERLINK("https://wcipeg.com/problem/coci095p2","COCI 09-Cudoviste")</f>
        <v>COCI 09-Cudoviste</v>
      </c>
      <c r="B430" s="15" t="s">
        <v>7527</v>
      </c>
      <c r="C430" s="24">
        <v>1</v>
      </c>
      <c r="D430" s="65" t="str">
        <f>HYPERLINK("https://github.com/mostafa-saad/MyCompetitiveProgramming/blob/master/Olympiad/COCI/official/2010/contest5_solutions","Editorial")</f>
        <v>Editorial</v>
      </c>
      <c r="E430" s="31" t="s">
        <v>7525</v>
      </c>
      <c r="F430" s="37"/>
      <c r="G430" s="24"/>
      <c r="H430" s="53"/>
    </row>
    <row r="431" spans="1:8" ht="13.2">
      <c r="A431" s="65" t="str">
        <f>HYPERLINK("https://wcipeg.com/problem/coci091p3","COCI 09-Dobra")</f>
        <v>COCI 09-Dobra</v>
      </c>
      <c r="B431" s="15" t="s">
        <v>7343</v>
      </c>
      <c r="C431" s="24">
        <v>4</v>
      </c>
      <c r="D431" s="65" t="str">
        <f t="shared" ref="D431:D432" si="14">HYPERLINK("https://github.com/mostafa-saad/MyCompetitiveProgramming/blob/master/Olympiad/COCI/official/2010/contest1_solutions","Editorial")</f>
        <v>Editorial</v>
      </c>
      <c r="E431" s="31" t="s">
        <v>4958</v>
      </c>
      <c r="F431" s="37" t="s">
        <v>201</v>
      </c>
      <c r="G431" s="24"/>
      <c r="H431" s="53"/>
    </row>
    <row r="432" spans="1:8" ht="13.2">
      <c r="A432" s="65" t="str">
        <f>HYPERLINK("https://dmoj.ca/problem/coci09c1p2","COCI 09-Domino")</f>
        <v>COCI 09-Domino</v>
      </c>
      <c r="B432" s="15" t="s">
        <v>7527</v>
      </c>
      <c r="C432" s="24">
        <v>1</v>
      </c>
      <c r="D432" s="65" t="str">
        <f t="shared" si="14"/>
        <v>Editorial</v>
      </c>
      <c r="E432" s="31" t="s">
        <v>7525</v>
      </c>
      <c r="F432" s="37"/>
      <c r="G432" s="24"/>
      <c r="H432" s="53"/>
    </row>
    <row r="433" spans="1:8" ht="13.2">
      <c r="A433" s="65" t="str">
        <f>HYPERLINK("https://wcipeg.com/problem/coci096p3","COCI 09-Dosadan")</f>
        <v>COCI 09-Dosadan</v>
      </c>
      <c r="B433" s="15" t="s">
        <v>6649</v>
      </c>
      <c r="C433" s="24">
        <v>3</v>
      </c>
      <c r="D433" s="65" t="str">
        <f>HYPERLINK("https://github.com/mostafa-saad/MyCompetitiveProgramming/blob/master/Olympiad/COCI/official/2010/contest6_solutions","Editorial")</f>
        <v>Editorial</v>
      </c>
      <c r="E433" s="31" t="s">
        <v>125</v>
      </c>
      <c r="F433" s="37"/>
      <c r="G433" s="24"/>
      <c r="H433" s="53"/>
    </row>
    <row r="434" spans="1:8" ht="13.2">
      <c r="A434" s="65" t="str">
        <f>HYPERLINK("https://wcipeg.com/problem/coci092p1","COCI 09-Faktor")</f>
        <v>COCI 09-Faktor</v>
      </c>
      <c r="B434" s="15" t="s">
        <v>7527</v>
      </c>
      <c r="C434" s="24">
        <v>1</v>
      </c>
      <c r="D434" s="65" t="str">
        <f>HYPERLINK("https://github.com/mostafa-saad/MyCompetitiveProgramming/blob/master/Olympiad/COCI/official/2010/contest2_solutions","Editorial")</f>
        <v>Editorial</v>
      </c>
      <c r="E434" s="31" t="s">
        <v>7525</v>
      </c>
      <c r="F434" s="37"/>
      <c r="G434" s="24"/>
      <c r="H434" s="53"/>
    </row>
    <row r="435" spans="1:8" ht="13.2">
      <c r="A435" s="65" t="str">
        <f>HYPERLINK("https://wcipeg.com/problem/coci093p1","COCI 09-Filip")</f>
        <v>COCI 09-Filip</v>
      </c>
      <c r="B435" s="15" t="s">
        <v>7527</v>
      </c>
      <c r="C435" s="24">
        <v>1</v>
      </c>
      <c r="D435" s="65" t="str">
        <f>HYPERLINK("https://github.com/mostafa-saad/MyCompetitiveProgramming/blob/master/Olympiad/COCI/official/2010/contest3_solutions","Editorial")</f>
        <v>Editorial</v>
      </c>
      <c r="E435" s="31" t="s">
        <v>7525</v>
      </c>
      <c r="F435" s="37"/>
      <c r="G435" s="24"/>
      <c r="H435" s="53"/>
    </row>
    <row r="436" spans="1:8" ht="13.2">
      <c r="A436" s="65" t="str">
        <f>HYPERLINK("https://wcipeg.com/problem/coci091p5","COCI 09-Genijalac")</f>
        <v>COCI 09-Genijalac</v>
      </c>
      <c r="B436" s="15" t="s">
        <v>7336</v>
      </c>
      <c r="C436" s="24">
        <v>4</v>
      </c>
      <c r="D436" s="65" t="str">
        <f>HYPERLINK("https://github.com/mostafa-saad/MyCompetitiveProgramming/blob/master/Olympiad/COCI/official/2010/contest1_solutions","Editorial")</f>
        <v>Editorial</v>
      </c>
      <c r="E436" s="31" t="s">
        <v>4809</v>
      </c>
      <c r="F436" s="37"/>
      <c r="G436" s="24"/>
      <c r="H436" s="53"/>
    </row>
    <row r="437" spans="1:8" ht="13.2">
      <c r="A437" s="65" t="str">
        <f>HYPERLINK("https://wcipeg.com/problem/coci096p6","COCI 09-Gremlini")</f>
        <v>COCI 09-Gremlini</v>
      </c>
      <c r="B437" s="15" t="s">
        <v>7352</v>
      </c>
      <c r="C437" s="24">
        <v>7</v>
      </c>
      <c r="D437" s="65" t="str">
        <f>HYPERLINK("https://github.com/mostafa-saad/MyCompetitiveProgramming/blob/master/Olympiad/COCI/COCI-09-Gremlini.txt","Sol")</f>
        <v>Sol</v>
      </c>
      <c r="E437" s="31" t="s">
        <v>5246</v>
      </c>
      <c r="F437" s="37" t="s">
        <v>139</v>
      </c>
      <c r="G437" s="24"/>
      <c r="H437" s="53"/>
    </row>
    <row r="438" spans="1:8" ht="13.2">
      <c r="A438" s="65" t="str">
        <f>HYPERLINK("https://wcipeg.com/problem/coci096p5","COCI 09-Holmes")</f>
        <v>COCI 09-Holmes</v>
      </c>
      <c r="B438" s="73" t="s">
        <v>7128</v>
      </c>
      <c r="C438" s="66">
        <v>7</v>
      </c>
      <c r="D438" s="65" t="str">
        <f>HYPERLINK("https://github.com/mostafa-saad/MyCompetitiveProgramming/blob/master/Olympiad/COCI/official/2010/contest6_solutions","Editorial")</f>
        <v>Editorial</v>
      </c>
      <c r="E438" s="31" t="s">
        <v>3257</v>
      </c>
      <c r="F438" s="37"/>
      <c r="G438" s="24"/>
      <c r="H438" s="53"/>
    </row>
    <row r="439" spans="1:8" ht="13.2">
      <c r="A439" s="65" t="str">
        <f>HYPERLINK("https://wcipeg.com/problem/coci094p3","COCI 09-Iks")</f>
        <v>COCI 09-Iks</v>
      </c>
      <c r="B439" s="15" t="s">
        <v>7527</v>
      </c>
      <c r="C439" s="24">
        <v>5</v>
      </c>
      <c r="D439" s="69"/>
      <c r="E439" s="31" t="s">
        <v>7525</v>
      </c>
      <c r="F439" s="37"/>
      <c r="G439" s="24"/>
      <c r="H439" s="53"/>
    </row>
    <row r="440" spans="1:8" ht="13.2">
      <c r="A440" s="65" t="str">
        <f>HYPERLINK("https://wcipeg.com/problem/coci094p5","COCI 09-Kaboom")</f>
        <v>COCI 09-Kaboom</v>
      </c>
      <c r="B440" s="15" t="s">
        <v>1348</v>
      </c>
      <c r="C440" s="24">
        <v>6</v>
      </c>
      <c r="D440" s="65" t="str">
        <f>HYPERLINK("https://github.com/mostafa-saad/MyCompetitiveProgramming/blob/master/Olympiad/CEOI/COCI-09-Kaboom","Sol")</f>
        <v>Sol</v>
      </c>
      <c r="E440" s="31" t="s">
        <v>1337</v>
      </c>
      <c r="F440" s="37" t="s">
        <v>242</v>
      </c>
      <c r="G440" s="24"/>
      <c r="H440" s="53"/>
    </row>
    <row r="441" spans="1:8" ht="13.2">
      <c r="A441" s="65" t="str">
        <f>HYPERLINK("https://wcipeg.com/problem/coci096p1","COCI 09-Kajak")</f>
        <v>COCI 09-Kajak</v>
      </c>
      <c r="B441" s="20" t="s">
        <v>6646</v>
      </c>
      <c r="C441" s="24">
        <v>2</v>
      </c>
      <c r="D441" s="65" t="str">
        <f>HYPERLINK("https://github.com/mostafa-saad/MyCompetitiveProgramming/blob/master/Olympiad/COCI/official/2010/contest6_solutions","Editorial")</f>
        <v>Editorial</v>
      </c>
      <c r="E441" s="31" t="s">
        <v>125</v>
      </c>
      <c r="F441" s="37"/>
      <c r="G441" s="24"/>
      <c r="H441" s="53"/>
    </row>
    <row r="442" spans="1:8" ht="13.2">
      <c r="A442" s="65" t="str">
        <f>HYPERLINK("https://wcipeg.com/problem/coci095p3","COCI 09-Kletva")</f>
        <v>COCI 09-Kletva</v>
      </c>
      <c r="B442" s="15" t="s">
        <v>7527</v>
      </c>
      <c r="C442" s="24">
        <v>5</v>
      </c>
      <c r="D442" s="65" t="str">
        <f>HYPERLINK("https://github.com/mostafa-saad/MyCompetitiveProgramming/blob/master/Olympiad/COCI/official/2010/contest5_solutions","Editorial")</f>
        <v>Editorial</v>
      </c>
      <c r="E442" s="31" t="s">
        <v>7525</v>
      </c>
      <c r="F442" s="37"/>
      <c r="G442" s="24"/>
      <c r="H442" s="53"/>
    </row>
    <row r="443" spans="1:8" ht="13.2">
      <c r="A443" s="65" t="str">
        <f>HYPERLINK("https://wcipeg.com/problem/coci097p5","COCI 09-Kraljevi")</f>
        <v>COCI 09-Kraljevi</v>
      </c>
      <c r="B443" s="15" t="s">
        <v>1348</v>
      </c>
      <c r="C443" s="24">
        <v>5.25</v>
      </c>
      <c r="D443" s="65" t="str">
        <f>HYPERLINK("https://github.com/mostafa-saad/MyCompetitiveProgramming/blob/master/Olympiad/COCI/official/2010/contest7_solutions","Editorial")</f>
        <v>Editorial</v>
      </c>
      <c r="E443" s="31" t="s">
        <v>1337</v>
      </c>
      <c r="F443" s="37" t="s">
        <v>139</v>
      </c>
      <c r="G443" s="24"/>
      <c r="H443" s="53"/>
    </row>
    <row r="444" spans="1:8" ht="13.2">
      <c r="A444" s="65" t="str">
        <f>HYPERLINK("https://wcipeg.com/problem/coci092p3","COCI 09-Kutevi")</f>
        <v>COCI 09-Kutevi</v>
      </c>
      <c r="B444" s="20" t="s">
        <v>6646</v>
      </c>
      <c r="C444" s="24">
        <v>2</v>
      </c>
      <c r="D444" s="69"/>
      <c r="E444" s="31" t="s">
        <v>125</v>
      </c>
      <c r="F444" s="37"/>
      <c r="G444" s="24"/>
      <c r="H444" s="53"/>
    </row>
    <row r="445" spans="1:8" ht="13.2">
      <c r="A445" s="65" t="str">
        <f>HYPERLINK("https://wcipeg.com/problem/coci091p4","COCI 09-Mali")</f>
        <v>COCI 09-Mali</v>
      </c>
      <c r="B445" s="15" t="s">
        <v>124</v>
      </c>
      <c r="C445" s="24">
        <v>5</v>
      </c>
      <c r="D445" s="65" t="str">
        <f>HYPERLINK("https://github.com/mostafa-saad/MyCompetitiveProgramming/blob/master/Olympiad/COCI/official/2010/contest1_solutions","Editorial")</f>
        <v>Editorial</v>
      </c>
      <c r="E445" s="31" t="s">
        <v>125</v>
      </c>
      <c r="F445" s="37" t="s">
        <v>201</v>
      </c>
      <c r="G445" s="24"/>
      <c r="H445" s="53"/>
    </row>
    <row r="446" spans="1:8" ht="13.2">
      <c r="A446" s="65" t="str">
        <f>HYPERLINK("https://wcipeg.com/problem/coci096p2","COCI 09-Natjecanje")</f>
        <v>COCI 09-Natjecanje</v>
      </c>
      <c r="B446" s="15" t="s">
        <v>7527</v>
      </c>
      <c r="C446" s="24">
        <v>2</v>
      </c>
      <c r="D446" s="65" t="str">
        <f>HYPERLINK("https://github.com/mostafa-saad/MyCompetitiveProgramming/blob/master/Olympiad/COCI/official/2010/contest6_solutions","Editorial")</f>
        <v>Editorial</v>
      </c>
      <c r="E446" s="31" t="s">
        <v>7525</v>
      </c>
      <c r="F446" s="37"/>
      <c r="G446" s="24"/>
      <c r="H446" s="53"/>
    </row>
    <row r="447" spans="1:8" ht="13.2">
      <c r="A447" s="65" t="str">
        <f>HYPERLINK("https://dmoj.ca/problem/coci09c1p1","COCI 09-Note")</f>
        <v>COCI 09-Note</v>
      </c>
      <c r="B447" s="15" t="s">
        <v>7527</v>
      </c>
      <c r="C447" s="66">
        <v>1</v>
      </c>
      <c r="D447" s="69"/>
      <c r="E447" s="31" t="s">
        <v>7525</v>
      </c>
      <c r="F447" s="37"/>
      <c r="G447" s="24"/>
      <c r="H447" s="53"/>
    </row>
    <row r="448" spans="1:8" ht="13.2">
      <c r="A448" s="65" t="str">
        <f>HYPERLINK("https://wcipeg.com/problem/coci094p4","COCI 09-Ograda")</f>
        <v>COCI 09-Ograda</v>
      </c>
      <c r="B448" s="15" t="s">
        <v>7009</v>
      </c>
      <c r="C448" s="24">
        <v>6</v>
      </c>
      <c r="D448" s="65" t="str">
        <f>HYPERLINK("https://github.com/mostafa-saad/MyCompetitiveProgramming/blob/master/Olympiad/COCI/COCI-09-Ograda.txt","Sol")</f>
        <v>Sol</v>
      </c>
      <c r="E448" s="31" t="s">
        <v>2153</v>
      </c>
      <c r="F448" s="37" t="s">
        <v>139</v>
      </c>
      <c r="G448" s="24"/>
      <c r="H448" s="53"/>
    </row>
    <row r="449" spans="1:8" ht="13.2">
      <c r="A449" s="65" t="str">
        <f>HYPERLINK("https://wcipeg.com/problem/coci094p6","COCI 09-Palacinke")</f>
        <v>COCI 09-Palacinke</v>
      </c>
      <c r="B449" s="15" t="s">
        <v>7353</v>
      </c>
      <c r="C449" s="24">
        <v>6.7</v>
      </c>
      <c r="D449" s="65" t="str">
        <f>HYPERLINK("https://github.com/mostafa-saad/MyCompetitiveProgramming/blob/master/Olympiad/COCI/COCI-09-Palacinke.txt","Sol")</f>
        <v>Sol</v>
      </c>
      <c r="E449" s="31" t="s">
        <v>5246</v>
      </c>
      <c r="F449" s="37" t="s">
        <v>154</v>
      </c>
      <c r="G449" s="24"/>
      <c r="H449" s="53"/>
    </row>
    <row r="450" spans="1:8" ht="13.2">
      <c r="A450" s="65" t="str">
        <f>HYPERLINK("https://wcipeg.com/problem/coci092p6","COCI 09-Pasijans")</f>
        <v>COCI 09-Pasijans</v>
      </c>
      <c r="B450" s="15" t="s">
        <v>7005</v>
      </c>
      <c r="C450" s="24">
        <v>6.25</v>
      </c>
      <c r="D450" s="65" t="str">
        <f>HYPERLINK("https://github.com/mostafa-saad/MyCompetitiveProgramming/blob/master/Olympiad/COCI/official/2010/contest2_solutions","Editorial")</f>
        <v>Editorial</v>
      </c>
      <c r="E450" s="31" t="s">
        <v>2153</v>
      </c>
      <c r="F450" s="37"/>
      <c r="G450" s="24"/>
      <c r="H450" s="53"/>
    </row>
    <row r="451" spans="1:8" ht="13.2">
      <c r="A451" s="65" t="str">
        <f>HYPERLINK("https://wcipeg.com/problem/coci093p5","COCI 09-Patuljci")</f>
        <v>COCI 09-Patuljci</v>
      </c>
      <c r="B451" s="73" t="s">
        <v>6691</v>
      </c>
      <c r="C451" s="66">
        <v>6</v>
      </c>
      <c r="D451" s="65" t="str">
        <f>HYPERLINK("https://github.com/mostafa-saad/MyCompetitiveProgramming/blob/master/Olympiad/COCI/official/2010/contest3_solutions","Editorial")</f>
        <v>Editorial</v>
      </c>
      <c r="E451" s="31" t="s">
        <v>575</v>
      </c>
      <c r="F451" s="37"/>
      <c r="G451" s="24"/>
      <c r="H451" s="53"/>
    </row>
    <row r="452" spans="1:8" ht="13.2">
      <c r="A452" s="65" t="str">
        <f>HYPERLINK("https://wcipeg.com/problem/coci094p2","COCI 09-Planina")</f>
        <v>COCI 09-Planina</v>
      </c>
      <c r="B452" s="15" t="s">
        <v>7527</v>
      </c>
      <c r="C452" s="24">
        <v>1</v>
      </c>
      <c r="D452" s="65" t="str">
        <f>HYPERLINK("https://github.com/mostafa-saad/MyCompetitiveProgramming/blob/master/Olympiad/COCI/official/2010/contest4_solutions","Editorial")</f>
        <v>Editorial</v>
      </c>
      <c r="E452" s="31" t="s">
        <v>7525</v>
      </c>
      <c r="F452" s="37"/>
      <c r="G452" s="24"/>
      <c r="H452" s="53"/>
    </row>
    <row r="453" spans="1:8" ht="13.2">
      <c r="A453" s="65" t="str">
        <f>HYPERLINK("https://wcipeg.com/problem/coci092p5","COCI 09-Poslozi")</f>
        <v>COCI 09-Poslozi</v>
      </c>
      <c r="B453" s="15" t="s">
        <v>7171</v>
      </c>
      <c r="C453" s="24">
        <v>7.25</v>
      </c>
      <c r="D453" s="65" t="str">
        <f>HYPERLINK("https://github.com/mostafa-saad/MyCompetitiveProgramming/blob/master/Olympiad/COCI/official/2010/contest2_solutions","Editorial")</f>
        <v>Editorial</v>
      </c>
      <c r="E453" s="31" t="s">
        <v>3467</v>
      </c>
      <c r="F453" s="37"/>
      <c r="G453" s="24"/>
      <c r="H453" s="53"/>
    </row>
    <row r="454" spans="1:8" ht="13.2">
      <c r="A454" s="65" t="str">
        <f>HYPERLINK("https://wcipeg.com/problem/coci095p5","COCI 09-Program")</f>
        <v>COCI 09-Program</v>
      </c>
      <c r="B454" s="15" t="s">
        <v>5961</v>
      </c>
      <c r="C454" s="24">
        <v>2</v>
      </c>
      <c r="D454" s="65" t="str">
        <f>HYPERLINK("https://github.com/mostafa-saad/MyCompetitiveProgramming/blob/master/Olympiad/COCI/official/2010/contest5_solutions","Editorial")</f>
        <v>Editorial</v>
      </c>
      <c r="E454" s="31" t="s">
        <v>5958</v>
      </c>
      <c r="F454" s="37"/>
      <c r="G454" s="24"/>
      <c r="H454" s="53"/>
    </row>
    <row r="455" spans="1:8" ht="13.2">
      <c r="A455" s="65" t="str">
        <f>HYPERLINK("https://wcipeg.com/problem/coci093p4","COCI 09-Razgovori")</f>
        <v>COCI 09-Razgovori</v>
      </c>
      <c r="B455" s="15" t="s">
        <v>7411</v>
      </c>
      <c r="C455" s="24">
        <v>2</v>
      </c>
      <c r="D455" s="65" t="str">
        <f>HYPERLINK("https://github.com/mostafa-saad/MyCompetitiveProgramming/blob/master/Olympiad/COCI/official/2010/contest3_solutions","Editorial")</f>
        <v>Editorial</v>
      </c>
      <c r="E455" s="31" t="s">
        <v>5958</v>
      </c>
      <c r="F455" s="37"/>
      <c r="G455" s="24"/>
      <c r="H455" s="53"/>
    </row>
    <row r="456" spans="1:8" ht="13.2">
      <c r="A456" s="65" t="str">
        <f>HYPERLINK("https://wcipeg.com/problem/coci092p2","COCI 09-Rimski")</f>
        <v>COCI 09-Rimski</v>
      </c>
      <c r="B456" s="15" t="s">
        <v>5961</v>
      </c>
      <c r="C456" s="24">
        <v>2</v>
      </c>
      <c r="D456" s="65" t="str">
        <f>HYPERLINK("https://github.com/mostafa-saad/MyCompetitiveProgramming/blob/master/Olympiad/COCI/official/2010/contest2_solutions","Editorial")</f>
        <v>Editorial</v>
      </c>
      <c r="E456" s="31" t="s">
        <v>5958</v>
      </c>
      <c r="F456" s="37"/>
      <c r="G456" s="24"/>
      <c r="H456" s="53"/>
    </row>
    <row r="457" spans="1:8" ht="13.2">
      <c r="A457" s="65" t="str">
        <f>HYPERLINK("https://wcipeg.com/problem/coci093p2","COCI 09-Slatkisi")</f>
        <v>COCI 09-Slatkisi</v>
      </c>
      <c r="B457" s="15" t="s">
        <v>7527</v>
      </c>
      <c r="C457" s="24">
        <v>1</v>
      </c>
      <c r="D457" s="65" t="str">
        <f>HYPERLINK("https://github.com/mostafa-saad/MyCompetitiveProgramming/blob/master/Olympiad/COCI/official/2010/contest3_solutions","Editorial")</f>
        <v>Editorial</v>
      </c>
      <c r="E457" s="31" t="s">
        <v>7525</v>
      </c>
      <c r="F457" s="37"/>
      <c r="G457" s="24"/>
      <c r="H457" s="53"/>
    </row>
    <row r="458" spans="1:8" ht="13.2">
      <c r="A458" s="65" t="str">
        <f>HYPERLINK("https://dunjudge.me/analysis/problems/153/","COCI 09-snowwhite")</f>
        <v>COCI 09-snowwhite</v>
      </c>
      <c r="B458" s="20" t="s">
        <v>7388</v>
      </c>
      <c r="C458" s="24">
        <v>6</v>
      </c>
      <c r="D458" s="65" t="str">
        <f>HYPERLINK("https://github.com/mostafa-saad/MyCompetitiveProgramming/blob/master/Olympiad/CEOI/COCI-09-snowwhite.txt","Sol")</f>
        <v>Sol</v>
      </c>
      <c r="E458" s="31" t="s">
        <v>5915</v>
      </c>
      <c r="F458" s="37" t="s">
        <v>154</v>
      </c>
      <c r="G458" s="24"/>
      <c r="H458" s="53"/>
    </row>
    <row r="459" spans="1:8" ht="13.2">
      <c r="A459" s="65" t="str">
        <f>HYPERLINK("https://wcipeg.com/problem/coci095p1","COCI 09-Sok")</f>
        <v>COCI 09-Sok</v>
      </c>
      <c r="B459" s="15" t="s">
        <v>7527</v>
      </c>
      <c r="C459" s="24">
        <v>1</v>
      </c>
      <c r="D459" s="65" t="str">
        <f>HYPERLINK("https://github.com/mostafa-saad/MyCompetitiveProgramming/blob/master/Olympiad/COCI/official/2010/contest5_solutions","Editorial")</f>
        <v>Editorial</v>
      </c>
      <c r="E459" s="31" t="s">
        <v>7525</v>
      </c>
      <c r="F459" s="37"/>
      <c r="G459" s="24"/>
      <c r="H459" s="53"/>
    </row>
    <row r="460" spans="1:8" ht="13.2">
      <c r="A460" s="65" t="str">
        <f>HYPERLINK("https://wcipeg.com/problem/coci093p3","COCI 09-Sort")</f>
        <v>COCI 09-Sort</v>
      </c>
      <c r="B460" s="15" t="s">
        <v>7527</v>
      </c>
      <c r="C460" s="24">
        <v>1</v>
      </c>
      <c r="D460" s="65" t="str">
        <f>HYPERLINK("https://github.com/mostafa-saad/MyCompetitiveProgramming/blob/master/Olympiad/COCI/official/2010/contest3_solutions","Editorial")</f>
        <v>Editorial</v>
      </c>
      <c r="E460" s="31" t="s">
        <v>7525</v>
      </c>
      <c r="F460" s="37"/>
      <c r="G460" s="24"/>
      <c r="H460" s="53"/>
    </row>
    <row r="461" spans="1:8" ht="13.2">
      <c r="A461" s="65" t="str">
        <f>HYPERLINK("https://wcipeg.com/problem/coci097p1","COCI 09-Spavanac")</f>
        <v>COCI 09-Spavanac</v>
      </c>
      <c r="B461" s="15" t="s">
        <v>7527</v>
      </c>
      <c r="C461" s="24">
        <v>1</v>
      </c>
      <c r="D461" s="65" t="str">
        <f t="shared" ref="D461:D462" si="15">HYPERLINK("https://github.com/mostafa-saad/MyCompetitiveProgramming/blob/master/Olympiad/COCI/official/2010/contest7_solutions","Editorial")</f>
        <v>Editorial</v>
      </c>
      <c r="E461" s="31" t="s">
        <v>7525</v>
      </c>
      <c r="F461" s="37"/>
      <c r="G461" s="24"/>
      <c r="H461" s="53"/>
    </row>
    <row r="462" spans="1:8" ht="13.2">
      <c r="A462" s="65" t="str">
        <f>HYPERLINK("https://dunjudge.me/analysis/problems/540/","COCI 09-svemir")</f>
        <v>COCI 09-svemir</v>
      </c>
      <c r="B462" s="20" t="s">
        <v>4279</v>
      </c>
      <c r="C462" s="24">
        <v>4</v>
      </c>
      <c r="D462" s="65" t="str">
        <f t="shared" si="15"/>
        <v>Editorial</v>
      </c>
      <c r="E462" s="31" t="s">
        <v>4275</v>
      </c>
      <c r="F462" s="37"/>
      <c r="G462" s="24"/>
      <c r="H462" s="53"/>
    </row>
    <row r="463" spans="1:8" ht="13.2">
      <c r="A463" s="65" t="str">
        <f>HYPERLINK("https://wcipeg.com/problem/coci092p4","COCI 09-Vuk")</f>
        <v>COCI 09-Vuk</v>
      </c>
      <c r="B463" s="15" t="s">
        <v>3830</v>
      </c>
      <c r="C463" s="24">
        <v>5</v>
      </c>
      <c r="D463" s="65" t="str">
        <f>HYPERLINK("https://github.com/mostafa-saad/MyCompetitiveProgramming/blob/master/Olympiad/COCI/official/2010/contest2_solutions","Editorial")</f>
        <v>Editorial</v>
      </c>
      <c r="E463" s="31" t="s">
        <v>3784</v>
      </c>
      <c r="F463" s="37" t="s">
        <v>139</v>
      </c>
      <c r="G463" s="24"/>
      <c r="H463" s="53"/>
    </row>
    <row r="464" spans="1:8" ht="13.2">
      <c r="A464" s="65" t="str">
        <f>HYPERLINK("https://wcipeg.com/problem/coci096p4","COCI 09-Xor")</f>
        <v>COCI 09-Xor</v>
      </c>
      <c r="B464" s="15" t="s">
        <v>7075</v>
      </c>
      <c r="C464" s="24">
        <v>6.1</v>
      </c>
      <c r="D464" s="65" t="str">
        <f>HYPERLINK("https://github.com/mostafa-saad/MyCompetitiveProgramming/blob/master/Olympiad/COCI/COCI-09-Xor.txt","Sol")</f>
        <v>Sol</v>
      </c>
      <c r="E464" s="31" t="s">
        <v>2510</v>
      </c>
      <c r="F464" s="37" t="s">
        <v>139</v>
      </c>
      <c r="G464" s="24"/>
      <c r="H464" s="53"/>
    </row>
    <row r="465" spans="1:8" ht="13.2">
      <c r="A465" s="65" t="str">
        <f>HYPERLINK("https://wcipeg.com/problem/coci095p4","COCI 09-Zuma")</f>
        <v>COCI 09-Zuma</v>
      </c>
      <c r="B465" s="15" t="s">
        <v>2112</v>
      </c>
      <c r="C465" s="24">
        <v>5.75</v>
      </c>
      <c r="D465" s="65" t="str">
        <f>HYPERLINK("https://github.com/mostafa-saad/MyCompetitiveProgramming/blob/master/Olympiad/COCI/COCI-09-Zuma.txt","Sol")</f>
        <v>Sol</v>
      </c>
      <c r="E465" s="31" t="s">
        <v>2113</v>
      </c>
      <c r="F465" s="37" t="s">
        <v>154</v>
      </c>
      <c r="G465" s="24"/>
      <c r="H465" s="53"/>
    </row>
    <row r="466" spans="1:8" ht="13.2">
      <c r="A466" s="65" t="str">
        <f>HYPERLINK("https://dunjudge.me/analysis/problems/578/","COCI 10-upit")</f>
        <v>COCI 10-upit</v>
      </c>
      <c r="B466" s="15" t="s">
        <v>5903</v>
      </c>
      <c r="C466" s="24">
        <v>7.25</v>
      </c>
      <c r="D466" s="65" t="str">
        <f>HYPERLINK("https://github.com/mostafa-saad/MyCompetitiveProgramming/blob/master/Olympiad/CEOI/COCI-10-upit.txt","Sol")</f>
        <v>Sol</v>
      </c>
      <c r="E466" s="31" t="s">
        <v>5874</v>
      </c>
      <c r="F466" s="37" t="s">
        <v>139</v>
      </c>
      <c r="G466" s="24"/>
      <c r="H466" s="53"/>
    </row>
    <row r="467" spans="1:8" ht="13.2">
      <c r="A467" s="65" t="str">
        <f>HYPERLINK("https://dunjudge.me/analysis/problems/752/","COCI 11-traka")</f>
        <v>COCI 11-traka</v>
      </c>
      <c r="B467" s="20" t="s">
        <v>7069</v>
      </c>
      <c r="C467" s="24">
        <v>6.5</v>
      </c>
      <c r="D467" s="65" t="str">
        <f>HYPERLINK("https://github.com/mostafa-saad/MyCompetitiveProgramming/blob/master/Olympiad/COCI/official/2012/contest3_solutions","Editorial")</f>
        <v>Editorial</v>
      </c>
      <c r="E467" s="31" t="s">
        <v>2510</v>
      </c>
      <c r="F467" s="37" t="s">
        <v>139</v>
      </c>
      <c r="G467" s="24"/>
      <c r="H467" s="53"/>
    </row>
    <row r="468" spans="1:8" ht="13.2">
      <c r="A468" s="65" t="str">
        <f>HYPERLINK("https://dunjudge.me/analysis/problems/1358/","COCI 12-f7")</f>
        <v>COCI 12-f7</v>
      </c>
      <c r="B468" s="20" t="s">
        <v>6646</v>
      </c>
      <c r="C468" s="24">
        <v>1</v>
      </c>
      <c r="D468" s="65" t="str">
        <f>HYPERLINK("https://github.com/mostafa-saad/MyCompetitiveProgramming/blob/master/Olympiad/COCI/official/2013/contest1_solutions","Editorial")</f>
        <v>Editorial</v>
      </c>
      <c r="E468" s="31" t="s">
        <v>125</v>
      </c>
      <c r="F468" s="37"/>
      <c r="G468" s="24"/>
      <c r="H468" s="53"/>
    </row>
    <row r="469" spans="1:8" ht="13.2">
      <c r="A469" s="65" t="str">
        <f>HYPERLINK("https://dunjudge.me/analysis/problems/1380/","COCI 12-hipercijevi")</f>
        <v>COCI 12-hipercijevi</v>
      </c>
      <c r="B469" s="20" t="s">
        <v>3466</v>
      </c>
      <c r="C469" s="24">
        <v>3</v>
      </c>
      <c r="D469" s="65" t="str">
        <f>HYPERLINK("https://github.com/mostafa-saad/MyCompetitiveProgramming/blob/master/Olympiad/COCI/official/2013/contest5_solutions","Editorial")</f>
        <v>Editorial</v>
      </c>
      <c r="E469" s="31" t="s">
        <v>3467</v>
      </c>
      <c r="F469" s="37"/>
      <c r="G469" s="24"/>
      <c r="H469" s="53"/>
    </row>
    <row r="470" spans="1:8" ht="13.2">
      <c r="A470" s="65" t="str">
        <f>HYPERLINK("https://dunjudge.me/analysis/problems/1385/","COCI 12-jedan")</f>
        <v>COCI 12-jedan</v>
      </c>
      <c r="B470" s="15" t="s">
        <v>6921</v>
      </c>
      <c r="C470" s="24">
        <v>5.25</v>
      </c>
      <c r="D470" s="65" t="str">
        <f>HYPERLINK("https://github.com/mostafa-saad/MyCompetitiveProgramming/blob/master/Olympiad/COCI/official/2013/contest6_solutions","Editorial")</f>
        <v>Editorial</v>
      </c>
      <c r="E470" s="31" t="s">
        <v>1337</v>
      </c>
      <c r="F470" s="37"/>
      <c r="G470" s="24"/>
      <c r="H470" s="53"/>
    </row>
    <row r="471" spans="1:8" ht="13.2">
      <c r="A471" s="65" t="str">
        <f>HYPERLINK("http://hsin.hr/coci/archive/2011_2012/","COCI 12-KOSARE")</f>
        <v>COCI 12-KOSARE</v>
      </c>
      <c r="B471" s="76" t="s">
        <v>7497</v>
      </c>
      <c r="C471" s="62">
        <v>5</v>
      </c>
      <c r="D471" s="65" t="str">
        <f>HYPERLINK("https://github.com/mostafa-saad/MyCompetitiveProgramming/tree/master/Olympiad/COCI/official/2012/contest6_solutions","Editorial")</f>
        <v>Editorial</v>
      </c>
      <c r="E471" s="31" t="s">
        <v>6441</v>
      </c>
      <c r="F471" s="37"/>
      <c r="G471" s="24"/>
      <c r="H471" s="53"/>
    </row>
    <row r="472" spans="1:8" ht="13.2">
      <c r="A472" s="65" t="str">
        <f>HYPERLINK("https://dunjudge.me/analysis/problems/1365/","COCI 12-lanci")</f>
        <v>COCI 12-lanci</v>
      </c>
      <c r="B472" s="20" t="s">
        <v>2163</v>
      </c>
      <c r="C472" s="24">
        <v>2</v>
      </c>
      <c r="D472" s="65" t="str">
        <f>HYPERLINK("https://github.com/mostafa-saad/MyCompetitiveProgramming/blob/master/Olympiad/COCI/official/2013/contest2_solutions","Editorial")</f>
        <v>Editorial</v>
      </c>
      <c r="E472" s="31" t="s">
        <v>2153</v>
      </c>
      <c r="F472" s="37"/>
      <c r="G472" s="24"/>
      <c r="H472" s="53"/>
    </row>
    <row r="473" spans="1:8" ht="13.2">
      <c r="A473" s="65" t="str">
        <f>HYPERLINK("https://dunjudge.me/analysis/problems/1360/","COCI 12-ljubomora")</f>
        <v>COCI 12-ljubomora</v>
      </c>
      <c r="B473" s="20" t="s">
        <v>814</v>
      </c>
      <c r="C473" s="24">
        <v>2</v>
      </c>
      <c r="D473" s="65" t="str">
        <f>HYPERLINK("https://github.com/mostafa-saad/MyCompetitiveProgramming/blob/master/Olympiad/COCI/official/2013/contest1_solutions","Editorial")</f>
        <v>Editorial</v>
      </c>
      <c r="E473" s="31" t="s">
        <v>805</v>
      </c>
      <c r="F473" s="37"/>
      <c r="G473" s="24"/>
      <c r="H473" s="53"/>
    </row>
    <row r="474" spans="1:8" ht="13.2">
      <c r="A474" s="65" t="str">
        <f>HYPERLINK("https://dunjudge.me/analysis/problems/1356/","COCI 12-malcolm")</f>
        <v>COCI 12-malcolm</v>
      </c>
      <c r="B474" s="20" t="s">
        <v>3139</v>
      </c>
      <c r="C474" s="24">
        <v>2</v>
      </c>
      <c r="D474" s="65" t="str">
        <f>HYPERLINK("https://github.com/mostafa-saad/MyCompetitiveProgramming/blob/master/Olympiad/COCI/official/2013/contest3_solutions","Editorial")</f>
        <v>Editorial</v>
      </c>
      <c r="E474" s="31" t="s">
        <v>3140</v>
      </c>
      <c r="F474" s="37"/>
      <c r="G474" s="24"/>
      <c r="H474" s="53"/>
    </row>
    <row r="475" spans="1:8" ht="13.2">
      <c r="A475" s="65" t="str">
        <f>HYPERLINK("https://dunjudge.me/analysis/problems/1362/","COCI 12-mars")</f>
        <v>COCI 12-mars</v>
      </c>
      <c r="B475" s="20" t="s">
        <v>6975</v>
      </c>
      <c r="C475" s="24">
        <v>7</v>
      </c>
      <c r="D475" s="65" t="str">
        <f>HYPERLINK("https://github.com/mostafa-saad/MyCompetitiveProgramming/blob/master/Olympiad/COCI/COCI-12-mars.txt","Find O(N^2logN). Editorial")</f>
        <v>Find O(N^2logN). Editorial</v>
      </c>
      <c r="E475" s="31" t="s">
        <v>2113</v>
      </c>
      <c r="F475" s="37" t="s">
        <v>154</v>
      </c>
      <c r="G475" s="24"/>
      <c r="H475" s="53"/>
    </row>
    <row r="476" spans="1:8" ht="13.2">
      <c r="A476" s="65" t="str">
        <f>HYPERLINK("https://dunjudge.me/analysis/problems/1375/","COCI 12-razlika")</f>
        <v>COCI 12-razlika</v>
      </c>
      <c r="B476" s="37" t="s">
        <v>6708</v>
      </c>
      <c r="C476" s="24">
        <v>3</v>
      </c>
      <c r="D476" s="65" t="str">
        <f>HYPERLINK("https://github.com/mostafa-saad/MyCompetitiveProgramming/blob/master/Olympiad/COCI/official/2013/contest4_solutions","Editorial")</f>
        <v>Editorial</v>
      </c>
      <c r="E476" s="31" t="s">
        <v>575</v>
      </c>
      <c r="F476" s="37"/>
      <c r="G476" s="24"/>
      <c r="H476" s="53"/>
    </row>
    <row r="477" spans="1:8" ht="13.2">
      <c r="A477" s="65" t="str">
        <f>HYPERLINK("https://dunjudge.me/analysis/problems/1357/","COCI 12-sahovnica")</f>
        <v>COCI 12-sahovnica</v>
      </c>
      <c r="B477" s="15" t="s">
        <v>147</v>
      </c>
      <c r="C477" s="24">
        <v>2.5</v>
      </c>
      <c r="D477" s="65" t="str">
        <f>HYPERLINK("https://github.com/mostafa-saad/MyCompetitiveProgramming/blob/master/Olympiad/COCI/official/2013/contest3_solutions","Editorial")</f>
        <v>Editorial</v>
      </c>
      <c r="E477" s="31" t="s">
        <v>125</v>
      </c>
      <c r="F477" s="37"/>
      <c r="G477" s="24"/>
      <c r="H477" s="53"/>
    </row>
    <row r="478" spans="1:8" ht="13.2">
      <c r="A478" s="65" t="str">
        <f>HYPERLINK("https://dunjudge.me/analysis/problems/1382/","COCI 12-sume")</f>
        <v>COCI 12-sume</v>
      </c>
      <c r="B478" s="20" t="s">
        <v>285</v>
      </c>
      <c r="C478" s="24">
        <v>2</v>
      </c>
      <c r="D478" s="65" t="str">
        <f>HYPERLINK("https://github.com/mostafa-saad/MyCompetitiveProgramming/blob/master/Olympiad/COCI/official/2013/contest6_solutions","Editorial")</f>
        <v>Editorial</v>
      </c>
      <c r="E478" s="31" t="s">
        <v>125</v>
      </c>
      <c r="F478" s="37"/>
      <c r="G478" s="24"/>
      <c r="H478" s="53"/>
    </row>
    <row r="479" spans="1:8" ht="13.2">
      <c r="A479" s="65" t="str">
        <f>HYPERLINK("https://dunjudge.me/analysis/problems/1413/","COCI 13-cokolade")</f>
        <v>COCI 13-cokolade</v>
      </c>
      <c r="B479" s="15" t="s">
        <v>7326</v>
      </c>
      <c r="C479" s="24">
        <v>5</v>
      </c>
      <c r="D479" s="65" t="str">
        <f>HYPERLINK("https://github.com/mostafa-saad/MyCompetitiveProgramming/blob/master/Olympiad/COCI/COCI-13-cokolade.txt","Sol")</f>
        <v>Sol</v>
      </c>
      <c r="E479" s="31" t="s">
        <v>4531</v>
      </c>
      <c r="F479" s="37" t="s">
        <v>139</v>
      </c>
      <c r="G479" s="24"/>
      <c r="H479" s="53"/>
    </row>
    <row r="480" spans="1:8" ht="13.2">
      <c r="A480" s="65" t="str">
        <f>HYPERLINK("https://dunjudge.me/analysis/problems/1417/","COCI 13-domine")</f>
        <v>COCI 13-domine</v>
      </c>
      <c r="B480" s="20" t="s">
        <v>6923</v>
      </c>
      <c r="C480" s="24">
        <v>5</v>
      </c>
      <c r="D480" s="65" t="str">
        <f>HYPERLINK("https://github.com/mostafa-saad/MyCompetitiveProgramming/blob/master/Olympiad/COCI/official/2014/contest5_solutions","Editorial")</f>
        <v>Editorial</v>
      </c>
      <c r="E480" s="31" t="s">
        <v>1337</v>
      </c>
      <c r="F480" s="37" t="s">
        <v>139</v>
      </c>
      <c r="G480" s="24"/>
      <c r="H480" s="53"/>
    </row>
    <row r="481" spans="1:8" ht="13.2">
      <c r="A481" s="65" t="str">
        <f>HYPERLINK("https://dmoj.ca/problem/coci13c1p2","COCI 13-Kusac")</f>
        <v>COCI 13-Kusac</v>
      </c>
      <c r="B481" s="15" t="s">
        <v>124</v>
      </c>
      <c r="C481" s="24">
        <v>5</v>
      </c>
      <c r="D481" s="65" t="str">
        <f>HYPERLINK("https://github.com/mostafa-saad/MyCompetitiveProgramming/blob/master/Olympiad/COCI/official/2014/contest1_solutions","Editorial")</f>
        <v>Editorial</v>
      </c>
      <c r="E481" s="31" t="s">
        <v>125</v>
      </c>
      <c r="F481" s="37" t="s">
        <v>139</v>
      </c>
      <c r="G481" s="24"/>
      <c r="H481" s="53"/>
    </row>
    <row r="482" spans="1:8" ht="13.2">
      <c r="A482" s="65" t="str">
        <f>HYPERLINK("https://dunjudge.me/analysis/problems/777/","COCI 13-ladice")</f>
        <v>COCI 13-ladice</v>
      </c>
      <c r="B482" s="20" t="s">
        <v>7247</v>
      </c>
      <c r="C482" s="24">
        <v>4</v>
      </c>
      <c r="D482" s="65" t="str">
        <f>HYPERLINK("https://github.com/mostafa-saad/MyCompetitiveProgramming/blob/master/Olympiad/COCI/official/2014/contest5_solutions","Editorial")</f>
        <v>Editorial</v>
      </c>
      <c r="E482" s="31" t="s">
        <v>3883</v>
      </c>
      <c r="F482" s="37" t="s">
        <v>139</v>
      </c>
      <c r="G482" s="24"/>
      <c r="H482" s="53"/>
    </row>
    <row r="483" spans="1:8" ht="13.2">
      <c r="A483" s="65" t="str">
        <f>HYPERLINK("https://dmoj.ca/problem/coci13c1p4","COCI 13-Lopov")</f>
        <v>COCI 13-Lopov</v>
      </c>
      <c r="B483" s="20" t="s">
        <v>7044</v>
      </c>
      <c r="C483" s="24">
        <v>4</v>
      </c>
      <c r="D483" s="65" t="str">
        <f>HYPERLINK("https://github.com/mostafa-saad/MyCompetitiveProgramming/blob/master/Olympiad/COCI/official/2014/contest1_solutions","Editorial")</f>
        <v>Editorial</v>
      </c>
      <c r="E483" s="31" t="s">
        <v>2153</v>
      </c>
      <c r="F483" s="37"/>
      <c r="G483" s="24"/>
      <c r="H483" s="53"/>
    </row>
    <row r="484" spans="1:8" ht="13.2">
      <c r="A484" s="65" t="str">
        <f>HYPERLINK("https://dunjudge.me/analysis/problems/1401/","COCI 13-misa")</f>
        <v>COCI 13-misa</v>
      </c>
      <c r="B484" s="20" t="s">
        <v>6646</v>
      </c>
      <c r="C484" s="24">
        <v>1</v>
      </c>
      <c r="D484" s="65" t="str">
        <f>HYPERLINK("https://github.com/mostafa-saad/MyCompetitiveProgramming/blob/master/Olympiad/COCI/official/2014/contest2_solutions","Editorial")</f>
        <v>Editorial</v>
      </c>
      <c r="E484" s="31" t="s">
        <v>125</v>
      </c>
      <c r="F484" s="37"/>
      <c r="G484" s="24"/>
      <c r="H484" s="53"/>
    </row>
    <row r="485" spans="1:8" ht="13.2">
      <c r="A485" s="65" t="str">
        <f>HYPERLINK("https://dmoj.ca/problem/coci13c1p5","COCI 13-Organizator")</f>
        <v>COCI 13-Organizator</v>
      </c>
      <c r="B485" s="15" t="s">
        <v>6641</v>
      </c>
      <c r="C485" s="24">
        <v>4.5</v>
      </c>
      <c r="D485" s="65" t="str">
        <f>HYPERLINK("https://github.com/mostafa-saad/MyCompetitiveProgramming/blob/master/Olympiad/COCI/official/2014/contest1_solutions","Editorial")</f>
        <v>Editorial</v>
      </c>
      <c r="E485" s="31" t="s">
        <v>125</v>
      </c>
      <c r="F485" s="37" t="s">
        <v>139</v>
      </c>
      <c r="G485" s="24"/>
      <c r="H485" s="53"/>
    </row>
    <row r="486" spans="1:8" ht="13.2">
      <c r="A486" s="65" t="str">
        <f>HYPERLINK("https://dunjudge.me/analysis/problems/1408/","COCI 13-parovi")</f>
        <v>COCI 13-parovi</v>
      </c>
      <c r="B486" s="15" t="s">
        <v>7432</v>
      </c>
      <c r="C486" s="24">
        <v>6</v>
      </c>
      <c r="D486" s="65" t="str">
        <f>HYPERLINK("https://github.com/mostafa-saad/MyCompetitiveProgramming/blob/master/Olympiad/COCI/COCI-13-parovi.txt","Sol")</f>
        <v>Sol</v>
      </c>
      <c r="E486" s="31" t="s">
        <v>6118</v>
      </c>
      <c r="F486" s="37" t="s">
        <v>139</v>
      </c>
      <c r="G486" s="24"/>
      <c r="H486" s="53"/>
    </row>
    <row r="487" spans="1:8" ht="13.2">
      <c r="A487" s="65" t="str">
        <f>HYPERLINK("https://dmoj.ca/problem/coci13c1p3","COCI 13-Ratar")</f>
        <v>COCI 13-Ratar</v>
      </c>
      <c r="B487" s="20" t="s">
        <v>7409</v>
      </c>
      <c r="C487" s="24">
        <v>4.5</v>
      </c>
      <c r="D487" s="65" t="str">
        <f>HYPERLINK("https://github.com/mostafa-saad/MyCompetitiveProgramming/blob/master/Olympiad/COCI/official/2014/contest1_solutions","Editorial")</f>
        <v>Editorial</v>
      </c>
      <c r="E487" s="31" t="s">
        <v>5958</v>
      </c>
      <c r="F487" s="37" t="s">
        <v>201</v>
      </c>
      <c r="G487" s="24"/>
      <c r="H487" s="53"/>
    </row>
    <row r="488" spans="1:8" ht="13.2">
      <c r="A488" s="65" t="str">
        <f>HYPERLINK("https://dunjudge.me/analysis/problems/1411/","COCI 13-sumo")</f>
        <v>COCI 13-sumo</v>
      </c>
      <c r="B488" s="15" t="s">
        <v>6645</v>
      </c>
      <c r="C488" s="24">
        <v>3</v>
      </c>
      <c r="D488" s="65" t="str">
        <f>HYPERLINK("https://github.com/mostafa-saad/MyCompetitiveProgramming/blob/master/Olympiad/COCI/official/2014/contest4_solutions","Editorial")</f>
        <v>Editorial</v>
      </c>
      <c r="E488" s="31" t="s">
        <v>125</v>
      </c>
      <c r="F488" s="37" t="s">
        <v>201</v>
      </c>
      <c r="G488" s="24"/>
      <c r="H488" s="53"/>
    </row>
    <row r="489" spans="1:8" ht="13.2">
      <c r="A489" s="65" t="str">
        <f>HYPERLINK("https://dmoj.ca/problem/coci13c1p1","COCI 13-Trener")</f>
        <v>COCI 13-Trener</v>
      </c>
      <c r="B489" s="20" t="s">
        <v>7412</v>
      </c>
      <c r="C489" s="24">
        <v>1</v>
      </c>
      <c r="D489" s="65" t="str">
        <f>HYPERLINK("https://github.com/mostafa-saad/MyCompetitiveProgramming/blob/master/Olympiad/COCI/official/2014/contest1_solutions","Editorial")</f>
        <v>Editorial</v>
      </c>
      <c r="E489" s="31" t="s">
        <v>5958</v>
      </c>
      <c r="F489" s="37"/>
      <c r="G489" s="24"/>
      <c r="H489" s="53"/>
    </row>
    <row r="490" spans="1:8" ht="13.2">
      <c r="A490" s="65" t="str">
        <f>HYPERLINK("https://dunjudge.me/analysis/problems/1221/","COCI 14-acm")</f>
        <v>COCI 14-acm</v>
      </c>
      <c r="B490" s="20" t="s">
        <v>1348</v>
      </c>
      <c r="C490" s="24">
        <v>3</v>
      </c>
      <c r="D490" s="65" t="str">
        <f>HYPERLINK("https://github.com/mostafa-saad/MyCompetitiveProgramming/blob/master/Olympiad/COCI/official/2015/contest7_solutions","Editorial")</f>
        <v>Editorial</v>
      </c>
      <c r="E490" s="31" t="s">
        <v>1337</v>
      </c>
      <c r="F490" s="37"/>
      <c r="G490" s="24"/>
      <c r="H490" s="53"/>
    </row>
    <row r="491" spans="1:8" ht="13.2">
      <c r="A491" s="65" t="str">
        <f>HYPERLINK("https://oj.uz/problem/view/COCI14_bob","COCI 14-bob")</f>
        <v>COCI 14-bob</v>
      </c>
      <c r="B491" s="20" t="s">
        <v>6889</v>
      </c>
      <c r="C491" s="24">
        <v>6</v>
      </c>
      <c r="D491" s="65" t="str">
        <f>HYPERLINK("https://github.com/mostafa-saad/MyCompetitiveProgramming/blob/master/Olympiad/COCI/COCI-14-bob.txt","Sol")</f>
        <v>Sol</v>
      </c>
      <c r="E491" s="31" t="s">
        <v>1337</v>
      </c>
      <c r="F491" s="37" t="s">
        <v>201</v>
      </c>
      <c r="G491" s="24"/>
      <c r="H491" s="53"/>
    </row>
    <row r="492" spans="1:8" ht="13.2">
      <c r="A492" s="65" t="str">
        <f>HYPERLINK("https://dmoj.ca/problem/coci14c4p1","COCI 14-Cesta")</f>
        <v>COCI 14-Cesta</v>
      </c>
      <c r="B492" s="20" t="s">
        <v>6646</v>
      </c>
      <c r="C492" s="24">
        <v>1</v>
      </c>
      <c r="D492" s="69"/>
      <c r="E492" s="31" t="s">
        <v>125</v>
      </c>
      <c r="F492" s="37"/>
      <c r="G492" s="24"/>
      <c r="H492" s="53"/>
    </row>
    <row r="493" spans="1:8" ht="13.2">
      <c r="A493" s="65" t="str">
        <f>HYPERLINK("https://dmoj.ca/problem/coci14c3p4","COCI 14-Coci")</f>
        <v>COCI 14-Coci</v>
      </c>
      <c r="B493" s="37" t="s">
        <v>7527</v>
      </c>
      <c r="C493" s="24">
        <v>3.5</v>
      </c>
      <c r="D493" s="65" t="str">
        <f>HYPERLINK("https://github.com/mostafa-saad/MyCompetitiveProgramming/blob/master/Olympiad/COCI/official/2015/contest3_solutions","Editorial")</f>
        <v>Editorial</v>
      </c>
      <c r="E493" s="31" t="s">
        <v>7525</v>
      </c>
      <c r="F493" s="37"/>
      <c r="G493" s="24"/>
      <c r="H493" s="53"/>
    </row>
    <row r="494" spans="1:8" ht="13.2">
      <c r="A494" s="65" t="str">
        <f>HYPERLINK("https://dmoj.ca/problem/coci14c5p6","COCI 14-Divljak")</f>
        <v>COCI 14-Divljak</v>
      </c>
      <c r="B494" s="37" t="s">
        <v>7381</v>
      </c>
      <c r="C494" s="24">
        <v>7.5</v>
      </c>
      <c r="D494" s="65" t="str">
        <f>HYPERLINK("https://github.com/mostafa-saad/MyCompetitiveProgramming/blob/master/Olympiad/COCI/official/2015/contest5_solutions","Editorial")</f>
        <v>Editorial</v>
      </c>
      <c r="E494" s="31" t="s">
        <v>5761</v>
      </c>
      <c r="F494" s="37" t="s">
        <v>139</v>
      </c>
      <c r="G494" s="24"/>
      <c r="H494" s="53"/>
    </row>
    <row r="495" spans="1:8" ht="13.2">
      <c r="A495" s="65" t="str">
        <f>HYPERLINK("https://dmoj.ca/problem/coci14c3p2","COCI 14-Dom")</f>
        <v>COCI 14-Dom</v>
      </c>
      <c r="B495" s="20" t="s">
        <v>6651</v>
      </c>
      <c r="C495" s="24">
        <v>1</v>
      </c>
      <c r="D495" s="69"/>
      <c r="E495" s="31" t="s">
        <v>125</v>
      </c>
      <c r="F495" s="37"/>
      <c r="G495" s="24"/>
      <c r="H495" s="53"/>
    </row>
    <row r="496" spans="1:8" ht="13.2">
      <c r="A496" s="65" t="str">
        <f>HYPERLINK("https://dmoj.ca/problem/coci14c5p1","COCI 14-Funghi")</f>
        <v>COCI 14-Funghi</v>
      </c>
      <c r="B496" s="20" t="s">
        <v>359</v>
      </c>
      <c r="C496" s="24">
        <v>1</v>
      </c>
      <c r="D496" s="69"/>
      <c r="E496" s="31" t="s">
        <v>332</v>
      </c>
      <c r="F496" s="37"/>
      <c r="G496" s="24"/>
      <c r="H496" s="53"/>
    </row>
    <row r="497" spans="1:8" ht="13.2">
      <c r="A497" s="65" t="str">
        <f>HYPERLINK("https://dmoj.ca/problem/coci14c5p5","COCI 14-Jabuke")</f>
        <v>COCI 14-Jabuke</v>
      </c>
      <c r="B497" s="15" t="s">
        <v>6631</v>
      </c>
      <c r="C497" s="24">
        <v>5</v>
      </c>
      <c r="D497" s="65" t="str">
        <f>HYPERLINK("https://github.com/mostafa-saad/MyCompetitiveProgramming/blob/master/Olympiad/COCI/official/2015/contest5_solutions","Editorial")</f>
        <v>Editorial</v>
      </c>
      <c r="E497" s="31" t="s">
        <v>125</v>
      </c>
      <c r="F497" s="37" t="s">
        <v>201</v>
      </c>
      <c r="G497" s="24"/>
      <c r="H497" s="53"/>
    </row>
    <row r="498" spans="1:8" ht="13.2">
      <c r="A498" s="65" t="str">
        <f>HYPERLINK("https://dmoj.ca/problem/coci14c7p4","COCI 14-Janje")</f>
        <v>COCI 14-Janje</v>
      </c>
      <c r="B498" s="37" t="s">
        <v>7527</v>
      </c>
      <c r="C498" s="24">
        <v>6</v>
      </c>
      <c r="D498" s="69"/>
      <c r="E498" s="31" t="s">
        <v>7525</v>
      </c>
      <c r="F498" s="37"/>
      <c r="G498" s="24"/>
      <c r="H498" s="53"/>
    </row>
    <row r="499" spans="1:8" ht="13.2">
      <c r="A499" s="65" t="str">
        <f>HYPERLINK("https://dmoj.ca/problem/coci14c3p6","COCI 14-Kamioni")</f>
        <v>COCI 14-Kamioni</v>
      </c>
      <c r="B499" s="37" t="s">
        <v>7107</v>
      </c>
      <c r="C499" s="24">
        <v>6.75</v>
      </c>
      <c r="D499" s="65" t="str">
        <f>HYPERLINK("https://github.com/mostafa-saad/MyCompetitiveProgramming/blob/master/Olympiad/COCI/COCI-14-Kamioni.txt","Sol")</f>
        <v>Sol</v>
      </c>
      <c r="E499" s="31" t="s">
        <v>3140</v>
      </c>
      <c r="F499" s="37" t="s">
        <v>201</v>
      </c>
      <c r="G499" s="24"/>
      <c r="H499" s="53"/>
    </row>
    <row r="500" spans="1:8" ht="13.2">
      <c r="A500" s="65" t="str">
        <f>HYPERLINK("https://dmoj.ca/problem/coci14c1p6","COCI 14-Kamp")</f>
        <v>COCI 14-Kamp</v>
      </c>
      <c r="B500" s="37" t="s">
        <v>7147</v>
      </c>
      <c r="C500" s="24">
        <v>6.25</v>
      </c>
      <c r="D500" s="65" t="str">
        <f>HYPERLINK("https://github.com/mostafa-saad/MyCompetitiveProgramming/blob/master/Olympiad/COCI/COCI-14-Kamp.txt","Sol")</f>
        <v>Sol</v>
      </c>
      <c r="E500" s="31" t="s">
        <v>3257</v>
      </c>
      <c r="F500" s="37" t="s">
        <v>201</v>
      </c>
      <c r="G500" s="24"/>
      <c r="H500" s="53"/>
    </row>
    <row r="501" spans="1:8" ht="13.2">
      <c r="A501" s="65" t="str">
        <f>HYPERLINK("https://dmoj.ca/problem/coci14c1p2","COCI 14-Klopka")</f>
        <v>COCI 14-Klopka</v>
      </c>
      <c r="B501" s="20" t="s">
        <v>124</v>
      </c>
      <c r="C501" s="24">
        <v>1</v>
      </c>
      <c r="D501" s="69"/>
      <c r="E501" s="31" t="s">
        <v>125</v>
      </c>
      <c r="F501" s="37"/>
      <c r="G501" s="24"/>
      <c r="H501" s="53"/>
    </row>
    <row r="502" spans="1:8" ht="13.2">
      <c r="A502" s="65" t="str">
        <f>HYPERLINK("https://dmoj.ca/problem/coci14c6p4","COCI 14-Kratki")</f>
        <v>COCI 14-Kratki</v>
      </c>
      <c r="B502" s="37" t="s">
        <v>7527</v>
      </c>
      <c r="C502" s="24">
        <v>3.5</v>
      </c>
      <c r="D502" s="65" t="str">
        <f>HYPERLINK("https://github.com/mostafa-saad/MyCompetitiveProgramming/blob/master/Olympiad/COCI/official/2015/contest6_solutions","Editorial")</f>
        <v>Editorial</v>
      </c>
      <c r="E502" s="31" t="s">
        <v>7525</v>
      </c>
      <c r="F502" s="37"/>
      <c r="G502" s="24"/>
      <c r="H502" s="53"/>
    </row>
    <row r="503" spans="1:8" ht="13.2">
      <c r="A503" s="65" t="str">
        <f>HYPERLINK("https://dmoj.ca/problem/coci14c7p2","COCI 14-Kriza")</f>
        <v>COCI 14-Kriza</v>
      </c>
      <c r="B503" s="37" t="s">
        <v>124</v>
      </c>
      <c r="C503" s="24">
        <v>4</v>
      </c>
      <c r="D503" s="65" t="str">
        <f>HYPERLINK("https://github.com/mostafa-saad/MyCompetitiveProgramming/blob/master/Olympiad/COCI/official/2015/contest7_solutions","Editorial")</f>
        <v>Editorial</v>
      </c>
      <c r="E503" s="31" t="s">
        <v>125</v>
      </c>
      <c r="F503" s="37"/>
      <c r="G503" s="24"/>
      <c r="H503" s="53"/>
    </row>
    <row r="504" spans="1:8" ht="13.2">
      <c r="A504" s="65" t="str">
        <f>HYPERLINK("https://dmoj.ca/problem/coci14c1p4","COCI 14-Mafija")</f>
        <v>COCI 14-Mafija</v>
      </c>
      <c r="B504" s="37" t="s">
        <v>7154</v>
      </c>
      <c r="C504" s="24">
        <v>6</v>
      </c>
      <c r="D504" s="65" t="str">
        <f>HYPERLINK("https://github.com/mostafa-saad/MyCompetitiveProgramming/blob/master/Olympiad/COCI/COCI-14-Mafija.txt","Sol")</f>
        <v>Sol</v>
      </c>
      <c r="E504" s="31" t="s">
        <v>3257</v>
      </c>
      <c r="F504" s="37"/>
      <c r="G504" s="24"/>
      <c r="H504" s="53"/>
    </row>
    <row r="505" spans="1:8" ht="13.2">
      <c r="A505" s="65" t="str">
        <f>HYPERLINK("https://dmoj.ca/problem/coci14c6p3","COCI 14-Meteor")</f>
        <v>COCI 14-Meteor</v>
      </c>
      <c r="B505" s="37" t="s">
        <v>7527</v>
      </c>
      <c r="C505" s="24">
        <v>3</v>
      </c>
      <c r="D505" s="65" t="str">
        <f>HYPERLINK("https://github.com/mostafa-saad/MyCompetitiveProgramming/blob/master/Olympiad/COCI/official/2015/contest6_solutions","Editorial")</f>
        <v>Editorial</v>
      </c>
      <c r="E505" s="31" t="s">
        <v>7525</v>
      </c>
      <c r="F505" s="37"/>
      <c r="G505" s="24"/>
      <c r="H505" s="53"/>
    </row>
    <row r="506" spans="1:8" ht="13.2">
      <c r="A506" s="65" t="str">
        <f>HYPERLINK("https://oj.uz/problem/view/COCI14_mobitel","COCI 14-mobitel")</f>
        <v>COCI 14-mobitel</v>
      </c>
      <c r="B506" s="20" t="s">
        <v>6646</v>
      </c>
      <c r="C506" s="24">
        <v>1</v>
      </c>
      <c r="D506" s="69"/>
      <c r="E506" s="31" t="s">
        <v>125</v>
      </c>
      <c r="F506" s="37"/>
      <c r="G506" s="24"/>
      <c r="H506" s="53"/>
    </row>
    <row r="507" spans="1:8" ht="13.2">
      <c r="A507" s="65" t="str">
        <f>HYPERLINK("https://dmoj.ca/problem/coci14c4p4","COCI 14-Mravi")</f>
        <v>COCI 14-Mravi</v>
      </c>
      <c r="B507" s="37" t="s">
        <v>124</v>
      </c>
      <c r="C507" s="24">
        <v>4</v>
      </c>
      <c r="D507" s="65" t="str">
        <f>HYPERLINK("https://github.com/mostafa-saad/MyCompetitiveProgramming/blob/master/Olympiad/COCI/official/2015/contest4_solutions","Editorial")</f>
        <v>Editorial</v>
      </c>
      <c r="E507" s="31" t="s">
        <v>125</v>
      </c>
      <c r="F507" s="37" t="s">
        <v>201</v>
      </c>
      <c r="G507" s="24"/>
      <c r="H507" s="53"/>
    </row>
    <row r="508" spans="1:8" ht="13.2">
      <c r="A508" s="65" t="str">
        <f>HYPERLINK("https://dmoj.ca/problem/coci14c6p5","COCI 14-Neo")</f>
        <v>COCI 14-Neo</v>
      </c>
      <c r="B508" s="37" t="s">
        <v>6946</v>
      </c>
      <c r="C508" s="21">
        <v>5.75</v>
      </c>
      <c r="D508" s="65" t="str">
        <f t="shared" ref="D508:D509" si="16">HYPERLINK("https://github.com/mostafa-saad/MyCompetitiveProgramming/blob/master/Olympiad/COCI/official/2015/contest6_solutions","Editorial")</f>
        <v>Editorial</v>
      </c>
      <c r="E508" s="31" t="s">
        <v>1734</v>
      </c>
      <c r="F508" s="37" t="s">
        <v>201</v>
      </c>
      <c r="G508" s="24"/>
      <c r="H508" s="53"/>
    </row>
    <row r="509" spans="1:8" ht="13.2">
      <c r="A509" s="65" t="str">
        <f>HYPERLINK("https://dmoj.ca/problem/coci14c6p2","COCI 14-Niko")</f>
        <v>COCI 14-Niko</v>
      </c>
      <c r="B509" s="20" t="s">
        <v>359</v>
      </c>
      <c r="C509" s="24">
        <v>3</v>
      </c>
      <c r="D509" s="65" t="str">
        <f t="shared" si="16"/>
        <v>Editorial</v>
      </c>
      <c r="E509" s="31" t="s">
        <v>332</v>
      </c>
      <c r="F509" s="37"/>
      <c r="G509" s="24"/>
      <c r="H509" s="53"/>
    </row>
    <row r="510" spans="1:8" ht="13.2">
      <c r="A510" s="65" t="str">
        <f>HYPERLINK("https://dunjudge.me/analysis/problems/803/","COCI 14-norma")</f>
        <v>COCI 14-norma</v>
      </c>
      <c r="B510" s="20" t="s">
        <v>7689</v>
      </c>
      <c r="C510" s="24">
        <v>6.75</v>
      </c>
      <c r="D510" s="65" t="str">
        <f>HYPERLINK("https://github.com/mostafa-saad/MyCompetitiveProgramming/blob/master/Olympiad/COCI/COCI-14-norma.txt","Sol")</f>
        <v>Sol</v>
      </c>
      <c r="E510" s="31" t="s">
        <v>1018</v>
      </c>
      <c r="F510" s="37" t="s">
        <v>139</v>
      </c>
      <c r="G510" s="24"/>
      <c r="H510" s="53"/>
    </row>
    <row r="511" spans="1:8" ht="13.2">
      <c r="A511" s="65" t="str">
        <f>HYPERLINK("https://dmoj.ca/problem/coci14c6p1","COCI 14-Paprika")</f>
        <v>COCI 14-Paprika</v>
      </c>
      <c r="B511" s="20" t="s">
        <v>6646</v>
      </c>
      <c r="C511" s="24">
        <v>1</v>
      </c>
      <c r="D511" s="65" t="str">
        <f>HYPERLINK("https://github.com/mostafa-saad/MyCompetitiveProgramming/blob/master/Olympiad/COCI/official/2015/contest6_solutions","Editorial")</f>
        <v>Editorial</v>
      </c>
      <c r="E511" s="31" t="s">
        <v>125</v>
      </c>
      <c r="F511" s="37"/>
      <c r="G511" s="24"/>
      <c r="H511" s="53"/>
    </row>
    <row r="512" spans="1:8" ht="13.2">
      <c r="A512" s="65" t="str">
        <f>HYPERLINK("https://dmoj.ca/problem/coci14c1p3","COCI 14-Piramida")</f>
        <v>COCI 14-Piramida</v>
      </c>
      <c r="B512" s="20" t="s">
        <v>6646</v>
      </c>
      <c r="C512" s="24">
        <v>1</v>
      </c>
      <c r="D512" s="69"/>
      <c r="E512" s="31" t="s">
        <v>125</v>
      </c>
      <c r="F512" s="37"/>
      <c r="G512" s="24"/>
      <c r="H512" s="53"/>
    </row>
    <row r="513" spans="1:8" ht="13.2">
      <c r="A513" s="65" t="str">
        <f>HYPERLINK("https://dmoj.ca/problem/coci14c7p6","COCI 14-Police")</f>
        <v>COCI 14-Police</v>
      </c>
      <c r="B513" s="20" t="s">
        <v>7187</v>
      </c>
      <c r="C513" s="24">
        <v>6.6</v>
      </c>
      <c r="D513" s="65" t="str">
        <f>HYPERLINK("https://github.com/mostafa-saad/MyCompetitiveProgramming/blob/master/Olympiad/COCI/COCI-14-Police.txt","Sol")</f>
        <v>Sol</v>
      </c>
      <c r="E513" s="31" t="s">
        <v>3650</v>
      </c>
      <c r="F513" s="37" t="s">
        <v>139</v>
      </c>
      <c r="G513" s="24"/>
      <c r="H513" s="53"/>
    </row>
    <row r="514" spans="1:8" ht="13.2">
      <c r="A514" s="65" t="str">
        <f>HYPERLINK("https://dmoj.ca/problem/coci14c4p3","COCI 14-Pripreme")</f>
        <v>COCI 14-Pripreme</v>
      </c>
      <c r="B514" s="20" t="s">
        <v>7527</v>
      </c>
      <c r="C514" s="24">
        <v>2</v>
      </c>
      <c r="D514" s="65" t="str">
        <f>HYPERLINK("https://github.com/mostafa-saad/MyCompetitiveProgramming/blob/master/Olympiad/COCI/official/2015/contest4_solutions","Editorial")</f>
        <v>Editorial</v>
      </c>
      <c r="E514" s="31" t="s">
        <v>7525</v>
      </c>
      <c r="F514" s="37"/>
      <c r="G514" s="24"/>
      <c r="H514" s="53"/>
    </row>
    <row r="515" spans="1:8" ht="13.2">
      <c r="A515" s="65" t="str">
        <f>HYPERLINK("https://oj.uz/problem/view/COCI14_prosjek","COCI 14-prosjek")</f>
        <v>COCI 14-prosjek</v>
      </c>
      <c r="B515" s="20" t="s">
        <v>6646</v>
      </c>
      <c r="C515" s="24">
        <v>1</v>
      </c>
      <c r="D515" s="69"/>
      <c r="E515" s="31" t="s">
        <v>125</v>
      </c>
      <c r="F515" s="37"/>
      <c r="G515" s="24"/>
      <c r="H515" s="53"/>
    </row>
    <row r="516" spans="1:8" ht="13.2">
      <c r="A516" s="65" t="str">
        <f>HYPERLINK("https://dmoj.ca/problem/coci14c4p2","COCI 14-Psenica")</f>
        <v>COCI 14-Psenica</v>
      </c>
      <c r="B516" s="20" t="s">
        <v>7527</v>
      </c>
      <c r="C516" s="24">
        <v>3</v>
      </c>
      <c r="D516" s="65" t="str">
        <f>HYPERLINK("https://github.com/mostafa-saad/MyCompetitiveProgramming/blob/master/Olympiad/COCI/official/2015/contest4_solutions","Editorial")</f>
        <v>Editorial</v>
      </c>
      <c r="E516" s="31" t="s">
        <v>7525</v>
      </c>
      <c r="F516" s="37"/>
      <c r="G516" s="24"/>
      <c r="H516" s="53"/>
    </row>
    <row r="517" spans="1:8" ht="13.2">
      <c r="A517" s="65" t="str">
        <f>HYPERLINK("https://dmoj.ca/problem/coci14c4p5","COCI 14-Sabor")</f>
        <v>COCI 14-Sabor</v>
      </c>
      <c r="B517" s="20" t="s">
        <v>6659</v>
      </c>
      <c r="C517" s="24">
        <v>5</v>
      </c>
      <c r="D517" s="65" t="str">
        <f>HYPERLINK("https://github.com/mostafa-saad/MyCompetitiveProgramming/blob/master/Olympiad/COCI/COCI-14-Sabor.txt","Sol")</f>
        <v>Sol</v>
      </c>
      <c r="E517" s="31" t="s">
        <v>332</v>
      </c>
      <c r="F517" s="37" t="s">
        <v>139</v>
      </c>
      <c r="G517" s="24"/>
      <c r="H517" s="53"/>
    </row>
    <row r="518" spans="1:8" ht="13.2">
      <c r="A518" s="65" t="str">
        <f>HYPERLINK("https://dmoj.ca/problem/coci14c3p3","COCI 14-Silueta")</f>
        <v>COCI 14-Silueta</v>
      </c>
      <c r="B518" s="20" t="s">
        <v>7527</v>
      </c>
      <c r="C518" s="24">
        <v>3.5</v>
      </c>
      <c r="D518" s="65" t="str">
        <f>HYPERLINK("https://github.com/mostafa-saad/MyCompetitiveProgramming/blob/master/Olympiad/COCI/official/2015/contest3_solutions","Editorial")</f>
        <v>Editorial</v>
      </c>
      <c r="E518" s="31" t="s">
        <v>7525</v>
      </c>
      <c r="F518" s="37"/>
      <c r="G518" s="24"/>
      <c r="H518" s="53"/>
    </row>
    <row r="519" spans="1:8" ht="13.2">
      <c r="A519" s="65" t="str">
        <f>HYPERLINK("https://dmoj.ca/problem/coci14c4p6","COCI 14-Stanovi")</f>
        <v>COCI 14-Stanovi</v>
      </c>
      <c r="B519" s="20" t="s">
        <v>6945</v>
      </c>
      <c r="C519" s="24">
        <v>6.6</v>
      </c>
      <c r="D519" s="65" t="str">
        <f>HYPERLINK("https://github.com/mostafa-saad/MyCompetitiveProgramming/blob/master/Olympiad/COCI/COCI-14-Stanovi.txt","Sol")</f>
        <v>Sol</v>
      </c>
      <c r="E519" s="31" t="s">
        <v>1734</v>
      </c>
      <c r="F519" s="37" t="s">
        <v>139</v>
      </c>
      <c r="G519" s="24"/>
      <c r="H519" s="53"/>
    </row>
    <row r="520" spans="1:8" ht="13.2">
      <c r="A520" s="65" t="str">
        <f>HYPERLINK("https://dmoj.ca/problem/coci14c3p5","COCI 14-Stogovi")</f>
        <v>COCI 14-Stogovi</v>
      </c>
      <c r="B520" s="23" t="s">
        <v>7301</v>
      </c>
      <c r="C520" s="24">
        <v>5</v>
      </c>
      <c r="D520" s="65" t="str">
        <f>HYPERLINK("https://github.com/mostafa-saad/MyCompetitiveProgramming/blob/master/Olympiad/COCI/COCI-14-Stogovi.txt","Sol")</f>
        <v>Sol</v>
      </c>
      <c r="E520" s="31" t="s">
        <v>4454</v>
      </c>
      <c r="F520" s="37" t="s">
        <v>139</v>
      </c>
      <c r="G520" s="24"/>
      <c r="H520" s="53"/>
    </row>
    <row r="521" spans="1:8" ht="13.2">
      <c r="A521" s="65" t="str">
        <f>HYPERLINK("https://dmoj.ca/problem/coci14c3p1","COCI 14-Strojopis")</f>
        <v>COCI 14-Strojopis</v>
      </c>
      <c r="B521" s="20" t="s">
        <v>6646</v>
      </c>
      <c r="C521" s="24">
        <v>1</v>
      </c>
      <c r="D521" s="69"/>
      <c r="E521" s="31" t="s">
        <v>125</v>
      </c>
      <c r="F521" s="37"/>
      <c r="G521" s="24"/>
      <c r="H521" s="53"/>
    </row>
    <row r="522" spans="1:8" ht="13.2">
      <c r="A522" s="65" t="str">
        <f>HYPERLINK("https://oj.uz/problem/view/COCI14_studentsko","COCI 14-studentsko")</f>
        <v>COCI 14-studentsko</v>
      </c>
      <c r="B522" s="20" t="s">
        <v>6938</v>
      </c>
      <c r="C522" s="24">
        <v>4</v>
      </c>
      <c r="D522" s="65" t="str">
        <f>HYPERLINK("https://github.com/mostafa-saad/MyCompetitiveProgramming/blob/master/Olympiad/COCI/COCI-14-studentsko.txt","Sol")</f>
        <v>Sol</v>
      </c>
      <c r="E522" s="31" t="s">
        <v>1337</v>
      </c>
      <c r="F522" s="37" t="s">
        <v>139</v>
      </c>
      <c r="G522" s="24"/>
      <c r="H522" s="53"/>
    </row>
    <row r="523" spans="1:8" ht="13.2">
      <c r="A523" s="65" t="str">
        <f>HYPERLINK("https://dmoj.ca/problem/coci14c2p5","COCI 14-Suma")</f>
        <v>COCI 14-Suma</v>
      </c>
      <c r="B523" s="20" t="s">
        <v>7241</v>
      </c>
      <c r="C523" s="24">
        <v>6</v>
      </c>
      <c r="D523" s="65" t="str">
        <f>HYPERLINK("https://github.com/mostafa-saad/MyCompetitiveProgramming/blob/master/Olympiad/CEOI/COCI-14-Suma.txt","Sol")</f>
        <v>Sol</v>
      </c>
      <c r="E523" s="31" t="s">
        <v>3883</v>
      </c>
      <c r="F523" s="37"/>
      <c r="G523" s="24"/>
      <c r="H523" s="53"/>
    </row>
    <row r="524" spans="1:8" ht="13.2">
      <c r="A524" s="65" t="str">
        <f>HYPERLINK("https://dmoj.ca/problem/coci14c7p1","COCI 14-Teta")</f>
        <v>COCI 14-Teta</v>
      </c>
      <c r="B524" s="20" t="s">
        <v>6646</v>
      </c>
      <c r="C524" s="24">
        <v>1</v>
      </c>
      <c r="D524" s="65" t="str">
        <f>HYPERLINK("https://github.com/mostafa-saad/MyCompetitiveProgramming/blob/master/Olympiad/COCI/official/2015/contest7_solutions","Editorial")</f>
        <v>Editorial</v>
      </c>
      <c r="E524" s="31" t="s">
        <v>125</v>
      </c>
      <c r="F524" s="37"/>
      <c r="G524" s="24"/>
      <c r="H524" s="53"/>
    </row>
    <row r="525" spans="1:8" ht="13.2">
      <c r="A525" s="65" t="str">
        <f>HYPERLINK("https://dmoj.ca/problem/coci14c5p3","COCI 14-Traktor")</f>
        <v>COCI 14-Traktor</v>
      </c>
      <c r="B525" s="20" t="s">
        <v>6646</v>
      </c>
      <c r="C525" s="24">
        <v>1</v>
      </c>
      <c r="D525" s="69"/>
      <c r="E525" s="31" t="s">
        <v>125</v>
      </c>
      <c r="F525" s="37"/>
      <c r="G525" s="24"/>
      <c r="H525" s="53"/>
    </row>
    <row r="526" spans="1:8" ht="13.2">
      <c r="A526" s="65" t="str">
        <f>HYPERLINK("https://oj.uz/problem/view/COCI14_utrka","COCI 14-utrka")</f>
        <v>COCI 14-utrka</v>
      </c>
      <c r="B526" s="20" t="s">
        <v>587</v>
      </c>
      <c r="C526" s="24">
        <v>2</v>
      </c>
      <c r="D526" s="69"/>
      <c r="E526" s="31" t="s">
        <v>575</v>
      </c>
      <c r="F526" s="37"/>
      <c r="G526" s="24"/>
      <c r="H526" s="53"/>
    </row>
    <row r="527" spans="1:8" ht="13.2">
      <c r="A527" s="65" t="str">
        <f>HYPERLINK("https://dmoj.ca/problem/coci14c1p5","COCI 14-Zabava")</f>
        <v>COCI 14-Zabava</v>
      </c>
      <c r="B527" s="20" t="s">
        <v>1346</v>
      </c>
      <c r="C527" s="24">
        <v>3</v>
      </c>
      <c r="D527" s="65" t="str">
        <f>HYPERLINK("https://github.com/mostafa-saad/MyCompetitiveProgramming/blob/master/Olympiad/COCI/official/2015/contest1_solutions","Editorial")</f>
        <v>Editorial</v>
      </c>
      <c r="E527" s="31" t="s">
        <v>1337</v>
      </c>
      <c r="F527" s="37" t="s">
        <v>201</v>
      </c>
      <c r="G527" s="24"/>
      <c r="H527" s="53"/>
    </row>
    <row r="528" spans="1:8" ht="13.2">
      <c r="A528" s="65" t="str">
        <f>HYPERLINK("https://dmoj.ca/problem/coci14c5p4","COCI 14-Zgodan")</f>
        <v>COCI 14-Zgodan</v>
      </c>
      <c r="B528" s="15" t="s">
        <v>7527</v>
      </c>
      <c r="C528" s="24">
        <v>5</v>
      </c>
      <c r="D528" s="65" t="str">
        <f t="shared" ref="D528:D529" si="17">HYPERLINK("https://github.com/mostafa-saad/MyCompetitiveProgramming/blob/master/Olympiad/COCI/official/2015/contest5_solutions","Editorial")</f>
        <v>Editorial</v>
      </c>
      <c r="E528" s="31" t="s">
        <v>7525</v>
      </c>
      <c r="F528" s="37"/>
      <c r="G528" s="24"/>
      <c r="H528" s="53"/>
    </row>
    <row r="529" spans="1:8" ht="13.2">
      <c r="A529" s="65" t="str">
        <f>HYPERLINK("https://dmoj.ca/problem/coci14c5p2","COCI 14-Zmija")</f>
        <v>COCI 14-Zmija</v>
      </c>
      <c r="B529" s="20" t="s">
        <v>7527</v>
      </c>
      <c r="C529" s="24">
        <v>2</v>
      </c>
      <c r="D529" s="65" t="str">
        <f t="shared" si="17"/>
        <v>Editorial</v>
      </c>
      <c r="E529" s="31" t="s">
        <v>7525</v>
      </c>
      <c r="F529" s="37"/>
      <c r="G529" s="24"/>
      <c r="H529" s="53"/>
    </row>
    <row r="530" spans="1:8" ht="13.2">
      <c r="A530" s="65" t="str">
        <f>HYPERLINK("https://oj.uz/problem/view/COCI15_akcija","COCI 15-akcija")</f>
        <v>COCI 15-akcija</v>
      </c>
      <c r="B530" s="20" t="s">
        <v>6646</v>
      </c>
      <c r="C530" s="24">
        <v>1</v>
      </c>
      <c r="D530" s="69"/>
      <c r="E530" s="31" t="s">
        <v>125</v>
      </c>
      <c r="F530" s="37"/>
      <c r="G530" s="24"/>
      <c r="H530" s="53"/>
    </row>
    <row r="531" spans="1:8" ht="13.2">
      <c r="A531" s="65" t="str">
        <f>HYPERLINK("https://oj.uz/problem/view/COCI15_baloni","COCI 15-baloni")</f>
        <v>COCI 15-baloni</v>
      </c>
      <c r="B531" s="23" t="s">
        <v>7045</v>
      </c>
      <c r="C531" s="24">
        <v>3.5</v>
      </c>
      <c r="D531" s="65" t="str">
        <f>HYPERLINK("https://github.com/zoooma13/Competitive-Programming/blob/master/baloni2.cpp","Sol")</f>
        <v>Sol</v>
      </c>
      <c r="E531" s="31" t="s">
        <v>2153</v>
      </c>
      <c r="F531" s="37" t="s">
        <v>201</v>
      </c>
      <c r="G531" s="24"/>
      <c r="H531" s="53"/>
    </row>
    <row r="532" spans="1:8" ht="13.2">
      <c r="A532" s="65" t="str">
        <f>HYPERLINK("https://dmoj.ca/problem/coci15c4p4","COCI 15-Chewbacca")</f>
        <v>COCI 15-Chewbacca</v>
      </c>
      <c r="B532" s="20" t="s">
        <v>4530</v>
      </c>
      <c r="C532" s="24">
        <v>5</v>
      </c>
      <c r="D532" s="69"/>
      <c r="E532" s="31" t="s">
        <v>4531</v>
      </c>
      <c r="F532" s="37" t="s">
        <v>201</v>
      </c>
      <c r="G532" s="24"/>
      <c r="H532" s="53"/>
    </row>
    <row r="533" spans="1:8" ht="13.2">
      <c r="A533" s="65" t="str">
        <f>HYPERLINK("https://dmoj.ca/problem/coci15c4p3","COCI 15-Deathstar")</f>
        <v>COCI 15-Deathstar</v>
      </c>
      <c r="B533" s="20" t="s">
        <v>6646</v>
      </c>
      <c r="C533" s="24">
        <v>1</v>
      </c>
      <c r="D533" s="69"/>
      <c r="E533" s="31" t="s">
        <v>125</v>
      </c>
      <c r="F533" s="37"/>
      <c r="G533" s="24"/>
      <c r="H533" s="53"/>
    </row>
    <row r="534" spans="1:8" ht="13.2">
      <c r="A534" s="65" t="str">
        <f>HYPERLINK("https://dmoj.ca/problem/coci15c3p6","COCI 15-Domino")</f>
        <v>COCI 15-Domino</v>
      </c>
      <c r="B534" s="37" t="s">
        <v>7119</v>
      </c>
      <c r="C534" s="24">
        <v>7.1</v>
      </c>
      <c r="D534" s="65" t="str">
        <f>HYPERLINK("https://github.com/mostafa-saad/MyCompetitiveProgramming/blob/master/Olympiad/COCI/COCI-15-Domino.txt","Sol")</f>
        <v>Sol</v>
      </c>
      <c r="E534" s="31" t="s">
        <v>3257</v>
      </c>
      <c r="F534" s="37" t="s">
        <v>154</v>
      </c>
      <c r="G534" s="24"/>
      <c r="H534" s="53"/>
    </row>
    <row r="535" spans="1:8" ht="13.2">
      <c r="A535" s="65" t="str">
        <f>HYPERLINK("https://oj.uz/problem/view/COCI15_drzava","COCI 15-drzava")</f>
        <v>COCI 15-drzava</v>
      </c>
      <c r="B535" s="15" t="s">
        <v>7061</v>
      </c>
      <c r="C535" s="24">
        <v>7.25</v>
      </c>
      <c r="D535" s="65" t="str">
        <f>HYPERLINK("https://github.com/mostafa-saad/MyCompetitiveProgramming/blob/master/Olympiad/COCI/official/2016/contest2_solutions","Editorial")</f>
        <v>Editorial</v>
      </c>
      <c r="E535" s="31" t="s">
        <v>2510</v>
      </c>
      <c r="F535" s="37"/>
      <c r="G535" s="24"/>
      <c r="H535" s="53"/>
    </row>
    <row r="536" spans="1:8" ht="13.2">
      <c r="A536" s="65" t="str">
        <f>HYPERLINK("https://dmoj.ca/problem/coci15c4p6","COCI 15-Endor")</f>
        <v>COCI 15-Endor</v>
      </c>
      <c r="B536" s="37" t="s">
        <v>2232</v>
      </c>
      <c r="C536" s="24">
        <v>6.5</v>
      </c>
      <c r="D536" s="65" t="str">
        <f>HYPERLINK("https://github.com/mostafa-saad/MyCompetitiveProgramming/blob/master/Olympiad/COCI/COCI-15-Endor.txt","Sol")</f>
        <v>Sol</v>
      </c>
      <c r="E536" s="31" t="s">
        <v>2153</v>
      </c>
      <c r="F536" s="37" t="s">
        <v>139</v>
      </c>
      <c r="G536" s="24"/>
      <c r="H536" s="53"/>
    </row>
    <row r="537" spans="1:8" ht="13.2">
      <c r="A537" s="65" t="str">
        <f>HYPERLINK("https://oj.uz/problem/view/COCI15_esej","COCI 15-esej")</f>
        <v>COCI 15-esej</v>
      </c>
      <c r="B537" s="20" t="s">
        <v>124</v>
      </c>
      <c r="C537" s="24">
        <v>1</v>
      </c>
      <c r="D537" s="69"/>
      <c r="E537" s="31" t="s">
        <v>125</v>
      </c>
      <c r="F537" s="37"/>
      <c r="G537" s="24"/>
      <c r="H537" s="53"/>
    </row>
    <row r="538" spans="1:8" ht="13.2">
      <c r="A538" s="65" t="str">
        <f>HYPERLINK("https://dmoj.ca/problem/coci15c4p5","COCI 15-galaksija")</f>
        <v>COCI 15-galaksija</v>
      </c>
      <c r="B538" s="23" t="s">
        <v>7234</v>
      </c>
      <c r="C538" s="24">
        <v>6.4</v>
      </c>
      <c r="D538" s="65" t="str">
        <f>HYPERLINK("https://github.com/mostafa-saad/MyCompetitiveProgramming/blob/master/Olympiad/COCI/COCI-15-galaksija.txt","Sol")</f>
        <v>Sol</v>
      </c>
      <c r="E538" s="31" t="s">
        <v>3883</v>
      </c>
      <c r="F538" s="37" t="s">
        <v>154</v>
      </c>
      <c r="G538" s="24"/>
      <c r="H538" s="53"/>
    </row>
    <row r="539" spans="1:8" ht="13.2">
      <c r="A539" s="65" t="str">
        <f>HYPERLINK("https://oj.uz/problem/view/COCI15_geppetto","COCI 15-geppetto")</f>
        <v>COCI 15-geppetto</v>
      </c>
      <c r="B539" s="20" t="s">
        <v>6646</v>
      </c>
      <c r="C539" s="24">
        <v>1</v>
      </c>
      <c r="D539" s="69"/>
      <c r="E539" s="31" t="s">
        <v>125</v>
      </c>
      <c r="F539" s="37"/>
      <c r="G539" s="24"/>
      <c r="H539" s="53"/>
    </row>
    <row r="540" spans="1:8" ht="13.2">
      <c r="A540" s="65" t="str">
        <f>HYPERLINK("https://dmoj.ca/problem/coci15c4p2","COCI 15-Han")</f>
        <v>COCI 15-Han</v>
      </c>
      <c r="B540" s="15" t="s">
        <v>147</v>
      </c>
      <c r="C540" s="72">
        <v>3.5</v>
      </c>
      <c r="D540" s="69"/>
      <c r="E540" s="31" t="s">
        <v>125</v>
      </c>
      <c r="F540" s="37"/>
      <c r="G540" s="24"/>
      <c r="H540" s="53"/>
    </row>
    <row r="541" spans="1:8" ht="13.2">
      <c r="A541" s="65" t="str">
        <f>HYPERLINK("https://oj.uz/problem/view/COCI15_karte","COCI 15-karte")</f>
        <v>COCI 15-karte</v>
      </c>
      <c r="B541" s="20" t="s">
        <v>359</v>
      </c>
      <c r="C541" s="24">
        <v>1</v>
      </c>
      <c r="D541" s="69"/>
      <c r="E541" s="31" t="s">
        <v>332</v>
      </c>
      <c r="F541" s="37"/>
      <c r="G541" s="24"/>
      <c r="H541" s="53"/>
    </row>
    <row r="542" spans="1:8" ht="13.2">
      <c r="A542" s="65" t="str">
        <f>HYPERLINK("https://oj.uz/problem/view/COCI15_marko","COCI 15-marko")</f>
        <v>COCI 15-marko</v>
      </c>
      <c r="B542" s="20" t="s">
        <v>6646</v>
      </c>
      <c r="C542" s="24">
        <v>1</v>
      </c>
      <c r="D542" s="69"/>
      <c r="E542" s="31" t="s">
        <v>125</v>
      </c>
      <c r="F542" s="37"/>
      <c r="G542" s="24"/>
      <c r="H542" s="53"/>
    </row>
    <row r="543" spans="1:8" ht="13.2">
      <c r="A543" s="65" t="str">
        <f>HYPERLINK("https://dmoj.ca/problem/coci15c3p3","COCI 15-Molekule")</f>
        <v>COCI 15-Molekule</v>
      </c>
      <c r="B543" s="37" t="s">
        <v>7527</v>
      </c>
      <c r="C543" s="24">
        <v>2</v>
      </c>
      <c r="D543" s="65" t="str">
        <f>HYPERLINK("https://github.com/mostafa-saad/MyCompetitiveProgramming/blob/master/Olympiad/COCI/official/2016/contest3_solutions","Editorial")</f>
        <v>Editorial</v>
      </c>
      <c r="E543" s="31" t="s">
        <v>7525</v>
      </c>
      <c r="F543" s="37"/>
      <c r="G543" s="24"/>
      <c r="H543" s="53"/>
    </row>
    <row r="544" spans="1:8" ht="13.2">
      <c r="A544" s="65" t="str">
        <f>HYPERLINK("https://dmoj.ca/problem/coci15c3p5","COCI 15-Nekameleoni")</f>
        <v>COCI 15-Nekameleoni</v>
      </c>
      <c r="B544" s="37" t="s">
        <v>6772</v>
      </c>
      <c r="C544" s="24">
        <v>6.5</v>
      </c>
      <c r="D544" s="65" t="str">
        <f>HYPERLINK("https://github.com/mostafa-saad/MyCompetitiveProgramming/blob/master/Olympiad/COCI/COCI-15-Nekameleoni.txt","Sol")</f>
        <v>Sol</v>
      </c>
      <c r="E544" s="31" t="s">
        <v>1018</v>
      </c>
      <c r="F544" s="37" t="s">
        <v>139</v>
      </c>
      <c r="G544" s="24"/>
      <c r="H544" s="53"/>
    </row>
    <row r="545" spans="1:8" ht="13.2">
      <c r="A545" s="65" t="str">
        <f>HYPERLINK("https://oj.uz/problem/view/COCI15_pot","COCI 15-pot")</f>
        <v>COCI 15-pot</v>
      </c>
      <c r="B545" s="20" t="s">
        <v>6646</v>
      </c>
      <c r="C545" s="24">
        <v>1</v>
      </c>
      <c r="D545" s="69"/>
      <c r="E545" s="31" t="s">
        <v>125</v>
      </c>
      <c r="F545" s="37"/>
      <c r="G545" s="24"/>
      <c r="H545" s="53"/>
    </row>
    <row r="546" spans="1:8" ht="13.2">
      <c r="A546" s="65" t="str">
        <f>HYPERLINK("https://oj.uz/problem/view/COCI15_relativnost","COCI 15-relativnost")</f>
        <v>COCI 15-relativnost</v>
      </c>
      <c r="B546" s="20" t="s">
        <v>6773</v>
      </c>
      <c r="C546" s="24">
        <v>6.5</v>
      </c>
      <c r="D546" s="65" t="str">
        <f>HYPERLINK("https://github.com/mostafa-saad/MyCompetitiveProgramming/blob/master/Olympiad/COCI/COCI-15-relativnost.txt","Sol")</f>
        <v>Sol</v>
      </c>
      <c r="E546" s="31" t="s">
        <v>1018</v>
      </c>
      <c r="F546" s="37"/>
      <c r="G546" s="24"/>
      <c r="H546" s="53"/>
    </row>
    <row r="547" spans="1:8" ht="13.2">
      <c r="A547" s="65" t="str">
        <f>HYPERLINK("https://oj.uz/problem/view/COCI15_savez","COCI 15-savez")</f>
        <v>COCI 15-savez</v>
      </c>
      <c r="B547" s="20" t="s">
        <v>6890</v>
      </c>
      <c r="C547" s="24">
        <v>6</v>
      </c>
      <c r="D547" s="65" t="str">
        <f>HYPERLINK("https://github.com/mostafa-saad/MyCompetitiveProgramming/blob/master/Olympiad/COCI/COCI-15-savez.txt","Sol")</f>
        <v>Sol</v>
      </c>
      <c r="E547" s="31" t="s">
        <v>1337</v>
      </c>
      <c r="F547" s="37" t="s">
        <v>201</v>
      </c>
      <c r="G547" s="24"/>
      <c r="H547" s="53"/>
    </row>
    <row r="548" spans="1:8" ht="13.2">
      <c r="A548" s="65" t="str">
        <f>HYPERLINK("https://dmoj.ca/problem/coci15c3p4","COCI 15-Slon")</f>
        <v>COCI 15-Slon</v>
      </c>
      <c r="B548" s="15" t="s">
        <v>6630</v>
      </c>
      <c r="C548" s="24">
        <v>5</v>
      </c>
      <c r="D548" s="65" t="str">
        <f>HYPERLINK("https://github.com/mostafa-saad/MyCompetitiveProgramming/blob/master/Olympiad/COCI/official/2016/contest3_solutions","Editorial")</f>
        <v>Editorial</v>
      </c>
      <c r="E548" s="31" t="s">
        <v>125</v>
      </c>
      <c r="F548" s="37" t="s">
        <v>201</v>
      </c>
      <c r="G548" s="24"/>
      <c r="H548" s="53"/>
    </row>
    <row r="549" spans="1:8" ht="13.2">
      <c r="A549" s="65" t="str">
        <f>HYPERLINK("https://oj.uz/problem/view/COCI15_topovi","COCI 15-topovi")</f>
        <v>COCI 15-topovi</v>
      </c>
      <c r="B549" s="20" t="s">
        <v>6004</v>
      </c>
      <c r="C549" s="24">
        <v>5</v>
      </c>
      <c r="D549" s="65" t="str">
        <f>HYPERLINK("https://github.com/mostafa-saad/MyCompetitiveProgramming/blob/master/Olympiad/COCI/COCI-15-topovi.txt","Sol")</f>
        <v>Sol</v>
      </c>
      <c r="E549" s="31" t="s">
        <v>5958</v>
      </c>
      <c r="F549" s="37" t="s">
        <v>139</v>
      </c>
      <c r="G549" s="24"/>
      <c r="H549" s="53"/>
    </row>
    <row r="550" spans="1:8" ht="13.2">
      <c r="A550" s="65" t="str">
        <f>HYPERLINK("https://oj.uz/problem/view/COCI15_uzastopni","COCI 15-uzastopni")</f>
        <v>COCI 15-uzastopni</v>
      </c>
      <c r="B550" s="20" t="s">
        <v>7501</v>
      </c>
      <c r="C550" s="24">
        <v>6.6</v>
      </c>
      <c r="D550" s="65" t="str">
        <f>HYPERLINK("https://github.com/mostafa-saad/MyCompetitiveProgramming/blob/master/Olympiad/COCI/COCI-15-uzastopni.txt","Sol")</f>
        <v>Sol</v>
      </c>
      <c r="E550" s="31" t="s">
        <v>6459</v>
      </c>
      <c r="F550" s="37" t="s">
        <v>196</v>
      </c>
      <c r="G550" s="24"/>
      <c r="H550" s="53"/>
    </row>
    <row r="551" spans="1:8" ht="13.2">
      <c r="A551" s="65" t="str">
        <f>HYPERLINK("https://oj.uz/problem/view/COCI15_vudu","COCI 15-vudu")</f>
        <v>COCI 15-vudu</v>
      </c>
      <c r="B551" s="20" t="s">
        <v>6815</v>
      </c>
      <c r="C551" s="24">
        <v>6</v>
      </c>
      <c r="D551" s="65" t="str">
        <f>HYPERLINK("https://github.com/mostafa-saad/MyCompetitiveProgramming/blob/master/Olympiad/JOI/COCI/COCI-15-vudu.txt","Sol")</f>
        <v>Sol</v>
      </c>
      <c r="E551" s="31" t="s">
        <v>1223</v>
      </c>
      <c r="F551" s="37" t="s">
        <v>154</v>
      </c>
      <c r="G551" s="24"/>
      <c r="H551" s="53"/>
    </row>
    <row r="552" spans="1:8" ht="13.2">
      <c r="A552" s="65" t="str">
        <f>HYPERLINK("https://dmoj.ca/problem/coci15c4p1","COCI 15-Yoda")</f>
        <v>COCI 15-Yoda</v>
      </c>
      <c r="B552" s="20" t="s">
        <v>5961</v>
      </c>
      <c r="C552" s="24">
        <v>1</v>
      </c>
      <c r="D552" s="69"/>
      <c r="E552" s="31" t="s">
        <v>5958</v>
      </c>
      <c r="F552" s="37"/>
      <c r="G552" s="24"/>
      <c r="H552" s="53"/>
    </row>
    <row r="553" spans="1:8" ht="13.2">
      <c r="A553" s="65" t="str">
        <f>HYPERLINK("https://oj.uz/problem/view/COCI16_burza","COCI 16-burza")</f>
        <v>COCI 16-burza</v>
      </c>
      <c r="B553" s="20" t="s">
        <v>6955</v>
      </c>
      <c r="C553" s="24">
        <v>6.8</v>
      </c>
      <c r="D553" s="65" t="str">
        <f>HYPERLINK("https://github.com/mostafa-saad/MyCompetitiveProgramming/blob/master/Olympiad/COCI/COCI-16-burza.txt","Sol")</f>
        <v>Sol</v>
      </c>
      <c r="E553" s="31" t="s">
        <v>1819</v>
      </c>
      <c r="F553" s="37" t="s">
        <v>154</v>
      </c>
      <c r="G553" s="24"/>
      <c r="H553" s="53"/>
    </row>
    <row r="554" spans="1:8" ht="13.2">
      <c r="A554" s="65" t="str">
        <f>HYPERLINK("https://dmoj.ca/problem/coci16c1p3","COCI 16-cezar")</f>
        <v>COCI 16-cezar</v>
      </c>
      <c r="B554" s="20" t="s">
        <v>7440</v>
      </c>
      <c r="C554" s="21">
        <v>5.75</v>
      </c>
      <c r="D554" s="65" t="str">
        <f>HYPERLINK("https://github.com/nikolapesic2802/Programming-Practice/blob/master/Cezar/main.cpp","Sol")</f>
        <v>Sol</v>
      </c>
      <c r="E554" s="31" t="s">
        <v>6205</v>
      </c>
      <c r="F554" s="37" t="s">
        <v>201</v>
      </c>
      <c r="G554" s="24"/>
      <c r="H554" s="53"/>
    </row>
    <row r="555" spans="1:8" ht="13.2">
      <c r="A555" s="65" t="str">
        <f>HYPERLINK("https://oj.uz/problem/view/COCI16_go","COCI 16-go")</f>
        <v>COCI 16-go</v>
      </c>
      <c r="B555" s="20" t="s">
        <v>6646</v>
      </c>
      <c r="C555" s="24">
        <v>1</v>
      </c>
      <c r="D555" s="65" t="str">
        <f>HYPERLINK("https://github.com/mostafa-saad/MyCompetitiveProgramming/blob/master/Olympiad/COCI/official/2017/contest2_solutions","Editorial")</f>
        <v>Editorial</v>
      </c>
      <c r="E555" s="31" t="s">
        <v>125</v>
      </c>
      <c r="F555" s="37"/>
      <c r="G555" s="24"/>
      <c r="H555" s="53"/>
    </row>
    <row r="556" spans="1:8" ht="13.2">
      <c r="A556" s="65" t="str">
        <f>HYPERLINK("https://oj.uz/problem/view/COCI16_imena","COCI 16-imena")</f>
        <v>COCI 16-imena</v>
      </c>
      <c r="B556" s="20" t="s">
        <v>6646</v>
      </c>
      <c r="C556" s="24">
        <v>1</v>
      </c>
      <c r="D556" s="65" t="str">
        <f>HYPERLINK("https://github.com/mostafa-saad/MyCompetitiveProgramming/blob/master/Olympiad/COCI/official/2017/contest3_solutions","Editorial")</f>
        <v>Editorial</v>
      </c>
      <c r="E556" s="31" t="s">
        <v>125</v>
      </c>
      <c r="F556" s="37"/>
      <c r="G556" s="24"/>
      <c r="H556" s="53"/>
    </row>
    <row r="557" spans="1:8" ht="13.2">
      <c r="A557" s="65" t="str">
        <f>HYPERLINK("https://oj.uz/problem/view/COCI16_jetpack","COCI 16-jetpack")</f>
        <v>COCI 16-jetpack</v>
      </c>
      <c r="B557" s="20" t="s">
        <v>3649</v>
      </c>
      <c r="C557" s="24">
        <v>3</v>
      </c>
      <c r="D557" s="65" t="str">
        <f>HYPERLINK("https://github.com/mostafa-saad/MyCompetitiveProgramming/blob/master/Olympiad/COCI/official/2017/contest1_solutions","Editorial")</f>
        <v>Editorial</v>
      </c>
      <c r="E557" s="31" t="s">
        <v>3650</v>
      </c>
      <c r="F557" s="37"/>
      <c r="G557" s="24"/>
      <c r="H557" s="53"/>
    </row>
    <row r="558" spans="1:8" ht="13.2">
      <c r="A558" s="65" t="str">
        <f>HYPERLINK("https://oj.uz/problem/view/COCI16_kralj","COCI 16-kralj")</f>
        <v>COCI 16-kralj</v>
      </c>
      <c r="B558" s="20" t="s">
        <v>6984</v>
      </c>
      <c r="C558" s="24">
        <v>6.8</v>
      </c>
      <c r="D558" s="65" t="str">
        <f>HYPERLINK("https://github.com/mostafa-saad/MyCompetitiveProgramming/blob/master/Olympiad/COCI/COCI-16-kralj.txt","Sol")</f>
        <v>Sol</v>
      </c>
      <c r="E558" s="31" t="s">
        <v>2153</v>
      </c>
      <c r="F558" s="37" t="s">
        <v>173</v>
      </c>
      <c r="G558" s="24"/>
      <c r="H558" s="53"/>
    </row>
    <row r="559" spans="1:8" ht="13.2">
      <c r="A559" s="65" t="str">
        <f>HYPERLINK("https://oj.uz/problem/view/COCI16_kronican","COCI 16-kronican")</f>
        <v>COCI 16-kronican</v>
      </c>
      <c r="B559" s="20" t="s">
        <v>1818</v>
      </c>
      <c r="C559" s="24">
        <v>4</v>
      </c>
      <c r="D559" s="65" t="str">
        <f t="shared" ref="D559:D560" si="18">HYPERLINK("https://github.com/mostafa-saad/MyCompetitiveProgramming/blob/master/Olympiad/COCI/official/2017/contest3_solutions","Editorial")</f>
        <v>Editorial</v>
      </c>
      <c r="E559" s="31" t="s">
        <v>1819</v>
      </c>
      <c r="F559" s="37"/>
      <c r="G559" s="24"/>
      <c r="H559" s="53"/>
    </row>
    <row r="560" spans="1:8" ht="13.2">
      <c r="A560" s="65" t="str">
        <f>HYPERLINK("https://oj.uz/problem/view/COCI16_kvalitetni","COCI 16-kvalitetni")</f>
        <v>COCI 16-kvalitetni</v>
      </c>
      <c r="B560" s="15" t="s">
        <v>7025</v>
      </c>
      <c r="C560" s="24">
        <v>5.5</v>
      </c>
      <c r="D560" s="65" t="str">
        <f t="shared" si="18"/>
        <v>Editorial</v>
      </c>
      <c r="E560" s="31" t="s">
        <v>2153</v>
      </c>
      <c r="F560" s="37"/>
      <c r="G560" s="24"/>
      <c r="H560" s="53"/>
    </row>
    <row r="561" spans="1:8" ht="13.2">
      <c r="A561" s="65" t="str">
        <f>HYPERLINK("https://oj.uz/problem/view/COCI16_mag","COCI 16-mag")</f>
        <v>COCI 16-mag</v>
      </c>
      <c r="B561" s="20" t="s">
        <v>7139</v>
      </c>
      <c r="C561" s="24">
        <v>6.3</v>
      </c>
      <c r="D561" s="65" t="str">
        <f>HYPERLINK("https://github.com/mostafa-saad/MyCompetitiveProgramming/blob/master/Olympiad/COCI/COCI-16-mag.txt","Sol")</f>
        <v>Sol</v>
      </c>
      <c r="E561" s="31" t="s">
        <v>3257</v>
      </c>
      <c r="F561" s="37" t="s">
        <v>139</v>
      </c>
      <c r="G561" s="24"/>
      <c r="H561" s="53"/>
    </row>
    <row r="562" spans="1:8" ht="13.2">
      <c r="A562" s="65" t="str">
        <f>HYPERLINK("https://oj.uz/problem/view/COCI16_meksikanac","COCI 16-meksikanac")</f>
        <v>COCI 16-meksikanac</v>
      </c>
      <c r="B562" s="15" t="s">
        <v>7092</v>
      </c>
      <c r="C562" s="24">
        <v>6.5</v>
      </c>
      <c r="D562" s="65" t="str">
        <f>HYPERLINK("https://github.com/mostafa-saad/MyCompetitiveProgramming/blob/master/Olympiad/COCI/official/2017/contest3_solutions","Editorial")</f>
        <v>Editorial</v>
      </c>
      <c r="E562" s="31" t="s">
        <v>2948</v>
      </c>
      <c r="F562" s="37"/>
      <c r="G562" s="24"/>
      <c r="H562" s="53"/>
    </row>
    <row r="563" spans="1:8" ht="13.2">
      <c r="A563" s="65" t="str">
        <f>HYPERLINK("https://oj.uz/problem/view/COCI16_nizin","COCI 16-nizin")</f>
        <v>COCI 16-nizin</v>
      </c>
      <c r="B563" s="20" t="s">
        <v>6054</v>
      </c>
      <c r="C563" s="24">
        <v>3</v>
      </c>
      <c r="D563" s="65" t="str">
        <f>HYPERLINK("https://github.com/mostafa-saad/MyCompetitiveProgramming/blob/master/Olympiad/COCI/official/2017/contest2_solutions","Editorial")</f>
        <v>Editorial</v>
      </c>
      <c r="E563" s="31" t="s">
        <v>6040</v>
      </c>
      <c r="F563" s="37"/>
      <c r="G563" s="24"/>
      <c r="H563" s="53"/>
    </row>
    <row r="564" spans="1:8" ht="13.2">
      <c r="A564" s="65" t="str">
        <f>HYPERLINK("https://oj.uz/problem/view/COCI16_pohlepko","COCI 16-pohlepko")</f>
        <v>COCI 16-pohlepko</v>
      </c>
      <c r="B564" s="20" t="s">
        <v>124</v>
      </c>
      <c r="C564" s="24">
        <v>3</v>
      </c>
      <c r="D564" s="65" t="str">
        <f>HYPERLINK("https://github.com/mostafa-saad/MyCompetitiveProgramming/blob/master/Olympiad/COCI/official/2017/contest3_solutions","Editorial")</f>
        <v>Editorial</v>
      </c>
      <c r="E564" s="31" t="s">
        <v>125</v>
      </c>
      <c r="F564" s="37"/>
      <c r="G564" s="24"/>
      <c r="H564" s="53"/>
    </row>
    <row r="565" spans="1:8" ht="13.2">
      <c r="A565" s="65" t="str">
        <f>HYPERLINK("https://oj.uz/problem/view/COCI16_prosjecni","COCI 16-prosjecni")</f>
        <v>COCI 16-prosjecni</v>
      </c>
      <c r="B565" s="15" t="s">
        <v>4658</v>
      </c>
      <c r="C565" s="24">
        <v>5</v>
      </c>
      <c r="D565" s="65" t="str">
        <f>HYPERLINK("https://github.com/mostafa-saad/MyCompetitiveProgramming/blob/master/Olympiad/COCI/official/2017/contest2_solutions","Editorial")</f>
        <v>Editorial</v>
      </c>
      <c r="E565" s="31" t="s">
        <v>4531</v>
      </c>
      <c r="F565" s="37" t="s">
        <v>201</v>
      </c>
      <c r="G565" s="24"/>
      <c r="H565" s="53"/>
    </row>
    <row r="566" spans="1:8" ht="13.2">
      <c r="A566" s="65" t="str">
        <f>HYPERLINK("https://oj.uz/problem/view/COCI16_tarifa","COCI 16-tarifa")</f>
        <v>COCI 16-tarifa</v>
      </c>
      <c r="B566" s="20" t="s">
        <v>5961</v>
      </c>
      <c r="C566" s="24">
        <v>1</v>
      </c>
      <c r="D566" s="69"/>
      <c r="E566" s="31" t="s">
        <v>5958</v>
      </c>
      <c r="F566" s="37"/>
      <c r="G566" s="24"/>
      <c r="H566" s="53"/>
    </row>
    <row r="567" spans="1:8" ht="13.2">
      <c r="A567" s="65" t="str">
        <f>HYPERLINK("https://oj.uz/problem/view/COCI16_tavan","COCI 16-tavan")</f>
        <v>COCI 16-tavan</v>
      </c>
      <c r="B567" s="20" t="s">
        <v>7332</v>
      </c>
      <c r="C567" s="24">
        <v>3</v>
      </c>
      <c r="D567" s="65" t="str">
        <f>HYPERLINK("https://github.com/mostafa-saad/MyCompetitiveProgramming/blob/master/Olympiad/COCI/official/2017/contest2_solutions","Editorial")</f>
        <v>Editorial</v>
      </c>
      <c r="E567" s="31" t="s">
        <v>4531</v>
      </c>
      <c r="F567" s="37"/>
      <c r="G567" s="24"/>
      <c r="H567" s="53"/>
    </row>
    <row r="568" spans="1:8" ht="13.2">
      <c r="A568" s="65" t="str">
        <f>HYPERLINK("https://oj.uz/problem/view/COCI16_vjestica","COCI 16-vjestica")</f>
        <v>COCI 16-vjestica</v>
      </c>
      <c r="B568" s="20" t="s">
        <v>6959</v>
      </c>
      <c r="C568" s="24">
        <v>6</v>
      </c>
      <c r="D568" s="65" t="str">
        <f>HYPERLINK("https://github.com/mostafa-saad/MyCompetitiveProgramming/blob/master/Olympiad/COCI/COCI-16-vjestica.txt","Sol")</f>
        <v>Sol</v>
      </c>
      <c r="E568" s="31" t="s">
        <v>1819</v>
      </c>
      <c r="F568" s="37" t="s">
        <v>154</v>
      </c>
      <c r="G568" s="24"/>
      <c r="H568" s="53"/>
    </row>
    <row r="569" spans="1:8" ht="13.2">
      <c r="A569" s="65" t="str">
        <f>HYPERLINK("https://oj.uz/problem/view/COCI16_zamjene","COCI 16-zamjene")</f>
        <v>COCI 16-zamjene</v>
      </c>
      <c r="B569" s="20" t="s">
        <v>7229</v>
      </c>
      <c r="C569" s="24">
        <v>6.75</v>
      </c>
      <c r="D569" s="65" t="str">
        <f>HYPERLINK("https://github.com/mostafa-saad/MyCompetitiveProgramming/blob/master/Olympiad/COCI/COCI-16-zamjene.txt","Sol")</f>
        <v>Sol</v>
      </c>
      <c r="E569" s="31" t="s">
        <v>3883</v>
      </c>
      <c r="F569" s="37" t="s">
        <v>139</v>
      </c>
      <c r="G569" s="24"/>
      <c r="H569" s="53"/>
    </row>
    <row r="570" spans="1:8" ht="13.2">
      <c r="A570" s="65" t="str">
        <f>HYPERLINK("https://oj.uz/problem/view/COCI16_zoltan","COCI 16-zoltan")</f>
        <v>COCI 16-zoltan</v>
      </c>
      <c r="B570" s="20" t="s">
        <v>6804</v>
      </c>
      <c r="C570" s="24">
        <v>7</v>
      </c>
      <c r="D570" s="65" t="str">
        <f>HYPERLINK("https://github.com/mostafa-saad/MyCompetitiveProgramming/blob/master/Olympiad/COCI/COCI-16-zoltan.txt","Sol")</f>
        <v>Sol</v>
      </c>
      <c r="E570" s="31" t="s">
        <v>1223</v>
      </c>
      <c r="F570" s="37" t="s">
        <v>139</v>
      </c>
      <c r="G570" s="24"/>
      <c r="H570" s="53"/>
    </row>
    <row r="571" spans="1:8" ht="13.2">
      <c r="A571" s="65" t="str">
        <f>HYPERLINK("https://oj.uz/problem/view/COCI17_aron","COCI 17-aron")</f>
        <v>COCI 17-aron</v>
      </c>
      <c r="B571" s="20" t="s">
        <v>6646</v>
      </c>
      <c r="C571" s="24">
        <v>1</v>
      </c>
      <c r="D571" s="69"/>
      <c r="E571" s="31" t="s">
        <v>125</v>
      </c>
      <c r="F571" s="37"/>
      <c r="G571" s="24"/>
      <c r="H571" s="53"/>
    </row>
    <row r="572" spans="1:8" ht="13.2">
      <c r="A572" s="65" t="str">
        <f>HYPERLINK("https://oj.uz/problem/view/COCI17_automobil","COCI 17-automobil")</f>
        <v>COCI 17-automobil</v>
      </c>
      <c r="B572" s="20" t="s">
        <v>1543</v>
      </c>
      <c r="C572" s="24">
        <v>5.5</v>
      </c>
      <c r="D572" s="65" t="str">
        <f>HYPERLINK("https://ideone.com/Ejf10T","Sol")</f>
        <v>Sol</v>
      </c>
      <c r="E572" s="31" t="s">
        <v>1337</v>
      </c>
      <c r="F572" s="37" t="s">
        <v>139</v>
      </c>
      <c r="G572" s="24"/>
      <c r="H572" s="53"/>
    </row>
    <row r="573" spans="1:8" ht="13.2">
      <c r="A573" s="65" t="str">
        <f>HYPERLINK("https://oj.uz/problem/view/COCI17_baza","COCI 17-baza")</f>
        <v>COCI 17-baza</v>
      </c>
      <c r="B573" s="20" t="s">
        <v>359</v>
      </c>
      <c r="C573" s="24">
        <v>1</v>
      </c>
      <c r="D573" s="69"/>
      <c r="E573" s="31" t="s">
        <v>332</v>
      </c>
      <c r="F573" s="37"/>
      <c r="G573" s="24"/>
      <c r="H573" s="53"/>
    </row>
    <row r="574" spans="1:8" ht="13.2">
      <c r="A574" s="65" t="str">
        <f>HYPERLINK("https://oj.uz/problem/view/COCI17_bridz","COCI 17-bridz")</f>
        <v>COCI 17-bridz</v>
      </c>
      <c r="B574" s="20" t="s">
        <v>6646</v>
      </c>
      <c r="C574" s="24">
        <v>1</v>
      </c>
      <c r="D574" s="69"/>
      <c r="E574" s="31" t="s">
        <v>125</v>
      </c>
      <c r="F574" s="37"/>
      <c r="G574" s="24"/>
      <c r="H574" s="53"/>
    </row>
    <row r="575" spans="1:8" ht="13.2">
      <c r="A575" s="65" t="str">
        <f>HYPERLINK("https://oj.uz/problem/view/COCI17_ceste","COCI 17-ceste")</f>
        <v>COCI 17-ceste</v>
      </c>
      <c r="B575" s="20" t="s">
        <v>7213</v>
      </c>
      <c r="C575" s="24">
        <v>6.3</v>
      </c>
      <c r="D575" s="65" t="str">
        <f>HYPERLINK("https://github.com/MohamedAhmed04/Competitive-programming/blob/master/COCI/COCI%2017-Ceste.cpp", "Sol")</f>
        <v>Sol</v>
      </c>
      <c r="E575" s="31" t="s">
        <v>3784</v>
      </c>
      <c r="F575" s="37" t="s">
        <v>139</v>
      </c>
      <c r="G575" s="24"/>
      <c r="H575" s="53"/>
    </row>
    <row r="576" spans="1:8" ht="13.2">
      <c r="A576" s="65" t="str">
        <f>HYPERLINK("https://oj.uz/problem/view/COCI17_cezar","COCI 17-cezar")</f>
        <v>COCI 17-cezar</v>
      </c>
      <c r="B576" s="20" t="s">
        <v>6646</v>
      </c>
      <c r="C576" s="24">
        <v>2.5</v>
      </c>
      <c r="D576" s="69"/>
      <c r="E576" s="31" t="s">
        <v>125</v>
      </c>
      <c r="F576" s="37"/>
      <c r="G576" s="24"/>
      <c r="H576" s="53"/>
    </row>
    <row r="577" spans="1:8" ht="13.2">
      <c r="A577" s="65" t="str">
        <f>HYPERLINK("https://oj.uz/problem/view/COCI17_deda","COCI 17-deda")</f>
        <v>COCI 17-deda</v>
      </c>
      <c r="B577" s="20" t="s">
        <v>1027</v>
      </c>
      <c r="C577" s="24">
        <v>5</v>
      </c>
      <c r="D577" s="65" t="str">
        <f>HYPERLINK("https://github.com/mostafa-saad/MyCompetitiveProgramming/blob/master/Olympiad/COCI/COCI-17-deda.txt","Sol")</f>
        <v>Sol</v>
      </c>
      <c r="E577" s="31" t="s">
        <v>1018</v>
      </c>
      <c r="F577" s="37" t="s">
        <v>201</v>
      </c>
      <c r="G577" s="24"/>
      <c r="H577" s="53"/>
    </row>
    <row r="578" spans="1:8" ht="13.2">
      <c r="A578" s="65" t="str">
        <f>HYPERLINK("https://oj.uz/problem/view/COCI17_dojave","COCI 17-dojave")</f>
        <v>COCI 17-dojave</v>
      </c>
      <c r="B578" s="20" t="s">
        <v>7532</v>
      </c>
      <c r="C578" s="24">
        <v>7.5</v>
      </c>
      <c r="D578" s="69"/>
      <c r="E578" s="31" t="s">
        <v>7525</v>
      </c>
      <c r="F578" s="37"/>
      <c r="G578" s="24"/>
      <c r="H578" s="53"/>
    </row>
    <row r="579" spans="1:8" ht="13.2">
      <c r="A579" s="65" t="str">
        <f>HYPERLINK("https://oj.uz/problem/view/COCI17_doktor","COCI 17-doktor")</f>
        <v>COCI 17-doktor</v>
      </c>
      <c r="B579" s="20" t="s">
        <v>7084</v>
      </c>
      <c r="C579" s="24">
        <v>5</v>
      </c>
      <c r="D579" s="65" t="str">
        <f t="shared" ref="D579:D580" si="19">HYPERLINK("https://github.com/mostafa-saad/MyCompetitiveProgramming/blob/master/Olympiad/COCI/official/2018/contest2_solutions","Editorial")</f>
        <v>Editorial</v>
      </c>
      <c r="E579" s="31" t="s">
        <v>2798</v>
      </c>
      <c r="F579" s="37" t="s">
        <v>139</v>
      </c>
      <c r="G579" s="24"/>
      <c r="H579" s="53"/>
    </row>
    <row r="580" spans="1:8" ht="13.2">
      <c r="A580" s="65" t="str">
        <f>HYPERLINK("https://oj.uz/problem/view/COCI17_garaza","COCI 17-garaza")</f>
        <v>COCI 17-garaza</v>
      </c>
      <c r="B580" s="20" t="s">
        <v>6774</v>
      </c>
      <c r="C580" s="24">
        <v>6.5</v>
      </c>
      <c r="D580" s="65" t="str">
        <f t="shared" si="19"/>
        <v>Editorial</v>
      </c>
      <c r="E580" s="31" t="s">
        <v>1018</v>
      </c>
      <c r="F580" s="37"/>
      <c r="G580" s="24"/>
      <c r="H580" s="53"/>
    </row>
    <row r="581" spans="1:8" ht="13.2">
      <c r="A581" s="65" t="str">
        <f>HYPERLINK("https://oj.uz/problem/view/COCI17_gauss","COCI 17-gauss")</f>
        <v>COCI 17-gauss</v>
      </c>
      <c r="B581" s="20" t="s">
        <v>7304</v>
      </c>
      <c r="C581" s="24">
        <v>8</v>
      </c>
      <c r="D581" s="69"/>
      <c r="E581" s="31" t="s">
        <v>4531</v>
      </c>
      <c r="F581" s="37"/>
      <c r="G581" s="24"/>
      <c r="H581" s="53"/>
    </row>
    <row r="582" spans="1:8" ht="13.2">
      <c r="A582" s="65" t="str">
        <f>HYPERLINK("https://oj.uz/problem/view/COCI17_hindeks","COCI 17-hindeks")</f>
        <v>COCI 17-hindeks</v>
      </c>
      <c r="B582" s="20" t="s">
        <v>6646</v>
      </c>
      <c r="C582" s="24">
        <v>1</v>
      </c>
      <c r="D582" s="69"/>
      <c r="E582" s="31" t="s">
        <v>125</v>
      </c>
      <c r="F582" s="37"/>
      <c r="G582" s="24"/>
      <c r="H582" s="53"/>
    </row>
    <row r="583" spans="1:8" ht="13.2">
      <c r="A583" s="65" t="str">
        <f>HYPERLINK("https://oj.uz/problem/view/COCI17_hokej","COCI 17-hokej")</f>
        <v>COCI 17-hokej</v>
      </c>
      <c r="B583" s="15" t="s">
        <v>7035</v>
      </c>
      <c r="C583" s="24">
        <v>5</v>
      </c>
      <c r="D583" s="65" t="str">
        <f>HYPERLINK("https://github.com/mostafa-saad/MyCompetitiveProgramming/blob/master/Olympiad/COCI/official/2018/contest1_solutions","Editorial")</f>
        <v>Editorial</v>
      </c>
      <c r="E583" s="31" t="s">
        <v>2153</v>
      </c>
      <c r="F583" s="37"/>
      <c r="G583" s="24"/>
      <c r="H583" s="53"/>
    </row>
    <row r="584" spans="1:8" ht="13.2">
      <c r="A584" s="65" t="str">
        <f>HYPERLINK("https://oj.uz/problem/view/COCI17_igra","COCI 17-igra")</f>
        <v>COCI 17-igra</v>
      </c>
      <c r="B584" s="20" t="s">
        <v>6643</v>
      </c>
      <c r="C584" s="24">
        <v>4</v>
      </c>
      <c r="D584" s="65" t="str">
        <f>HYPERLINK("https://github.com/mostafa-saad/MyCompetitiveProgramming/blob/master/Olympiad/COCI/official/2017/contest7_solutions","Editorial")</f>
        <v>Editorial</v>
      </c>
      <c r="E584" s="31" t="s">
        <v>125</v>
      </c>
      <c r="F584" s="37" t="s">
        <v>139</v>
      </c>
      <c r="G584" s="24"/>
      <c r="H584" s="53"/>
    </row>
    <row r="585" spans="1:8" ht="13.2">
      <c r="A585" s="65" t="str">
        <f>HYPERLINK("https://oj.uz/problem/view/COCI17_izbori","COCI 17-izbori")</f>
        <v>COCI 17-izbori</v>
      </c>
      <c r="B585" s="20" t="s">
        <v>6646</v>
      </c>
      <c r="C585" s="24">
        <v>2</v>
      </c>
      <c r="D585" s="69"/>
      <c r="E585" s="31" t="s">
        <v>125</v>
      </c>
      <c r="F585" s="37"/>
      <c r="G585" s="24"/>
      <c r="H585" s="53"/>
    </row>
    <row r="586" spans="1:8" ht="13.2">
      <c r="A586" s="65" t="str">
        <f>HYPERLINK("https://oj.uz/problem/view/COCI17_kartomat","COCI 17-kartomat")</f>
        <v>COCI 17-kartomat</v>
      </c>
      <c r="B586" s="20" t="s">
        <v>6646</v>
      </c>
      <c r="C586" s="24">
        <v>1</v>
      </c>
      <c r="D586" s="65" t="str">
        <f>HYPERLINK("https://github.com/mostafa-saad/MyCompetitiveProgramming/blob/master/Olympiad/COCI/official/2017/contest4_solutions","Editorial")</f>
        <v>Editorial</v>
      </c>
      <c r="E586" s="31" t="s">
        <v>125</v>
      </c>
      <c r="F586" s="37"/>
      <c r="G586" s="24"/>
      <c r="H586" s="53"/>
    </row>
    <row r="587" spans="1:8" ht="13.2">
      <c r="A587" s="65" t="str">
        <f>HYPERLINK("https://oj.uz/problem/view/COCI17_kas","COCI 17-kas")</f>
        <v>COCI 17-kas</v>
      </c>
      <c r="B587" s="20" t="s">
        <v>6896</v>
      </c>
      <c r="C587" s="24">
        <v>5.75</v>
      </c>
      <c r="D587" s="65" t="str">
        <f>HYPERLINK("https://github.com/mostafa-saad/MyCompetitiveProgramming/blob/master/Olympiad/COCI/COCI-17-kas.txt","Sol")</f>
        <v>Sol</v>
      </c>
      <c r="E587" s="31" t="s">
        <v>1337</v>
      </c>
      <c r="F587" s="37" t="s">
        <v>139</v>
      </c>
      <c r="G587" s="24"/>
      <c r="H587" s="53"/>
    </row>
    <row r="588" spans="1:8" ht="13.2">
      <c r="A588" s="65" t="str">
        <f>HYPERLINK("https://oj.uz/problem/view/COCI17_klavir","COCI 17-klavir")</f>
        <v>COCI 17-klavir</v>
      </c>
      <c r="B588" s="20" t="s">
        <v>7377</v>
      </c>
      <c r="C588" s="24">
        <v>6.75</v>
      </c>
      <c r="D588" s="65" t="str">
        <f>HYPERLINK("https://github.com/mostafa-saad/MyCompetitiveProgramming/blob/master/Olympiad/CEOI/COCI-17-klavir.txt","Sol")</f>
        <v>Sol</v>
      </c>
      <c r="E588" s="31" t="s">
        <v>5702</v>
      </c>
      <c r="F588" s="37"/>
      <c r="G588" s="24"/>
      <c r="H588" s="53"/>
    </row>
    <row r="589" spans="1:8" ht="13.2">
      <c r="A589" s="65" t="str">
        <f>HYPERLINK("https://oj.uz/problem/view/COCI17_kosnja","COCI 17-kosnja")</f>
        <v>COCI 17-kosnja</v>
      </c>
      <c r="B589" s="20" t="s">
        <v>6646</v>
      </c>
      <c r="C589" s="24">
        <v>1</v>
      </c>
      <c r="D589" s="69"/>
      <c r="E589" s="31" t="s">
        <v>125</v>
      </c>
      <c r="F589" s="37"/>
      <c r="G589" s="24"/>
      <c r="H589" s="53"/>
    </row>
    <row r="590" spans="1:8" ht="13.2">
      <c r="A590" s="65" t="str">
        <f>HYPERLINK("https://oj.uz/problem/view/COCI17_krov","COCI 17-krov")</f>
        <v>COCI 17-krov</v>
      </c>
      <c r="B590" s="20" t="s">
        <v>6819</v>
      </c>
      <c r="C590" s="24">
        <v>5</v>
      </c>
      <c r="D590" s="69"/>
      <c r="E590" s="31" t="s">
        <v>1223</v>
      </c>
      <c r="F590" s="37" t="s">
        <v>201</v>
      </c>
      <c r="G590" s="24"/>
      <c r="H590" s="53"/>
    </row>
    <row r="591" spans="1:8" ht="13.2">
      <c r="A591" s="65" t="str">
        <f>HYPERLINK("https://oj.uz/problem/view/COCI17_lozinke","COCI 17-lozinke")</f>
        <v>COCI 17-lozinke</v>
      </c>
      <c r="B591" s="20" t="s">
        <v>2169</v>
      </c>
      <c r="C591" s="24">
        <v>4</v>
      </c>
      <c r="D591" s="65" t="str">
        <f>HYPERLINK("https://oj.uz/submission/85415","Sol")</f>
        <v>Sol</v>
      </c>
      <c r="E591" s="31" t="s">
        <v>2153</v>
      </c>
      <c r="F591" s="37" t="s">
        <v>201</v>
      </c>
      <c r="G591" s="24"/>
      <c r="H591" s="53"/>
    </row>
    <row r="592" spans="1:8" ht="13.2">
      <c r="A592" s="65" t="str">
        <f>HYPERLINK("https://oj.uz/problem/view/COCI17_osmosmjerka","COCI 17-osmosmjerka")</f>
        <v>COCI 17-osmosmjerka</v>
      </c>
      <c r="B592" s="20" t="s">
        <v>7518</v>
      </c>
      <c r="C592" s="24">
        <v>6.6</v>
      </c>
      <c r="D592" s="65" t="str">
        <f>HYPERLINK("https://github.com/mostafa-saad/MyCompetitiveProgramming/blob/master/Olympiad/COCI/COCI-17-osmosmjerka.txt","Sol")</f>
        <v>Sol</v>
      </c>
      <c r="E592" s="31" t="s">
        <v>6505</v>
      </c>
      <c r="F592" s="37" t="s">
        <v>139</v>
      </c>
      <c r="G592" s="24"/>
      <c r="H592" s="53"/>
    </row>
    <row r="593" spans="1:8" ht="13.2">
      <c r="A593" s="65" t="str">
        <f>HYPERLINK("https://oj.uz/problem/view/COCI17_paralelogrami","COCI 17-paralelogrami")</f>
        <v>COCI 17-paralelogrami</v>
      </c>
      <c r="B593" s="15" t="s">
        <v>7065</v>
      </c>
      <c r="C593" s="24">
        <v>7</v>
      </c>
      <c r="D593" s="65" t="str">
        <f>HYPERLINK("https://github.com/mostafa-saad/MyCompetitiveProgramming/blob/master/Olympiad/COCI/official/2017/contest7_solutions","Editorial")</f>
        <v>Editorial</v>
      </c>
      <c r="E593" s="31" t="s">
        <v>2510</v>
      </c>
      <c r="F593" s="37"/>
      <c r="G593" s="24"/>
      <c r="H593" s="53"/>
    </row>
    <row r="594" spans="1:8" ht="13.2">
      <c r="A594" s="65" t="str">
        <f>HYPERLINK("https://oj.uz/problem/view/COCI17_pareto","COCI 17-pareto")</f>
        <v>COCI 17-pareto</v>
      </c>
      <c r="B594" s="20" t="s">
        <v>6646</v>
      </c>
      <c r="C594" s="24">
        <v>1</v>
      </c>
      <c r="D594" s="65" t="str">
        <f>HYPERLINK("https://github.com/mostafa-saad/MyCompetitiveProgramming/blob/master/Olympiad/COCI/official/2017/contest5_solutions","Editorial")</f>
        <v>Editorial</v>
      </c>
      <c r="E594" s="31" t="s">
        <v>125</v>
      </c>
      <c r="F594" s="37"/>
      <c r="G594" s="24"/>
      <c r="H594" s="53"/>
    </row>
    <row r="595" spans="1:8" ht="13.2">
      <c r="A595" s="65" t="str">
        <f>HYPERLINK("https://oj.uz/problem/view/COCI17_plahte","COCI 17-plahte")</f>
        <v>COCI 17-plahte</v>
      </c>
      <c r="B595" s="37" t="s">
        <v>6779</v>
      </c>
      <c r="C595" s="24">
        <v>6.25</v>
      </c>
      <c r="D595" s="65" t="str">
        <f>HYPERLINK("https://github.com/mostafa-saad/MyCompetitiveProgramming/blob/master/Olympiad/COCI/official/2018/contest1_solutions","Editorial")</f>
        <v>Editorial</v>
      </c>
      <c r="E595" s="31" t="s">
        <v>1018</v>
      </c>
      <c r="F595" s="37"/>
      <c r="G595" s="24"/>
      <c r="H595" s="53"/>
    </row>
    <row r="596" spans="1:8" ht="13.2">
      <c r="A596" s="65" t="str">
        <f>HYPERLINK("https://oj.uz/problem/view/COCI17_poklon","COCI 17-poklon")</f>
        <v>COCI 17-poklon</v>
      </c>
      <c r="B596" s="20" t="s">
        <v>6794</v>
      </c>
      <c r="C596" s="24">
        <v>5.5</v>
      </c>
      <c r="D596" s="65" t="str">
        <f>HYPERLINK("https://github.com/mostafa-saad/MyCompetitiveProgramming/blob/master/Olympiad/COCI/official/2017/contest5_solutions","Editorial")</f>
        <v>Editorial</v>
      </c>
      <c r="E596" s="31" t="s">
        <v>1018</v>
      </c>
      <c r="F596" s="37" t="s">
        <v>201</v>
      </c>
      <c r="G596" s="24"/>
      <c r="H596" s="53"/>
    </row>
    <row r="597" spans="1:8" ht="13.2">
      <c r="A597" s="65" t="str">
        <f>HYPERLINK("https://oj.uz/problem/view/COCI17_poklon7","COCI 17-poklon7-r7")</f>
        <v>COCI 17-poklon7-r7</v>
      </c>
      <c r="B597" s="20" t="s">
        <v>3675</v>
      </c>
      <c r="C597" s="24">
        <v>5</v>
      </c>
      <c r="D597" s="65" t="str">
        <f>HYPERLINK("https://github.com/mostafa-saad/MyCompetitiveProgramming/blob/master/Olympiad/COCI/official/2017/contest7_solutions","Editorial")</f>
        <v>Editorial</v>
      </c>
      <c r="E597" s="31" t="s">
        <v>3650</v>
      </c>
      <c r="F597" s="37" t="s">
        <v>154</v>
      </c>
      <c r="G597" s="24"/>
      <c r="H597" s="53"/>
    </row>
    <row r="598" spans="1:8" ht="13.2">
      <c r="A598" s="65" t="str">
        <f>HYPERLINK("https://oj.uz/problem/view/COCI17_portal","COCI 17-portal")</f>
        <v>COCI 17-portal</v>
      </c>
      <c r="B598" s="20" t="s">
        <v>7220</v>
      </c>
      <c r="C598" s="24">
        <v>5.5</v>
      </c>
      <c r="D598" s="65" t="str">
        <f>HYPERLINK("https://github.com/luciocf/OI-Problems/blob/master/COCI/COCI%202017-2018/portals.cpp","Sol")</f>
        <v>Sol</v>
      </c>
      <c r="E598" s="31" t="s">
        <v>3784</v>
      </c>
      <c r="F598" s="37" t="s">
        <v>201</v>
      </c>
      <c r="G598" s="24"/>
      <c r="H598" s="53"/>
    </row>
    <row r="599" spans="1:8" ht="13.2">
      <c r="A599" s="65" t="str">
        <f>HYPERLINK("https://oj.uz/problem/view/COCI17_programiranje","COCI 17-programiranje")</f>
        <v>COCI 17-programiranje</v>
      </c>
      <c r="B599" s="15" t="s">
        <v>587</v>
      </c>
      <c r="C599" s="72">
        <v>3</v>
      </c>
      <c r="D599" s="69"/>
      <c r="E599" s="31" t="s">
        <v>575</v>
      </c>
      <c r="F599" s="37"/>
      <c r="G599" s="24"/>
      <c r="H599" s="53"/>
    </row>
    <row r="600" spans="1:8" ht="13.2">
      <c r="A600" s="65" t="str">
        <f>HYPERLINK("https://oj.uz/problem/view/COCI17_rasvjeta","COCI 17-rasvjeta")</f>
        <v>COCI 17-rasvjeta</v>
      </c>
      <c r="B600" s="20" t="s">
        <v>6646</v>
      </c>
      <c r="C600" s="24">
        <v>2</v>
      </c>
      <c r="D600" s="69"/>
      <c r="E600" s="31" t="s">
        <v>125</v>
      </c>
      <c r="F600" s="37"/>
      <c r="G600" s="24"/>
      <c r="H600" s="53"/>
    </row>
    <row r="601" spans="1:8" ht="13.2">
      <c r="A601" s="65" t="str">
        <f>HYPERLINK("https://oj.uz/problem/view/COCI17_retro","COCI 17-retro")</f>
        <v>COCI 17-retro</v>
      </c>
      <c r="B601" s="20" t="s">
        <v>272</v>
      </c>
      <c r="C601" s="24">
        <v>7</v>
      </c>
      <c r="D601" s="69"/>
      <c r="E601" s="31" t="s">
        <v>125</v>
      </c>
      <c r="F601" s="37"/>
      <c r="G601" s="24"/>
      <c r="H601" s="53"/>
    </row>
    <row r="602" spans="1:8" ht="13.2">
      <c r="A602" s="65" t="str">
        <f>HYPERLINK("https://oj.uz/problem/view/COCI17_rima","COCI 17-rima")</f>
        <v>COCI 17-rima</v>
      </c>
      <c r="B602" s="20" t="s">
        <v>5654</v>
      </c>
      <c r="C602" s="24">
        <v>6.25</v>
      </c>
      <c r="D602" s="65" t="str">
        <f>HYPERLINK("https://github.com/mostafa-saad/MyCompetitiveProgramming/blob/master/Olympiad/COCI/official/2017/contest4_solutions","Editorial")</f>
        <v>Editorial</v>
      </c>
      <c r="E602" s="31" t="s">
        <v>5643</v>
      </c>
      <c r="F602" s="37" t="s">
        <v>139</v>
      </c>
      <c r="G602" s="24"/>
      <c r="H602" s="53"/>
    </row>
    <row r="603" spans="1:8" ht="13.2">
      <c r="A603" s="65" t="str">
        <f>HYPERLINK("https://oj.uz/problem/view/COCI17_ronald","COCI 17-ronald")</f>
        <v>COCI 17-ronald</v>
      </c>
      <c r="B603" s="15" t="s">
        <v>3748</v>
      </c>
      <c r="C603" s="24">
        <v>5</v>
      </c>
      <c r="D603" s="65" t="str">
        <f>HYPERLINK("https://github.com/mostafa-saad/MyCompetitiveProgramming/blob/master/Olympiad/COCI/official/2017/contest5_solutions","Editorial")</f>
        <v>Editorial</v>
      </c>
      <c r="E603" s="31" t="s">
        <v>3650</v>
      </c>
      <c r="F603" s="37" t="s">
        <v>139</v>
      </c>
      <c r="G603" s="24"/>
      <c r="H603" s="53"/>
    </row>
    <row r="604" spans="1:8" ht="13.2">
      <c r="A604" s="65" t="str">
        <f>HYPERLINK("https://oj.uz/problem/view/COCI17_san","COCI 17-san")</f>
        <v>COCI 17-san</v>
      </c>
      <c r="B604" s="23" t="s">
        <v>956</v>
      </c>
      <c r="C604" s="24">
        <v>5.5</v>
      </c>
      <c r="D604" s="65" t="str">
        <f>HYPERLINK("https://github.com/mostafa-saad/MyCompetitiveProgramming/blob/master/Olympiad/COCI/official/2018/contest2_solutions","Editorial")</f>
        <v>Editorial</v>
      </c>
      <c r="E604" s="31" t="s">
        <v>951</v>
      </c>
      <c r="F604" s="37" t="s">
        <v>139</v>
      </c>
      <c r="G604" s="24"/>
      <c r="H604" s="53"/>
    </row>
    <row r="605" spans="1:8" ht="13.2">
      <c r="A605" s="65" t="str">
        <f>HYPERLINK("https://oj.uz/problem/view/COCI17_savrsen","COCI 17-savrsen")</f>
        <v>COCI 17-savrsen</v>
      </c>
      <c r="B605" s="20" t="s">
        <v>5416</v>
      </c>
      <c r="C605" s="24">
        <v>3</v>
      </c>
      <c r="D605" s="65" t="str">
        <f>HYPERLINK("https://github.com/mostafa-saad/MyCompetitiveProgramming/blob/master/Olympiad/COCI/official/2017/contest6_solutions","Editorial")</f>
        <v>Editorial</v>
      </c>
      <c r="E605" s="31" t="s">
        <v>5414</v>
      </c>
      <c r="F605" s="37"/>
      <c r="G605" s="24"/>
      <c r="H605" s="53"/>
    </row>
    <row r="606" spans="1:8" ht="13.2">
      <c r="A606" s="65" t="str">
        <f>HYPERLINK("https://oj.uz/problem/view/COCI17_sazetak","COCI 17-sazetak")</f>
        <v>COCI 17-sazetak</v>
      </c>
      <c r="B606" s="20" t="s">
        <v>7364</v>
      </c>
      <c r="C606" s="24">
        <v>7</v>
      </c>
      <c r="D606" s="69"/>
      <c r="E606" s="31" t="s">
        <v>5524</v>
      </c>
      <c r="F606" s="37"/>
      <c r="G606" s="24"/>
      <c r="H606" s="53"/>
    </row>
    <row r="607" spans="1:8" ht="13.2">
      <c r="A607" s="65" t="str">
        <f>HYPERLINK("https://oj.uz/problem/view/COCI17_sirni","COCI 17-sirni")</f>
        <v>COCI 17-sirni</v>
      </c>
      <c r="B607" s="20" t="s">
        <v>7690</v>
      </c>
      <c r="C607" s="24">
        <v>6.8</v>
      </c>
      <c r="D607" s="65" t="str">
        <f>HYPERLINK("https://github.com/mostafa-saad/MyCompetitiveProgramming/blob/master/Olympiad/COCI/COCI-17-sirni.txt","Sol")</f>
        <v>Sol</v>
      </c>
      <c r="E607" s="31" t="s">
        <v>4275</v>
      </c>
      <c r="F607" s="37" t="s">
        <v>139</v>
      </c>
      <c r="G607" s="24"/>
      <c r="H607" s="53"/>
    </row>
    <row r="608" spans="1:8" ht="13.2">
      <c r="A608" s="65" t="str">
        <f>HYPERLINK("https://oj.uz/problem/view/COCI17_telefoni","COCI 17-telefoni")</f>
        <v>COCI 17-telefoni</v>
      </c>
      <c r="B608" s="20" t="s">
        <v>6646</v>
      </c>
      <c r="C608" s="24">
        <v>1</v>
      </c>
      <c r="D608" s="65" t="str">
        <f>HYPERLINK("https://github.com/mostafa-saad/MyCompetitiveProgramming/blob/master/Olympiad/COCI/official/2017/contest6_solutions","Editorial")</f>
        <v>Editorial</v>
      </c>
      <c r="E608" s="31" t="s">
        <v>125</v>
      </c>
      <c r="F608" s="37"/>
      <c r="G608" s="24"/>
      <c r="H608" s="53"/>
    </row>
    <row r="609" spans="1:8" ht="13.2">
      <c r="A609" s="65" t="str">
        <f>HYPERLINK("https://oj.uz/problem/view/COCI17_tetris","COCI 17-tetris")</f>
        <v>COCI 17-tetris</v>
      </c>
      <c r="B609" s="20" t="s">
        <v>5961</v>
      </c>
      <c r="C609" s="24">
        <v>3</v>
      </c>
      <c r="D609" s="69"/>
      <c r="E609" s="31" t="s">
        <v>5958</v>
      </c>
      <c r="F609" s="37"/>
      <c r="G609" s="24"/>
      <c r="H609" s="53"/>
    </row>
    <row r="610" spans="1:8" ht="13.2">
      <c r="A610" s="65" t="str">
        <f>HYPERLINK("https://oj.uz/problem/view/COCI17_tuna","COCI 17-tuna")</f>
        <v>COCI 17-tuna</v>
      </c>
      <c r="B610" s="20" t="s">
        <v>6646</v>
      </c>
      <c r="C610" s="24">
        <v>1</v>
      </c>
      <c r="D610" s="69"/>
      <c r="E610" s="31" t="s">
        <v>125</v>
      </c>
      <c r="F610" s="37"/>
      <c r="G610" s="24"/>
      <c r="H610" s="53"/>
    </row>
    <row r="611" spans="1:8" ht="13.2">
      <c r="A611" s="65" t="str">
        <f>HYPERLINK("https://oj.uz/problem/view/COCI17_turnir","COCI 17-turnir")</f>
        <v>COCI 17-turnir</v>
      </c>
      <c r="B611" s="20" t="s">
        <v>4653</v>
      </c>
      <c r="C611" s="24">
        <v>2</v>
      </c>
      <c r="D611" s="65" t="str">
        <f>HYPERLINK("https://github.com/mostafa-saad/MyCompetitiveProgramming/blob/master/Olympiad/COCI/official/2017/contest6_solutions","Editorial")</f>
        <v>Editorial</v>
      </c>
      <c r="E611" s="31" t="s">
        <v>4531</v>
      </c>
      <c r="F611" s="37"/>
      <c r="G611" s="24"/>
      <c r="H611" s="53"/>
    </row>
    <row r="612" spans="1:8" ht="13.2">
      <c r="A612" s="65" t="str">
        <f>HYPERLINK("https://oj.uz/problem/view/COCI17_unija","COCI 17-unija")</f>
        <v>COCI 17-unija</v>
      </c>
      <c r="B612" s="20" t="s">
        <v>7080</v>
      </c>
      <c r="C612" s="24">
        <v>3.5</v>
      </c>
      <c r="D612" s="65" t="str">
        <f>HYPERLINK("https://github.com/mostafa-saad/MyCompetitiveProgramming/blob/master/Olympiad/COCI/official/2017/contest5_solutions","Editorial")</f>
        <v>Editorial</v>
      </c>
      <c r="E612" s="31" t="s">
        <v>2510</v>
      </c>
      <c r="F612" s="37"/>
      <c r="G612" s="24"/>
      <c r="H612" s="53"/>
    </row>
    <row r="613" spans="1:8" ht="13.2">
      <c r="A613" s="65" t="str">
        <f>HYPERLINK("https://oj.uz/problem/view/COCI17_usmjeri","COCI 17-usmjeri")</f>
        <v>COCI 17-usmjeri</v>
      </c>
      <c r="B613" s="20" t="s">
        <v>7193</v>
      </c>
      <c r="C613" s="24">
        <v>6</v>
      </c>
      <c r="D613" s="65" t="str">
        <f>HYPERLINK("https://github.com/mostafa-saad/MyCompetitiveProgramming/blob/master/Olympiad/COCI/official/2018/contest2_solutions","Editorial")</f>
        <v>Editorial</v>
      </c>
      <c r="E613" s="31" t="s">
        <v>3650</v>
      </c>
      <c r="F613" s="37"/>
      <c r="G613" s="24"/>
      <c r="H613" s="53"/>
    </row>
    <row r="614" spans="1:8" ht="13.2">
      <c r="A614" s="65" t="str">
        <f>HYPERLINK("https://oj.uz/problem/view/COCI17_uzastopni","COCI 17-uzastopni")</f>
        <v>COCI 17-uzastopni</v>
      </c>
      <c r="B614" s="20" t="s">
        <v>7340</v>
      </c>
      <c r="C614" s="24">
        <v>4</v>
      </c>
      <c r="D614" s="65" t="str">
        <f>HYPERLINK("https://github.com/AhmedElsisy/CompetitiveProgramming/blob/master/Olympiad/COCI/COCI%2017-uzastopni.cpp","sol")</f>
        <v>sol</v>
      </c>
      <c r="E614" s="31" t="s">
        <v>4893</v>
      </c>
      <c r="F614" s="37" t="s">
        <v>139</v>
      </c>
      <c r="G614" s="24"/>
      <c r="H614" s="53"/>
    </row>
    <row r="615" spans="1:8" ht="13.2">
      <c r="A615" s="65" t="str">
        <f>HYPERLINK("https://oj.uz/problem/view/COCI17_vode","COCI 17-vode")</f>
        <v>COCI 17-vode</v>
      </c>
      <c r="B615" s="20" t="s">
        <v>6903</v>
      </c>
      <c r="C615" s="24">
        <v>5.5</v>
      </c>
      <c r="D615" s="65" t="str">
        <f>HYPERLINK("https://github.com/Rockbet/Problems/blob/master/COCI/COCI%202017-2018/Vode.cpp","Sol")</f>
        <v>Sol</v>
      </c>
      <c r="E615" s="31" t="s">
        <v>1337</v>
      </c>
      <c r="F615" s="37" t="s">
        <v>139</v>
      </c>
      <c r="G615" s="24"/>
      <c r="H615" s="53"/>
    </row>
    <row r="616" spans="1:8" ht="13.2">
      <c r="A616" s="65" t="str">
        <f>HYPERLINK("https://oj.uz/problem/view/COCI17_zigzag","COCI 17-zigzag")</f>
        <v>COCI 17-zigzag</v>
      </c>
      <c r="B616" s="20" t="s">
        <v>6646</v>
      </c>
      <c r="C616" s="24">
        <v>3</v>
      </c>
      <c r="D616" s="69"/>
      <c r="E616" s="31" t="s">
        <v>125</v>
      </c>
      <c r="F616" s="37"/>
      <c r="G616" s="24"/>
      <c r="H616" s="53"/>
    </row>
    <row r="617" spans="1:8" ht="13.2">
      <c r="A617" s="65" t="str">
        <f>HYPERLINK("https://oj.uz/problem/view/COCI18_alkemija","COCI 18-alkemija")</f>
        <v>COCI 18-alkemija</v>
      </c>
      <c r="B617" s="20" t="s">
        <v>3649</v>
      </c>
      <c r="C617" s="24">
        <v>4</v>
      </c>
      <c r="D617" s="69"/>
      <c r="E617" s="31" t="s">
        <v>3650</v>
      </c>
      <c r="F617" s="37"/>
      <c r="G617" s="24"/>
      <c r="H617" s="53"/>
    </row>
    <row r="618" spans="1:8" ht="13.2">
      <c r="A618" s="65" t="str">
        <f>HYPERLINK("https://oj.uz/problem/view/COCI18_birokracija","COCI 18-birokracija")</f>
        <v>COCI 18-birokracija</v>
      </c>
      <c r="B618" s="20" t="s">
        <v>3649</v>
      </c>
      <c r="C618" s="24">
        <v>2</v>
      </c>
      <c r="D618" s="69"/>
      <c r="E618" s="31" t="s">
        <v>3650</v>
      </c>
      <c r="F618" s="37"/>
      <c r="G618" s="24"/>
      <c r="H618" s="53"/>
    </row>
    <row r="619" spans="1:8" ht="13.2">
      <c r="A619" s="65" t="str">
        <f>HYPERLINK("https://oj.uz/problem/view/COCI18_clickbait","COCI 18-clickbait")</f>
        <v>COCI 18-clickbait</v>
      </c>
      <c r="B619" s="20" t="s">
        <v>7400</v>
      </c>
      <c r="C619" s="24">
        <v>6.25</v>
      </c>
      <c r="D619" s="69"/>
      <c r="E619" s="31" t="s">
        <v>5958</v>
      </c>
      <c r="F619" s="37"/>
      <c r="G619" s="24"/>
      <c r="H619" s="53"/>
    </row>
    <row r="620" spans="1:8" ht="13.2">
      <c r="A620" s="65" t="str">
        <f>HYPERLINK("https://oj.uz/problem/view/COCI18_cover","COCI 18-cover")</f>
        <v>COCI 18-cover</v>
      </c>
      <c r="B620" s="20" t="s">
        <v>2112</v>
      </c>
      <c r="C620" s="24">
        <v>5</v>
      </c>
      <c r="D620" s="65" t="str">
        <f>HYPERLINK("https://github.com/luciocf/OI-Problems/blob/master/COCI/COCI%202017-2018/cover.cpp","Sol")</f>
        <v>Sol</v>
      </c>
      <c r="E620" s="31" t="s">
        <v>2113</v>
      </c>
      <c r="F620" s="37" t="s">
        <v>139</v>
      </c>
      <c r="G620" s="24"/>
      <c r="H620" s="53"/>
    </row>
    <row r="621" spans="1:8" ht="13.2">
      <c r="A621" s="65" t="str">
        <f>HYPERLINK("https://oj.uz/problem/view/COCI18_dostavljac","COCI 18-dostavljac")</f>
        <v>COCI 18-dostavljac</v>
      </c>
      <c r="B621" s="20" t="s">
        <v>6458</v>
      </c>
      <c r="C621" s="24">
        <v>6.25</v>
      </c>
      <c r="D621" s="65" t="str">
        <f>HYPERLINK("https://github.com/luciocf/OI-Problems/blob/master/COCI/COCI%202017-2018/dostavljac.cpp","Sol")</f>
        <v>Sol</v>
      </c>
      <c r="E621" s="31" t="s">
        <v>6459</v>
      </c>
      <c r="F621" s="37" t="s">
        <v>139</v>
      </c>
      <c r="G621" s="24"/>
      <c r="H621" s="53"/>
    </row>
    <row r="622" spans="1:8" ht="13.2">
      <c r="A622" s="65" t="str">
        <f>HYPERLINK("https://oj.uz/problem/view/COCI18_go","COCI 18-go")</f>
        <v>COCI 18-go</v>
      </c>
      <c r="B622" s="20" t="s">
        <v>1348</v>
      </c>
      <c r="C622" s="24">
        <v>5</v>
      </c>
      <c r="D622" s="65" t="str">
        <f>HYPERLINK("https://ideone.com/xq3cEb","Sol")</f>
        <v>Sol</v>
      </c>
      <c r="E622" s="31" t="s">
        <v>1337</v>
      </c>
      <c r="F622" s="37" t="s">
        <v>201</v>
      </c>
      <c r="G622" s="24"/>
      <c r="H622" s="53"/>
    </row>
    <row r="623" spans="1:8" ht="13.2">
      <c r="A623" s="65" t="str">
        <f>HYPERLINK("https://oj.uz/problem/view/COCI18_karte","COCI 18-karte")</f>
        <v>COCI 18-karte</v>
      </c>
      <c r="B623" s="20" t="s">
        <v>7041</v>
      </c>
      <c r="C623" s="24">
        <v>4</v>
      </c>
      <c r="D623" s="65" t="str">
        <f>HYPERLINK("https://github.com/mostafa-saad/MyCompetitiveProgramming/blob/master/Olympiad/COCI/COCI-18-karte.txt","Sol")</f>
        <v>Sol</v>
      </c>
      <c r="E623" s="31" t="s">
        <v>2153</v>
      </c>
      <c r="F623" s="37" t="s">
        <v>1112</v>
      </c>
      <c r="G623" s="24"/>
      <c r="H623" s="53"/>
    </row>
    <row r="624" spans="1:8" ht="13.2">
      <c r="A624" s="65" t="str">
        <f>HYPERLINK("https://oj.uz/problem/view/COCI18_kotrljanje","COCI 18-kotrljanje")</f>
        <v>COCI 18-kotrljanje</v>
      </c>
      <c r="B624" s="20" t="s">
        <v>6582</v>
      </c>
      <c r="C624" s="24">
        <v>7</v>
      </c>
      <c r="D624" s="69"/>
      <c r="E624" s="31" t="s">
        <v>125</v>
      </c>
      <c r="F624" s="37"/>
      <c r="G624" s="24"/>
      <c r="H624" s="53"/>
    </row>
    <row r="625" spans="1:8" ht="13.2">
      <c r="A625" s="65" t="str">
        <f>HYPERLINK("https://oj.uz/problem/view/COCI18_magnus","COCI 18-magnus")</f>
        <v>COCI 18-magnus</v>
      </c>
      <c r="B625" s="37" t="s">
        <v>5992</v>
      </c>
      <c r="C625" s="24">
        <v>1</v>
      </c>
      <c r="D625" s="69"/>
      <c r="E625" s="31" t="s">
        <v>5958</v>
      </c>
      <c r="F625" s="37"/>
      <c r="G625" s="24"/>
      <c r="H625" s="53"/>
    </row>
    <row r="626" spans="1:8" ht="13.2">
      <c r="A626" s="65" t="str">
        <f>HYPERLINK("https://oj.uz/problem/view/COCI18_mate","COCI 18-mate")</f>
        <v>COCI 18-mate</v>
      </c>
      <c r="B626" s="20" t="s">
        <v>1348</v>
      </c>
      <c r="C626" s="24">
        <v>4</v>
      </c>
      <c r="D626" s="69"/>
      <c r="E626" s="31" t="s">
        <v>1337</v>
      </c>
      <c r="F626" s="37"/>
      <c r="G626" s="24"/>
      <c r="H626" s="53"/>
    </row>
    <row r="627" spans="1:8" ht="13.2">
      <c r="A627" s="65" t="str">
        <f>HYPERLINK("https://oj.uz/problem/view/COCI18_nlo","COCI 18-nlo")</f>
        <v>COCI 18-nlo</v>
      </c>
      <c r="B627" s="37" t="s">
        <v>7527</v>
      </c>
      <c r="C627" s="24"/>
      <c r="D627" s="69"/>
      <c r="E627" s="31" t="s">
        <v>7525</v>
      </c>
      <c r="F627" s="37"/>
      <c r="G627" s="24"/>
      <c r="H627" s="53"/>
    </row>
    <row r="628" spans="1:8" ht="13.2">
      <c r="A628" s="65" t="str">
        <f>HYPERLINK("https://oj.uz/problem/view/COCI18_olivander","COCI 18-olivander")</f>
        <v>COCI 18-olivander</v>
      </c>
      <c r="B628" s="20" t="s">
        <v>6646</v>
      </c>
      <c r="C628" s="24">
        <v>1</v>
      </c>
      <c r="D628" s="69"/>
      <c r="E628" s="31" t="s">
        <v>125</v>
      </c>
      <c r="F628" s="37"/>
      <c r="G628" s="24"/>
      <c r="H628" s="53"/>
    </row>
    <row r="629" spans="1:8" ht="13.2">
      <c r="A629" s="65" t="str">
        <f>HYPERLINK("https://oj.uz/problem/view/COCI18_pictionary","COCI 18-pictionary")</f>
        <v>COCI 18-pictionary</v>
      </c>
      <c r="B629" s="20" t="s">
        <v>7267</v>
      </c>
      <c r="C629" s="24">
        <v>6</v>
      </c>
      <c r="D629" s="65" t="str">
        <f>HYPERLINK("https://github.com/mostafa-saad/MyCompetitiveProgramming/blob/master/Olympiad/COCI/COCI-18-pictionary.txt","Sol")</f>
        <v>Sol</v>
      </c>
      <c r="E629" s="31" t="s">
        <v>4275</v>
      </c>
      <c r="F629" s="37" t="s">
        <v>154</v>
      </c>
      <c r="G629" s="24"/>
      <c r="H629" s="53"/>
    </row>
    <row r="630" spans="1:8" ht="13.2">
      <c r="A630" s="65" t="str">
        <f>HYPERLINK("https://oj.uz/problem/view/COCI18_pismo","COCI 18-pismo")</f>
        <v>COCI 18-pismo</v>
      </c>
      <c r="B630" s="37" t="s">
        <v>5992</v>
      </c>
      <c r="C630" s="24">
        <v>1</v>
      </c>
      <c r="D630" s="69"/>
      <c r="E630" s="31" t="s">
        <v>5958</v>
      </c>
      <c r="F630" s="37"/>
      <c r="G630" s="24"/>
      <c r="H630" s="53"/>
    </row>
    <row r="631" spans="1:8" ht="13.2">
      <c r="A631" s="65" t="str">
        <f>HYPERLINK("https://oj.uz/problem/view/COCI18_planinarenje","COCI 18-planinarenje")</f>
        <v>COCI 18-planinarenje</v>
      </c>
      <c r="B631" s="15" t="s">
        <v>4149</v>
      </c>
      <c r="C631" s="24">
        <v>6.3</v>
      </c>
      <c r="D631" s="65" t="str">
        <f>HYPERLINK("http://blog.brucemerry.org.za/2018/01/coci-20172018-r5-analysis.html","Editorial")</f>
        <v>Editorial</v>
      </c>
      <c r="E631" s="31" t="s">
        <v>4144</v>
      </c>
      <c r="F631" s="37" t="s">
        <v>154</v>
      </c>
      <c r="G631" s="24"/>
      <c r="H631" s="53"/>
    </row>
    <row r="632" spans="1:8" ht="13.2">
      <c r="A632" s="65" t="str">
        <f>HYPERLINK("https://oj.uz/problem/view/COCI18_prakticni","COCI 18-prakticni")</f>
        <v>COCI 18-prakticni</v>
      </c>
      <c r="B632" s="37" t="s">
        <v>7527</v>
      </c>
      <c r="C632" s="24"/>
      <c r="D632" s="69"/>
      <c r="E632" s="31" t="s">
        <v>7525</v>
      </c>
      <c r="F632" s="37"/>
      <c r="G632" s="24"/>
      <c r="H632" s="53"/>
    </row>
    <row r="633" spans="1:8" ht="13.2">
      <c r="A633" s="65" t="str">
        <f>HYPERLINK("https://oj.uz/problem/view/COCI18_priglavci","COCI 18-priglavci")</f>
        <v>COCI 18-priglavci</v>
      </c>
      <c r="B633" s="20" t="s">
        <v>4196</v>
      </c>
      <c r="C633" s="24">
        <v>5.5</v>
      </c>
      <c r="D633" s="65" t="str">
        <f>HYPERLINK("https://github.com/farmerboy95/CompetitiveProgramming/blob/master/COCI/COCI%2018-priglavci.cpp","Sol")</f>
        <v>Sol</v>
      </c>
      <c r="E633" s="31" t="s">
        <v>4144</v>
      </c>
      <c r="F633" s="37" t="s">
        <v>201</v>
      </c>
      <c r="G633" s="24"/>
      <c r="H633" s="53"/>
    </row>
    <row r="634" spans="1:8" ht="13.2">
      <c r="A634" s="65" t="str">
        <f>HYPERLINK("https://oj.uz/problem/view/COCI18_prosjek","COCI 18-prosjek")</f>
        <v>COCI 18-prosjek</v>
      </c>
      <c r="B634" s="20" t="s">
        <v>2163</v>
      </c>
      <c r="C634" s="24">
        <v>1</v>
      </c>
      <c r="D634" s="69"/>
      <c r="E634" s="31" t="s">
        <v>2153</v>
      </c>
      <c r="F634" s="37"/>
      <c r="G634" s="24"/>
      <c r="H634" s="53"/>
    </row>
    <row r="635" spans="1:8" ht="13.2">
      <c r="A635" s="65" t="str">
        <f>HYPERLINK("https://oj.uz/problem/view/COCI18_sajam","COCI 18-sajam")</f>
        <v>COCI 18-sajam</v>
      </c>
      <c r="B635" s="37" t="s">
        <v>7533</v>
      </c>
      <c r="C635" s="24">
        <v>6</v>
      </c>
      <c r="D635" s="69"/>
      <c r="E635" s="31" t="s">
        <v>7525</v>
      </c>
      <c r="F635" s="37"/>
      <c r="G635" s="24"/>
      <c r="H635" s="53"/>
    </row>
    <row r="636" spans="1:8" ht="13.2">
      <c r="A636" s="65" t="str">
        <f>HYPERLINK("https://oj.uz/problem/view/COCI18_spirale","COCI 18-spirale")</f>
        <v>COCI 18-spirale</v>
      </c>
      <c r="B636" s="20" t="s">
        <v>6646</v>
      </c>
      <c r="C636" s="24">
        <v>1</v>
      </c>
      <c r="D636" s="69"/>
      <c r="E636" s="31" t="s">
        <v>125</v>
      </c>
      <c r="F636" s="37"/>
      <c r="G636" s="24"/>
      <c r="H636" s="53"/>
    </row>
    <row r="637" spans="1:8" ht="13.2">
      <c r="A637" s="65" t="str">
        <f>HYPERLINK("https://oj.uz/problem/view/COCI18_timovi","COCI 18-timovi")</f>
        <v>COCI 18-timovi</v>
      </c>
      <c r="B637" s="15" t="s">
        <v>147</v>
      </c>
      <c r="C637" s="72">
        <v>3</v>
      </c>
      <c r="D637" s="69"/>
      <c r="E637" s="31" t="s">
        <v>125</v>
      </c>
      <c r="F637" s="37"/>
      <c r="G637" s="24"/>
      <c r="H637" s="53"/>
    </row>
    <row r="638" spans="1:8" ht="13.2">
      <c r="A638" s="65" t="str">
        <f>HYPERLINK("https://oj.uz/problem/view/COCI18_vrtic","COCI 18-vrtic")</f>
        <v>COCI 18-vrtic</v>
      </c>
      <c r="B638" s="20" t="s">
        <v>1354</v>
      </c>
      <c r="C638" s="24">
        <v>6.5</v>
      </c>
      <c r="D638" s="69"/>
      <c r="E638" s="31" t="s">
        <v>1337</v>
      </c>
      <c r="F638" s="37"/>
      <c r="G638" s="24"/>
      <c r="H638" s="53"/>
    </row>
    <row r="639" spans="1:8" ht="13.2">
      <c r="A639" s="65" t="str">
        <f>HYPERLINK("https://oj.uz/problem/view/COCI19_akvizna","COCI 19-akvizna")</f>
        <v>COCI 19-akvizna</v>
      </c>
      <c r="B639" s="37" t="s">
        <v>7527</v>
      </c>
      <c r="C639" s="24"/>
      <c r="D639" s="69"/>
      <c r="E639" s="31" t="s">
        <v>7525</v>
      </c>
      <c r="F639" s="37"/>
      <c r="G639" s="24"/>
      <c r="H639" s="53"/>
    </row>
    <row r="640" spans="1:8" ht="13.2">
      <c r="A640" s="65" t="str">
        <f>HYPERLINK("https://oj.uz/problem/view/COCI18_cipele","COCI 19-cipele")</f>
        <v>COCI 19-cipele</v>
      </c>
      <c r="B640" s="20" t="s">
        <v>848</v>
      </c>
      <c r="C640" s="17">
        <v>3.5</v>
      </c>
      <c r="D640" s="69"/>
      <c r="E640" s="31" t="s">
        <v>805</v>
      </c>
      <c r="F640" s="37"/>
      <c r="G640" s="24"/>
      <c r="H640" s="53"/>
    </row>
    <row r="641" spans="1:8" ht="13.2">
      <c r="A641" s="65" t="str">
        <f>HYPERLINK("https://oj.uz/problem/view/COCI18_deblo","COCI 19-deblo")</f>
        <v>COCI 19-deblo</v>
      </c>
      <c r="B641" s="20" t="s">
        <v>7456</v>
      </c>
      <c r="C641" s="17">
        <v>5.5</v>
      </c>
      <c r="D641" s="65" t="str">
        <f>HYPERLINK("https://github.com/YazanZebak/CompetitiveProgramming/blob/master/Olympiad/COCI/COCI-18-DEBLO.cpp", "Sol")</f>
        <v>Sol</v>
      </c>
      <c r="E641" s="31" t="s">
        <v>6345</v>
      </c>
      <c r="F641" s="37"/>
      <c r="G641" s="24"/>
      <c r="H641" s="53"/>
    </row>
    <row r="642" spans="1:8" ht="13.2">
      <c r="A642" s="65" t="str">
        <f>HYPERLINK("https://oj.uz/problem/view/COCI19_elder","COCI 19-elder")</f>
        <v>COCI 19-elder</v>
      </c>
      <c r="B642" s="37" t="s">
        <v>5992</v>
      </c>
      <c r="C642" s="24">
        <v>1</v>
      </c>
      <c r="D642" s="69"/>
      <c r="E642" s="31" t="s">
        <v>5958</v>
      </c>
      <c r="F642" s="37"/>
      <c r="G642" s="24"/>
      <c r="H642" s="53"/>
    </row>
    <row r="643" spans="1:8" ht="13.2">
      <c r="A643" s="65" t="str">
        <f>HYPERLINK("https://oj.uz/problem/view/COCI19_jarvis","COCI 19-jarvis")</f>
        <v>COCI 19-jarvis</v>
      </c>
      <c r="B643" s="37" t="s">
        <v>7527</v>
      </c>
      <c r="C643" s="24"/>
      <c r="D643" s="69"/>
      <c r="E643" s="31" t="s">
        <v>7525</v>
      </c>
      <c r="F643" s="37"/>
      <c r="G643" s="24"/>
      <c r="H643" s="53"/>
    </row>
    <row r="644" spans="1:8" ht="13.2">
      <c r="A644" s="65" t="str">
        <f>HYPERLINK("https://oj.uz/problem/view/COCI19_kisik","COCI 19-kisik")</f>
        <v>COCI 19-kisik</v>
      </c>
      <c r="B644" s="37" t="s">
        <v>7527</v>
      </c>
      <c r="C644" s="24"/>
      <c r="D644" s="69"/>
      <c r="E644" s="31" t="s">
        <v>7525</v>
      </c>
      <c r="F644" s="37"/>
      <c r="G644" s="24"/>
      <c r="H644" s="53"/>
    </row>
    <row r="645" spans="1:8" ht="13.2">
      <c r="A645" s="65" t="str">
        <f>HYPERLINK("https://oj.uz/problem/view/COCI18_kocka","COCI 19-kocka")</f>
        <v>COCI 19-kocka</v>
      </c>
      <c r="B645" s="20" t="s">
        <v>124</v>
      </c>
      <c r="C645" s="17">
        <v>5</v>
      </c>
      <c r="D645" s="65" t="str">
        <f>HYPERLINK("https://github.com/ZeyadKhattab/Competitive-Programming/blob/master/Problems/COCI%2019-kocka.java","Sol")</f>
        <v>Sol</v>
      </c>
      <c r="E645" s="31" t="s">
        <v>125</v>
      </c>
      <c r="F645" s="37"/>
      <c r="G645" s="24"/>
      <c r="H645" s="53"/>
    </row>
    <row r="646" spans="1:8" ht="13.2">
      <c r="A646" s="65" t="str">
        <f>HYPERLINK("https://oj.uz/problem/view/COCI19_konj","COCI 19-konj")</f>
        <v>COCI 19-konj</v>
      </c>
      <c r="B646" s="37" t="s">
        <v>5992</v>
      </c>
      <c r="C646" s="24">
        <v>1</v>
      </c>
      <c r="D646" s="69"/>
      <c r="E646" s="31" t="s">
        <v>5958</v>
      </c>
      <c r="F646" s="37"/>
      <c r="G646" s="24"/>
      <c r="H646" s="53"/>
    </row>
    <row r="647" spans="1:8" ht="13.2">
      <c r="A647" s="65" t="str">
        <f>HYPERLINK("https://oj.uz/problem/view/COCI19_lun","COCI 19-lun")</f>
        <v>COCI 19-lun</v>
      </c>
      <c r="B647" s="37" t="s">
        <v>5992</v>
      </c>
      <c r="C647" s="24">
        <v>1</v>
      </c>
      <c r="D647" s="69"/>
      <c r="E647" s="31" t="s">
        <v>5958</v>
      </c>
      <c r="F647" s="37"/>
      <c r="G647" s="24"/>
      <c r="H647" s="53"/>
    </row>
    <row r="648" spans="1:8" ht="13.2">
      <c r="A648" s="65" t="str">
        <f>HYPERLINK("https://oj.uz/problem/view/COCI18_maja","COCI 19-maja")</f>
        <v>COCI 19-maja</v>
      </c>
      <c r="B648" s="20" t="s">
        <v>1913</v>
      </c>
      <c r="C648" s="17">
        <v>5</v>
      </c>
      <c r="D648" s="65" t="str">
        <f>HYPERLINK("https://github.com/sofhiasouza/CompetitiveProgramming/blob/master/COCI/2018-2019/Contest%20%232/maja.cpp","Sol")</f>
        <v>Sol</v>
      </c>
      <c r="E648" s="31" t="s">
        <v>1909</v>
      </c>
      <c r="F648" s="37" t="s">
        <v>139</v>
      </c>
      <c r="G648" s="24"/>
      <c r="H648" s="53"/>
    </row>
    <row r="649" spans="1:8" ht="13.2">
      <c r="A649" s="65" t="str">
        <f>HYPERLINK("https://oj.uz/problem/view/COCI18_nadan","COCI 19-nadan")</f>
        <v>COCI 19-nadan</v>
      </c>
      <c r="B649" s="20" t="s">
        <v>6650</v>
      </c>
      <c r="C649" s="24">
        <v>2</v>
      </c>
      <c r="D649" s="69"/>
      <c r="E649" s="31" t="s">
        <v>125</v>
      </c>
      <c r="F649" s="37"/>
      <c r="G649" s="24"/>
      <c r="H649" s="53"/>
    </row>
    <row r="650" spans="1:8" ht="13.2">
      <c r="A650" s="65" t="str">
        <f>HYPERLINK("https://oj.uz/problem/view/COCI19_parametriziran","COCI 19-parametriziran")</f>
        <v>COCI 19-parametriziran</v>
      </c>
      <c r="B650" s="20" t="s">
        <v>291</v>
      </c>
      <c r="C650" s="21">
        <v>5.5</v>
      </c>
      <c r="D650" s="65" t="str">
        <f>HYPERLINK("https://github.com/Szawinis/CompetitiveProgramming/blob/master/Olympiad/COCI/COCI19-parametriziran.cpp","Sol")</f>
        <v>Sol</v>
      </c>
      <c r="E650" s="31" t="s">
        <v>125</v>
      </c>
      <c r="F650" s="37" t="s">
        <v>139</v>
      </c>
      <c r="G650" s="24"/>
      <c r="H650" s="53"/>
    </row>
    <row r="651" spans="1:8" ht="13.2">
      <c r="A651" s="65" t="str">
        <f>HYPERLINK("https://oj.uz/problem/view/COCI18_preokret","COCI 19-preokret")</f>
        <v>COCI 19-preokret</v>
      </c>
      <c r="B651" s="20" t="s">
        <v>124</v>
      </c>
      <c r="C651" s="17">
        <v>4.5</v>
      </c>
      <c r="D651" s="69"/>
      <c r="E651" s="31" t="s">
        <v>125</v>
      </c>
      <c r="F651" s="37"/>
      <c r="G651" s="24"/>
      <c r="H651" s="53"/>
    </row>
    <row r="652" spans="1:8" ht="13.2">
      <c r="A652" s="65" t="str">
        <f>HYPERLINK("https://oj.uz/problem/view/COCI19_simfonija","COCI 19-simfonija")</f>
        <v>COCI 19-simfonija</v>
      </c>
      <c r="B652" s="20" t="s">
        <v>7691</v>
      </c>
      <c r="C652" s="21">
        <v>6.5</v>
      </c>
      <c r="D652" s="65" t="str">
        <f>HYPERLINK("https://github.com/Szawinis/CompetitiveProgramming/blob/master/Olympiad/COCI/COCI19-simfonija.cpp","Sol")</f>
        <v>Sol</v>
      </c>
      <c r="E652" s="31" t="s">
        <v>125</v>
      </c>
      <c r="F652" s="37" t="s">
        <v>139</v>
      </c>
      <c r="G652" s="24"/>
      <c r="H652" s="53"/>
    </row>
    <row r="653" spans="1:8" ht="13.2">
      <c r="A653" s="65" t="str">
        <f>HYPERLINK("https://oj.uz/problem/view/COCI19_slagalica","COCI 19-slagalica")</f>
        <v>COCI 19-slagalica</v>
      </c>
      <c r="B653" s="37" t="s">
        <v>7527</v>
      </c>
      <c r="C653" s="24"/>
      <c r="D653" s="69"/>
      <c r="E653" s="31" t="s">
        <v>7525</v>
      </c>
      <c r="F653" s="37"/>
      <c r="G653" s="24"/>
      <c r="H653" s="53"/>
    </row>
    <row r="654" spans="1:8" ht="13.2">
      <c r="A654" s="65" t="str">
        <f>HYPERLINK("https://oj.uz/problem/view/COCI19_slicice","COCI 19-slicice")</f>
        <v>COCI 19-slicice</v>
      </c>
      <c r="B654" s="20" t="s">
        <v>1348</v>
      </c>
      <c r="C654" s="21">
        <v>4</v>
      </c>
      <c r="D654" s="65" t="str">
        <f>HYPERLINK("https://github.com/CPSolutionsSzawinis/CompetitiveProgramming/blob/master/Olympiad/COCI/COCI19-slicice.cpp","Sol")</f>
        <v>Sol</v>
      </c>
      <c r="E654" s="31" t="s">
        <v>1337</v>
      </c>
      <c r="F654" s="37"/>
      <c r="G654" s="24"/>
      <c r="H654" s="53"/>
    </row>
    <row r="655" spans="1:8" ht="13.2">
      <c r="A655" s="65" t="str">
        <f>HYPERLINK("https://oj.uz/problem/view/COCI18_strah","COCI 19-strah")</f>
        <v>COCI 19-strah</v>
      </c>
      <c r="B655" s="20" t="s">
        <v>6686</v>
      </c>
      <c r="C655" s="17">
        <v>6.25</v>
      </c>
      <c r="D655" s="65" t="str">
        <f>HYPERLINK("https://github.com/Szawinis/CompetitiveProgramming/blob/master/Olympiad/COCI/COCI18-strah.cpp","Sol")</f>
        <v>Sol</v>
      </c>
      <c r="E655" s="31" t="s">
        <v>575</v>
      </c>
      <c r="F655" s="37" t="s">
        <v>139</v>
      </c>
      <c r="G655" s="24"/>
      <c r="H655" s="53"/>
    </row>
    <row r="656" spans="1:8" ht="13.2">
      <c r="A656" s="65" t="str">
        <f>HYPERLINK("https://oj.uz/problem/view/COCI18_suncanje","COCI 19-suncanje")</f>
        <v>COCI 19-suncanje</v>
      </c>
      <c r="B656" s="37" t="s">
        <v>6805</v>
      </c>
      <c r="C656" s="17">
        <v>7</v>
      </c>
      <c r="D656" s="65" t="str">
        <f>HYPERLINK("https://github.com/Szawinis/CompetitiveProgramming/blob/master/Olympiad/COCI/COCI18-suncanje.cpp","Sol")</f>
        <v>Sol</v>
      </c>
      <c r="E656" s="31" t="s">
        <v>1223</v>
      </c>
      <c r="F656" s="37" t="s">
        <v>201</v>
      </c>
      <c r="G656" s="24"/>
      <c r="H656" s="53"/>
    </row>
    <row r="657" spans="1:8" ht="13.2">
      <c r="A657" s="65" t="str">
        <f>HYPERLINK("https://oj.uz/problem/view/COCI18_teoreticar","COCI 19-teoreticar")</f>
        <v>COCI 19-teoreticar</v>
      </c>
      <c r="B657" s="20" t="s">
        <v>3961</v>
      </c>
      <c r="C657" s="17">
        <v>7</v>
      </c>
      <c r="D657" s="69"/>
      <c r="E657" s="31" t="s">
        <v>3955</v>
      </c>
      <c r="F657" s="37"/>
      <c r="G657" s="24"/>
      <c r="H657" s="53"/>
    </row>
    <row r="658" spans="1:8" ht="13.2">
      <c r="A658" s="65" t="str">
        <f>HYPERLINK("https://oj.uz/problem/view/COCI19_titlovi","COCI 19-titlovi")</f>
        <v>COCI 19-titlovi</v>
      </c>
      <c r="B658" s="37" t="s">
        <v>7527</v>
      </c>
      <c r="C658" s="24"/>
      <c r="D658" s="69"/>
      <c r="E658" s="31" t="s">
        <v>7525</v>
      </c>
      <c r="F658" s="37"/>
      <c r="G658" s="24"/>
      <c r="H658" s="53"/>
    </row>
    <row r="659" spans="1:8" ht="13.2">
      <c r="A659" s="65" t="str">
        <f>HYPERLINK("https://oj.uz/problem/view/COCI19_transport","COCI 19-transport")</f>
        <v>COCI 19-transport</v>
      </c>
      <c r="B659" s="20" t="s">
        <v>7450</v>
      </c>
      <c r="C659" s="21">
        <v>6.3</v>
      </c>
      <c r="D659" s="65" t="str">
        <f>HYPERLINK("https://github.com/mostafa-saad/MyCompetitiveProgramming/blob/master/Olympiad/COCI/COCI-19-transport.txt","Sol")</f>
        <v>Sol</v>
      </c>
      <c r="E659" s="31" t="s">
        <v>6345</v>
      </c>
      <c r="F659" s="37" t="s">
        <v>154</v>
      </c>
      <c r="G659" s="24"/>
      <c r="H659" s="53"/>
    </row>
    <row r="660" spans="1:8" ht="13.2">
      <c r="A660" s="65" t="str">
        <f>HYPERLINK("https://oj.uz/problem/view/COCI19_wand","COCI 19-wand")</f>
        <v>COCI 19-wand</v>
      </c>
      <c r="B660" s="37" t="s">
        <v>7527</v>
      </c>
      <c r="C660" s="24"/>
      <c r="D660" s="69"/>
      <c r="E660" s="31" t="s">
        <v>7525</v>
      </c>
      <c r="F660" s="37"/>
      <c r="G660" s="24"/>
      <c r="H660" s="53"/>
    </row>
    <row r="661" spans="1:8" ht="13.2">
      <c r="A661" s="65" t="str">
        <f>HYPERLINK("https://oj.uz/problem/view/COCI18_zamjena","COCI 19-zamjena")</f>
        <v>COCI 19-zamjena</v>
      </c>
      <c r="B661" s="20" t="s">
        <v>3886</v>
      </c>
      <c r="C661" s="17">
        <v>3.5</v>
      </c>
      <c r="D661" s="69"/>
      <c r="E661" s="31" t="s">
        <v>3883</v>
      </c>
      <c r="F661" s="37"/>
      <c r="G661" s="24"/>
      <c r="H661" s="53"/>
    </row>
    <row r="662" spans="1:8" ht="13.2">
      <c r="A662" s="69" t="s">
        <v>7534</v>
      </c>
      <c r="B662" s="37" t="s">
        <v>7527</v>
      </c>
      <c r="C662" s="24">
        <v>2</v>
      </c>
      <c r="D662" s="69"/>
      <c r="E662" s="31" t="s">
        <v>7525</v>
      </c>
      <c r="F662" s="37"/>
      <c r="G662" s="24"/>
      <c r="H662" s="53"/>
    </row>
    <row r="663" spans="1:8" ht="13.2">
      <c r="A663" s="69" t="s">
        <v>7535</v>
      </c>
      <c r="B663" s="37" t="s">
        <v>7527</v>
      </c>
      <c r="C663" s="24">
        <v>1</v>
      </c>
      <c r="D663" s="69"/>
      <c r="E663" s="31" t="s">
        <v>7525</v>
      </c>
      <c r="F663" s="37"/>
      <c r="G663" s="24"/>
      <c r="H663" s="53"/>
    </row>
    <row r="664" spans="1:8" ht="13.2">
      <c r="A664" s="69" t="s">
        <v>6666</v>
      </c>
      <c r="B664" s="20" t="s">
        <v>6667</v>
      </c>
      <c r="C664" s="21">
        <v>2</v>
      </c>
      <c r="D664" s="65" t="str">
        <f>HYPERLINK("https://github.com/dolphingarlic/CompetitiveProgramming/blob/master/COI/COCI%2020-emacs.cpp", "Sol")</f>
        <v>Sol</v>
      </c>
      <c r="E664" s="31" t="s">
        <v>332</v>
      </c>
      <c r="F664" s="37"/>
      <c r="G664" s="24"/>
      <c r="H664" s="53"/>
    </row>
    <row r="665" spans="1:8" ht="13.2">
      <c r="A665" s="69" t="s">
        <v>7371</v>
      </c>
      <c r="B665" s="20" t="s">
        <v>7372</v>
      </c>
      <c r="C665" s="17">
        <v>6.5</v>
      </c>
      <c r="D665" s="69"/>
      <c r="E665" s="31" t="s">
        <v>5643</v>
      </c>
      <c r="F665" s="37"/>
      <c r="G665" s="24"/>
      <c r="H665" s="53"/>
    </row>
    <row r="666" spans="1:8" ht="13.2">
      <c r="A666" s="69" t="s">
        <v>6662</v>
      </c>
      <c r="B666" s="20" t="s">
        <v>6663</v>
      </c>
      <c r="C666" s="17">
        <v>5</v>
      </c>
      <c r="D666" s="69"/>
      <c r="E666" s="31" t="s">
        <v>332</v>
      </c>
      <c r="F666" s="37"/>
      <c r="G666" s="24"/>
      <c r="H666" s="53"/>
    </row>
    <row r="667" spans="1:8" ht="13.2">
      <c r="A667" s="69" t="s">
        <v>7049</v>
      </c>
      <c r="B667" s="20" t="s">
        <v>7050</v>
      </c>
      <c r="C667" s="17">
        <v>2</v>
      </c>
      <c r="D667" s="69"/>
      <c r="E667" s="31" t="s">
        <v>2153</v>
      </c>
      <c r="F667" s="37"/>
      <c r="G667" s="24"/>
      <c r="H667" s="53"/>
    </row>
    <row r="668" spans="1:8" ht="13.2">
      <c r="A668" s="69" t="s">
        <v>7202</v>
      </c>
      <c r="B668" s="20" t="s">
        <v>7203</v>
      </c>
      <c r="C668" s="21">
        <v>4</v>
      </c>
      <c r="D668" s="65" t="str">
        <f>HYPERLINK("https://github.com/dolphingarlic/CompetitiveProgramming/blob/master/COI/COCI%2020-politicari.cpp", "Sol")</f>
        <v>Sol</v>
      </c>
      <c r="E668" s="31" t="s">
        <v>3650</v>
      </c>
      <c r="F668" s="37"/>
      <c r="G668" s="24"/>
      <c r="H668" s="53"/>
    </row>
    <row r="669" spans="1:8" ht="13.2">
      <c r="A669" s="69" t="s">
        <v>7293</v>
      </c>
      <c r="B669" s="20" t="s">
        <v>7294</v>
      </c>
      <c r="C669" s="21">
        <v>6.5</v>
      </c>
      <c r="D669" s="65" t="str">
        <f>HYPERLINK("https://github.com/dolphingarlic/CompetitiveProgramming/blob/master/COI/COCI%2020-putovanje.cpp", "Sol")</f>
        <v>Sol</v>
      </c>
      <c r="E669" s="31" t="s">
        <v>4454</v>
      </c>
      <c r="F669" s="37" t="s">
        <v>139</v>
      </c>
      <c r="G669" s="24"/>
      <c r="H669" s="53"/>
    </row>
    <row r="670" spans="1:8" ht="13.2">
      <c r="A670" s="69" t="s">
        <v>7536</v>
      </c>
      <c r="B670" s="37" t="s">
        <v>7527</v>
      </c>
      <c r="C670" s="24">
        <v>5</v>
      </c>
      <c r="D670" s="69"/>
      <c r="E670" s="31" t="s">
        <v>7525</v>
      </c>
      <c r="F670" s="37"/>
      <c r="G670" s="24"/>
      <c r="H670" s="53"/>
    </row>
    <row r="671" spans="1:8" ht="13.2">
      <c r="A671" s="69" t="s">
        <v>7362</v>
      </c>
      <c r="B671" s="20" t="s">
        <v>7363</v>
      </c>
      <c r="C671" s="17">
        <v>4</v>
      </c>
      <c r="D671" s="69"/>
      <c r="E671" s="31" t="s">
        <v>5414</v>
      </c>
      <c r="F671" s="37"/>
      <c r="G671" s="24"/>
      <c r="H671" s="53"/>
    </row>
    <row r="672" spans="1:8" ht="13.2">
      <c r="A672" s="69" t="s">
        <v>7537</v>
      </c>
      <c r="B672" s="37" t="s">
        <v>7527</v>
      </c>
      <c r="C672" s="24">
        <v>5</v>
      </c>
      <c r="D672" s="69"/>
      <c r="E672" s="31" t="s">
        <v>7525</v>
      </c>
      <c r="F672" s="37"/>
      <c r="G672" s="24"/>
      <c r="H672" s="53"/>
    </row>
    <row r="673" spans="1:8" ht="13.2">
      <c r="A673" s="69" t="s">
        <v>7321</v>
      </c>
      <c r="B673" s="20" t="s">
        <v>7322</v>
      </c>
      <c r="C673" s="21">
        <v>6</v>
      </c>
      <c r="D673" s="65" t="str">
        <f>HYPERLINK("https://github.com/dolphingarlic/CompetitiveProgramming/blob/master/COI/COCI%2020-zapina.cpp", "Sol")</f>
        <v>Sol</v>
      </c>
      <c r="E673" s="31" t="s">
        <v>4531</v>
      </c>
      <c r="F673" s="37"/>
      <c r="G673" s="24"/>
      <c r="H673" s="53"/>
    </row>
    <row r="674" spans="1:8" ht="13.2">
      <c r="A674" s="65" t="str">
        <f>HYPERLINK("https://dmoj.ca/problem/coi06p1", "COI 06-Patrik")</f>
        <v>COI 06-Patrik</v>
      </c>
      <c r="B674" s="20" t="s">
        <v>6696</v>
      </c>
      <c r="C674" s="21">
        <v>5.5</v>
      </c>
      <c r="D674" s="65" t="str">
        <f>HYPERLINK("https://github.com/mostafa-saad/MyCompetitiveProgramming/blob/master/Olympiad/COI/COI-06-Patrik.txt","Sol")</f>
        <v>Sol</v>
      </c>
      <c r="E674" s="31" t="s">
        <v>575</v>
      </c>
      <c r="F674" s="37" t="s">
        <v>139</v>
      </c>
      <c r="G674" s="24"/>
      <c r="H674" s="53"/>
    </row>
    <row r="675" spans="1:8" ht="13.2">
      <c r="A675" s="65" t="str">
        <f>HYPERLINK("https://dmoj.ca/problem/coi06p2", "COI 06-Policija")</f>
        <v>COI 06-Policija</v>
      </c>
      <c r="B675" s="20" t="s">
        <v>7282</v>
      </c>
      <c r="C675" s="21">
        <v>7</v>
      </c>
      <c r="D675" s="65" t="str">
        <f>HYPERLINK("https://github.com/timpostuvan/CompetitiveProgramming/blob/master/Olympiad/COI/Policija2006.cpp","Sol")</f>
        <v>Sol</v>
      </c>
      <c r="E675" s="31" t="s">
        <v>4411</v>
      </c>
      <c r="F675" s="37" t="s">
        <v>201</v>
      </c>
      <c r="G675" s="24"/>
      <c r="H675" s="53"/>
    </row>
    <row r="676" spans="1:8" ht="13.2">
      <c r="A676" s="65" t="str">
        <f>HYPERLINK("https://dmoj.ca/problem/coi06p3", "COI 06-Sabor")</f>
        <v>COI 06-Sabor</v>
      </c>
      <c r="B676" s="20" t="s">
        <v>3675</v>
      </c>
      <c r="C676" s="21">
        <v>6.75</v>
      </c>
      <c r="D676" s="65" t="str">
        <f>HYPERLINK("https://github.com/mostafa-saad/MyCompetitiveProgramming/tree/master/Olympiad/COCI/official/2007/olympiad_solutions","Editorial")</f>
        <v>Editorial</v>
      </c>
      <c r="E676" s="31" t="s">
        <v>3650</v>
      </c>
      <c r="F676" s="37"/>
      <c r="G676" s="24"/>
      <c r="H676" s="53"/>
    </row>
    <row r="677" spans="1:8" ht="13.2">
      <c r="A677" s="65" t="str">
        <f>HYPERLINK("https://wcipeg.com/problem/coi07p1","COI 07-Glasnici")</f>
        <v>COI 07-Glasnici</v>
      </c>
      <c r="B677" s="15" t="s">
        <v>814</v>
      </c>
      <c r="C677" s="24">
        <v>5</v>
      </c>
      <c r="D677" s="65" t="str">
        <f>HYPERLINK("https://github.com/mostafa-saad/MyCompetitiveProgramming/tree/master/Olympiad/COCI/official/2008/olympiad_solutions","Editorial")</f>
        <v>Editorial</v>
      </c>
      <c r="E677" s="31" t="s">
        <v>805</v>
      </c>
      <c r="F677" s="37" t="s">
        <v>139</v>
      </c>
      <c r="G677" s="24"/>
      <c r="H677" s="53"/>
    </row>
    <row r="678" spans="1:8" ht="13.2">
      <c r="A678" s="65" t="str">
        <f>HYPERLINK("https://wcipeg.com/problem/coi07p2","COI 07-Kolekcija")</f>
        <v>COI 07-Kolekcija</v>
      </c>
      <c r="B678" s="37" t="s">
        <v>7426</v>
      </c>
      <c r="C678" s="24">
        <v>6.3</v>
      </c>
      <c r="D678" s="65" t="str">
        <f>HYPERLINK("https://github.com/mostafa-saad/MyCompetitiveProgramming/blob/master/Olympiad/COI/COI_07-Kolekcija.txt","Sol")</f>
        <v>Sol</v>
      </c>
      <c r="E678" s="31" t="s">
        <v>6075</v>
      </c>
      <c r="F678" s="37" t="s">
        <v>196</v>
      </c>
      <c r="G678" s="24"/>
      <c r="H678" s="53"/>
    </row>
    <row r="679" spans="1:8" ht="13.2">
      <c r="A679" s="65" t="str">
        <f>HYPERLINK("https://wcipeg.com/problem/coi07p3","COI 07-Tamnica")</f>
        <v>COI 07-Tamnica</v>
      </c>
      <c r="B679" s="37" t="s">
        <v>7218</v>
      </c>
      <c r="C679" s="24">
        <v>5.75</v>
      </c>
      <c r="D679" s="65" t="str">
        <f>HYPERLINK("https://github.com/mostafa-saad/MyCompetitiveProgramming/blob/master/Olympiad/COI/COI-07-Tamnica.txt","Sol")</f>
        <v>Sol</v>
      </c>
      <c r="E679" s="31" t="s">
        <v>3784</v>
      </c>
      <c r="F679" s="37" t="s">
        <v>139</v>
      </c>
      <c r="G679" s="24"/>
      <c r="H679" s="53"/>
    </row>
    <row r="680" spans="1:8" ht="13.2">
      <c r="A680" s="65" t="str">
        <f>HYPERLINK("https://wcipeg.com/problem/coi07p4","COI 07-Umnozak")</f>
        <v>COI 07-Umnozak</v>
      </c>
      <c r="B680" s="37" t="s">
        <v>6122</v>
      </c>
      <c r="C680" s="24">
        <v>6.75</v>
      </c>
      <c r="D680" s="65" t="str">
        <f>HYPERLINK("https://github.com/mostafa-saad/MyCompetitiveProgramming/blob/master/Olympiad/COI/COI-07-Umnozak.txt","Sol")</f>
        <v>Sol</v>
      </c>
      <c r="E680" s="31" t="s">
        <v>6118</v>
      </c>
      <c r="F680" s="37" t="s">
        <v>154</v>
      </c>
      <c r="G680" s="24"/>
      <c r="H680" s="53"/>
    </row>
    <row r="681" spans="1:8" ht="13.2">
      <c r="A681" s="65" t="str">
        <f>HYPERLINK("https://wcipeg.com/problem/coci087p3","COI 08-Cijevi")</f>
        <v>COI 08-Cijevi</v>
      </c>
      <c r="B681" s="15" t="s">
        <v>7527</v>
      </c>
      <c r="C681" s="24">
        <v>2</v>
      </c>
      <c r="D681" s="65" t="str">
        <f>HYPERLINK("https://github.com/mostafa-saad/MyCompetitiveProgramming/blob/master/Olympiad/COCI/official/2009/regional_solutions","Editorial")</f>
        <v>Editorial</v>
      </c>
      <c r="E681" s="31" t="s">
        <v>7525</v>
      </c>
      <c r="F681" s="37"/>
      <c r="G681" s="24"/>
      <c r="H681" s="53"/>
    </row>
    <row r="682" spans="1:8" ht="13.2">
      <c r="A682" s="65" t="str">
        <f>HYPERLINK("https://wcipeg.com/problem/coci087p6","COI 08-Cvjetici")</f>
        <v>COI 08-Cvjetici</v>
      </c>
      <c r="B682" s="15" t="s">
        <v>6798</v>
      </c>
      <c r="C682" s="24">
        <v>5</v>
      </c>
      <c r="D682" s="65" t="str">
        <f>HYPERLINK("https://github.com/mostafa-saad/MyCompetitiveProgramming/blob/master/Olympiad/COI/COI-08-Cvjetici.txt","Sol")</f>
        <v>Sol</v>
      </c>
      <c r="E682" s="31" t="s">
        <v>1018</v>
      </c>
      <c r="F682" s="37"/>
      <c r="G682" s="24"/>
      <c r="H682" s="53"/>
    </row>
    <row r="683" spans="1:8" ht="13.2">
      <c r="A683" s="65" t="str">
        <f>HYPERLINK("https://wcipeg.com/problem/coi08p1","COI 08-Izbori")</f>
        <v>COI 08-Izbori</v>
      </c>
      <c r="B683" s="37" t="s">
        <v>1374</v>
      </c>
      <c r="C683" s="24">
        <v>6.8</v>
      </c>
      <c r="D683" s="65" t="str">
        <f>HYPERLINK("https://github.com/mostafa-saad/MyCompetitiveProgramming/blob/master/Olympiad/COI/COI-08-Izbori.txt","Sol")</f>
        <v>Sol</v>
      </c>
      <c r="E683" s="31" t="s">
        <v>1337</v>
      </c>
      <c r="F683" s="37" t="s">
        <v>139</v>
      </c>
      <c r="G683" s="24"/>
      <c r="H683" s="53"/>
    </row>
    <row r="684" spans="1:8" ht="13.2">
      <c r="A684" s="65" t="str">
        <f>HYPERLINK("https://wcipeg.com/problem/coci087p2","COI 08-Majstor")</f>
        <v>COI 08-Majstor</v>
      </c>
      <c r="B684" s="20" t="s">
        <v>6646</v>
      </c>
      <c r="C684" s="24">
        <v>1</v>
      </c>
      <c r="D684" s="65" t="str">
        <f t="shared" ref="D684:D685" si="20">HYPERLINK("https://github.com/mostafa-saad/MyCompetitiveProgramming/blob/master/Olympiad/COCI/official/2009/regional_solutions","Editorial")</f>
        <v>Editorial</v>
      </c>
      <c r="E684" s="31" t="s">
        <v>125</v>
      </c>
      <c r="F684" s="37"/>
      <c r="G684" s="24"/>
      <c r="H684" s="53"/>
    </row>
    <row r="685" spans="1:8" ht="13.2">
      <c r="A685" s="65" t="str">
        <f>HYPERLINK("https://wcipeg.com/problem/coci087p1","COI 08-Nop")</f>
        <v>COI 08-Nop</v>
      </c>
      <c r="B685" s="20" t="s">
        <v>6646</v>
      </c>
      <c r="C685" s="24">
        <v>1</v>
      </c>
      <c r="D685" s="65" t="str">
        <f t="shared" si="20"/>
        <v>Editorial</v>
      </c>
      <c r="E685" s="31" t="s">
        <v>125</v>
      </c>
      <c r="F685" s="37"/>
      <c r="G685" s="24"/>
      <c r="H685" s="53"/>
    </row>
    <row r="686" spans="1:8" ht="13.2">
      <c r="A686" s="65" t="str">
        <f>HYPERLINK("https://wcipeg.com/problem/coi08p2","COI 08-Otoci")</f>
        <v>COI 08-Otoci</v>
      </c>
      <c r="B686" s="15" t="s">
        <v>7692</v>
      </c>
      <c r="C686" s="24">
        <v>6.5</v>
      </c>
      <c r="D686" s="65" t="str">
        <f>HYPERLINK("https://github.com/mostafa-saad/MyCompetitiveProgramming/blob/master/Olympiad/COI/COI-08-Otoci.txt","Sol")</f>
        <v>Sol</v>
      </c>
      <c r="E686" s="31" t="s">
        <v>6311</v>
      </c>
      <c r="F686" s="37" t="s">
        <v>139</v>
      </c>
      <c r="G686" s="24"/>
      <c r="H686" s="53"/>
    </row>
    <row r="687" spans="1:8" ht="13.2">
      <c r="A687" s="65" t="str">
        <f>HYPERLINK("https://wcipeg.com/problem/coi08p3","COI 08-Plahte")</f>
        <v>COI 08-Plahte</v>
      </c>
      <c r="B687" s="37" t="s">
        <v>7398</v>
      </c>
      <c r="C687" s="24">
        <v>6.5</v>
      </c>
      <c r="D687" s="65" t="str">
        <f>HYPERLINK("https://github.com/mostafa-saad/MyCompetitiveProgramming/tree/master/Olympiad/COCI/official/2009/olympiad_solutions","Editorial")</f>
        <v>Editorial</v>
      </c>
      <c r="E687" s="31" t="s">
        <v>5958</v>
      </c>
      <c r="F687" s="37" t="s">
        <v>201</v>
      </c>
      <c r="G687" s="24"/>
      <c r="H687" s="53"/>
    </row>
    <row r="688" spans="1:8" ht="13.2">
      <c r="A688" s="65" t="str">
        <f>HYPERLINK("https://wcipeg.com/problem/coci087p5","COI 08-Reljef")</f>
        <v>COI 08-Reljef</v>
      </c>
      <c r="B688" s="15" t="s">
        <v>3649</v>
      </c>
      <c r="C688" s="24">
        <v>4.5</v>
      </c>
      <c r="D688" s="65" t="str">
        <f t="shared" ref="D688:D689" si="21">HYPERLINK("https://github.com/mostafa-saad/MyCompetitiveProgramming/blob/master/Olympiad/COCI/official/2009/regional_solutions","Editorial")</f>
        <v>Editorial</v>
      </c>
      <c r="E688" s="31" t="s">
        <v>3650</v>
      </c>
      <c r="F688" s="37" t="s">
        <v>201</v>
      </c>
      <c r="G688" s="24"/>
      <c r="H688" s="53"/>
    </row>
    <row r="689" spans="1:8" ht="13.2">
      <c r="A689" s="65" t="str">
        <f>HYPERLINK("https://wcipeg.com/problem/coci087p4","COI 08-Tablica")</f>
        <v>COI 08-Tablica</v>
      </c>
      <c r="B689" s="15" t="s">
        <v>7527</v>
      </c>
      <c r="C689" s="24">
        <v>5</v>
      </c>
      <c r="D689" s="65" t="str">
        <f t="shared" si="21"/>
        <v>Editorial</v>
      </c>
      <c r="E689" s="31" t="s">
        <v>7525</v>
      </c>
      <c r="F689" s="37"/>
      <c r="G689" s="24"/>
      <c r="H689" s="53"/>
    </row>
    <row r="690" spans="1:8" ht="13.2">
      <c r="A690" s="65" t="str">
        <f>HYPERLINK("https://wcipeg.com/problem/coi09p1","COI 09-Hrastovi")</f>
        <v>COI 09-Hrastovi</v>
      </c>
      <c r="B690" s="37" t="s">
        <v>7527</v>
      </c>
      <c r="C690" s="24">
        <v>5</v>
      </c>
      <c r="D690" s="65" t="str">
        <f>HYPERLINK("https://github.com/mostafa-saad/MyCompetitiveProgramming/blob/master/COI/official/2010","Editorial")</f>
        <v>Editorial</v>
      </c>
      <c r="E690" s="31" t="s">
        <v>7525</v>
      </c>
      <c r="F690" s="37"/>
      <c r="G690" s="24"/>
      <c r="H690" s="53"/>
    </row>
    <row r="691" spans="1:8" ht="13.2">
      <c r="A691" s="65" t="str">
        <f>HYPERLINK("https://wcipeg.com/problem/coi09p2","COI 09-Kolo")</f>
        <v>COI 09-Kolo</v>
      </c>
      <c r="B691" s="37" t="s">
        <v>7357</v>
      </c>
      <c r="C691" s="24">
        <v>6.5</v>
      </c>
      <c r="D691" s="65" t="str">
        <f>HYPERLINK("https://github.com/mostafa-saad/MyCompetitiveProgramming/blob/master/Olympiad/COI/COI-09-Kolo.txt","Sol")</f>
        <v>Sol</v>
      </c>
      <c r="E691" s="31" t="s">
        <v>5414</v>
      </c>
      <c r="F691" s="37" t="s">
        <v>139</v>
      </c>
      <c r="G691" s="24"/>
      <c r="H691" s="53"/>
    </row>
    <row r="692" spans="1:8" ht="13.2">
      <c r="A692" s="65" t="str">
        <f>HYPERLINK("https://wcipeg.com/problem/coi09p3","COI 09-Loza")</f>
        <v>COI 09-Loza</v>
      </c>
      <c r="B692" s="23" t="s">
        <v>6827</v>
      </c>
      <c r="C692" s="24">
        <v>7.25</v>
      </c>
      <c r="D692" s="65" t="str">
        <f>HYPERLINK("https://github.com/mostafa-saad/MyCompetitiveProgramming/blob/master/Olympiad/COI/COI-09-Loza.txt","Sol")</f>
        <v>Sol</v>
      </c>
      <c r="E692" s="31" t="s">
        <v>1337</v>
      </c>
      <c r="F692" s="37" t="s">
        <v>139</v>
      </c>
      <c r="G692" s="24"/>
      <c r="H692" s="53"/>
    </row>
    <row r="693" spans="1:8" ht="13.2">
      <c r="A693" s="65" t="str">
        <f>HYPERLINK("https://dunjudge.me/analysis/problems/543/","COI 10-kamion")</f>
        <v>COI 10-kamion</v>
      </c>
      <c r="B693" s="20" t="s">
        <v>1348</v>
      </c>
      <c r="C693" s="24">
        <v>7</v>
      </c>
      <c r="D693" s="65" t="str">
        <f>HYPERLINK("https://github.com/mostafa-saad/MyCompetitiveProgramming/blob/master/Olympiad/COI/COI-10-kamion.txt","Sol")</f>
        <v>Sol</v>
      </c>
      <c r="E693" s="31" t="s">
        <v>1337</v>
      </c>
      <c r="F693" s="37"/>
      <c r="G693" s="24"/>
      <c r="H693" s="53"/>
    </row>
    <row r="694" spans="1:8" ht="13.2">
      <c r="A694" s="65" t="str">
        <f>HYPERLINK("https://oj.uz/problem/view/COI14_css","COI 14-css")</f>
        <v>COI 14-css</v>
      </c>
      <c r="B694" s="20" t="s">
        <v>6603</v>
      </c>
      <c r="C694" s="24">
        <v>6.5</v>
      </c>
      <c r="D694" s="69"/>
      <c r="E694" s="31" t="s">
        <v>125</v>
      </c>
      <c r="F694" s="37"/>
      <c r="G694" s="24"/>
      <c r="H694" s="53"/>
    </row>
    <row r="695" spans="1:8" ht="13.2">
      <c r="A695" s="65" t="str">
        <f>HYPERLINK("https://oj.uz/problem/view/COI14_grad","COI 14-grad")</f>
        <v>COI 14-grad</v>
      </c>
      <c r="B695" s="20" t="s">
        <v>7693</v>
      </c>
      <c r="C695" s="21">
        <v>7.75</v>
      </c>
      <c r="D695" s="65" t="str">
        <f>HYPERLINK("https://github.com/mostafa-saad/MyCompetitiveProgramming/tree/master/Olympiad/COI/official/2014","Editorial")</f>
        <v>Editorial</v>
      </c>
      <c r="E695" s="31" t="s">
        <v>4454</v>
      </c>
      <c r="F695" s="37" t="s">
        <v>154</v>
      </c>
      <c r="G695" s="24"/>
      <c r="H695" s="53"/>
    </row>
    <row r="696" spans="1:8" ht="13.2">
      <c r="A696" s="65" t="str">
        <f>HYPERLINK("https://oj.uz/problem/view/COI14_gta","COI 14-gta")</f>
        <v>COI 14-gta</v>
      </c>
      <c r="B696" s="20" t="s">
        <v>6572</v>
      </c>
      <c r="C696" s="24">
        <v>7.1</v>
      </c>
      <c r="D696" s="65" t="str">
        <f>HYPERLINK("https://github.com/mostafa-saad/MyCompetitiveProgramming/blob/master/Olympiad/COI/COI-14-gta.txt","Sol")</f>
        <v>Sol</v>
      </c>
      <c r="E696" s="31" t="s">
        <v>125</v>
      </c>
      <c r="F696" s="37" t="s">
        <v>154</v>
      </c>
      <c r="G696" s="24"/>
      <c r="H696" s="53"/>
    </row>
    <row r="697" spans="1:8" ht="13.2">
      <c r="A697" s="65" t="str">
        <f>HYPERLINK("https://oj.uz/problem/view/COI14_kosta","COI 14-kosta")</f>
        <v>COI 14-kosta</v>
      </c>
      <c r="B697" s="20" t="s">
        <v>6684</v>
      </c>
      <c r="C697" s="24">
        <v>6.5</v>
      </c>
      <c r="D697" s="65" t="str">
        <f>HYPERLINK("https://github.com/mostafa-saad/MyCompetitiveProgramming/tree/master/Olympiad/COI/official/2014","Editorial")</f>
        <v>Editorial</v>
      </c>
      <c r="E697" s="31" t="s">
        <v>575</v>
      </c>
      <c r="F697" s="37"/>
      <c r="G697" s="24"/>
      <c r="H697" s="53"/>
    </row>
    <row r="698" spans="1:8" ht="13.2">
      <c r="A698" s="65" t="str">
        <f>HYPERLINK("https://oj.uz/problem/view/COI14_krave","COI 14-krave")</f>
        <v>COI 14-krave</v>
      </c>
      <c r="B698" s="20" t="s">
        <v>6776</v>
      </c>
      <c r="C698" s="24">
        <v>6.3</v>
      </c>
      <c r="D698" s="65" t="str">
        <f>HYPERLINK("https://github.com/mostafa-saad/MyCompetitiveProgramming/blob/master/Olympiad/COI/COI-14-krave.txt","Sol")</f>
        <v>Sol</v>
      </c>
      <c r="E698" s="31" t="s">
        <v>1018</v>
      </c>
      <c r="F698" s="37" t="s">
        <v>139</v>
      </c>
      <c r="G698" s="24"/>
      <c r="H698" s="53"/>
    </row>
    <row r="699" spans="1:8" ht="13.2">
      <c r="A699" s="65" t="str">
        <f>HYPERLINK("https://oj.uz/problem/view/COI14_mostovi","COI 14-mostovi")</f>
        <v>COI 14-mostovi</v>
      </c>
      <c r="B699" s="20" t="s">
        <v>7141</v>
      </c>
      <c r="C699" s="24">
        <v>6.3</v>
      </c>
      <c r="D699" s="65" t="str">
        <f t="shared" ref="D699:D700" si="22">HYPERLINK("https://github.com/mostafa-saad/MyCompetitiveProgramming/tree/master/Olympiad/COI/official/2014","Editorial")</f>
        <v>Editorial</v>
      </c>
      <c r="E699" s="31" t="s">
        <v>3257</v>
      </c>
      <c r="F699" s="37" t="s">
        <v>201</v>
      </c>
      <c r="G699" s="24"/>
      <c r="H699" s="53"/>
    </row>
    <row r="700" spans="1:8" ht="13.2">
      <c r="A700" s="65" t="str">
        <f>HYPERLINK("https://oj.uz/problem/view/COI14_nizovi","COI 14-nizovi")</f>
        <v>COI 14-nizovi</v>
      </c>
      <c r="B700" s="20" t="s">
        <v>7538</v>
      </c>
      <c r="C700" s="24">
        <v>4</v>
      </c>
      <c r="D700" s="65" t="str">
        <f t="shared" si="22"/>
        <v>Editorial</v>
      </c>
      <c r="E700" s="31" t="s">
        <v>7525</v>
      </c>
      <c r="F700" s="37"/>
      <c r="G700" s="24"/>
      <c r="H700" s="53"/>
    </row>
    <row r="701" spans="1:8" ht="13.2">
      <c r="A701" s="65" t="str">
        <f>HYPERLINK("https://oj.uz/problem/view/COI15_cvenk","COI 15-cvenk")</f>
        <v>COI 15-cvenk</v>
      </c>
      <c r="B701" s="20" t="s">
        <v>7122</v>
      </c>
      <c r="C701" s="24">
        <v>7</v>
      </c>
      <c r="D701" s="65" t="str">
        <f>HYPERLINK("https://github.com/mostafa-saad/MyCompetitiveProgramming/blob/master/Olympiad/COI/COI-15-cvenk.txt","Sol")</f>
        <v>Sol</v>
      </c>
      <c r="E701" s="31" t="s">
        <v>3257</v>
      </c>
      <c r="F701" s="37" t="s">
        <v>154</v>
      </c>
      <c r="G701" s="24"/>
      <c r="H701" s="53"/>
    </row>
    <row r="702" spans="1:8" ht="13.2">
      <c r="A702" s="65" t="str">
        <f>HYPERLINK("https://oj.uz/problem/view/COI15_dostava","COI 15-dostava")</f>
        <v>COI 15-dostava</v>
      </c>
      <c r="B702" s="74" t="s">
        <v>7694</v>
      </c>
      <c r="C702" s="66">
        <v>6.25</v>
      </c>
      <c r="D702" s="65" t="str">
        <f>HYPERLINK("https://github.com/mostafa-saad/MyCompetitiveProgramming/tree/master/Olympiad/COI/official/2015","Editorial")</f>
        <v>Editorial</v>
      </c>
      <c r="E702" s="31" t="s">
        <v>1018</v>
      </c>
      <c r="F702" s="37"/>
      <c r="G702" s="24"/>
      <c r="H702" s="53"/>
    </row>
    <row r="703" spans="1:8" ht="13.2">
      <c r="A703" s="65" t="str">
        <f>HYPERLINK("https://oj.uz/problem/view/COI15_kovanice","COI 15-kovanice")</f>
        <v>COI 15-kovanice</v>
      </c>
      <c r="B703" s="20" t="s">
        <v>6912</v>
      </c>
      <c r="C703" s="24">
        <v>5.5</v>
      </c>
      <c r="D703" s="65" t="str">
        <f>HYPERLINK("https://github.com/tmwilliamlin168/CompetitiveProgramming/blob/master/COI/15-Koviance.cpp","Sol")</f>
        <v>Sol</v>
      </c>
      <c r="E703" s="31" t="s">
        <v>1337</v>
      </c>
      <c r="F703" s="37"/>
      <c r="G703" s="24"/>
      <c r="H703" s="53"/>
    </row>
    <row r="704" spans="1:8" ht="13.2">
      <c r="A704" s="65" t="str">
        <f>HYPERLINK("https://oj.uz/problem/view/COI15_nafta","COI 15-nafta")</f>
        <v>COI 15-nafta</v>
      </c>
      <c r="B704" s="20" t="s">
        <v>6100</v>
      </c>
      <c r="C704" s="24">
        <v>6.75</v>
      </c>
      <c r="D704" s="65" t="str">
        <f>HYPERLINK("https://github.com/mostafa-saad/MyCompetitiveProgramming/blob/master/Olympiad/COI/COI-15-nafta.txt","Sol")</f>
        <v>Sol</v>
      </c>
      <c r="E704" s="31" t="s">
        <v>6098</v>
      </c>
      <c r="F704" s="37" t="s">
        <v>139</v>
      </c>
      <c r="G704" s="24"/>
      <c r="H704" s="53"/>
    </row>
    <row r="705" spans="1:8" ht="13.2">
      <c r="A705" s="65" t="str">
        <f>HYPERLINK("https://oj.uz/problem/view/COI15_ogledala","COI 15-ogledala")</f>
        <v>COI 15-ogledala</v>
      </c>
      <c r="B705" s="20" t="s">
        <v>6674</v>
      </c>
      <c r="C705" s="24">
        <v>7</v>
      </c>
      <c r="D705" s="65" t="str">
        <f>HYPERLINK("https://github.com/mostafa-saad/MyCompetitiveProgramming/tree/master/Olympiad/COI/official/2015","Editorial")</f>
        <v>Editorial</v>
      </c>
      <c r="E705" s="31" t="s">
        <v>575</v>
      </c>
      <c r="F705" s="37" t="s">
        <v>201</v>
      </c>
      <c r="G705" s="24"/>
      <c r="H705" s="53"/>
    </row>
    <row r="706" spans="1:8" ht="13.2">
      <c r="A706" s="65" t="str">
        <f>HYPERLINK("https://oj.uz/problem/view/COI15_ruka","COI 15-ruka")</f>
        <v>COI 15-ruka</v>
      </c>
      <c r="B706" s="20" t="s">
        <v>7695</v>
      </c>
      <c r="C706" s="17">
        <v>6.7</v>
      </c>
      <c r="D706" s="65" t="str">
        <f>HYPERLINK("https://github.com/mostafa-saad/MyCompetitiveProgramming/blob/master/Olympiad/COI/COI-15-ruka.txt","Sol")</f>
        <v>Sol</v>
      </c>
      <c r="E706" s="31" t="s">
        <v>1223</v>
      </c>
      <c r="F706" s="37" t="s">
        <v>154</v>
      </c>
      <c r="G706" s="24"/>
      <c r="H706" s="53"/>
    </row>
    <row r="707" spans="1:8" ht="13.2">
      <c r="A707" s="65" t="str">
        <f>HYPERLINK("https://oj.uz/problem/view/COI15_sir","COI 15-sir")</f>
        <v>COI 15-sir</v>
      </c>
      <c r="B707" s="20" t="s">
        <v>3073</v>
      </c>
      <c r="C707" s="24">
        <v>6.5</v>
      </c>
      <c r="D707" s="65" t="str">
        <f>HYPERLINK("https://github.com/mostafa-saad/MyCompetitiveProgramming/tree/master/Olympiad/COI/official/2015","Editorial")</f>
        <v>Editorial</v>
      </c>
      <c r="E707" s="31" t="s">
        <v>3065</v>
      </c>
      <c r="F707" s="37"/>
      <c r="G707" s="24"/>
      <c r="H707" s="53"/>
    </row>
    <row r="708" spans="1:8" ht="13.2">
      <c r="A708" s="65" t="str">
        <f>HYPERLINK("https://oj.uz/problem/view/COI15_zarulje","COI 15-zarulje")</f>
        <v>COI 15-zarulje</v>
      </c>
      <c r="B708" s="20" t="s">
        <v>7365</v>
      </c>
      <c r="C708" s="24">
        <v>6.8</v>
      </c>
      <c r="D708" s="65" t="str">
        <f>HYPERLINK("https://github.com/mostafa-saad/MyCompetitiveProgramming/blob/master/Olympiad/COI/COI-15-zarulje.txt","Sol")</f>
        <v>Sol</v>
      </c>
      <c r="E708" s="31" t="s">
        <v>5524</v>
      </c>
      <c r="F708" s="37" t="s">
        <v>154</v>
      </c>
      <c r="G708" s="24"/>
      <c r="H708" s="53"/>
    </row>
    <row r="709" spans="1:8" ht="13.2">
      <c r="A709" s="65" t="str">
        <f>HYPERLINK("https://oj.uz/problem/view/COI16_dijament","COI 16-dijament")</f>
        <v>COI 16-dijament</v>
      </c>
      <c r="B709" s="20" t="s">
        <v>7161</v>
      </c>
      <c r="C709" s="24">
        <v>5</v>
      </c>
      <c r="D709" s="65" t="str">
        <f>HYPERLINK("https://github.com/mostafa-saad/MyCompetitiveProgramming/tree/master/Olympiad/COI/official/2016","Editorial")</f>
        <v>Editorial</v>
      </c>
      <c r="E709" s="31" t="s">
        <v>3257</v>
      </c>
      <c r="F709" s="37" t="s">
        <v>201</v>
      </c>
      <c r="G709" s="24"/>
      <c r="H709" s="53"/>
    </row>
    <row r="710" spans="1:8" ht="13.2">
      <c r="A710" s="65" t="str">
        <f>HYPERLINK("https://oj.uz/problem/view/COI16_palinilap","COI 16-palinilap")</f>
        <v>COI 16-palinilap</v>
      </c>
      <c r="B710" s="20" t="s">
        <v>7516</v>
      </c>
      <c r="C710" s="24">
        <v>7.2</v>
      </c>
      <c r="D710" s="65" t="str">
        <f>HYPERLINK("https://github.com/mostafa-saad/MyCompetitiveProgramming/blob/master/Olympiad/COI/COI-16-palinilap.txt","Sol")</f>
        <v>Sol</v>
      </c>
      <c r="E710" s="31" t="s">
        <v>6505</v>
      </c>
      <c r="F710" s="37" t="s">
        <v>139</v>
      </c>
      <c r="G710" s="24"/>
      <c r="H710" s="53"/>
    </row>
    <row r="711" spans="1:8" ht="13.2">
      <c r="A711" s="65" t="str">
        <f>HYPERLINK("https://oj.uz/problem/view/COI16_relay","COI 16-relay")</f>
        <v>COI 16-relay</v>
      </c>
      <c r="B711" s="20" t="s">
        <v>7093</v>
      </c>
      <c r="C711" s="24">
        <v>6.5</v>
      </c>
      <c r="D711" s="65" t="str">
        <f>HYPERLINK("https://github.com/mostafa-saad/MyCompetitiveProgramming/blob/master/Olympiad/COI/COI-16-relay.txt","Sol")</f>
        <v>Sol</v>
      </c>
      <c r="E711" s="31" t="s">
        <v>2948</v>
      </c>
      <c r="F711" s="37"/>
      <c r="G711" s="24"/>
      <c r="H711" s="53"/>
    </row>
    <row r="712" spans="1:8" ht="13.2">
      <c r="A712" s="65" t="str">
        <f>HYPERLINK("https://oj.uz/problem/view/COI16_torrent","COI 16-torrent")</f>
        <v>COI 16-torrent</v>
      </c>
      <c r="B712" s="20" t="s">
        <v>6721</v>
      </c>
      <c r="C712" s="24">
        <v>6.3</v>
      </c>
      <c r="D712" s="65" t="str">
        <f>HYPERLINK("https://github.com/mostafa-saad/MyCompetitiveProgramming/blob/master/Olympiad/COI/COI-16-torrent.txt","Sol")</f>
        <v>Sol</v>
      </c>
      <c r="E712" s="31" t="s">
        <v>805</v>
      </c>
      <c r="F712" s="37" t="s">
        <v>139</v>
      </c>
      <c r="G712" s="24"/>
      <c r="H712" s="53"/>
    </row>
    <row r="713" spans="1:8" ht="13.2">
      <c r="A713" s="65" t="str">
        <f>HYPERLINK("https://oj.uz/problem/view/COI17_ili","COI 17-ili")</f>
        <v>COI 17-ili</v>
      </c>
      <c r="B713" s="20" t="s">
        <v>7146</v>
      </c>
      <c r="C713" s="24">
        <v>6.25</v>
      </c>
      <c r="D713" s="65" t="str">
        <f>HYPERLINK("https://github.com/mostafa-saad/MyCompetitiveProgramming/blob/master/Olympiad/COI/COI 17-ili.txt","Sol")</f>
        <v>Sol</v>
      </c>
      <c r="E713" s="31" t="s">
        <v>3257</v>
      </c>
      <c r="F713" s="37" t="s">
        <v>139</v>
      </c>
      <c r="G713" s="24"/>
      <c r="H713" s="53"/>
    </row>
    <row r="714" spans="1:8" ht="13.2">
      <c r="A714" s="65" t="str">
        <f>HYPERLINK("https://oj.uz/problem/view/COI17_raspad","COI 17-raspad")</f>
        <v>COI 17-raspad</v>
      </c>
      <c r="B714" s="20" t="s">
        <v>7539</v>
      </c>
      <c r="C714" s="24">
        <v>7</v>
      </c>
      <c r="D714" s="69"/>
      <c r="E714" s="31" t="s">
        <v>7525</v>
      </c>
      <c r="F714" s="37"/>
      <c r="G714" s="24"/>
      <c r="H714" s="53"/>
    </row>
    <row r="715" spans="1:8" ht="13.2">
      <c r="A715" s="65" t="str">
        <f>HYPERLINK("https://oj.uz/problem/view/COI17_trapezi","COI 17-trapezi")</f>
        <v>COI 17-trapezi</v>
      </c>
      <c r="B715" s="20" t="s">
        <v>6823</v>
      </c>
      <c r="C715" s="24">
        <v>7.75</v>
      </c>
      <c r="D715" s="65" t="str">
        <f>HYPERLINK("https://codeforces.com/blog/entry/51198","Sol by ko_osaga")</f>
        <v>Sol by ko_osaga</v>
      </c>
      <c r="E715" s="31" t="s">
        <v>1337</v>
      </c>
      <c r="F715" s="37"/>
      <c r="G715" s="24"/>
      <c r="H715" s="53"/>
    </row>
    <row r="716" spans="1:8" ht="13.2">
      <c r="A716" s="65" t="str">
        <f>HYPERLINK("https://oj.uz/problem/view/COI17_zagrade","COI 17-zagrade")</f>
        <v>COI 17-zagrade</v>
      </c>
      <c r="B716" s="20" t="s">
        <v>7453</v>
      </c>
      <c r="C716" s="24">
        <v>6.25</v>
      </c>
      <c r="D716" s="65" t="str">
        <f>HYPERLINK("https://github.com/mostafa-saad/MyCompetitiveProgramming/blob/master/Olympiad/COI/COI-17-zagrade.txt","Sol")</f>
        <v>Sol</v>
      </c>
      <c r="E716" s="31" t="s">
        <v>6345</v>
      </c>
      <c r="F716" s="37"/>
      <c r="G716" s="24"/>
      <c r="H716" s="53"/>
    </row>
    <row r="717" spans="1:8" ht="13.2">
      <c r="A717" s="65" t="str">
        <f>HYPERLINK("https://oj.uz/problem/view/COI18_paprike","COI 18-paprike")</f>
        <v>COI 18-paprike</v>
      </c>
      <c r="B717" s="20" t="s">
        <v>2181</v>
      </c>
      <c r="C717" s="24">
        <v>5.5</v>
      </c>
      <c r="D717" s="69"/>
      <c r="E717" s="31" t="s">
        <v>2153</v>
      </c>
      <c r="F717" s="37" t="s">
        <v>201</v>
      </c>
      <c r="G717" s="24"/>
      <c r="H717" s="53"/>
    </row>
    <row r="718" spans="1:8" ht="13.2">
      <c r="A718" s="65" t="str">
        <f>HYPERLINK("https://oj.uz/problem/view/COI18_pick","COI 18-pick")</f>
        <v>COI 18-pick</v>
      </c>
      <c r="B718" s="20" t="s">
        <v>6604</v>
      </c>
      <c r="C718" s="24">
        <v>6.5</v>
      </c>
      <c r="D718" s="69"/>
      <c r="E718" s="31" t="s">
        <v>125</v>
      </c>
      <c r="F718" s="37"/>
      <c r="G718" s="24"/>
      <c r="H718" s="53"/>
    </row>
    <row r="719" spans="1:8" ht="13.2">
      <c r="A719" s="65" t="str">
        <f>HYPERLINK("https://oj.uz/problem/view/COI18_svjetlost","COI 18-svjetlost")</f>
        <v>COI 18-svjetlost</v>
      </c>
      <c r="B719" s="20" t="s">
        <v>6754</v>
      </c>
      <c r="C719" s="24">
        <v>7.25</v>
      </c>
      <c r="D719" s="69"/>
      <c r="E719" s="31" t="s">
        <v>1018</v>
      </c>
      <c r="F719" s="37"/>
      <c r="G719" s="24"/>
      <c r="H719" s="53"/>
    </row>
    <row r="720" spans="1:8" ht="13.2">
      <c r="A720" s="65" t="str">
        <f>HYPERLINK("https://oj.uz/problem/view/COI18_zagonetka","COI 18-zagonetka")</f>
        <v>COI 18-zagonetka</v>
      </c>
      <c r="B720" s="20" t="s">
        <v>3340</v>
      </c>
      <c r="C720" s="24">
        <v>7.25</v>
      </c>
      <c r="D720" s="69"/>
      <c r="E720" s="31" t="s">
        <v>3257</v>
      </c>
      <c r="F720" s="37"/>
      <c r="G720" s="24"/>
      <c r="H720" s="53"/>
    </row>
    <row r="721" spans="1:8" ht="13.2">
      <c r="A721" s="65" t="str">
        <f>HYPERLINK("https://oj.uz/problem/view/COI19_izlet","COI 19-izlet")</f>
        <v>COI 19-izlet</v>
      </c>
      <c r="B721" s="37" t="s">
        <v>7129</v>
      </c>
      <c r="C721" s="24">
        <v>6.8</v>
      </c>
      <c r="D721" s="65" t="str">
        <f>HYPERLINK("https://codeforces.com/blog/entry/66506","Editorial")</f>
        <v>Editorial</v>
      </c>
      <c r="E721" s="31" t="s">
        <v>3257</v>
      </c>
      <c r="F721" s="37" t="s">
        <v>139</v>
      </c>
      <c r="G721" s="24"/>
      <c r="H721" s="53"/>
    </row>
    <row r="722" spans="1:8" ht="13.2">
      <c r="A722" s="69" t="s">
        <v>6887</v>
      </c>
      <c r="B722" s="20" t="s">
        <v>6888</v>
      </c>
      <c r="C722" s="21">
        <v>6</v>
      </c>
      <c r="D722" s="65" t="str">
        <f>HYPERLINK("https://github.com/win11905/submission/blob/master/COI/19/ljepotica.cpp","Sol")</f>
        <v>Sol</v>
      </c>
      <c r="E722" s="31" t="s">
        <v>1337</v>
      </c>
      <c r="F722" s="37" t="s">
        <v>139</v>
      </c>
      <c r="G722" s="24"/>
      <c r="H722" s="53"/>
    </row>
    <row r="723" spans="1:8" ht="13.2">
      <c r="A723" s="65" t="str">
        <f>HYPERLINK("https://oj.uz/problem/view/COI19_ljetopica","COI 19-ljetopica")</f>
        <v>COI 19-ljetopica</v>
      </c>
      <c r="B723" s="37" t="s">
        <v>6876</v>
      </c>
      <c r="C723" s="24">
        <v>6.25</v>
      </c>
      <c r="D723" s="65" t="str">
        <f>HYPERLINK("https://github.com/mostafa-saad/MyCompetitiveProgramming/blob/master/Olympiad/COI/COI-19-ljetopica.txt","Sol")</f>
        <v>Sol</v>
      </c>
      <c r="E723" s="31" t="s">
        <v>1337</v>
      </c>
      <c r="F723" s="37" t="s">
        <v>201</v>
      </c>
      <c r="G723" s="24"/>
      <c r="H723" s="53"/>
    </row>
    <row r="724" spans="1:8" ht="13.2">
      <c r="A724" s="65" t="str">
        <f>HYPERLINK("https://oj.uz/problem/view/COI19_segway","COI 19-segway")</f>
        <v>COI 19-segway</v>
      </c>
      <c r="B724" s="37" t="s">
        <v>502</v>
      </c>
      <c r="C724" s="24">
        <v>5.5</v>
      </c>
      <c r="D724" s="65" t="str">
        <f>HYPERLINK("https://github.com/mostafa-saad/MyCompetitiveProgramming/blob/master/Olympiad/COI/COI-19-segway.txt","Sol")</f>
        <v>Sol</v>
      </c>
      <c r="E724" s="31" t="s">
        <v>503</v>
      </c>
      <c r="F724" s="37" t="s">
        <v>139</v>
      </c>
      <c r="G724" s="24"/>
      <c r="H724" s="53"/>
    </row>
    <row r="725" spans="1:8" ht="13.2">
      <c r="A725" s="65" t="str">
        <f>HYPERLINK("https://oj.uz/problem/view/COI19_tenis","COI 19-tenis")</f>
        <v>COI 19-tenis</v>
      </c>
      <c r="B725" s="37" t="s">
        <v>6769</v>
      </c>
      <c r="C725" s="24">
        <v>6.7</v>
      </c>
      <c r="D725" s="65" t="str">
        <f>HYPERLINK("https://github.com/mostafa-saad/MyCompetitiveProgramming/blob/master/Olympiad/COI/COI-19-tenis.txt","Sol")</f>
        <v>Sol</v>
      </c>
      <c r="E725" s="31" t="s">
        <v>1018</v>
      </c>
      <c r="F725" s="37" t="s">
        <v>154</v>
      </c>
      <c r="G725" s="24"/>
      <c r="H725" s="53"/>
    </row>
    <row r="726" spans="1:8" ht="13.2">
      <c r="A726" s="65" t="str">
        <f>HYPERLINK("https://csacademy.com/contest/archive/task/circuits/","CSA circuits")</f>
        <v>CSA circuits</v>
      </c>
      <c r="B726" s="37" t="s">
        <v>1902</v>
      </c>
      <c r="C726" s="24">
        <v>5.5</v>
      </c>
      <c r="D726" s="65" t="str">
        <f>HYPERLINK("https://gist.github.com/luciocf/a551e013ef15b77288ff4786276d2dee","Sol")</f>
        <v>Sol</v>
      </c>
      <c r="E726" s="31" t="s">
        <v>1819</v>
      </c>
      <c r="F726" s="37" t="s">
        <v>139</v>
      </c>
      <c r="G726" s="24"/>
      <c r="H726" s="53"/>
    </row>
    <row r="727" spans="1:8" ht="13.2">
      <c r="A727" s="65" t="str">
        <f>HYPERLINK("https://cses.fi/problemset/task/1112/","CSES 1112")</f>
        <v>CSES 1112</v>
      </c>
      <c r="B727" s="23" t="s">
        <v>6897</v>
      </c>
      <c r="C727" s="24">
        <v>5.75</v>
      </c>
      <c r="D727" s="65" t="str">
        <f>HYPERLINK("https://github.com/nya-nya-meow/CompetitiveProgramming/blob/master/CSES/CSES%201112%20-%20Substrings.cpp","Sol")</f>
        <v>Sol</v>
      </c>
      <c r="E727" s="31" t="s">
        <v>1337</v>
      </c>
      <c r="F727" s="37" t="s">
        <v>139</v>
      </c>
      <c r="G727" s="24"/>
      <c r="H727" s="53"/>
    </row>
    <row r="728" spans="1:8" ht="13.2">
      <c r="A728" s="65" t="str">
        <f>HYPERLINK("https://cses.fi/problemset/task/1654","CSES 1654")</f>
        <v>CSES 1654</v>
      </c>
      <c r="B728" s="37" t="s">
        <v>6444</v>
      </c>
      <c r="C728" s="24">
        <v>5.5</v>
      </c>
      <c r="D728" s="65" t="str">
        <f>HYPERLINK("https://github.com/nikolapesic2802/Programming-Practice/blob/master/Bit%20problem/main.cpp","Sol")</f>
        <v>Sol</v>
      </c>
      <c r="E728" s="31" t="s">
        <v>6441</v>
      </c>
      <c r="F728" s="37" t="s">
        <v>139</v>
      </c>
      <c r="G728" s="24"/>
      <c r="H728" s="53"/>
    </row>
    <row r="729" spans="1:8" ht="13.2">
      <c r="A729" s="65" t="str">
        <f>HYPERLINK("https://cses.fi/231/task/B","Datatähti Open19-B")</f>
        <v>Datatähti Open19-B</v>
      </c>
      <c r="B729" s="20" t="s">
        <v>245</v>
      </c>
      <c r="C729" s="24">
        <v>3</v>
      </c>
      <c r="D729" s="69"/>
      <c r="E729" s="31" t="s">
        <v>125</v>
      </c>
      <c r="F729" s="37"/>
      <c r="G729" s="24"/>
      <c r="H729" s="53"/>
    </row>
    <row r="730" spans="1:8" ht="13.2">
      <c r="A730" s="65" t="str">
        <f>HYPERLINK("https://cses.fi/231/task/C","Datatähti Open19-C")</f>
        <v>Datatähti Open19-C</v>
      </c>
      <c r="B730" s="20" t="s">
        <v>6818</v>
      </c>
      <c r="C730" s="24">
        <v>5</v>
      </c>
      <c r="D730" s="69"/>
      <c r="E730" s="31" t="s">
        <v>1223</v>
      </c>
      <c r="F730" s="37" t="s">
        <v>139</v>
      </c>
      <c r="G730" s="24"/>
      <c r="H730" s="53"/>
    </row>
    <row r="731" spans="1:8" ht="13.2">
      <c r="A731" s="65" t="str">
        <f>HYPERLINK("https://cses.fi/231/task/D","Datatähti Open19-D")</f>
        <v>Datatähti Open19-D</v>
      </c>
      <c r="B731" s="20" t="s">
        <v>7342</v>
      </c>
      <c r="C731" s="24">
        <v>5.25</v>
      </c>
      <c r="D731" s="69"/>
      <c r="E731" s="31" t="s">
        <v>4958</v>
      </c>
      <c r="F731" s="37" t="s">
        <v>139</v>
      </c>
      <c r="G731" s="24"/>
      <c r="H731" s="53"/>
    </row>
    <row r="732" spans="1:8" ht="13.2">
      <c r="A732" s="65" t="str">
        <f>HYPERLINK("https://cses.fi/231/task/A","DatatähtiOpen 19-A")</f>
        <v>DatatähtiOpen 19-A</v>
      </c>
      <c r="B732" s="20" t="s">
        <v>341</v>
      </c>
      <c r="C732" s="24">
        <v>2</v>
      </c>
      <c r="D732" s="69"/>
      <c r="E732" s="31" t="s">
        <v>332</v>
      </c>
      <c r="F732" s="37"/>
      <c r="G732" s="24"/>
      <c r="H732" s="53"/>
    </row>
    <row r="733" spans="1:8" ht="13.2">
      <c r="A733" s="65" t="str">
        <f>HYPERLINK("https://dmoj.ca/problem/ccoprep4p3","dmoj ccoprep4p3")</f>
        <v>dmoj ccoprep4p3</v>
      </c>
      <c r="B733" s="23" t="s">
        <v>7261</v>
      </c>
      <c r="C733" s="24">
        <v>7.5</v>
      </c>
      <c r="D733" s="65" t="str">
        <f>HYPERLINK("https://github.com/tsouza0/CompetitiveProgramming/blob/master/Olympiads/Canada/cco/ccoprep4/p3.cpp","Sol")</f>
        <v>Sol</v>
      </c>
      <c r="E733" s="31" t="s">
        <v>4275</v>
      </c>
      <c r="F733" s="37" t="s">
        <v>201</v>
      </c>
      <c r="G733" s="24"/>
      <c r="H733" s="53"/>
    </row>
    <row r="734" spans="1:8" ht="13.2">
      <c r="A734" s="65" t="str">
        <f>HYPERLINK("https://dmoj.ca/problem/ccoprep16q1","Dmoj City_Game")</f>
        <v>Dmoj City_Game</v>
      </c>
      <c r="B734" s="37" t="s">
        <v>1348</v>
      </c>
      <c r="C734" s="24">
        <v>5</v>
      </c>
      <c r="D734" s="69"/>
      <c r="E734" s="31" t="s">
        <v>1337</v>
      </c>
      <c r="F734" s="37"/>
      <c r="G734" s="24"/>
      <c r="H734" s="53"/>
    </row>
    <row r="735" spans="1:8" ht="13.2">
      <c r="A735" s="65" t="str">
        <f>HYPERLINK("https://dmoj.ca/problem/stnbd4","Dmoj EllisFahrengart")</f>
        <v>Dmoj EllisFahrengart</v>
      </c>
      <c r="B735" s="37" t="s">
        <v>7485</v>
      </c>
      <c r="C735" s="24">
        <v>5</v>
      </c>
      <c r="D735" s="65" t="str">
        <f>HYPERLINK("https://github.com/win11905/submission/blob/master/Dmoj/EllisFahrengart.cpp","Sol")</f>
        <v>Sol</v>
      </c>
      <c r="E735" s="31" t="s">
        <v>6397</v>
      </c>
      <c r="F735" s="37" t="s">
        <v>242</v>
      </c>
      <c r="G735" s="24"/>
      <c r="H735" s="53"/>
    </row>
    <row r="736" spans="1:8" ht="13.2">
      <c r="A736" s="65" t="str">
        <f>HYPERLINK("https://dmoj.ca/problem/fibonacci2","Dmoj FibonacciSequenceHarder")</f>
        <v>Dmoj FibonacciSequenceHarder</v>
      </c>
      <c r="B736" s="37" t="s">
        <v>4658</v>
      </c>
      <c r="C736" s="24">
        <v>5</v>
      </c>
      <c r="D736" s="69"/>
      <c r="E736" s="31" t="s">
        <v>4531</v>
      </c>
      <c r="F736" s="37" t="s">
        <v>201</v>
      </c>
      <c r="G736" s="24"/>
      <c r="H736" s="53"/>
    </row>
    <row r="737" spans="1:8" ht="13.2">
      <c r="A737" s="65" t="str">
        <f>HYPERLINK("https://dmoj.ca/problem/ccoprep16c2q3","Dmoj HopScotch")</f>
        <v>Dmoj HopScotch</v>
      </c>
      <c r="B737" s="37" t="s">
        <v>7484</v>
      </c>
      <c r="C737" s="24">
        <v>5</v>
      </c>
      <c r="D737" s="69"/>
      <c r="E737" s="31" t="s">
        <v>6397</v>
      </c>
      <c r="F737" s="37" t="s">
        <v>201</v>
      </c>
      <c r="G737" s="24"/>
      <c r="H737" s="53"/>
    </row>
    <row r="738" spans="1:8" ht="13.2">
      <c r="A738" s="65" t="str">
        <f>HYPERLINK("https://dmoj.ca/problem/mmcc15p1","Dmoj Inaho")</f>
        <v>Dmoj Inaho</v>
      </c>
      <c r="B738" s="37" t="s">
        <v>7245</v>
      </c>
      <c r="C738" s="24">
        <v>5</v>
      </c>
      <c r="D738" s="69"/>
      <c r="E738" s="31" t="s">
        <v>3883</v>
      </c>
      <c r="F738" s="37" t="s">
        <v>139</v>
      </c>
      <c r="G738" s="24"/>
      <c r="H738" s="53"/>
    </row>
    <row r="739" spans="1:8" ht="13.2">
      <c r="A739" s="65" t="str">
        <f>HYPERLINK("https://dmoj.ca/problem/gfssoc2s4","Dmoj MostlyTalking")</f>
        <v>Dmoj MostlyTalking</v>
      </c>
      <c r="B739" s="37" t="s">
        <v>7527</v>
      </c>
      <c r="C739" s="24">
        <v>5.5</v>
      </c>
      <c r="D739" s="69"/>
      <c r="E739" s="31" t="s">
        <v>7525</v>
      </c>
      <c r="F739" s="37"/>
      <c r="G739" s="24"/>
      <c r="H739" s="53"/>
    </row>
    <row r="740" spans="1:8" ht="13.2">
      <c r="A740" s="65" t="str">
        <f>HYPERLINK("https://dmoj.ca/problem/bf3","Dmoj NextPrime")</f>
        <v>Dmoj NextPrime</v>
      </c>
      <c r="B740" s="37" t="s">
        <v>7527</v>
      </c>
      <c r="C740" s="24"/>
      <c r="D740" s="69"/>
      <c r="E740" s="31" t="s">
        <v>7525</v>
      </c>
      <c r="F740" s="37"/>
      <c r="G740" s="24"/>
      <c r="H740" s="53"/>
    </row>
    <row r="741" spans="1:8" ht="13.2">
      <c r="A741" s="65" t="str">
        <f>HYPERLINK("https://dmoj.ca/problem/bf3hard","Dmoj NextPrimeHard")</f>
        <v>Dmoj NextPrimeHard</v>
      </c>
      <c r="B741" s="37" t="s">
        <v>7359</v>
      </c>
      <c r="C741" s="24">
        <v>5</v>
      </c>
      <c r="D741" s="69"/>
      <c r="E741" s="31" t="s">
        <v>5414</v>
      </c>
      <c r="F741" s="37"/>
      <c r="G741" s="24"/>
      <c r="H741" s="53"/>
    </row>
    <row r="742" spans="1:8" ht="13.2">
      <c r="A742" s="65" t="str">
        <f>HYPERLINK("https://dmoj.ca/problem/stnbd4","Dmoj stnbd4")</f>
        <v>Dmoj stnbd4</v>
      </c>
      <c r="B742" s="37" t="s">
        <v>5939</v>
      </c>
      <c r="C742" s="24">
        <v>6</v>
      </c>
      <c r="D742" s="65" t="str">
        <f>HYPERLINK("https://github.com/tsouza0/CompetitiveProgramming/blob/master/DMOJ/stnbd4.cpp","Sol")</f>
        <v>Sol</v>
      </c>
      <c r="E742" s="31" t="s">
        <v>5915</v>
      </c>
      <c r="F742" s="37"/>
      <c r="G742" s="24"/>
      <c r="H742" s="53"/>
    </row>
    <row r="743" spans="1:8" ht="13.2">
      <c r="A743" s="65" t="str">
        <f>HYPERLINK("https://dmoj.ca/problem/phantom3","Dmoj TortureChamber")</f>
        <v>Dmoj TortureChamber</v>
      </c>
      <c r="B743" s="37" t="s">
        <v>7358</v>
      </c>
      <c r="C743" s="24">
        <v>5.5</v>
      </c>
      <c r="D743" s="69"/>
      <c r="E743" s="31" t="s">
        <v>5414</v>
      </c>
      <c r="F743" s="37" t="s">
        <v>201</v>
      </c>
      <c r="G743" s="24"/>
      <c r="H743" s="53"/>
    </row>
    <row r="744" spans="1:8" ht="13.2">
      <c r="A744" s="65" t="str">
        <f>HYPERLINK("https://dmoj.ca/problem/dmopc14ce1p4","DMOPC 14-ExamDelay")</f>
        <v>DMOPC 14-ExamDelay</v>
      </c>
      <c r="B744" s="37" t="s">
        <v>3256</v>
      </c>
      <c r="C744" s="24">
        <v>5</v>
      </c>
      <c r="D744" s="69"/>
      <c r="E744" s="31" t="s">
        <v>3257</v>
      </c>
      <c r="F744" s="37"/>
      <c r="G744" s="24"/>
      <c r="H744" s="53"/>
    </row>
    <row r="745" spans="1:8" ht="13.2">
      <c r="A745" s="65" t="str">
        <f>HYPERLINK("https://dmoj.ca/problem/dmopc14c4p6","DMOPC 14-SaveNagato")</f>
        <v>DMOPC 14-SaveNagato</v>
      </c>
      <c r="B745" s="37" t="s">
        <v>7527</v>
      </c>
      <c r="C745" s="24">
        <v>5.5</v>
      </c>
      <c r="D745" s="69"/>
      <c r="E745" s="31" t="s">
        <v>7525</v>
      </c>
      <c r="F745" s="37"/>
      <c r="G745" s="24"/>
      <c r="H745" s="53"/>
    </row>
    <row r="746" spans="1:8" ht="13.2">
      <c r="A746" s="65" t="str">
        <f>HYPERLINK("https://dmoj.ca/problem/dmopc15c1p6","DMOPC 15-LeleiandContest")</f>
        <v>DMOPC 15-LeleiandContest</v>
      </c>
      <c r="B746" s="37" t="s">
        <v>6701</v>
      </c>
      <c r="C746" s="24">
        <v>5</v>
      </c>
      <c r="D746" s="69"/>
      <c r="E746" s="31" t="s">
        <v>575</v>
      </c>
      <c r="F746" s="37"/>
      <c r="G746" s="24"/>
      <c r="H746" s="53"/>
    </row>
    <row r="747" spans="1:8" ht="13.2">
      <c r="A747" s="65" t="str">
        <f>HYPERLINK("https://dmoj.ca/problem/dmopc16c4p4","DMOPC 16-MollyMangaShopping")</f>
        <v>DMOPC 16-MollyMangaShopping</v>
      </c>
      <c r="B747" s="37" t="s">
        <v>5914</v>
      </c>
      <c r="C747" s="24">
        <v>6</v>
      </c>
      <c r="D747" s="69"/>
      <c r="E747" s="31" t="s">
        <v>5915</v>
      </c>
      <c r="F747" s="37"/>
      <c r="G747" s="24"/>
      <c r="H747" s="53"/>
    </row>
    <row r="748" spans="1:8" ht="13.2">
      <c r="A748" s="65" t="str">
        <f>HYPERLINK("https://dmoj.ca/problem/dmopc17c5p4","DMOPC 17-IntersectingArcs")</f>
        <v>DMOPC 17-IntersectingArcs</v>
      </c>
      <c r="B748" s="37" t="s">
        <v>7527</v>
      </c>
      <c r="C748" s="24">
        <v>5</v>
      </c>
      <c r="D748" s="69"/>
      <c r="E748" s="31" t="s">
        <v>7525</v>
      </c>
      <c r="F748" s="37" t="s">
        <v>139</v>
      </c>
      <c r="G748" s="24"/>
      <c r="H748" s="53"/>
    </row>
    <row r="749" spans="1:8" ht="13.2">
      <c r="A749" s="65" t="str">
        <f>HYPERLINK("https://dmoj.ca/problem/dmopc17c1p5","DMOPC 17-IntimidatingArrays")</f>
        <v>DMOPC 17-IntimidatingArrays</v>
      </c>
      <c r="B749" s="37" t="s">
        <v>7527</v>
      </c>
      <c r="C749" s="24">
        <v>5</v>
      </c>
      <c r="D749" s="69"/>
      <c r="E749" s="31" t="s">
        <v>7525</v>
      </c>
      <c r="F749" s="37" t="s">
        <v>139</v>
      </c>
      <c r="G749" s="24"/>
      <c r="H749" s="53"/>
    </row>
    <row r="750" spans="1:8" ht="13.2">
      <c r="A750" s="65" t="str">
        <f>HYPERLINK("https://dmoj.ca/problem/dmopc18c3p4","DMOPC 18-BobEnglishClass")</f>
        <v>DMOPC 18-BobEnglishClass</v>
      </c>
      <c r="B750" s="37" t="s">
        <v>7451</v>
      </c>
      <c r="C750" s="24">
        <v>6.3</v>
      </c>
      <c r="D750" s="65" t="str">
        <f>HYPERLINK("https://github.com/mostafa-saad/MyCompetitiveProgramming/blob/master/Olympiad/Misc/DMOPC-18-BobEnglishClass.txt","Sol")</f>
        <v>Sol</v>
      </c>
      <c r="E750" s="31" t="s">
        <v>6345</v>
      </c>
      <c r="F750" s="37" t="s">
        <v>139</v>
      </c>
      <c r="G750" s="24"/>
      <c r="H750" s="53"/>
    </row>
    <row r="751" spans="1:8" ht="13.2">
      <c r="A751" s="65" t="str">
        <f>HYPERLINK("https://dmoj.ca/problem/dmopc18c4p4","DMOPC 18-HenriLabData")</f>
        <v>DMOPC 18-HenriLabData</v>
      </c>
      <c r="B751" s="37" t="s">
        <v>1017</v>
      </c>
      <c r="C751" s="24">
        <v>5</v>
      </c>
      <c r="D751" s="69"/>
      <c r="E751" s="31" t="s">
        <v>1018</v>
      </c>
      <c r="F751" s="37"/>
      <c r="G751" s="24"/>
      <c r="H751" s="53"/>
    </row>
    <row r="752" spans="1:8" ht="13.2">
      <c r="A752" s="65" t="str">
        <f>HYPERLINK("https://dmoj.ca/problem/dmopc18c2p6","DMOPC 18-StandingOvation")</f>
        <v>DMOPC 18-StandingOvation</v>
      </c>
      <c r="B752" s="37" t="s">
        <v>7527</v>
      </c>
      <c r="C752" s="24">
        <v>7</v>
      </c>
      <c r="D752" s="69"/>
      <c r="E752" s="31" t="s">
        <v>7525</v>
      </c>
      <c r="F752" s="37" t="s">
        <v>201</v>
      </c>
      <c r="G752" s="24"/>
      <c r="H752" s="53"/>
    </row>
    <row r="753" spans="1:8" ht="13.2">
      <c r="A753" s="65" t="str">
        <f>HYPERLINK("https://dmoj.ca/problem/dmpg15s6","DMPG 15-ApplesOranges")</f>
        <v>DMPG 15-ApplesOranges</v>
      </c>
      <c r="B753" s="37" t="s">
        <v>3256</v>
      </c>
      <c r="C753" s="24">
        <v>5</v>
      </c>
      <c r="D753" s="69"/>
      <c r="E753" s="31" t="s">
        <v>3257</v>
      </c>
      <c r="F753" s="37"/>
      <c r="G753" s="24"/>
      <c r="H753" s="53"/>
    </row>
    <row r="754" spans="1:8" ht="13.2">
      <c r="A754" s="65" t="str">
        <f>HYPERLINK("https://dmoj.ca/problem/dmpg15s5","DMPG 15-BlackWhite")</f>
        <v>DMPG 15-BlackWhite</v>
      </c>
      <c r="B754" s="37" t="s">
        <v>6635</v>
      </c>
      <c r="C754" s="24">
        <v>5</v>
      </c>
      <c r="D754" s="69"/>
      <c r="E754" s="31" t="s">
        <v>125</v>
      </c>
      <c r="F754" s="37"/>
      <c r="G754" s="24"/>
      <c r="H754" s="53"/>
    </row>
    <row r="755" spans="1:8" ht="13.2">
      <c r="A755" s="65" t="str">
        <f>HYPERLINK("https://dmoj.ca/problem/dmpg16s4","DMPG 16-MMORPGII")</f>
        <v>DMPG 16-MMORPGII</v>
      </c>
      <c r="B755" s="37" t="s">
        <v>7527</v>
      </c>
      <c r="C755" s="24">
        <v>5.5</v>
      </c>
      <c r="D755" s="69"/>
      <c r="E755" s="31" t="s">
        <v>7525</v>
      </c>
      <c r="F755" s="37"/>
      <c r="G755" s="24"/>
      <c r="H755" s="53"/>
    </row>
    <row r="756" spans="1:8" ht="13.2">
      <c r="A756" s="65" t="str">
        <f>HYPERLINK("https://dmoj.ca/problem/dmpg18s5","DMPG 18-MimiDivision")</f>
        <v>DMPG 18-MimiDivision</v>
      </c>
      <c r="B756" s="37" t="s">
        <v>6398</v>
      </c>
      <c r="C756" s="24">
        <v>5</v>
      </c>
      <c r="D756" s="69"/>
      <c r="E756" s="31" t="s">
        <v>6397</v>
      </c>
      <c r="F756" s="37"/>
      <c r="G756" s="24"/>
      <c r="H756" s="53"/>
    </row>
    <row r="757" spans="1:8" ht="13.2">
      <c r="A757" s="65" t="str">
        <f>HYPERLINK("https://dmoj.ca/problem/dwite11c5p5","DWITE 11-CubeWorld")</f>
        <v>DWITE 11-CubeWorld</v>
      </c>
      <c r="B757" s="37" t="s">
        <v>3256</v>
      </c>
      <c r="C757" s="24">
        <v>4</v>
      </c>
      <c r="D757" s="69"/>
      <c r="E757" s="31" t="s">
        <v>3257</v>
      </c>
      <c r="F757" s="37" t="s">
        <v>201</v>
      </c>
      <c r="G757" s="24"/>
      <c r="H757" s="53"/>
    </row>
    <row r="758" spans="1:8" ht="13.2">
      <c r="A758" s="65" t="str">
        <f>HYPERLINK("https://csacademy.com/contest/ejoi-2017-day-2/task/camel/","EJOI 17-camel")</f>
        <v>EJOI 17-camel</v>
      </c>
      <c r="B758" s="20" t="s">
        <v>7393</v>
      </c>
      <c r="C758" s="24">
        <v>8</v>
      </c>
      <c r="D758" s="69"/>
      <c r="E758" s="31" t="s">
        <v>5958</v>
      </c>
      <c r="F758" s="37"/>
      <c r="G758" s="24"/>
      <c r="H758" s="53"/>
    </row>
    <row r="759" spans="1:8" ht="13.2">
      <c r="A759" s="65" t="str">
        <f>HYPERLINK("https://csacademy.com/contest/ejoi-2017-day-2/task/experience/","EJOI 17-experience")</f>
        <v>EJOI 17-experience</v>
      </c>
      <c r="B759" s="20" t="s">
        <v>3649</v>
      </c>
      <c r="C759" s="24">
        <v>8</v>
      </c>
      <c r="D759" s="69"/>
      <c r="E759" s="31" t="s">
        <v>3650</v>
      </c>
      <c r="F759" s="37"/>
      <c r="G759" s="24"/>
      <c r="H759" s="53"/>
    </row>
    <row r="760" spans="1:8" ht="13.2">
      <c r="A760" s="65" t="str">
        <f>HYPERLINK("https://csacademy.com/contest/ejoi-2017-day-2/task/game/","EJOI 17-game")</f>
        <v>EJOI 17-game</v>
      </c>
      <c r="B760" s="20" t="s">
        <v>6054</v>
      </c>
      <c r="C760" s="24">
        <v>5</v>
      </c>
      <c r="D760" s="65" t="str">
        <f>HYPERLINK("https://github.com/Rockbet/Problems/blob/master/EJOI/2017/Day%202/Game.cpp","Sol")</f>
        <v>Sol</v>
      </c>
      <c r="E760" s="31" t="s">
        <v>6040</v>
      </c>
      <c r="F760" s="37" t="s">
        <v>139</v>
      </c>
      <c r="G760" s="24"/>
      <c r="H760" s="53"/>
    </row>
    <row r="761" spans="1:8" ht="13.2">
      <c r="A761" s="65" t="str">
        <f>HYPERLINK("https://csacademy.com/contest/ejoi-2017-day-1/task/magic/","EJOI 17-magic")</f>
        <v>EJOI 17-magic</v>
      </c>
      <c r="B761" s="20" t="s">
        <v>616</v>
      </c>
      <c r="C761" s="24">
        <v>5.5</v>
      </c>
      <c r="D761" s="65" t="str">
        <f>HYPERLINK("https://github.com/Rockbet/Problems/blob/master/EJOI/2017/Day%201/Magic.cpp","Sol")</f>
        <v>Sol</v>
      </c>
      <c r="E761" s="31" t="s">
        <v>575</v>
      </c>
      <c r="F761" s="37" t="s">
        <v>201</v>
      </c>
      <c r="G761" s="24"/>
      <c r="H761" s="53"/>
    </row>
    <row r="762" spans="1:8" ht="13.2">
      <c r="A762" s="65" t="str">
        <f>HYPERLINK("https://csacademy.com/contest/ejoi-2017-day-1/task/particles/","EJOI 17-particles")</f>
        <v>EJOI 17-particles</v>
      </c>
      <c r="B762" s="20" t="s">
        <v>3073</v>
      </c>
      <c r="C762" s="24">
        <v>6.5</v>
      </c>
      <c r="D762" s="69"/>
      <c r="E762" s="31" t="s">
        <v>3065</v>
      </c>
      <c r="F762" s="37"/>
      <c r="G762" s="24"/>
      <c r="H762" s="53"/>
    </row>
    <row r="763" spans="1:8" ht="13.2">
      <c r="A763" s="65" t="str">
        <f>HYPERLINK("https://csacademy.com/contest/ejoi-2017-day-1/task/six/","EJOI 17-six")</f>
        <v>EJOI 17-six</v>
      </c>
      <c r="B763" s="20" t="s">
        <v>6952</v>
      </c>
      <c r="C763" s="24">
        <v>7.5</v>
      </c>
      <c r="D763" s="69"/>
      <c r="E763" s="31" t="s">
        <v>1819</v>
      </c>
      <c r="F763" s="37"/>
      <c r="G763" s="24"/>
      <c r="H763" s="53"/>
    </row>
    <row r="764" spans="1:8" ht="13.2">
      <c r="A764" s="65" t="str">
        <f>HYPERLINK("https://codeforces.com/group/swEqtABRxe/contest/243429/problem/A", "EOI 18-d1-A")</f>
        <v>EOI 18-d1-A</v>
      </c>
      <c r="B764" s="20" t="s">
        <v>7430</v>
      </c>
      <c r="C764" s="17">
        <v>6</v>
      </c>
      <c r="D764" s="69"/>
      <c r="E764" s="31" t="s">
        <v>6098</v>
      </c>
      <c r="F764" s="37"/>
      <c r="G764" s="24"/>
      <c r="H764" s="53"/>
    </row>
    <row r="765" spans="1:8" ht="13.2">
      <c r="A765" s="65" t="str">
        <f>HYPERLINK("https://codeforces.com/group/swEqtABRxe/contest/243429/problem/B", "EOI 18-d1-B")</f>
        <v>EOI 18-d1-B</v>
      </c>
      <c r="B765" s="20" t="s">
        <v>7038</v>
      </c>
      <c r="C765" s="17">
        <v>4.5</v>
      </c>
      <c r="D765" s="69"/>
      <c r="E765" s="31" t="s">
        <v>2153</v>
      </c>
      <c r="F765" s="37"/>
      <c r="G765" s="24"/>
      <c r="H765" s="53"/>
    </row>
    <row r="766" spans="1:8" ht="13.2">
      <c r="A766" s="65" t="str">
        <f>HYPERLINK("https://codeforces.com/group/swEqtABRxe/contest/243430/problem/A", "EOI 18-d2-A")</f>
        <v>EOI 18-d2-A</v>
      </c>
      <c r="B766" s="20" t="s">
        <v>4530</v>
      </c>
      <c r="C766" s="17">
        <v>3.5</v>
      </c>
      <c r="D766" s="69"/>
      <c r="E766" s="31" t="s">
        <v>4531</v>
      </c>
      <c r="F766" s="37"/>
      <c r="G766" s="24"/>
      <c r="H766" s="53"/>
    </row>
    <row r="767" spans="1:8" ht="13.2">
      <c r="A767" s="65" t="str">
        <f>HYPERLINK("https://codeforces.com/group/swEqtABRxe/contest/243430/problem/A","EOI 19-d2-A")</f>
        <v>EOI 19-d2-A</v>
      </c>
      <c r="B767" s="37" t="s">
        <v>4530</v>
      </c>
      <c r="C767" s="24">
        <v>4</v>
      </c>
      <c r="D767" s="69"/>
      <c r="E767" s="31" t="s">
        <v>4531</v>
      </c>
      <c r="F767" s="37"/>
      <c r="G767" s="24"/>
      <c r="H767" s="53"/>
    </row>
    <row r="768" spans="1:8" ht="13.2">
      <c r="A768" s="65" t="str">
        <f>HYPERLINK("https://codeforces.com/group/swEqtABRxe/contest/243430/problem/B", "EOI 19-d2-B")</f>
        <v>EOI 19-d2-B</v>
      </c>
      <c r="B768" s="20" t="s">
        <v>7181</v>
      </c>
      <c r="C768" s="17">
        <v>5</v>
      </c>
      <c r="D768" s="69"/>
      <c r="E768" s="31" t="s">
        <v>3467</v>
      </c>
      <c r="F768" s="37"/>
      <c r="G768" s="24"/>
      <c r="H768" s="53"/>
    </row>
    <row r="769" spans="1:8" ht="13.2">
      <c r="A769" s="65" t="str">
        <f>HYPERLINK("https://codeforces.com/group/swEqtABRxe/contest/227531/problem/C", "EOI_IOI 18-QR-C")</f>
        <v>EOI_IOI 18-QR-C</v>
      </c>
      <c r="B769" s="37" t="s">
        <v>6054</v>
      </c>
      <c r="C769" s="24">
        <v>5.5</v>
      </c>
      <c r="D769" s="65" t="str">
        <f>HYPERLINK("https://ideone.com/iw7JBC", "Sol")</f>
        <v>Sol</v>
      </c>
      <c r="E769" s="31" t="s">
        <v>6040</v>
      </c>
      <c r="F769" s="37" t="s">
        <v>201</v>
      </c>
      <c r="G769" s="24"/>
      <c r="H769" s="53"/>
    </row>
    <row r="770" spans="1:8" ht="13.2">
      <c r="A770" s="65" t="str">
        <f>HYPERLINK("https://codeforces.com/group/swEqtABRxe/contest/227524/problem/A", "EOIQ 18-r1-A")</f>
        <v>EOIQ 18-r1-A</v>
      </c>
      <c r="B770" s="20" t="s">
        <v>5961</v>
      </c>
      <c r="C770" s="17">
        <v>4</v>
      </c>
      <c r="D770" s="69"/>
      <c r="E770" s="31" t="s">
        <v>5958</v>
      </c>
      <c r="F770" s="37"/>
      <c r="G770" s="24"/>
      <c r="H770" s="53"/>
    </row>
    <row r="771" spans="1:8" ht="13.2">
      <c r="A771" s="65" t="str">
        <f>HYPERLINK("https://codeforces.com/group/swEqtABRxe/contest/227524/problem/B", "EOIQ 18-r1-B")</f>
        <v>EOIQ 18-r1-B</v>
      </c>
      <c r="B771" s="20" t="s">
        <v>2163</v>
      </c>
      <c r="C771" s="17">
        <v>3.5</v>
      </c>
      <c r="D771" s="69"/>
      <c r="E771" s="31" t="s">
        <v>2153</v>
      </c>
      <c r="F771" s="37"/>
      <c r="G771" s="24"/>
      <c r="H771" s="53"/>
    </row>
    <row r="772" spans="1:8" ht="13.2">
      <c r="A772" s="65" t="str">
        <f>HYPERLINK("https://codeforces.com/group/swEqtABRxe/contest/227524/problem/C", "EOIQ 18-r1-C")</f>
        <v>EOIQ 18-r1-C</v>
      </c>
      <c r="B772" s="20" t="s">
        <v>5961</v>
      </c>
      <c r="C772" s="17">
        <v>4</v>
      </c>
      <c r="D772" s="69"/>
      <c r="E772" s="31" t="s">
        <v>5958</v>
      </c>
      <c r="F772" s="37"/>
      <c r="G772" s="24"/>
      <c r="H772" s="53"/>
    </row>
    <row r="773" spans="1:8" ht="13.2">
      <c r="A773" s="65" t="str">
        <f>HYPERLINK("https://codeforces.com/group/swEqtABRxe/contest/243427/problem/A", "EOIQ 18-r2-A")</f>
        <v>EOIQ 18-r2-A</v>
      </c>
      <c r="B773" s="20" t="s">
        <v>5961</v>
      </c>
      <c r="C773" s="17">
        <v>4.5</v>
      </c>
      <c r="D773" s="69"/>
      <c r="E773" s="31" t="s">
        <v>5958</v>
      </c>
      <c r="F773" s="37"/>
      <c r="G773" s="24"/>
      <c r="H773" s="53"/>
    </row>
    <row r="774" spans="1:8" ht="13.2">
      <c r="A774" s="65" t="str">
        <f>HYPERLINK("https://codeforces.com/group/swEqtABRxe/contest/243427/problem/B", "EOIQ 18-r2-B")</f>
        <v>EOIQ 18-r2-B</v>
      </c>
      <c r="B774" s="20" t="s">
        <v>7424</v>
      </c>
      <c r="C774" s="17">
        <v>4</v>
      </c>
      <c r="D774" s="69"/>
      <c r="E774" s="31" t="s">
        <v>6040</v>
      </c>
      <c r="F774" s="37"/>
      <c r="G774" s="24"/>
      <c r="H774" s="53"/>
    </row>
    <row r="775" spans="1:8" ht="13.2">
      <c r="A775" s="65" t="str">
        <f>HYPERLINK("https://codeforces.com/group/swEqtABRxe/contest/243427/problem/C", "EOIQ 18-r2-C")</f>
        <v>EOIQ 18-r2-C</v>
      </c>
      <c r="B775" s="20" t="s">
        <v>5961</v>
      </c>
      <c r="C775" s="17">
        <v>5</v>
      </c>
      <c r="D775" s="69"/>
      <c r="E775" s="31" t="s">
        <v>5958</v>
      </c>
      <c r="F775" s="37"/>
      <c r="G775" s="24"/>
      <c r="H775" s="53"/>
    </row>
    <row r="776" spans="1:8" ht="13.2">
      <c r="A776" s="65" t="str">
        <f>HYPERLINK("https://dunjudge.me/analysis/problems/1243/","HAOI 07-idealsquare")</f>
        <v>HAOI 07-idealsquare</v>
      </c>
      <c r="B776" s="20" t="s">
        <v>7527</v>
      </c>
      <c r="C776" s="24"/>
      <c r="D776" s="69"/>
      <c r="E776" s="31" t="s">
        <v>7525</v>
      </c>
      <c r="F776" s="37"/>
      <c r="G776" s="24"/>
      <c r="H776" s="53"/>
    </row>
    <row r="777" spans="1:8" ht="13.2">
      <c r="A777" s="65" t="str">
        <f>HYPERLINK("https://oj.uz/problem/view/info1cup17_binary","info1cup 17-binary")</f>
        <v>info1cup 17-binary</v>
      </c>
      <c r="B777" s="37" t="s">
        <v>7527</v>
      </c>
      <c r="C777" s="24"/>
      <c r="D777" s="69"/>
      <c r="E777" s="31" t="s">
        <v>7525</v>
      </c>
      <c r="F777" s="37"/>
      <c r="G777" s="24"/>
      <c r="H777" s="53"/>
    </row>
    <row r="778" spans="1:8" ht="13.2">
      <c r="A778" s="65" t="str">
        <f>HYPERLINK("https://oj.uz/problem/view/info1cup17_eastereggs","info1cup 17-eastereggs")</f>
        <v>info1cup 17-eastereggs</v>
      </c>
      <c r="B778" s="37" t="s">
        <v>7527</v>
      </c>
      <c r="C778" s="24"/>
      <c r="D778" s="69"/>
      <c r="E778" s="31" t="s">
        <v>7525</v>
      </c>
      <c r="F778" s="37"/>
      <c r="G778" s="24"/>
      <c r="H778" s="53"/>
    </row>
    <row r="779" spans="1:8" ht="13.2">
      <c r="A779" s="65" t="str">
        <f>HYPERLINK("https://oj.uz/problem/view/info1cup17_permutation","info1cup 17-permutation")</f>
        <v>info1cup 17-permutation</v>
      </c>
      <c r="B779" s="37" t="s">
        <v>7527</v>
      </c>
      <c r="C779" s="24"/>
      <c r="D779" s="69"/>
      <c r="E779" s="31" t="s">
        <v>7525</v>
      </c>
      <c r="F779" s="37"/>
      <c r="G779" s="24"/>
      <c r="H779" s="53"/>
    </row>
    <row r="780" spans="1:8" ht="13.2">
      <c r="A780" s="65" t="str">
        <f>HYPERLINK("https://oj.uz/problem/view/info1cup17_xorsum","info1cup 17-xorsum")</f>
        <v>info1cup 17-xorsum</v>
      </c>
      <c r="B780" s="37" t="s">
        <v>7527</v>
      </c>
      <c r="C780" s="24"/>
      <c r="D780" s="69"/>
      <c r="E780" s="31" t="s">
        <v>7525</v>
      </c>
      <c r="F780" s="37"/>
      <c r="G780" s="24"/>
      <c r="H780" s="53"/>
    </row>
    <row r="781" spans="1:8" ht="13.2">
      <c r="A781" s="65" t="str">
        <f>HYPERLINK("https://oj.uz/problem/view/info1cup18_balancedtree","info1cup 18-balancedtree")</f>
        <v>info1cup 18-balancedtree</v>
      </c>
      <c r="B781" s="37" t="s">
        <v>7527</v>
      </c>
      <c r="C781" s="24"/>
      <c r="D781" s="69"/>
      <c r="E781" s="31" t="s">
        <v>7525</v>
      </c>
      <c r="F781" s="37"/>
      <c r="G781" s="24"/>
      <c r="H781" s="53"/>
    </row>
    <row r="782" spans="1:8" ht="13.2">
      <c r="A782" s="65" t="str">
        <f>HYPERLINK("https://oj.uz/problem/view/info1cup18_cambridge","info1cup 18-cambridge")</f>
        <v>info1cup 18-cambridge</v>
      </c>
      <c r="B782" s="37" t="s">
        <v>7527</v>
      </c>
      <c r="C782" s="24"/>
      <c r="D782" s="69"/>
      <c r="E782" s="31" t="s">
        <v>7525</v>
      </c>
      <c r="F782" s="37"/>
      <c r="G782" s="24"/>
      <c r="H782" s="53"/>
    </row>
    <row r="783" spans="1:8" ht="13.2">
      <c r="A783" s="65" t="str">
        <f>HYPERLINK("https://oj.uz/problem/view/info1cup18_del13","info1cup 18-del13")</f>
        <v>info1cup 18-del13</v>
      </c>
      <c r="B783" s="37" t="s">
        <v>7527</v>
      </c>
      <c r="C783" s="24"/>
      <c r="D783" s="69"/>
      <c r="E783" s="31" t="s">
        <v>7525</v>
      </c>
      <c r="F783" s="37"/>
      <c r="G783" s="24"/>
      <c r="H783" s="53"/>
    </row>
    <row r="784" spans="1:8" ht="13.2">
      <c r="A784" s="65" t="str">
        <f>HYPERLINK("https://oj.uz/problem/view/info1cup18_hidden", "Info1cup 18-Hidden")</f>
        <v>Info1cup 18-Hidden</v>
      </c>
      <c r="B784" s="37" t="s">
        <v>6588</v>
      </c>
      <c r="C784" s="24">
        <v>6.75</v>
      </c>
      <c r="D784" s="65" t="str">
        <f>HYPERLINK("https://github.com/mostafa-saad/MyCompetitiveProgramming/blob/master/Olympiad/Info1Cup/Info1Cup_18-Hidden.txt","Sol")</f>
        <v>Sol</v>
      </c>
      <c r="E784" s="31" t="s">
        <v>125</v>
      </c>
      <c r="F784" s="37" t="s">
        <v>139</v>
      </c>
      <c r="G784" s="24"/>
      <c r="H784" s="53"/>
    </row>
    <row r="785" spans="1:8" ht="13.2">
      <c r="A785" s="65" t="str">
        <f>HYPERLINK("https://oj.uz/problem/view/info1cup18_maxcomp","info1cup 18-maxcomp")</f>
        <v>info1cup 18-maxcomp</v>
      </c>
      <c r="B785" s="37" t="s">
        <v>1348</v>
      </c>
      <c r="C785" s="24">
        <v>5</v>
      </c>
      <c r="D785" s="69"/>
      <c r="E785" s="31" t="s">
        <v>1337</v>
      </c>
      <c r="F785" s="37"/>
      <c r="G785" s="24"/>
      <c r="H785" s="53"/>
    </row>
    <row r="786" spans="1:8" ht="13.2">
      <c r="A786" s="65" t="str">
        <f>HYPERLINK("https://oj.uz/problem/view/info1cup18_norela","info1cup 18-norela")</f>
        <v>info1cup 18-norela</v>
      </c>
      <c r="B786" s="37" t="s">
        <v>7527</v>
      </c>
      <c r="C786" s="24"/>
      <c r="D786" s="69"/>
      <c r="E786" s="31" t="s">
        <v>7525</v>
      </c>
      <c r="F786" s="37"/>
      <c r="G786" s="24"/>
      <c r="H786" s="53"/>
    </row>
    <row r="787" spans="1:8" ht="13.2">
      <c r="A787" s="65" t="str">
        <f>HYPERLINK("https://oj.uz/problem/view/info1cup18_palindromes","info1cup 18-palindromes")</f>
        <v>info1cup 18-palindromes</v>
      </c>
      <c r="B787" s="37" t="s">
        <v>7527</v>
      </c>
      <c r="C787" s="24"/>
      <c r="D787" s="69"/>
      <c r="E787" s="31" t="s">
        <v>7525</v>
      </c>
      <c r="F787" s="37"/>
      <c r="G787" s="24"/>
      <c r="H787" s="53"/>
    </row>
    <row r="788" spans="1:8" ht="13.2">
      <c r="A788" s="65" t="str">
        <f>HYPERLINK("https://oj.uz/problem/view/info1cup18_shell","info1cup 18-shell")</f>
        <v>info1cup 18-shell</v>
      </c>
      <c r="B788" s="37" t="s">
        <v>7527</v>
      </c>
      <c r="C788" s="24"/>
      <c r="D788" s="69"/>
      <c r="E788" s="31" t="s">
        <v>7525</v>
      </c>
      <c r="F788" s="37"/>
      <c r="G788" s="24"/>
      <c r="H788" s="53"/>
    </row>
    <row r="789" spans="1:8" ht="13.2">
      <c r="A789" s="65" t="str">
        <f>HYPERLINK("https://oj.uz/problem/view/info1cup18_thegrade","info1cup 18-thegrade")</f>
        <v>info1cup 18-thegrade</v>
      </c>
      <c r="B789" s="37" t="s">
        <v>7527</v>
      </c>
      <c r="C789" s="24"/>
      <c r="D789" s="69"/>
      <c r="E789" s="31" t="s">
        <v>7525</v>
      </c>
      <c r="F789" s="37"/>
      <c r="G789" s="24"/>
      <c r="H789" s="53"/>
    </row>
    <row r="790" spans="1:8" ht="13.2">
      <c r="A790" s="65" t="str">
        <f>HYPERLINK("https://github.com/stefdasca/CompetitiveProgramming/blob/master/Info1Cup/National%20Round/Mean%20(RO).pdf","Info1up 19-Mean")</f>
        <v>Info1up 19-Mean</v>
      </c>
      <c r="B790" s="20" t="s">
        <v>6942</v>
      </c>
      <c r="C790" s="21">
        <v>3</v>
      </c>
      <c r="D790" s="65" t="str">
        <f>HYPERLINK("https://github.com/stefdasca/CompetitiveProgramming/blob/master/Info1Cup/National%20Round/mean.cpp","Sol")</f>
        <v>Sol</v>
      </c>
      <c r="E790" s="31" t="s">
        <v>1337</v>
      </c>
      <c r="F790" s="37"/>
      <c r="G790" s="24"/>
      <c r="H790" s="53"/>
    </row>
    <row r="791" spans="1:8" ht="13.2">
      <c r="A791" s="65" t="str">
        <f>HYPERLINK("https://github.com/stefdasca/CompetitiveProgramming/blob/master/Info1Cup/National%20Round/Simple%20(Ro)%20(1).pdf","Info1cup 19-Simple")</f>
        <v>Info1cup 19-Simple</v>
      </c>
      <c r="B791" s="20" t="s">
        <v>6699</v>
      </c>
      <c r="C791" s="21">
        <v>5.5</v>
      </c>
      <c r="D791" s="65" t="str">
        <f>HYPERLINK("https://github.com/stefdasca/CompetitiveProgramming/blob/master/Info1Cup/National%20Round/simple.cpp","Sol")</f>
        <v>Sol</v>
      </c>
      <c r="E791" s="31" t="s">
        <v>575</v>
      </c>
      <c r="F791" s="37"/>
      <c r="G791" s="24"/>
      <c r="H791" s="53"/>
    </row>
    <row r="792" spans="1:8" ht="13.2">
      <c r="A792" s="65" t="str">
        <f>HYPERLINK("https://github.com/stefdasca/CompetitiveProgramming/blob/master/Info1Cup/National%20Round/Subway%20(Ro).pdf","Info1cup 19-Subway")</f>
        <v>Info1cup 19-Subway</v>
      </c>
      <c r="B792" s="20" t="s">
        <v>7166</v>
      </c>
      <c r="C792" s="21">
        <v>4</v>
      </c>
      <c r="D792" s="65" t="str">
        <f>HYPERLINK("https://github.com/stefdasca/CompetitiveProgramming/blob/master/Info1Cup/National%20Round/subway.cpp","Sol")</f>
        <v>Sol</v>
      </c>
      <c r="E792" s="31" t="s">
        <v>3257</v>
      </c>
      <c r="F792" s="37"/>
      <c r="G792" s="24"/>
      <c r="H792" s="53"/>
    </row>
    <row r="793" spans="1:8" ht="13.2">
      <c r="A793" s="65" t="str">
        <f>HYPERLINK("https://github.com/stefdasca/CompetitiveProgramming/blob/master/Info1Cup/National%20Round/Treasure%20(RO).pdf","Info1cup 19-Treasure")</f>
        <v>Info1cup 19-Treasure</v>
      </c>
      <c r="B793" s="20" t="s">
        <v>7410</v>
      </c>
      <c r="C793" s="21">
        <v>2.5</v>
      </c>
      <c r="D793" s="65" t="str">
        <f>HYPERLINK("https://github.com/stefdasca/CompetitiveProgramming/blob/master/Info1Cup/National%20Round/treasure.cpp","Sol")</f>
        <v>Sol</v>
      </c>
      <c r="E793" s="31" t="s">
        <v>5958</v>
      </c>
      <c r="F793" s="37"/>
      <c r="G793" s="24"/>
      <c r="H793" s="53"/>
    </row>
    <row r="794" spans="1:8" ht="13.2">
      <c r="A794" s="65" t="str">
        <f>HYPERLINK("https://infoarena.ro/problema/abx","infoarena abx")</f>
        <v>infoarena abx</v>
      </c>
      <c r="B794" s="20" t="s">
        <v>7328</v>
      </c>
      <c r="C794" s="21">
        <v>4.5</v>
      </c>
      <c r="D794" s="65" t="str">
        <f>HYPERLINK("https://github.com/stefdasca/CompetitiveProgramming/blob/master/Infoarena/abx.cpp","Sol")</f>
        <v>Sol</v>
      </c>
      <c r="E794" s="31" t="s">
        <v>4531</v>
      </c>
      <c r="F794" s="37"/>
      <c r="G794" s="24"/>
      <c r="H794" s="53"/>
    </row>
    <row r="795" spans="1:8" ht="13.2">
      <c r="A795" s="65" t="str">
        <f>HYPERLINK("https://www.infoarena.ro/problema/aiacubiti","infoarena aiacubiti")</f>
        <v>infoarena aiacubiti</v>
      </c>
      <c r="B795" s="20" t="s">
        <v>6861</v>
      </c>
      <c r="C795" s="17">
        <v>6.4</v>
      </c>
      <c r="D795" s="65" t="str">
        <f>HYPERLINK("https://github.com/mostafa-saad/MyCompetitiveProgramming/blob/master/Olympiad/infoarena/infoarena-aiacubiti.txt","Sol")</f>
        <v>Sol</v>
      </c>
      <c r="E795" s="31" t="s">
        <v>1337</v>
      </c>
      <c r="F795" s="37" t="s">
        <v>154</v>
      </c>
      <c r="G795" s="24"/>
      <c r="H795" s="53"/>
    </row>
    <row r="796" spans="1:8" ht="13.2">
      <c r="A796" s="65" t="str">
        <f>HYPERLINK("https://www.infoarena.ro/problema/aiacupalindroame","infoarena aiacupalindroame")</f>
        <v>infoarena aiacupalindroame</v>
      </c>
      <c r="B796" s="20" t="s">
        <v>6880</v>
      </c>
      <c r="C796" s="17">
        <v>6.25</v>
      </c>
      <c r="D796" s="65" t="str">
        <f>HYPERLINK("https://github.com/stefdasca/CompetitiveProgramming/blob/master/Infoarena/aiacupalindroame.cpp","Sol")</f>
        <v>Sol</v>
      </c>
      <c r="E796" s="31" t="s">
        <v>1337</v>
      </c>
      <c r="F796" s="37"/>
      <c r="G796" s="24"/>
      <c r="H796" s="53"/>
    </row>
    <row r="797" spans="1:8" ht="13.2">
      <c r="A797" s="65" t="str">
        <f>HYPERLINK("https://infoarena.ro/problema/album2","infoarena album2")</f>
        <v>infoarena album2</v>
      </c>
      <c r="B797" s="20" t="s">
        <v>5961</v>
      </c>
      <c r="C797" s="21">
        <v>3</v>
      </c>
      <c r="D797" s="65" t="str">
        <f>HYPERLINK("https://github.com/stefdasca/CompetitiveProgramming/blob/master/Infoarena/album2.cpp","Sol")</f>
        <v>Sol</v>
      </c>
      <c r="E797" s="31" t="s">
        <v>5958</v>
      </c>
      <c r="F797" s="37" t="s">
        <v>139</v>
      </c>
      <c r="G797" s="24"/>
      <c r="H797" s="53"/>
    </row>
    <row r="798" spans="1:8" ht="13.2">
      <c r="A798" s="65" t="str">
        <f>HYPERLINK("https://www.infoarena.ro/problema/amenzi","infoarena amenzi")</f>
        <v>infoarena amenzi</v>
      </c>
      <c r="B798" s="20" t="s">
        <v>6905</v>
      </c>
      <c r="C798" s="21">
        <v>5.5</v>
      </c>
      <c r="D798" s="65" t="str">
        <f>HYPERLINK("https://github.com/stefdasca/CompetitiveProgramming/blob/master/Infoarena/amenzi.cpp","Sol")</f>
        <v>Sol</v>
      </c>
      <c r="E798" s="31" t="s">
        <v>1337</v>
      </c>
      <c r="F798" s="37" t="s">
        <v>139</v>
      </c>
      <c r="G798" s="24"/>
      <c r="H798" s="53"/>
    </row>
    <row r="799" spans="1:8" ht="13.2">
      <c r="A799" s="65" t="str">
        <f>HYPERLINK("https://github.com/mostafa-saad/MyCompetitiveProgramming/blob/master/Olympiad/infoarena/amici2-statement.txt","infoarena amici2")</f>
        <v>infoarena amici2</v>
      </c>
      <c r="B799" s="20" t="s">
        <v>7174</v>
      </c>
      <c r="C799" s="17">
        <v>6.5</v>
      </c>
      <c r="D799" s="65" t="str">
        <f>HYPERLINK("https://github.com/mostafa-saad/MyCompetitiveProgramming/blob/master/Olympiad/infoarena/infoarena_amici2.txt","Sol")</f>
        <v>Sol</v>
      </c>
      <c r="E799" s="31" t="s">
        <v>3467</v>
      </c>
      <c r="F799" s="37" t="s">
        <v>139</v>
      </c>
      <c r="G799" s="24"/>
      <c r="H799" s="53"/>
    </row>
    <row r="800" spans="1:8" ht="13.2">
      <c r="A800" s="65" t="str">
        <f>HYPERLINK("https://www.infoarena.ro/problema/anagrame","infoarena anagrame")</f>
        <v>infoarena anagrame</v>
      </c>
      <c r="B800" s="20" t="s">
        <v>6983</v>
      </c>
      <c r="C800" s="17">
        <v>7</v>
      </c>
      <c r="D800" s="65" t="str">
        <f>HYPERLINK("https://github.com/stefdasca/CompetitiveProgramming/blob/master/Infoarena/anagrame.cpp","Sol")</f>
        <v>Sol</v>
      </c>
      <c r="E800" s="31" t="s">
        <v>2153</v>
      </c>
      <c r="F800" s="37"/>
      <c r="G800" s="24"/>
      <c r="H800" s="53"/>
    </row>
    <row r="801" spans="1:8" ht="13.2">
      <c r="A801" s="65" t="str">
        <f>HYPERLINK("https://www.infoarena.ro/problema/aranjare","Infoarena aranjare")</f>
        <v>Infoarena aranjare</v>
      </c>
      <c r="B801" s="20" t="s">
        <v>7020</v>
      </c>
      <c r="C801" s="21">
        <v>5.5</v>
      </c>
      <c r="D801" s="65" t="str">
        <f>HYPERLINK("https://github.com/stefdasca/CompetitiveProgramming/blob/master/Infoarena/aranjare.cpp","Sol")</f>
        <v>Sol</v>
      </c>
      <c r="E801" s="31" t="s">
        <v>2153</v>
      </c>
      <c r="F801" s="37" t="s">
        <v>201</v>
      </c>
      <c r="G801" s="24"/>
      <c r="H801" s="53"/>
    </row>
    <row r="802" spans="1:8" ht="13.2">
      <c r="A802" s="65" t="str">
        <f>HYPERLINK("https://www.infoarena.ro/problema/arb","infoarena arb")</f>
        <v>infoarena arb</v>
      </c>
      <c r="B802" s="20" t="s">
        <v>1165</v>
      </c>
      <c r="C802" s="21">
        <v>6.1</v>
      </c>
      <c r="D802" s="69"/>
      <c r="E802" s="31" t="s">
        <v>1018</v>
      </c>
      <c r="F802" s="37"/>
      <c r="G802" s="24"/>
      <c r="H802" s="53"/>
    </row>
    <row r="803" spans="1:8" ht="13.2">
      <c r="A803" s="65" t="str">
        <f>HYPERLINK("https://www.infoarena.ro/problema/arb2","infoarena arb2")</f>
        <v>infoarena arb2</v>
      </c>
      <c r="B803" s="20" t="s">
        <v>7513</v>
      </c>
      <c r="C803" s="17">
        <v>6</v>
      </c>
      <c r="D803" s="65" t="str">
        <f>HYPERLINK("https://github.com/stefdasca/CompetitiveProgramming/blob/master/Infoarena/arb2.cpp","Sol")</f>
        <v>Sol</v>
      </c>
      <c r="E803" s="31" t="s">
        <v>6459</v>
      </c>
      <c r="F803" s="37"/>
      <c r="G803" s="24"/>
      <c r="H803" s="53"/>
    </row>
    <row r="804" spans="1:8" ht="13.2">
      <c r="A804" s="65" t="str">
        <f>HYPERLINK("https://infoarena.ro/problema/arb3","infoarena arb3")</f>
        <v>infoarena arb3</v>
      </c>
      <c r="B804" s="20" t="s">
        <v>7506</v>
      </c>
      <c r="C804" s="17">
        <v>6.25</v>
      </c>
      <c r="D804" s="65" t="str">
        <f>HYPERLINK("https://github.com/mostafa-saad/MyCompetitiveProgramming/blob/master/Olympiad/infoarena/infoarena-arb3.txt","Sol")</f>
        <v>Sol</v>
      </c>
      <c r="E804" s="31" t="s">
        <v>6459</v>
      </c>
      <c r="F804" s="37" t="s">
        <v>154</v>
      </c>
      <c r="G804" s="24"/>
      <c r="H804" s="53"/>
    </row>
    <row r="805" spans="1:8" ht="13.2">
      <c r="A805" s="65" t="str">
        <f>HYPERLINK("https://www.infoarena.ro/problema/arbore","infoarena arbore")</f>
        <v>infoarena arbore</v>
      </c>
      <c r="B805" s="20" t="s">
        <v>7483</v>
      </c>
      <c r="C805" s="21">
        <v>6</v>
      </c>
      <c r="D805" s="65" t="str">
        <f>HYPERLINK("https://github.com/mostafa-saad/MyCompetitiveProgramming/blob/master/Olympiad/infoarena/infoarena_arbore.txt","Sol")</f>
        <v>Sol</v>
      </c>
      <c r="E805" s="31" t="s">
        <v>6397</v>
      </c>
      <c r="F805" s="37" t="s">
        <v>201</v>
      </c>
      <c r="G805" s="24"/>
      <c r="H805" s="53"/>
    </row>
    <row r="806" spans="1:8" ht="13.2">
      <c r="A806" s="65" t="str">
        <f>HYPERLINK("https://www.infoarena.ro/problema/arbore7","infoarena arbore7")</f>
        <v>infoarena arbore7</v>
      </c>
      <c r="B806" s="20" t="s">
        <v>6458</v>
      </c>
      <c r="C806" s="17">
        <v>5.5</v>
      </c>
      <c r="D806" s="65" t="str">
        <f>HYPERLINK("https://github.com/mostafa-saad/MyCompetitiveProgramming/blob/master/Olympiad/infoarena/infoarena-arbore7.txt","Sol")</f>
        <v>Sol</v>
      </c>
      <c r="E806" s="31" t="s">
        <v>6459</v>
      </c>
      <c r="F806" s="37"/>
      <c r="G806" s="24"/>
      <c r="H806" s="53"/>
    </row>
    <row r="807" spans="1:8" ht="13.2">
      <c r="A807" s="65" t="str">
        <f>HYPERLINK("https://www.infoarena.ro/problema/asmin","infoarena asmin")</f>
        <v>infoarena asmin</v>
      </c>
      <c r="B807" s="20" t="s">
        <v>6914</v>
      </c>
      <c r="C807" s="21">
        <v>5.5</v>
      </c>
      <c r="D807" s="65" t="str">
        <f>HYPERLINK("https://github.com/stefdasca/CompetitiveProgramming/blob/master/Infoarena/asmin.cpp","Sol")</f>
        <v>Sol</v>
      </c>
      <c r="E807" s="31" t="s">
        <v>1337</v>
      </c>
      <c r="F807" s="37"/>
      <c r="G807" s="24"/>
      <c r="H807" s="53"/>
    </row>
    <row r="808" spans="1:8" ht="13.2">
      <c r="A808" s="65" t="str">
        <f>HYPERLINK("https://www.infoarena.ro/problema/bile6","infoarena bile6")</f>
        <v>infoarena bile6</v>
      </c>
      <c r="B808" s="20" t="s">
        <v>6642</v>
      </c>
      <c r="C808" s="17">
        <v>4.5</v>
      </c>
      <c r="D808" s="65" t="str">
        <f>HYPERLINK("https://github.com/stefdasca/CompetitiveProgramming/blob/master/Infoarena/bile6.cpp","Sol")</f>
        <v>Sol</v>
      </c>
      <c r="E808" s="31" t="s">
        <v>125</v>
      </c>
      <c r="F808" s="37"/>
      <c r="G808" s="24"/>
      <c r="H808" s="53"/>
    </row>
    <row r="809" spans="1:8" ht="13.2">
      <c r="A809" s="65" t="str">
        <f>HYPERLINK("https://www.infoarena.ro/problema/bitcost","infoarena bitcost")</f>
        <v>infoarena bitcost</v>
      </c>
      <c r="B809" s="20" t="s">
        <v>6628</v>
      </c>
      <c r="C809" s="21">
        <v>5</v>
      </c>
      <c r="D809" s="65" t="str">
        <f>HYPERLINK("https://github.com/stefdasca/CompetitiveProgramming/blob/master/Infoarena/bitcost.cpp","Sol")</f>
        <v>Sol</v>
      </c>
      <c r="E809" s="31" t="s">
        <v>125</v>
      </c>
      <c r="F809" s="37" t="s">
        <v>139</v>
      </c>
      <c r="G809" s="24"/>
      <c r="H809" s="53"/>
    </row>
    <row r="810" spans="1:8" ht="13.2">
      <c r="A810" s="65" t="str">
        <f>HYPERLINK("https://www.infoarena.ro/problema/borcane","infoarena borcane")</f>
        <v>infoarena borcane</v>
      </c>
      <c r="B810" s="20" t="s">
        <v>7029</v>
      </c>
      <c r="C810" s="21">
        <v>5</v>
      </c>
      <c r="D810" s="65" t="str">
        <f>HYPERLINK("https://github.com/stefdasca/CompetitiveProgramming/blob/master/Infoarena/borcane.cpp","Sol")</f>
        <v>Sol</v>
      </c>
      <c r="E810" s="31" t="s">
        <v>2153</v>
      </c>
      <c r="F810" s="37" t="s">
        <v>139</v>
      </c>
      <c r="G810" s="24"/>
      <c r="H810" s="53"/>
    </row>
    <row r="811" spans="1:8" ht="13.2">
      <c r="A811" s="65" t="str">
        <f>HYPERLINK("https://www.infoarena.ro/problema/bvarcolaci","infoarena bvarcolaci")</f>
        <v>infoarena bvarcolaci</v>
      </c>
      <c r="B811" s="20" t="s">
        <v>7477</v>
      </c>
      <c r="C811" s="17">
        <v>7</v>
      </c>
      <c r="D811" s="65" t="str">
        <f>HYPERLINK("https://github.com/stefdasca/CompetitiveProgramming/blob/master/Infoarena/bvarcolaci.cpp","Sol")</f>
        <v>Sol</v>
      </c>
      <c r="E811" s="31" t="s">
        <v>6397</v>
      </c>
      <c r="F811" s="37"/>
      <c r="G811" s="24"/>
      <c r="H811" s="53"/>
    </row>
    <row r="812" spans="1:8" ht="13.2">
      <c r="A812" s="65" t="str">
        <f>HYPERLINK("https://infoarena.ro/problema/calancea","Infoarena Calancea")</f>
        <v>Infoarena Calancea</v>
      </c>
      <c r="B812" s="74" t="s">
        <v>7413</v>
      </c>
      <c r="C812" s="80">
        <v>6.5</v>
      </c>
      <c r="D812" s="69"/>
      <c r="E812" s="31" t="s">
        <v>6040</v>
      </c>
      <c r="F812" s="37"/>
      <c r="G812" s="24"/>
      <c r="H812" s="53"/>
    </row>
    <row r="813" spans="1:8" ht="13.2">
      <c r="A813" s="65" t="str">
        <f>HYPERLINK("https://www.infoarena.ro/problema/calorifer","Infoarena calorifer")</f>
        <v>Infoarena calorifer</v>
      </c>
      <c r="B813" s="20" t="s">
        <v>7046</v>
      </c>
      <c r="C813" s="21">
        <v>3</v>
      </c>
      <c r="D813" s="65" t="str">
        <f>HYPERLINK("https://github.com/stefdasca/CompetitiveProgramming/blob/master/Infoarena/calorifer.cpp","Sol")</f>
        <v>Sol</v>
      </c>
      <c r="E813" s="31" t="s">
        <v>2153</v>
      </c>
      <c r="F813" s="37"/>
      <c r="G813" s="24"/>
      <c r="H813" s="53"/>
    </row>
    <row r="814" spans="1:8" ht="13.2">
      <c r="A814" s="65" t="str">
        <f>HYPERLINK("https://www.infoarena.ro/problema/cartite","infoarena cartite")</f>
        <v>infoarena cartite</v>
      </c>
      <c r="B814" s="20" t="s">
        <v>6660</v>
      </c>
      <c r="C814" s="21">
        <v>5</v>
      </c>
      <c r="D814" s="65" t="str">
        <f>HYPERLINK("https://github.com/stefdasca/CompetitiveProgramming/blob/master/Infoarena/cartite.cpp","Sol")</f>
        <v>Sol</v>
      </c>
      <c r="E814" s="31" t="s">
        <v>332</v>
      </c>
      <c r="F814" s="37"/>
      <c r="G814" s="24"/>
      <c r="H814" s="53"/>
    </row>
    <row r="815" spans="1:8" ht="13.2">
      <c r="A815" s="65" t="str">
        <f>HYPERLINK("https://www.infoarena.ro/problema/casute","infoarena casute")</f>
        <v>infoarena casute</v>
      </c>
      <c r="B815" s="20" t="s">
        <v>7292</v>
      </c>
      <c r="C815" s="21">
        <v>6.5</v>
      </c>
      <c r="D815" s="65" t="str">
        <f>HYPERLINK("https://github.com/mostafa-saad/MyCompetitiveProgramming/blob/master/Olympiad/infoarena/infoarena_casute.txt","Sol")</f>
        <v>Sol</v>
      </c>
      <c r="E815" s="31" t="s">
        <v>4454</v>
      </c>
      <c r="F815" s="37" t="s">
        <v>139</v>
      </c>
      <c r="G815" s="24"/>
      <c r="H815" s="53"/>
    </row>
    <row r="816" spans="1:8" ht="13.2">
      <c r="A816" s="65" t="str">
        <f>HYPERLINK("https://infoarena.ro/problema/cate3cifre","infoarena cate3cifre")</f>
        <v>infoarena cate3cifre</v>
      </c>
      <c r="B816" s="20" t="s">
        <v>4562</v>
      </c>
      <c r="C816" s="21">
        <v>4</v>
      </c>
      <c r="D816" s="65" t="str">
        <f>HYPERLINK("https://github.com/stefdasca/CompetitiveProgramming/blob/master/Infoarena/cate3cifre.cpp","Sol")</f>
        <v>Sol</v>
      </c>
      <c r="E816" s="31" t="s">
        <v>4531</v>
      </c>
      <c r="F816" s="37" t="s">
        <v>139</v>
      </c>
      <c r="G816" s="24"/>
      <c r="H816" s="53"/>
    </row>
    <row r="817" spans="1:8" ht="13.2">
      <c r="A817" s="65" t="str">
        <f>HYPERLINK("https://www.infoarena.ro/problema/cerc3","infoarena cerc3")</f>
        <v>infoarena cerc3</v>
      </c>
      <c r="B817" s="20" t="s">
        <v>1433</v>
      </c>
      <c r="C817" s="21">
        <v>3.5</v>
      </c>
      <c r="D817" s="65" t="str">
        <f>HYPERLINK("https://github.com/stefdasca/CompetitiveProgramming/blob/master/Infoarena/cerc3.cpp","Sol")</f>
        <v>Sol</v>
      </c>
      <c r="E817" s="31" t="s">
        <v>1337</v>
      </c>
      <c r="F817" s="37"/>
      <c r="G817" s="24"/>
      <c r="H817" s="53"/>
    </row>
    <row r="818" spans="1:8" ht="13.2">
      <c r="A818" s="65" t="str">
        <f>HYPERLINK("https://www.infoarena.ro/problema/cifra4","infoarena cifra4")</f>
        <v>infoarena cifra4</v>
      </c>
      <c r="B818" s="20" t="s">
        <v>7434</v>
      </c>
      <c r="C818" s="21">
        <v>5</v>
      </c>
      <c r="D818" s="65" t="str">
        <f>HYPERLINK("https://github.com/stefdasca/CompetitiveProgramming/blob/master/Infoarena/cifra4.cpp","Sol")</f>
        <v>Sol</v>
      </c>
      <c r="E818" s="31" t="s">
        <v>6118</v>
      </c>
      <c r="F818" s="37"/>
      <c r="G818" s="24"/>
      <c r="H818" s="53"/>
    </row>
    <row r="819" spans="1:8" ht="13.2">
      <c r="A819" s="65" t="str">
        <f>HYPERLINK("https://www.infoarena.ro/problema/cifru","infoarena cifru")</f>
        <v>infoarena cifru</v>
      </c>
      <c r="B819" s="20" t="s">
        <v>4964</v>
      </c>
      <c r="C819" s="21">
        <v>5.5</v>
      </c>
      <c r="D819" s="65" t="str">
        <f>HYPERLINK("https://github.com/stefdasca/CompetitiveProgramming/blob/master/Infoarena/cifru.cpp","Sol")</f>
        <v>Sol</v>
      </c>
      <c r="E819" s="31" t="s">
        <v>4958</v>
      </c>
      <c r="F819" s="37" t="s">
        <v>201</v>
      </c>
      <c r="G819" s="24"/>
      <c r="H819" s="53"/>
    </row>
    <row r="820" spans="1:8" ht="13.2">
      <c r="A820" s="65" t="str">
        <f>HYPERLINK("https://www.infoarena.ro/problema/cladiri","infoarena cladiri")</f>
        <v>infoarena cladiri</v>
      </c>
      <c r="B820" s="20" t="s">
        <v>6835</v>
      </c>
      <c r="C820" s="17">
        <v>7</v>
      </c>
      <c r="D820" s="65" t="str">
        <f>HYPERLINK("https://github.com/stefdasca/CompetitiveProgramming/blob/master/Infoarena/cladiri.cpp","Sol")</f>
        <v>Sol</v>
      </c>
      <c r="E820" s="31" t="s">
        <v>1337</v>
      </c>
      <c r="F820" s="37"/>
      <c r="G820" s="24"/>
      <c r="H820" s="53"/>
    </row>
    <row r="821" spans="1:8" ht="13.2">
      <c r="A821" s="65" t="str">
        <f>HYPERLINK("https://www.infoarena.ro/problema/cmmp","infoarena cmmp")</f>
        <v>infoarena cmmp</v>
      </c>
      <c r="B821" s="20" t="s">
        <v>5992</v>
      </c>
      <c r="C821" s="21">
        <v>4</v>
      </c>
      <c r="D821" s="65" t="str">
        <f>HYPERLINK("https://github.com/stefdasca/CompetitiveProgramming/blob/master/Infoarena/cmmp.cpp","Sol")</f>
        <v>Sol</v>
      </c>
      <c r="E821" s="31" t="s">
        <v>5958</v>
      </c>
      <c r="F821" s="37"/>
      <c r="G821" s="24"/>
      <c r="H821" s="53"/>
    </row>
    <row r="822" spans="1:8" ht="13.2">
      <c r="A822" s="65" t="str">
        <f>HYPERLINK("https://www.infoarena.ro/problema/color","infoarena color")</f>
        <v>infoarena color</v>
      </c>
      <c r="B822" s="20" t="s">
        <v>4964</v>
      </c>
      <c r="C822" s="21">
        <v>4.5</v>
      </c>
      <c r="D822" s="65" t="str">
        <f>HYPERLINK("https://github.com/stefdasca/CompetitiveProgramming/blob/master/Infoarena/color.cpp","Sol")</f>
        <v>Sol</v>
      </c>
      <c r="E822" s="31" t="s">
        <v>4958</v>
      </c>
      <c r="F822" s="37"/>
      <c r="G822" s="24"/>
      <c r="H822" s="53"/>
    </row>
    <row r="823" spans="1:8" ht="13.2">
      <c r="A823" s="65" t="str">
        <f>HYPERLINK("https://www.infoarena.ro/problema/color5","infoarena color5")</f>
        <v>infoarena color5</v>
      </c>
      <c r="B823" s="20" t="s">
        <v>3398</v>
      </c>
      <c r="C823" s="21">
        <v>5.5</v>
      </c>
      <c r="D823" s="69"/>
      <c r="E823" s="31" t="s">
        <v>3257</v>
      </c>
      <c r="F823" s="37" t="s">
        <v>201</v>
      </c>
      <c r="G823" s="24"/>
      <c r="H823" s="53"/>
    </row>
    <row r="824" spans="1:8" ht="13.2">
      <c r="A824" s="65" t="str">
        <f>HYPERLINK("http://www.infoarena.ro/problema/copaci","infoarena copaci")</f>
        <v>infoarena copaci</v>
      </c>
      <c r="B824" s="28" t="s">
        <v>3129</v>
      </c>
      <c r="C824" s="24">
        <v>6</v>
      </c>
      <c r="D824" s="65" t="str">
        <f>HYPERLINK("https://ideone.com/iT1ggW","Sol")</f>
        <v>Sol</v>
      </c>
      <c r="E824" s="31" t="s">
        <v>3130</v>
      </c>
      <c r="F824" s="37"/>
      <c r="G824" s="24"/>
      <c r="H824" s="53"/>
    </row>
    <row r="825" spans="1:8" ht="13.2">
      <c r="A825" s="65" t="str">
        <f>HYPERLINK("https://www.infoarena.ro/problema/copii2","infoarena copii2")</f>
        <v>infoarena copii2</v>
      </c>
      <c r="B825" s="75" t="s">
        <v>7039</v>
      </c>
      <c r="C825" s="17">
        <v>4.5</v>
      </c>
      <c r="D825" s="65" t="str">
        <f>HYPERLINK("https://github.com/stefdasca/CompetitiveProgramming/blob/master/Infoarena/copii2.cpp","Sol")</f>
        <v>Sol</v>
      </c>
      <c r="E825" s="31" t="s">
        <v>2153</v>
      </c>
      <c r="F825" s="37"/>
      <c r="G825" s="24"/>
      <c r="H825" s="53"/>
    </row>
    <row r="826" spans="1:8" ht="13.2">
      <c r="A826" s="65" t="str">
        <f>HYPERLINK("https://www.infoarena.ro/problema/countfefete","infoarena countfefete")</f>
        <v>infoarena countfefete</v>
      </c>
      <c r="B826" s="20" t="s">
        <v>7347</v>
      </c>
      <c r="C826" s="17">
        <v>7</v>
      </c>
      <c r="D826" s="65" t="str">
        <f>HYPERLINK("https://github.com/mostafa-saad/MyCompetitiveProgramming/blob/master/Olympiad/infoarena/infoarena_countfefete.txt","Sol")</f>
        <v>Sol</v>
      </c>
      <c r="E826" s="31" t="s">
        <v>5134</v>
      </c>
      <c r="F826" s="37" t="s">
        <v>139</v>
      </c>
      <c r="G826" s="24"/>
      <c r="H826" s="53"/>
    </row>
    <row r="827" spans="1:8" ht="13.2">
      <c r="A827" s="65" t="str">
        <f>HYPERLINK("https://www.infoarena.ro/problema/cover","infoarena cover")</f>
        <v>infoarena cover</v>
      </c>
      <c r="B827" s="37" t="s">
        <v>6683</v>
      </c>
      <c r="C827" s="21">
        <v>6.5</v>
      </c>
      <c r="D827" s="65" t="str">
        <f>HYPERLINK("https://github.com/stefdasca/CompetitiveProgramming/blob/master/Infoarena/cover.cpp","Sol")</f>
        <v>Sol</v>
      </c>
      <c r="E827" s="31" t="s">
        <v>575</v>
      </c>
      <c r="F827" s="37"/>
      <c r="G827" s="24"/>
      <c r="H827" s="53"/>
    </row>
    <row r="828" spans="1:8" ht="13.2">
      <c r="A828" s="65" t="str">
        <f>HYPERLINK("https://www.infoarena.ro/problema/covor","infoarena covor")</f>
        <v>infoarena covor</v>
      </c>
      <c r="B828" s="20" t="s">
        <v>6637</v>
      </c>
      <c r="C828" s="17">
        <v>5</v>
      </c>
      <c r="D828" s="65" t="str">
        <f>HYPERLINK("https://github.com/stefdasca/CompetitiveProgramming/blob/master/Infoarena/covor","Sol")</f>
        <v>Sol</v>
      </c>
      <c r="E828" s="31" t="s">
        <v>125</v>
      </c>
      <c r="F828" s="37"/>
      <c r="G828" s="24"/>
      <c r="H828" s="53"/>
    </row>
    <row r="829" spans="1:8" ht="13.2">
      <c r="A829" s="65" t="str">
        <f>HYPERLINK("https://www.infoarena.ro/problema/euclid1","infoarena cuiburi")</f>
        <v>infoarena cuiburi</v>
      </c>
      <c r="B829" s="20" t="s">
        <v>7078</v>
      </c>
      <c r="C829" s="17">
        <v>5.5</v>
      </c>
      <c r="D829" s="65" t="str">
        <f>HYPERLINK("https://github.com/stefdasca/CompetitiveProgramming/blob/master/Infoarena/cuiburi.cpp","Sol")</f>
        <v>Sol</v>
      </c>
      <c r="E829" s="31" t="s">
        <v>2510</v>
      </c>
      <c r="F829" s="37"/>
      <c r="G829" s="24"/>
      <c r="H829" s="53"/>
    </row>
    <row r="830" spans="1:8" ht="13.2">
      <c r="A830" s="65" t="str">
        <f>HYPERLINK("https://www.infoarena.ro/problema/culmi","Infoarena culmi")</f>
        <v>Infoarena culmi</v>
      </c>
      <c r="B830" s="20" t="s">
        <v>6858</v>
      </c>
      <c r="C830" s="21">
        <v>6.5</v>
      </c>
      <c r="D830" s="65" t="str">
        <f>HYPERLINK("https://github.com/stefdasca/CompetitiveProgramming/blob/master/Infoarena/culmi.cpp","Sol")</f>
        <v>Sol</v>
      </c>
      <c r="E830" s="31" t="s">
        <v>1337</v>
      </c>
      <c r="F830" s="37" t="s">
        <v>201</v>
      </c>
      <c r="G830" s="24"/>
      <c r="H830" s="53"/>
    </row>
    <row r="831" spans="1:8" ht="13.2">
      <c r="A831" s="65" t="str">
        <f>HYPERLINK("https://www.infoarena.ro/problema/cuplaje","infoarena cuplaje")</f>
        <v>infoarena cuplaje</v>
      </c>
      <c r="B831" s="20" t="s">
        <v>2248</v>
      </c>
      <c r="C831" s="21">
        <v>5</v>
      </c>
      <c r="D831" s="69"/>
      <c r="E831" s="31" t="s">
        <v>2153</v>
      </c>
      <c r="F831" s="37" t="s">
        <v>201</v>
      </c>
      <c r="G831" s="24"/>
      <c r="H831" s="53"/>
    </row>
    <row r="832" spans="1:8" ht="13.2">
      <c r="A832" s="65" t="str">
        <f>HYPERLINK("https://www.infoarena.ro/problema/curent","infoarena curent")</f>
        <v>infoarena curent</v>
      </c>
      <c r="B832" s="20" t="s">
        <v>7142</v>
      </c>
      <c r="C832" s="17">
        <v>6.3</v>
      </c>
      <c r="D832" s="65" t="str">
        <f>HYPERLINK("https://github.com/stefdasca/CompetitiveProgramming/blob/master/Infoarena/curent.cpp","Sol")</f>
        <v>Sol</v>
      </c>
      <c r="E832" s="31" t="s">
        <v>3257</v>
      </c>
      <c r="F832" s="37"/>
      <c r="G832" s="24"/>
      <c r="H832" s="53"/>
    </row>
    <row r="833" spans="1:8" ht="13.2">
      <c r="A833" s="65" t="str">
        <f>HYPERLINK("https://www.infoarena.ro/problema/asmin","infoarena danger")</f>
        <v>infoarena danger</v>
      </c>
      <c r="B833" s="20" t="s">
        <v>7034</v>
      </c>
      <c r="C833" s="21">
        <v>5</v>
      </c>
      <c r="D833" s="65" t="str">
        <f>HYPERLINK("https://github.com/stefdasca/CompetitiveProgramming/blob/master/Infoarena/danger.cpp","Sol")</f>
        <v>Sol</v>
      </c>
      <c r="E833" s="31" t="s">
        <v>2153</v>
      </c>
      <c r="F833" s="37"/>
      <c r="G833" s="24"/>
      <c r="H833" s="53"/>
    </row>
    <row r="834" spans="1:8" ht="13.2">
      <c r="A834" s="65" t="str">
        <f>HYPERLINK("https://infoarena.ro/problema/deletegcd","infoarena deletegcd")</f>
        <v>infoarena deletegcd</v>
      </c>
      <c r="B834" s="37" t="s">
        <v>7356</v>
      </c>
      <c r="C834" s="24">
        <v>6.7</v>
      </c>
      <c r="D834" s="65" t="str">
        <f>HYPERLINK("https://github.com/mostafa-saad/MyCompetitiveProgramming/blob/master/Olympiad/infoarena/infoarena_deletegcd.txt","Sol")</f>
        <v>Sol</v>
      </c>
      <c r="E834" s="31" t="s">
        <v>5414</v>
      </c>
      <c r="F834" s="37" t="s">
        <v>201</v>
      </c>
      <c r="G834" s="24"/>
      <c r="H834" s="53"/>
    </row>
    <row r="835" spans="1:8" ht="13.2">
      <c r="A835" s="65" t="str">
        <f>HYPERLINK("https://www.infoarena.ro/problema/desc", "Infoarena Desc")</f>
        <v>Infoarena Desc</v>
      </c>
      <c r="B835" s="20" t="s">
        <v>6862</v>
      </c>
      <c r="C835" s="17">
        <v>6.4</v>
      </c>
      <c r="D835" s="65" t="str">
        <f>HYPERLINK("https://github.com/mostafa-saad/MyCompetitiveProgramming/blob/master/Olympiad/infoarena/Infoarena_Desc.txt","Sol")</f>
        <v>Sol</v>
      </c>
      <c r="E835" s="31" t="s">
        <v>1337</v>
      </c>
      <c r="F835" s="37" t="s">
        <v>196</v>
      </c>
      <c r="G835" s="24"/>
      <c r="H835" s="53"/>
    </row>
    <row r="836" spans="1:8" ht="13.2">
      <c r="A836" s="65" t="str">
        <f>HYPERLINK("https://www.infoarena.ro/problema/disconnect", "infoarena disconnect")</f>
        <v>infoarena disconnect</v>
      </c>
      <c r="B836" s="20" t="s">
        <v>7446</v>
      </c>
      <c r="C836" s="17">
        <v>7</v>
      </c>
      <c r="D836" s="65" t="str">
        <f>HYPERLINK("https://github.com/mostafa-saad/MyCompetitiveProgramming/blob/master/Olympiad/infoarena/infoarena-disconnect.txt","Sol")</f>
        <v>Sol</v>
      </c>
      <c r="E836" s="31" t="s">
        <v>6311</v>
      </c>
      <c r="F836" s="37" t="s">
        <v>139</v>
      </c>
      <c r="G836" s="24"/>
      <c r="H836" s="53"/>
    </row>
    <row r="837" spans="1:8" ht="13.2">
      <c r="A837" s="65" t="str">
        <f>HYPERLINK("https://www.infoarena.ro/problema/drept2","infoarena drept2")</f>
        <v>infoarena drept2</v>
      </c>
      <c r="B837" s="20" t="s">
        <v>7418</v>
      </c>
      <c r="C837" s="21">
        <v>5.5</v>
      </c>
      <c r="D837" s="69"/>
      <c r="E837" s="31" t="s">
        <v>6040</v>
      </c>
      <c r="F837" s="37"/>
      <c r="G837" s="24"/>
      <c r="H837" s="53"/>
    </row>
    <row r="838" spans="1:8" ht="13.2">
      <c r="A838" s="65" t="str">
        <f>HYPERLINK("https://github.com/mostafa-saad/MyCompetitiveProgramming/blob/master/Olympiad/infoarena/drumuri5-statement.txt","infoarena drumuri5")</f>
        <v>infoarena drumuri5</v>
      </c>
      <c r="B838" s="20" t="s">
        <v>7273</v>
      </c>
      <c r="C838" s="17">
        <v>7</v>
      </c>
      <c r="D838" s="65" t="str">
        <f>HYPERLINK("https://github.com/stefdasca/CompetitiveProgramming/blob/master/Infoarena/drumuri5.cpp","Sol")</f>
        <v>Sol</v>
      </c>
      <c r="E838" s="31" t="s">
        <v>4344</v>
      </c>
      <c r="F838" s="37"/>
      <c r="G838" s="24"/>
      <c r="H838" s="53"/>
    </row>
    <row r="839" spans="1:8" ht="13.2">
      <c r="A839" s="65" t="str">
        <f>HYPERLINK("infoarena.ro/problema/engineer","infoarena engineer")</f>
        <v>infoarena engineer</v>
      </c>
      <c r="B839" s="20" t="s">
        <v>6717</v>
      </c>
      <c r="C839" s="17">
        <v>6.8</v>
      </c>
      <c r="D839" s="65" t="str">
        <f>HYPERLINK("https://github.com/stefdasca/CompetitiveProgramming/blob/master/Infoarena/engineer.cpp","Sol")</f>
        <v>Sol</v>
      </c>
      <c r="E839" s="31" t="s">
        <v>805</v>
      </c>
      <c r="F839" s="37" t="s">
        <v>139</v>
      </c>
      <c r="G839" s="24"/>
      <c r="H839" s="53"/>
    </row>
    <row r="840" spans="1:8" ht="13.2">
      <c r="A840" s="65" t="str">
        <f>HYPERLINK("https://infoarena.ro/problema/eq","infoarena eq")</f>
        <v>infoarena eq</v>
      </c>
      <c r="B840" s="20" t="s">
        <v>6690</v>
      </c>
      <c r="C840" s="17">
        <v>6</v>
      </c>
      <c r="D840" s="65" t="str">
        <f>HYPERLINK("https://github.com/mostafa-saad/MyCompetitiveProgramming/blob/master/Olympiad/infoarena/infoarena-eq.txt","Sol")</f>
        <v>Sol</v>
      </c>
      <c r="E840" s="31" t="s">
        <v>575</v>
      </c>
      <c r="F840" s="37" t="s">
        <v>139</v>
      </c>
      <c r="G840" s="24"/>
      <c r="H840" s="53"/>
    </row>
    <row r="841" spans="1:8" ht="13.2">
      <c r="A841" s="65" t="str">
        <f>HYPERLINK("https://www.infoarena.ro/problema/fft2d","infoarena fft2d")</f>
        <v>infoarena fft2d</v>
      </c>
      <c r="B841" s="20" t="s">
        <v>6839</v>
      </c>
      <c r="C841" s="21">
        <v>6.75</v>
      </c>
      <c r="D841" s="65" t="str">
        <f>HYPERLINK("https://github.com/mostafa-saad/MyCompetitiveProgramming/blob/master/Olympiad/infoarena/infoarena_fft2d.txt","Sol")</f>
        <v>Sol</v>
      </c>
      <c r="E841" s="31" t="s">
        <v>1337</v>
      </c>
      <c r="F841" s="37" t="s">
        <v>139</v>
      </c>
      <c r="G841" s="24"/>
      <c r="H841" s="53"/>
    </row>
    <row r="842" spans="1:8" ht="13.2">
      <c r="A842" s="65" t="str">
        <f>HYPERLINK("https://www.infoarena.ro/problema/fibo4","infoarena fibo4")</f>
        <v>infoarena fibo4</v>
      </c>
      <c r="B842" s="20" t="s">
        <v>6784</v>
      </c>
      <c r="C842" s="21">
        <v>6</v>
      </c>
      <c r="D842" s="65" t="str">
        <f>HYPERLINK("https://github.com/mostafa-saad/MyCompetitiveProgramming/blob/master/Olympiad/infoarena/infoarena_fibo4.txt","Sol")</f>
        <v>Sol</v>
      </c>
      <c r="E842" s="31" t="s">
        <v>1018</v>
      </c>
      <c r="F842" s="37" t="s">
        <v>139</v>
      </c>
      <c r="G842" s="24"/>
      <c r="H842" s="53"/>
    </row>
    <row r="843" spans="1:8" ht="13.2">
      <c r="A843" s="65" t="str">
        <f>HYPERLINK("https://www.infoarena.ro/problema/grea","Infoarena grea")</f>
        <v>Infoarena grea</v>
      </c>
      <c r="B843" s="20" t="s">
        <v>7177</v>
      </c>
      <c r="C843" s="21">
        <v>5.5</v>
      </c>
      <c r="D843" s="65" t="str">
        <f>HYPERLINK("https://github.com/stefdasca/CompetitiveProgramming/blob/master/Infoarena/grea.cpp","Sol")</f>
        <v>Sol</v>
      </c>
      <c r="E843" s="31" t="s">
        <v>3467</v>
      </c>
      <c r="F843" s="37"/>
      <c r="G843" s="24"/>
      <c r="H843" s="53"/>
    </row>
    <row r="844" spans="1:8" ht="13.2">
      <c r="A844" s="65" t="str">
        <f>HYPERLINK("https://www.infoarena.ro/problema/greutati","infoarena greutati")</f>
        <v>infoarena greutati</v>
      </c>
      <c r="B844" s="20" t="s">
        <v>6616</v>
      </c>
      <c r="C844" s="17">
        <v>5</v>
      </c>
      <c r="D844" s="65" t="str">
        <f>HYPERLINK("https://github.com/stefdasca/CompetitiveProgramming/blob/master/Infoarena/greutati.cpp","Sol")</f>
        <v>Sol</v>
      </c>
      <c r="E844" s="31" t="s">
        <v>125</v>
      </c>
      <c r="F844" s="37"/>
      <c r="G844" s="24"/>
      <c r="H844" s="53"/>
    </row>
    <row r="845" spans="1:8" ht="13.2">
      <c r="A845" s="65" t="str">
        <f>HYPERLINK("https://infoarena.ro/problema/hacker2","infoarena hacker2")</f>
        <v>infoarena hacker2</v>
      </c>
      <c r="B845" s="20" t="s">
        <v>7295</v>
      </c>
      <c r="C845" s="21">
        <v>6.5</v>
      </c>
      <c r="D845" s="65" t="str">
        <f>HYPERLINK("https://github.com/stefdasca/CompetitiveProgramming/blob/master/Infoarena/hacker2.cpp","Sol")</f>
        <v>Sol</v>
      </c>
      <c r="E845" s="31" t="s">
        <v>4454</v>
      </c>
      <c r="F845" s="37"/>
      <c r="G845" s="24"/>
      <c r="H845" s="53"/>
    </row>
    <row r="846" spans="1:8" ht="13.2">
      <c r="A846" s="65" t="str">
        <f>HYPERLINK("https://www.infoarena.ro/problema/heavymetal","infoarena heavymetal")</f>
        <v>infoarena heavymetal</v>
      </c>
      <c r="B846" s="20" t="s">
        <v>6706</v>
      </c>
      <c r="C846" s="17">
        <v>4</v>
      </c>
      <c r="D846" s="65" t="str">
        <f>HYPERLINK("https://github.com/stefdasca/CompetitiveProgramming/blob/master/Infoarena/heavymetal.cpp","Sol")</f>
        <v>Sol</v>
      </c>
      <c r="E846" s="31" t="s">
        <v>575</v>
      </c>
      <c r="F846" s="37"/>
      <c r="G846" s="24"/>
      <c r="H846" s="53"/>
    </row>
    <row r="847" spans="1:8" ht="13.2">
      <c r="A847" s="65" t="str">
        <f>HYPERLINK("https://www.infoarena.ro/problema/identice","infoarena identice")</f>
        <v>infoarena identice</v>
      </c>
      <c r="B847" s="20" t="s">
        <v>6616</v>
      </c>
      <c r="C847" s="17">
        <v>6</v>
      </c>
      <c r="D847" s="65" t="str">
        <f>HYPERLINK("https://github.com/stefdasca/CompetitiveProgramming/blob/master/Infoarena/identice","Sol")</f>
        <v>Sol</v>
      </c>
      <c r="E847" s="31" t="s">
        <v>125</v>
      </c>
      <c r="F847" s="37"/>
      <c r="G847" s="24"/>
      <c r="H847" s="53"/>
    </row>
    <row r="848" spans="1:8" ht="13.2">
      <c r="A848" s="65" t="str">
        <f>HYPERLINK("https://www.infoarena.ro/problema/incurcatura","infoarena incurcatura")</f>
        <v>infoarena incurcatura</v>
      </c>
      <c r="B848" s="20" t="s">
        <v>7165</v>
      </c>
      <c r="C848" s="17">
        <v>4.5</v>
      </c>
      <c r="D848" s="65" t="str">
        <f>HYPERLINK("https://github.com/stefdasca/CompetitiveProgramming/blob/master/Infoarena/incurcatura.cpp","Sol")</f>
        <v>Sol</v>
      </c>
      <c r="E848" s="31" t="s">
        <v>3257</v>
      </c>
      <c r="F848" s="37"/>
      <c r="G848" s="24"/>
      <c r="H848" s="53"/>
    </row>
    <row r="849" spans="1:8" ht="13.2">
      <c r="A849" s="65" t="str">
        <f>HYPERLINK("https://www.infoarena.ro/problema/interact","infoarena interact")</f>
        <v>infoarena interact</v>
      </c>
      <c r="B849" s="37" t="s">
        <v>6620</v>
      </c>
      <c r="C849" s="24">
        <v>5.5</v>
      </c>
      <c r="D849" s="65" t="str">
        <f>HYPERLINK("https://github.com/mostafa-saad/MyCompetitiveProgramming/blob/master/Olympiad/infoarena/infoarena-interact.txt","Sol")</f>
        <v>Sol</v>
      </c>
      <c r="E849" s="31" t="s">
        <v>125</v>
      </c>
      <c r="F849" s="37" t="s">
        <v>139</v>
      </c>
      <c r="G849" s="24"/>
      <c r="H849" s="53"/>
    </row>
    <row r="850" spans="1:8" ht="13.2">
      <c r="A850" s="65" t="str">
        <f>HYPERLINK("https://www.infoarena.ro/problema/jap2","infoarena jap2")</f>
        <v>infoarena jap2</v>
      </c>
      <c r="B850" s="20" t="s">
        <v>7315</v>
      </c>
      <c r="C850" s="17">
        <v>6.25</v>
      </c>
      <c r="D850" s="65" t="str">
        <f>HYPERLINK("https://github.com/mostafa-saad/MyCompetitiveProgramming/blob/master/Olympiad/infoarena/infoarena-jap2.txt","Sol")</f>
        <v>Sol</v>
      </c>
      <c r="E850" s="31" t="s">
        <v>4531</v>
      </c>
      <c r="F850" s="37"/>
      <c r="G850" s="24"/>
      <c r="H850" s="53"/>
    </row>
    <row r="851" spans="1:8" ht="13.2">
      <c r="A851" s="65" t="str">
        <f>HYPERLINK("https://www.infoarena.ro/problema/jsched","infoarena jsched")</f>
        <v>infoarena jsched</v>
      </c>
      <c r="B851" s="20" t="s">
        <v>7042</v>
      </c>
      <c r="C851" s="17">
        <v>4</v>
      </c>
      <c r="D851" s="65" t="str">
        <f>HYPERLINK("https://github.com/stefdasca/CompetitiveProgramming/blob/master/Infoarena/jsched.cpp","Sol")</f>
        <v>Sol</v>
      </c>
      <c r="E851" s="31" t="s">
        <v>2153</v>
      </c>
      <c r="F851" s="37"/>
      <c r="G851" s="24"/>
      <c r="H851" s="53"/>
    </row>
    <row r="852" spans="1:8" ht="13.2">
      <c r="A852" s="65" t="str">
        <f>HYPERLINK("https://www.infoarena.ro/problema/karb","infoarena karb")</f>
        <v>infoarena karb</v>
      </c>
      <c r="B852" s="20" t="s">
        <v>7268</v>
      </c>
      <c r="C852" s="21">
        <v>6</v>
      </c>
      <c r="D852" s="65" t="str">
        <f>HYPERLINK("https://github.com/mostafa-saad/MyCompetitiveProgramming/blob/master/Olympiad/infoarena/infoarena-karb.txt","Sol")</f>
        <v>Sol</v>
      </c>
      <c r="E852" s="31" t="s">
        <v>4275</v>
      </c>
      <c r="F852" s="37" t="s">
        <v>139</v>
      </c>
      <c r="G852" s="24"/>
      <c r="H852" s="53"/>
    </row>
    <row r="853" spans="1:8" ht="13.2">
      <c r="A853" s="65" t="str">
        <f>HYPERLINK("https://www.infoarena.ro/problema/kcover","infoarena kcover")</f>
        <v>infoarena kcover</v>
      </c>
      <c r="B853" s="20" t="s">
        <v>7043</v>
      </c>
      <c r="C853" s="17">
        <v>4</v>
      </c>
      <c r="D853" s="65" t="str">
        <f>HYPERLINK("https://github.com/stefdasca/CompetitiveProgramming/blob/master/Infoarena/kcover.cpp","Sol")</f>
        <v>Sol</v>
      </c>
      <c r="E853" s="31" t="s">
        <v>2153</v>
      </c>
      <c r="F853" s="37"/>
      <c r="G853" s="24"/>
      <c r="H853" s="53"/>
    </row>
    <row r="854" spans="1:8" ht="13.2">
      <c r="A854" s="65" t="str">
        <f>HYPERLINK("https://infoarena.ro/problema/kdtree","infoarena kdtree")</f>
        <v>infoarena kdtree</v>
      </c>
      <c r="B854" s="20" t="s">
        <v>7010</v>
      </c>
      <c r="C854" s="17">
        <v>6</v>
      </c>
      <c r="D854" s="65" t="str">
        <f>HYPERLINK("https://github.com/stefdasca/CompetitiveProgramming/blob/master/Infoarena/kdtree.cpp","Sol")</f>
        <v>Sol</v>
      </c>
      <c r="E854" s="31" t="s">
        <v>2153</v>
      </c>
      <c r="F854" s="37" t="s">
        <v>139</v>
      </c>
      <c r="G854" s="24"/>
      <c r="H854" s="53"/>
    </row>
    <row r="855" spans="1:8" ht="13.2">
      <c r="A855" s="65" t="str">
        <f>HYPERLINK("https://www.infoarena.ro/problema/kinder","infoarena kinder")</f>
        <v>infoarena kinder</v>
      </c>
      <c r="B855" s="20" t="s">
        <v>6760</v>
      </c>
      <c r="C855" s="21">
        <v>7</v>
      </c>
      <c r="D855" s="65" t="str">
        <f>HYPERLINK("https://github.com/stefdasca/CompetitiveProgramming/blob/master/Infoarena/kinder.cpp","Sol")</f>
        <v>Sol</v>
      </c>
      <c r="E855" s="31" t="s">
        <v>1018</v>
      </c>
      <c r="F855" s="37"/>
      <c r="G855" s="24"/>
      <c r="H855" s="53"/>
    </row>
    <row r="856" spans="1:8" ht="13.2">
      <c r="A856" s="65" t="str">
        <f>HYPERLINK("https://www.infoarena.ro/problema/ksecv","infoarena ksecv")</f>
        <v>infoarena ksecv</v>
      </c>
      <c r="B856" s="20" t="s">
        <v>6859</v>
      </c>
      <c r="C856" s="17">
        <v>6.5</v>
      </c>
      <c r="D856" s="65" t="str">
        <f>HYPERLINK("https://github.com/stefdasca/CompetitiveProgramming/blob/master/Infoarena/ksecv.cpp","Sol")</f>
        <v>Sol</v>
      </c>
      <c r="E856" s="31" t="s">
        <v>1337</v>
      </c>
      <c r="F856" s="37"/>
      <c r="G856" s="24"/>
      <c r="H856" s="53"/>
    </row>
    <row r="857" spans="1:8" ht="13.2">
      <c r="A857" s="65" t="str">
        <f>HYPERLINK("https://www.infoarena.ro/problema/lautari","Infoarena lautari")</f>
        <v>Infoarena lautari</v>
      </c>
      <c r="B857" s="20" t="s">
        <v>7419</v>
      </c>
      <c r="C857" s="21">
        <v>4</v>
      </c>
      <c r="D857" s="65" t="str">
        <f>HYPERLINK("https://github.com/stefdasca/CompetitiveProgramming/blob/master/Infoarena/lautari.cpp","Sol")</f>
        <v>Sol</v>
      </c>
      <c r="E857" s="31" t="s">
        <v>6040</v>
      </c>
      <c r="F857" s="37"/>
      <c r="G857" s="24"/>
      <c r="H857" s="53"/>
    </row>
    <row r="858" spans="1:8" ht="13.2">
      <c r="A858" s="65" t="str">
        <f>HYPERLINK("https://www.infoarena.ro/problema/lcdr", "infoarena lcdr")</f>
        <v>infoarena lcdr</v>
      </c>
      <c r="B858" s="20" t="s">
        <v>6886</v>
      </c>
      <c r="C858" s="17">
        <v>6</v>
      </c>
      <c r="D858" s="65" t="str">
        <f>HYPERLINK("https://github.com/mostafa-saad/MyCompetitiveProgramming/blob/master/Olympiad/infoarena/infoarena_lcdr.txt","Sol")</f>
        <v>Sol</v>
      </c>
      <c r="E858" s="31" t="s">
        <v>1337</v>
      </c>
      <c r="F858" s="37" t="s">
        <v>139</v>
      </c>
      <c r="G858" s="24"/>
      <c r="H858" s="53"/>
    </row>
    <row r="859" spans="1:8" ht="13.2">
      <c r="A859" s="65" t="str">
        <f>HYPERLINK("https://www.infoarena.ro/problema/marceland","infoarena marceland")</f>
        <v>infoarena marceland</v>
      </c>
      <c r="B859" s="20" t="s">
        <v>6665</v>
      </c>
      <c r="C859" s="21">
        <v>3.5</v>
      </c>
      <c r="D859" s="65" t="str">
        <f>HYPERLINK("https://github.com/stefdasca/CompetitiveProgramming/blob/master/Infoarena/marceland.cpp","Sol")</f>
        <v>Sol</v>
      </c>
      <c r="E859" s="31" t="s">
        <v>332</v>
      </c>
      <c r="F859" s="37"/>
      <c r="G859" s="24"/>
      <c r="H859" s="53"/>
    </row>
    <row r="860" spans="1:8" ht="13.2">
      <c r="A860" s="65" t="str">
        <f>HYPERLINK("https://www.infoarena.ro/problema/matcnt", "infoarena matcnt")</f>
        <v>infoarena matcnt</v>
      </c>
      <c r="B860" s="20" t="s">
        <v>1406</v>
      </c>
      <c r="C860" s="17">
        <v>6.75</v>
      </c>
      <c r="D860" s="65" t="str">
        <f>HYPERLINK("https://github.com/mostafa-saad/MyCompetitiveProgramming/blob/master/Olympiad/infoarena/infoarena_matcnt.txt","Sol")</f>
        <v>Sol</v>
      </c>
      <c r="E860" s="31" t="s">
        <v>1337</v>
      </c>
      <c r="F860" s="37" t="s">
        <v>139</v>
      </c>
      <c r="G860" s="24"/>
      <c r="H860" s="53"/>
    </row>
    <row r="861" spans="1:8" ht="13.2">
      <c r="A861" s="65" t="str">
        <f>HYPERLINK("https://www.infoarena.ro/problema/matrice","infoarena matrice")</f>
        <v>infoarena matrice</v>
      </c>
      <c r="B861" s="20" t="s">
        <v>7320</v>
      </c>
      <c r="C861" s="24">
        <v>6</v>
      </c>
      <c r="D861" s="65" t="str">
        <f>HYPERLINK("https://github.com/stefdasca/CompetitiveProgramming/blob/master/Infoarena/matrice.cpp","Sol")</f>
        <v>Sol</v>
      </c>
      <c r="E861" s="31" t="s">
        <v>4531</v>
      </c>
      <c r="F861" s="37" t="s">
        <v>201</v>
      </c>
      <c r="G861" s="24"/>
      <c r="H861" s="53"/>
    </row>
    <row r="862" spans="1:8" ht="13.2">
      <c r="A862" s="65" t="str">
        <f>HYPERLINK("https://www.infoarena.ro/problema/matrice2","infoarena matrice2")</f>
        <v>infoarena matrice2</v>
      </c>
      <c r="B862" s="20" t="s">
        <v>7696</v>
      </c>
      <c r="C862" s="21">
        <v>6</v>
      </c>
      <c r="D862" s="65" t="str">
        <f>HYPERLINK("https://github.com/mostafa-saad/MyCompetitiveProgramming/blob/master/Olympiad/infoarena/infoarena_matrice2.txt","Sol")</f>
        <v>Sol</v>
      </c>
      <c r="E862" s="31" t="s">
        <v>3883</v>
      </c>
      <c r="F862" s="37" t="s">
        <v>201</v>
      </c>
      <c r="G862" s="24"/>
      <c r="H862" s="53"/>
    </row>
    <row r="863" spans="1:8" ht="13.2">
      <c r="A863" s="65" t="str">
        <f>HYPERLINK("https://infoarena.ro/problema/maxdist","infoarena maxdist")</f>
        <v>infoarena maxdist</v>
      </c>
      <c r="B863" s="37" t="s">
        <v>7135</v>
      </c>
      <c r="C863" s="24">
        <v>6.5</v>
      </c>
      <c r="D863" s="65" t="str">
        <f>HYPERLINK("https://github.com/mostafa-saad/MyCompetitiveProgramming/blob/master/Olympiad/infoarena/infoarena_maxdist.txt","Sol")</f>
        <v>Sol</v>
      </c>
      <c r="E863" s="31" t="s">
        <v>3257</v>
      </c>
      <c r="F863" s="37" t="s">
        <v>139</v>
      </c>
      <c r="G863" s="24"/>
      <c r="H863" s="53"/>
    </row>
    <row r="864" spans="1:8" ht="13.2">
      <c r="A864" s="65" t="str">
        <f>HYPERLINK("https://www.infoarena.ro/problema/meneaito","infoarena meneaito")</f>
        <v>infoarena meneaito</v>
      </c>
      <c r="B864" s="20" t="s">
        <v>7316</v>
      </c>
      <c r="C864" s="17">
        <v>6.25</v>
      </c>
      <c r="D864" s="65" t="str">
        <f>HYPERLINK("https://github.com/stefdasca/CompetitiveProgramming/blob/master/Infoarena/meneaito.cpp","Sol")</f>
        <v>Sol</v>
      </c>
      <c r="E864" s="31" t="s">
        <v>4531</v>
      </c>
      <c r="F864" s="37"/>
      <c r="G864" s="24"/>
      <c r="H864" s="53"/>
    </row>
    <row r="865" spans="1:8" ht="13.2">
      <c r="A865" s="65" t="str">
        <f>HYPERLINK("https://infoarena.ro/problema/metrouri","infoarena metrouri")</f>
        <v>infoarena metrouri</v>
      </c>
      <c r="B865" s="20" t="s">
        <v>7030</v>
      </c>
      <c r="C865" s="17">
        <v>5</v>
      </c>
      <c r="D865" s="65" t="str">
        <f>HYPERLINK("https://github.com/stefdasca/CompetitiveProgramming/blob/master/Infoarena/metrouri.cpp","Sol")</f>
        <v>Sol</v>
      </c>
      <c r="E865" s="31" t="s">
        <v>2153</v>
      </c>
      <c r="F865" s="37" t="s">
        <v>139</v>
      </c>
      <c r="G865" s="24"/>
      <c r="H865" s="53"/>
    </row>
    <row r="866" spans="1:8" ht="13.2">
      <c r="A866" s="65" t="str">
        <f>HYPERLINK("https://www.infoarena.ro/problema/mexc","infoarena mexc")</f>
        <v>infoarena mexc</v>
      </c>
      <c r="B866" s="20" t="s">
        <v>7238</v>
      </c>
      <c r="C866" s="21">
        <v>6</v>
      </c>
      <c r="D866" s="65" t="str">
        <f>HYPERLINK("https://github.com/mostafa-saad/MyCompetitiveProgramming/blob/master/Olympiad/infoarena/infoarena_mexc.txt","Sol")</f>
        <v>Sol</v>
      </c>
      <c r="E866" s="31" t="s">
        <v>3883</v>
      </c>
      <c r="F866" s="37" t="s">
        <v>139</v>
      </c>
      <c r="G866" s="24"/>
      <c r="H866" s="53"/>
    </row>
    <row r="867" spans="1:8" ht="13.2">
      <c r="A867" s="65" t="str">
        <f>HYPERLINK("https://infoarena.ro/problema/mindist", "infoarena mindist")</f>
        <v>infoarena mindist</v>
      </c>
      <c r="B867" s="37" t="s">
        <v>7480</v>
      </c>
      <c r="C867" s="24">
        <v>6.5</v>
      </c>
      <c r="D867" s="65" t="str">
        <f>HYPERLINK("https://github.com/mostafa-saad/MyCompetitiveProgramming/blob/master/Olympiad/infoarena/infoarena-mindist.txt","Sol")</f>
        <v>Sol</v>
      </c>
      <c r="E867" s="31" t="s">
        <v>6397</v>
      </c>
      <c r="F867" s="37" t="s">
        <v>201</v>
      </c>
      <c r="G867" s="24"/>
      <c r="H867" s="53"/>
    </row>
    <row r="868" spans="1:8" ht="13.2">
      <c r="A868" s="65" t="str">
        <f>HYPERLINK("https://www.infoarena.ro/problema/minim2","infoarena minim2")</f>
        <v>infoarena minim2</v>
      </c>
      <c r="B868" s="20" t="s">
        <v>6728</v>
      </c>
      <c r="C868" s="21">
        <v>6</v>
      </c>
      <c r="D868" s="65" t="str">
        <f>HYPERLINK("https://github.com/stefdasca/CompetitiveProgramming/blob/master/Infoarena/minim2.cpp","Sol")</f>
        <v>Sol</v>
      </c>
      <c r="E868" s="31" t="s">
        <v>805</v>
      </c>
      <c r="F868" s="37"/>
      <c r="G868" s="24"/>
      <c r="H868" s="53"/>
    </row>
    <row r="869" spans="1:8" ht="13.2">
      <c r="A869" s="65" t="str">
        <f>HYPERLINK("https://www.infoarena.ro/problema/minuni","infoarena minuni")</f>
        <v>infoarena minuni</v>
      </c>
      <c r="B869" s="20" t="s">
        <v>1017</v>
      </c>
      <c r="C869" s="21">
        <v>6</v>
      </c>
      <c r="D869" s="65" t="str">
        <f>HYPERLINK("https://github.com/stefdasca/CompetitiveProgramming/blob/master/Infoarena/minuni.cpp","Sol")</f>
        <v>Sol</v>
      </c>
      <c r="E869" s="31" t="s">
        <v>1018</v>
      </c>
      <c r="F869" s="37" t="s">
        <v>201</v>
      </c>
      <c r="G869" s="24"/>
      <c r="H869" s="53"/>
    </row>
    <row r="870" spans="1:8" ht="13.2">
      <c r="A870" s="65" t="str">
        <f>HYPERLINK("https://www.infoarena.ro/problema/munte4","infoarena munte4")</f>
        <v>infoarena munte4</v>
      </c>
      <c r="B870" s="37" t="s">
        <v>6644</v>
      </c>
      <c r="C870" s="21">
        <v>3.5</v>
      </c>
      <c r="D870" s="65" t="str">
        <f>HYPERLINK("https://github.com/stefdasca/CompetitiveProgramming/blob/master/Infoarena/munte4.cpp","Sol")</f>
        <v>Sol</v>
      </c>
      <c r="E870" s="31" t="s">
        <v>125</v>
      </c>
      <c r="F870" s="37"/>
      <c r="G870" s="24"/>
      <c r="H870" s="53"/>
    </row>
    <row r="871" spans="1:8" ht="13.2">
      <c r="A871" s="65" t="str">
        <f>HYPERLINK("https://www.infoarena.ro/problema/nkbiti","infoarena nkbiti")</f>
        <v>infoarena nkbiti</v>
      </c>
      <c r="B871" s="20" t="s">
        <v>6915</v>
      </c>
      <c r="C871" s="21">
        <v>5.5</v>
      </c>
      <c r="D871" s="65" t="str">
        <f>HYPERLINK("https://github.com/stefdasca/CompetitiveProgramming/blob/master/Infoarena/nkbiti.cpp","Sol")</f>
        <v>Sol</v>
      </c>
      <c r="E871" s="31" t="s">
        <v>1337</v>
      </c>
      <c r="F871" s="37"/>
      <c r="G871" s="24"/>
      <c r="H871" s="53"/>
    </row>
    <row r="872" spans="1:8" ht="13.2">
      <c r="A872" s="65" t="str">
        <f>HYPERLINK("https://www.infoarena.ro/problema/nrsec","infoarena nrsec")</f>
        <v>infoarena nrsec</v>
      </c>
      <c r="B872" s="20" t="s">
        <v>1273</v>
      </c>
      <c r="C872" s="21">
        <v>4.5</v>
      </c>
      <c r="D872" s="65" t="str">
        <f>HYPERLINK("https://github.com/stefdasca/CompetitiveProgramming/blob/master/Infoarena/nrsec.cpp","Sol")</f>
        <v>Sol</v>
      </c>
      <c r="E872" s="31" t="s">
        <v>1223</v>
      </c>
      <c r="F872" s="37"/>
      <c r="G872" s="24"/>
      <c r="H872" s="53"/>
    </row>
    <row r="873" spans="1:8" ht="13.2">
      <c r="A873" s="65" t="str">
        <f>HYPERLINK("https://www.infoarena.ro/problema/nrsubsecv","infoarena nrsubsecv")</f>
        <v>infoarena nrsubsecv</v>
      </c>
      <c r="B873" s="37" t="s">
        <v>7240</v>
      </c>
      <c r="C873" s="21">
        <v>6</v>
      </c>
      <c r="D873" s="65" t="str">
        <f>HYPERLINK("https://github.com/stefdasca/CompetitiveProgramming/blob/master/Infoarena/nrsubsecv.cpp","Sol")</f>
        <v>Sol</v>
      </c>
      <c r="E873" s="31" t="s">
        <v>3883</v>
      </c>
      <c r="F873" s="37" t="s">
        <v>201</v>
      </c>
      <c r="G873" s="24"/>
      <c r="H873" s="53"/>
    </row>
    <row r="874" spans="1:8" ht="13.2">
      <c r="A874" s="65" t="str">
        <f>HYPERLINK("https://infoarena.ro/problema/nuke","infoarena nuke")</f>
        <v>infoarena nuke</v>
      </c>
      <c r="B874" s="37" t="s">
        <v>7082</v>
      </c>
      <c r="C874" s="24">
        <v>7.25</v>
      </c>
      <c r="D874" s="65" t="str">
        <f>HYPERLINK("https://github.com/stefdasca/CompetitiveProgramming/blob/master/Infoarena/nuke.cpp","Sol")</f>
        <v>Sol</v>
      </c>
      <c r="E874" s="31" t="s">
        <v>2798</v>
      </c>
      <c r="F874" s="37" t="s">
        <v>154</v>
      </c>
      <c r="G874" s="24"/>
      <c r="H874" s="53"/>
    </row>
    <row r="875" spans="1:8" ht="13.2">
      <c r="A875" s="65" t="str">
        <f>HYPERLINK("https://www.infoarena.ro/problema/omizi","infoarena omizi")</f>
        <v>infoarena omizi</v>
      </c>
      <c r="B875" s="20" t="s">
        <v>6700</v>
      </c>
      <c r="C875" s="17">
        <v>5.5</v>
      </c>
      <c r="D875" s="65" t="str">
        <f>HYPERLINK("https://github.com/stefdasca/CompetitiveProgramming/blob/master/Infoarena/omizi.cpp","Sol")</f>
        <v>Sol</v>
      </c>
      <c r="E875" s="31" t="s">
        <v>575</v>
      </c>
      <c r="F875" s="37"/>
      <c r="G875" s="24"/>
      <c r="H875" s="53"/>
    </row>
    <row r="876" spans="1:8" ht="13.2">
      <c r="A876" s="65" t="str">
        <f>HYPERLINK("https://infoarena.ro/problema/overpower","infoarena overpower")</f>
        <v>infoarena overpower</v>
      </c>
      <c r="B876" s="20" t="s">
        <v>4564</v>
      </c>
      <c r="C876" s="24">
        <v>6.1</v>
      </c>
      <c r="D876" s="65" t="str">
        <f>HYPERLINK("https://github.com/stefdasca/CompetitiveProgramming/blob/master/Infoarena/overpower.cpp","Sol")</f>
        <v>Sol</v>
      </c>
      <c r="E876" s="31" t="s">
        <v>4531</v>
      </c>
      <c r="F876" s="37"/>
      <c r="G876" s="24"/>
      <c r="H876" s="53"/>
    </row>
    <row r="877" spans="1:8" ht="13.2">
      <c r="A877" s="65" t="str">
        <f>HYPERLINK("https://www.infoarena.ro/problema/padurari","infoarena padurari")</f>
        <v>infoarena padurari</v>
      </c>
      <c r="B877" s="37" t="s">
        <v>7486</v>
      </c>
      <c r="C877" s="24">
        <v>6</v>
      </c>
      <c r="D877" s="65" t="str">
        <f>HYPERLINK("https://github.com/stefdasca/CompetitiveProgramming/blob/master/Infoarena/padurari.cpp","Sol")</f>
        <v>Sol</v>
      </c>
      <c r="E877" s="31" t="s">
        <v>6417</v>
      </c>
      <c r="F877" s="37"/>
      <c r="G877" s="24"/>
      <c r="H877" s="53"/>
    </row>
    <row r="878" spans="1:8" ht="13.2">
      <c r="A878" s="65" t="str">
        <f>HYPERLINK("https://infoarena.ro/problema/paintball","infoarena paintball")</f>
        <v>infoarena paintball</v>
      </c>
      <c r="B878" s="20" t="s">
        <v>7188</v>
      </c>
      <c r="C878" s="24">
        <v>6.5</v>
      </c>
      <c r="D878" s="65" t="str">
        <f>HYPERLINK("https://github.com/mostafa-saad/MyCompetitiveProgramming/blob/master/Olympiad/infoarena/infoarena-paintball.txt","Sol")</f>
        <v>Sol</v>
      </c>
      <c r="E878" s="31" t="s">
        <v>3650</v>
      </c>
      <c r="F878" s="37" t="s">
        <v>613</v>
      </c>
      <c r="G878" s="24"/>
      <c r="H878" s="53"/>
    </row>
    <row r="879" spans="1:8" ht="13.2">
      <c r="A879" s="65" t="str">
        <f>HYPERLINK("https://www.infoarena.ro/problema/panza","infoarena panza")</f>
        <v>infoarena panza</v>
      </c>
      <c r="B879" s="20" t="s">
        <v>6929</v>
      </c>
      <c r="C879" s="21">
        <v>5</v>
      </c>
      <c r="D879" s="65" t="str">
        <f>HYPERLINK("https://github.com/stefdasca/CompetitiveProgramming/blob/master/Infoarena/panza.cpp","Sol")</f>
        <v>Sol</v>
      </c>
      <c r="E879" s="31" t="s">
        <v>1337</v>
      </c>
      <c r="F879" s="37"/>
      <c r="G879" s="24"/>
      <c r="H879" s="53"/>
    </row>
    <row r="880" spans="1:8" ht="13.2">
      <c r="A880" s="65" t="str">
        <f>HYPERLINK("https://www.infoarena.ro/problema/password2","infoarena password2")</f>
        <v>infoarena password2</v>
      </c>
      <c r="B880" s="23" t="s">
        <v>6720</v>
      </c>
      <c r="C880" s="24">
        <v>6.3</v>
      </c>
      <c r="D880" s="65" t="str">
        <f>HYPERLINK("https://github.com/mostafa-saad/MyCompetitiveProgramming/blob/master/Olympiad/infoarena/infoarena-password2.txt","Sol")</f>
        <v>Sol</v>
      </c>
      <c r="E880" s="31" t="s">
        <v>805</v>
      </c>
      <c r="F880" s="37" t="s">
        <v>139</v>
      </c>
      <c r="G880" s="24"/>
      <c r="H880" s="53"/>
    </row>
    <row r="881" spans="1:8" ht="13.2">
      <c r="A881" s="65" t="str">
        <f>HYPERLINK("https://www.infoarena.ro/problema/penal","infoarena penal")</f>
        <v>infoarena penal</v>
      </c>
      <c r="B881" s="20" t="s">
        <v>7323</v>
      </c>
      <c r="C881" s="17">
        <v>6</v>
      </c>
      <c r="D881" s="65" t="str">
        <f>HYPERLINK("https://github.com/stefdasca/CompetitiveProgramming/blob/master/Infoarena/penal.cpp","Sol")</f>
        <v>Sol</v>
      </c>
      <c r="E881" s="31" t="s">
        <v>4531</v>
      </c>
      <c r="F881" s="37"/>
      <c r="G881" s="24"/>
      <c r="H881" s="53"/>
    </row>
    <row r="882" spans="1:8" ht="13.2">
      <c r="A882" s="65" t="str">
        <f>HYPERLINK("https://www.infoarena.ro/problema/peri","infoarena peri")</f>
        <v>infoarena peri</v>
      </c>
      <c r="B882" s="37" t="s">
        <v>6906</v>
      </c>
      <c r="C882" s="21">
        <v>5.5</v>
      </c>
      <c r="D882" s="65" t="str">
        <f>HYPERLINK("https://github.com/stefdasca/CompetitiveProgramming/blob/master/Infoarena/peri.cpp","Sol")</f>
        <v>Sol</v>
      </c>
      <c r="E882" s="31" t="s">
        <v>1337</v>
      </c>
      <c r="F882" s="37" t="s">
        <v>139</v>
      </c>
      <c r="G882" s="24"/>
      <c r="H882" s="53"/>
    </row>
    <row r="883" spans="1:8" ht="13.2">
      <c r="A883" s="65" t="str">
        <f>HYPERLINK("https://www.infoarena.ro/problema/perioada","infoarena perioada")</f>
        <v>infoarena perioada</v>
      </c>
      <c r="B883" s="20" t="s">
        <v>7310</v>
      </c>
      <c r="C883" s="17">
        <v>6.5</v>
      </c>
      <c r="D883" s="65" t="str">
        <f>HYPERLINK("https://github.com/mostafa-saad/MyCompetitiveProgramming/blob/master/Olympiad/infoarena/infoarena_perioada.txt","Sol")</f>
        <v>Sol</v>
      </c>
      <c r="E883" s="31" t="s">
        <v>4531</v>
      </c>
      <c r="F883" s="37" t="s">
        <v>139</v>
      </c>
      <c r="G883" s="24"/>
      <c r="H883" s="53"/>
    </row>
    <row r="884" spans="1:8" ht="13.2">
      <c r="A884" s="65" t="str">
        <f>HYPERLINK("https://www.infoarena.ro/problema/permsort", "infoarena permsort")</f>
        <v>infoarena permsort</v>
      </c>
      <c r="B884" s="20" t="s">
        <v>587</v>
      </c>
      <c r="C884" s="17">
        <v>5.5</v>
      </c>
      <c r="D884" s="65" t="str">
        <f>HYPERLINK("https://github.com/mostafa-saad/MyCompetitiveProgramming/blob/master/Olympiad/infoarena/infoarena-permsort.txt","Sol")</f>
        <v>Sol</v>
      </c>
      <c r="E884" s="31" t="s">
        <v>575</v>
      </c>
      <c r="F884" s="37" t="s">
        <v>139</v>
      </c>
      <c r="G884" s="24"/>
      <c r="H884" s="53"/>
    </row>
    <row r="885" spans="1:8" ht="13.2">
      <c r="A885" s="65" t="str">
        <f>HYPERLINK("https://www.infoarena.ro/problema/permsort2","infoarena permsort2")</f>
        <v>infoarena permsort2</v>
      </c>
      <c r="B885" s="37" t="s">
        <v>7344</v>
      </c>
      <c r="C885" s="21">
        <v>6.25</v>
      </c>
      <c r="D885" s="65" t="str">
        <f>HYPERLINK("https://github.com/mostafa-saad/MyCompetitiveProgramming/blob/master/Olympiad/infoarena/infoarena_permsort2.txt","Sol")</f>
        <v>Sol</v>
      </c>
      <c r="E885" s="31" t="s">
        <v>5043</v>
      </c>
      <c r="F885" s="37" t="s">
        <v>139</v>
      </c>
      <c r="G885" s="24"/>
      <c r="H885" s="53"/>
    </row>
    <row r="886" spans="1:8" ht="13.2">
      <c r="A886" s="65" t="str">
        <f>HYPERLINK("https://www.infoarena.ro/problema/pesaptecarari","infoarena pesaptecarari")</f>
        <v>infoarena pesaptecarari</v>
      </c>
      <c r="B886" s="37" t="s">
        <v>7223</v>
      </c>
      <c r="C886" s="21">
        <v>5</v>
      </c>
      <c r="D886" s="65" t="str">
        <f>HYPERLINK("https://github.com/stefdasca/CompetitiveProgramming/blob/master/Infoarena/pesaptecarari.cpp","Sol")</f>
        <v>Sol</v>
      </c>
      <c r="E886" s="31" t="s">
        <v>3784</v>
      </c>
      <c r="F886" s="37"/>
      <c r="G886" s="24"/>
      <c r="H886" s="53"/>
    </row>
    <row r="887" spans="1:8" ht="13.2">
      <c r="A887" s="65" t="str">
        <f>HYPERLINK("https://www.infoarena.ro/problema/pitici","infoarena pitici")</f>
        <v>infoarena pitici</v>
      </c>
      <c r="B887" s="20" t="s">
        <v>6893</v>
      </c>
      <c r="C887" s="21">
        <v>6</v>
      </c>
      <c r="D887" s="69"/>
      <c r="E887" s="31" t="s">
        <v>1337</v>
      </c>
      <c r="F887" s="37"/>
      <c r="G887" s="24"/>
      <c r="H887" s="53"/>
    </row>
    <row r="888" spans="1:8" ht="13.2">
      <c r="A888" s="65" t="str">
        <f>HYPERLINK("https://www.infoarena.ro/problema/pitici3", "infoarena pitici3")</f>
        <v>infoarena pitici3</v>
      </c>
      <c r="B888" s="20" t="s">
        <v>6884</v>
      </c>
      <c r="C888" s="17">
        <v>6</v>
      </c>
      <c r="D888" s="65" t="str">
        <f>HYPERLINK("https://github.com/mostafa-saad/MyCompetitiveProgramming/blob/master/Olympiad/infoarena/infoarena-pitici3.txt","Sol")</f>
        <v>Sol</v>
      </c>
      <c r="E888" s="31" t="s">
        <v>1337</v>
      </c>
      <c r="F888" s="37" t="s">
        <v>139</v>
      </c>
      <c r="G888" s="24"/>
      <c r="H888" s="53"/>
    </row>
    <row r="889" spans="1:8" ht="13.2">
      <c r="A889" s="65" t="str">
        <f>HYPERLINK("https://infoarena.ro/problema/plimbare3","infoarena plimbare3")</f>
        <v>infoarena plimbare3</v>
      </c>
      <c r="B889" s="20" t="s">
        <v>7508</v>
      </c>
      <c r="C889" s="17">
        <v>6</v>
      </c>
      <c r="D889" s="65" t="str">
        <f>HYPERLINK("https://github.com/mostafa-saad/MyCompetitiveProgramming/blob/master/Olympiad/infoarena/infoarena-plimbare3.txt","Sol")</f>
        <v>Sol</v>
      </c>
      <c r="E889" s="31" t="s">
        <v>6459</v>
      </c>
      <c r="F889" s="37" t="s">
        <v>139</v>
      </c>
      <c r="G889" s="24"/>
      <c r="H889" s="53"/>
    </row>
    <row r="890" spans="1:8" ht="13.2">
      <c r="A890" s="65" t="str">
        <f>HYPERLINK("https://www.infoarena.ro/problema/pm2","infoarena pm2")</f>
        <v>infoarena pm2</v>
      </c>
      <c r="B890" s="20" t="s">
        <v>7442</v>
      </c>
      <c r="C890" s="21">
        <v>3.5</v>
      </c>
      <c r="D890" s="65" t="str">
        <f>HYPERLINK("https://github.com/stefdasca/CompetitiveProgramming/blob/master/Infoarena/pm2.cpp","Sol")</f>
        <v>Sol</v>
      </c>
      <c r="E890" s="31" t="s">
        <v>6205</v>
      </c>
      <c r="F890" s="37"/>
      <c r="G890" s="24"/>
      <c r="H890" s="53"/>
    </row>
    <row r="891" spans="1:8" ht="13.2">
      <c r="A891" s="65" t="str">
        <f>HYPERLINK("https://infoarena.ro/problema/poarta2","infoarena poarta2")</f>
        <v>infoarena poarta2</v>
      </c>
      <c r="B891" s="20" t="s">
        <v>7407</v>
      </c>
      <c r="C891" s="21">
        <v>5</v>
      </c>
      <c r="D891" s="65" t="str">
        <f>HYPERLINK("https://github.com/stefdasca/CompetitiveProgramming/blob/master/Infoarena/poarta2.cpp","Sol")</f>
        <v>Sol</v>
      </c>
      <c r="E891" s="31" t="s">
        <v>5958</v>
      </c>
      <c r="F891" s="37"/>
      <c r="G891" s="24"/>
      <c r="H891" s="53"/>
    </row>
    <row r="892" spans="1:8" ht="13.2">
      <c r="A892" s="65" t="str">
        <f>HYPERLINK("https://www.infoarena.ro/problema/porcjoc","infoarena porcjoc")</f>
        <v>infoarena porcjoc</v>
      </c>
      <c r="B892" s="20" t="s">
        <v>7349</v>
      </c>
      <c r="C892" s="21">
        <v>6</v>
      </c>
      <c r="D892" s="65" t="str">
        <f>HYPERLINK("https://github.com/stefdasca/CompetitiveProgramming/blob/master/Infoarena/porcjoc.cpp","Sol")</f>
        <v>Sol</v>
      </c>
      <c r="E892" s="31" t="s">
        <v>5134</v>
      </c>
      <c r="F892" s="37"/>
      <c r="G892" s="24"/>
      <c r="H892" s="53"/>
    </row>
    <row r="893" spans="1:8" ht="13.2">
      <c r="A893" s="65" t="str">
        <f>HYPERLINK("https://infoarena.ro/problema/posta2","infoarena posta2")</f>
        <v>infoarena posta2</v>
      </c>
      <c r="B893" s="20" t="s">
        <v>6458</v>
      </c>
      <c r="C893" s="21">
        <v>5</v>
      </c>
      <c r="D893" s="65" t="str">
        <f>HYPERLINK("https://github.com/stefdasca/CompetitiveProgramming/blob/master/Infoarena/posta2.cpp","Sol")</f>
        <v>Sol</v>
      </c>
      <c r="E893" s="31" t="s">
        <v>6459</v>
      </c>
      <c r="F893" s="37"/>
      <c r="G893" s="24"/>
      <c r="H893" s="53"/>
    </row>
    <row r="894" spans="1:8" ht="13.2">
      <c r="A894" s="65" t="str">
        <f>HYPERLINK("https://www.infoarena.ro/problema/profit","infoarena profit")</f>
        <v>infoarena profit</v>
      </c>
      <c r="B894" s="20" t="s">
        <v>6859</v>
      </c>
      <c r="C894" s="17">
        <v>5.5</v>
      </c>
      <c r="D894" s="65" t="str">
        <f>HYPERLINK("https://github.com/stefdasca/CompetitiveProgramming/blob/master/Infoarena/profit.cpp","Sol")</f>
        <v>Sol</v>
      </c>
      <c r="E894" s="31" t="s">
        <v>1337</v>
      </c>
      <c r="F894" s="37"/>
      <c r="G894" s="24"/>
      <c r="H894" s="53"/>
    </row>
    <row r="895" spans="1:8" ht="13.2">
      <c r="A895" s="65" t="str">
        <f>HYPERLINK("https://www.infoarena.ro/problema/puncte","infoarena puncte")</f>
        <v>infoarena puncte</v>
      </c>
      <c r="B895" s="37" t="s">
        <v>7467</v>
      </c>
      <c r="C895" s="24">
        <v>5.5</v>
      </c>
      <c r="D895" s="65" t="str">
        <f>HYPERLINK("https://github.com/mostafa-saad/MyCompetitiveProgramming/blob/master/Olympiad/infoarena/infoarena_puncte.txt","Sol")</f>
        <v>Sol</v>
      </c>
      <c r="E895" s="31" t="s">
        <v>6362</v>
      </c>
      <c r="F895" s="37" t="s">
        <v>139</v>
      </c>
      <c r="G895" s="24"/>
      <c r="H895" s="53"/>
    </row>
    <row r="896" spans="1:8" ht="13.2">
      <c r="A896" s="65" t="str">
        <f>HYPERLINK("https://infoarena.ro/problema/radare","infoarena radare")</f>
        <v>infoarena radare</v>
      </c>
      <c r="B896" s="20" t="s">
        <v>7504</v>
      </c>
      <c r="C896" s="24">
        <v>6.5</v>
      </c>
      <c r="D896" s="65" t="str">
        <f>HYPERLINK("https://github.com/mostafa-saad/MyCompetitiveProgramming/blob/master/Olympiad/infoarena/infoarena-radare.txt","Sol")</f>
        <v>Sol</v>
      </c>
      <c r="E896" s="31" t="s">
        <v>6459</v>
      </c>
      <c r="F896" s="37" t="s">
        <v>139</v>
      </c>
      <c r="G896" s="24"/>
      <c r="H896" s="53"/>
    </row>
    <row r="897" spans="1:8" ht="13.2">
      <c r="A897" s="65" t="str">
        <f>HYPERLINK("https://infoarena.ro/problema/ratway","infoarena ratway")</f>
        <v>infoarena ratway</v>
      </c>
      <c r="B897" s="20" t="s">
        <v>3961</v>
      </c>
      <c r="C897" s="17">
        <v>6.6</v>
      </c>
      <c r="D897" s="65" t="str">
        <f>HYPERLINK("https://github.com/mostafa-saad/MyCompetitiveProgramming/blob/master/Olympiad/infoarena/infoarena_ratway.txt","Sol")</f>
        <v>Sol</v>
      </c>
      <c r="E897" s="31" t="s">
        <v>3955</v>
      </c>
      <c r="F897" s="37" t="s">
        <v>154</v>
      </c>
      <c r="G897" s="24"/>
      <c r="H897" s="53"/>
    </row>
    <row r="898" spans="1:8" ht="13.2">
      <c r="A898" s="65" t="str">
        <f>HYPERLINK("https://www.infoarena.ro/problema/regat","infoarena regat")</f>
        <v>infoarena regat</v>
      </c>
      <c r="B898" s="20" t="s">
        <v>6693</v>
      </c>
      <c r="C898" s="21">
        <v>5.75</v>
      </c>
      <c r="D898" s="65" t="str">
        <f>HYPERLINK("https://github.com/mostafa-saad/MyCompetitiveProgramming/blob/master/Olympiad/infoarena/infoarena_regat.txt","Sol")</f>
        <v>Sol</v>
      </c>
      <c r="E898" s="31" t="s">
        <v>575</v>
      </c>
      <c r="F898" s="37" t="s">
        <v>139</v>
      </c>
      <c r="G898" s="24"/>
      <c r="H898" s="53"/>
    </row>
    <row r="899" spans="1:8" ht="13.2">
      <c r="A899" s="65" t="str">
        <f>HYPERLINK("https://www.infoarena.ro/problema/retea3","infoarena retea3")</f>
        <v>infoarena retea3</v>
      </c>
      <c r="B899" s="37" t="s">
        <v>1346</v>
      </c>
      <c r="C899" s="24">
        <v>6</v>
      </c>
      <c r="D899" s="65" t="str">
        <f>HYPERLINK("https://github.com/mostafa-saad/MyCompetitiveProgramming/blob/master/Olympiad/infoarena/infoarena-retea3.txt","Sol")</f>
        <v>Sol</v>
      </c>
      <c r="E899" s="31" t="s">
        <v>1337</v>
      </c>
      <c r="F899" s="37" t="s">
        <v>201</v>
      </c>
      <c r="G899" s="24"/>
      <c r="H899" s="53"/>
    </row>
    <row r="900" spans="1:8" ht="13.2">
      <c r="A900" s="65" t="str">
        <f>HYPERLINK("https://www.infoarena.ro/problema/rfinv","infoarena rfinv")</f>
        <v>infoarena rfinv</v>
      </c>
      <c r="B900" s="20" t="s">
        <v>7169</v>
      </c>
      <c r="C900" s="17">
        <v>3.5</v>
      </c>
      <c r="D900" s="65" t="str">
        <f>HYPERLINK("https://github.com/stefdasca/CompetitiveProgramming/blob/master/Infoarena/rfinv.cpp","Sol")</f>
        <v>Sol</v>
      </c>
      <c r="E900" s="31" t="s">
        <v>3257</v>
      </c>
      <c r="F900" s="37"/>
      <c r="G900" s="24"/>
      <c r="H900" s="53"/>
    </row>
    <row r="901" spans="1:8" ht="13.2">
      <c r="A901" s="65" t="str">
        <f>HYPERLINK("https://www.infoarena.ro/problema/sabin","infoarena sabin")</f>
        <v>infoarena sabin</v>
      </c>
      <c r="B901" s="20" t="s">
        <v>7520</v>
      </c>
      <c r="C901" s="21">
        <v>6</v>
      </c>
      <c r="D901" s="65" t="str">
        <f>HYPERLINK("https://github.com/mostafa-saad/MyCompetitiveProgramming/blob/master/Olympiad/infoarena/infoarena_sabin.txt","Sol")</f>
        <v>Sol</v>
      </c>
      <c r="E901" s="31" t="s">
        <v>6505</v>
      </c>
      <c r="F901" s="37" t="s">
        <v>139</v>
      </c>
      <c r="G901" s="24"/>
      <c r="H901" s="53"/>
    </row>
    <row r="902" spans="1:8" ht="13.2">
      <c r="A902" s="65" t="str">
        <f>HYPERLINK("https://www.infoarena.ro/problema/scara2","infoarena scara2")</f>
        <v>infoarena scara2</v>
      </c>
      <c r="B902" s="20" t="s">
        <v>1352</v>
      </c>
      <c r="C902" s="21">
        <v>5.75</v>
      </c>
      <c r="D902" s="65" t="str">
        <f>HYPERLINK("https://github.com/stefdasca/CompetitiveProgramming/blob/master/Infoarena/scara2.cpp","Sol")</f>
        <v>Sol</v>
      </c>
      <c r="E902" s="31" t="s">
        <v>1337</v>
      </c>
      <c r="F902" s="37" t="s">
        <v>139</v>
      </c>
      <c r="G902" s="24"/>
      <c r="H902" s="53"/>
    </row>
    <row r="903" spans="1:8" ht="13.2">
      <c r="A903" s="65" t="str">
        <f>HYPERLINK("https://www.infoarena.ro/problema/secvbest","infoarena secvbest")</f>
        <v>infoarena secvbest</v>
      </c>
      <c r="B903" s="20" t="s">
        <v>6901</v>
      </c>
      <c r="C903" s="21">
        <v>5.75</v>
      </c>
      <c r="D903" s="65" t="str">
        <f>HYPERLINK("https://github.com/stefdasca/CompetitiveProgramming/blob/master/Infoarena/secvbest.cpp","Sol")</f>
        <v>Sol</v>
      </c>
      <c r="E903" s="31" t="s">
        <v>1337</v>
      </c>
      <c r="F903" s="37" t="s">
        <v>201</v>
      </c>
      <c r="G903" s="24"/>
      <c r="H903" s="53"/>
    </row>
    <row r="904" spans="1:8" ht="13.2">
      <c r="A904" s="65" t="str">
        <f>HYPERLINK("https://www.infoarena.ro/problema/secvmax","infoarena secvmax")</f>
        <v>infoarena secvmax</v>
      </c>
      <c r="B904" s="20" t="s">
        <v>7246</v>
      </c>
      <c r="C904" s="17">
        <v>5</v>
      </c>
      <c r="D904" s="65" t="str">
        <f>HYPERLINK("https://github.com/stefdasca/CompetitiveProgramming/blob/master/Infoarena/secvmax.cpp","Sol")</f>
        <v>Sol</v>
      </c>
      <c r="E904" s="31" t="s">
        <v>3883</v>
      </c>
      <c r="F904" s="37"/>
      <c r="G904" s="24"/>
      <c r="H904" s="53"/>
    </row>
    <row r="905" spans="1:8" ht="13.2">
      <c r="A905" s="65" t="str">
        <f>HYPERLINK("https://www.infoarena.ro/problema/shgraf","infoarena shgraf")</f>
        <v>infoarena shgraf</v>
      </c>
      <c r="B905" s="37" t="s">
        <v>7130</v>
      </c>
      <c r="C905" s="24">
        <v>6.75</v>
      </c>
      <c r="D905" s="65" t="str">
        <f>HYPERLINK("https://github.com/mostafa-saad/MyCompetitiveProgramming/blob/master/Olympiad/infoarena/infoarena_shgraf.txt","Sol")</f>
        <v>Sol</v>
      </c>
      <c r="E905" s="31" t="s">
        <v>3257</v>
      </c>
      <c r="F905" s="37" t="s">
        <v>139</v>
      </c>
      <c r="G905" s="24"/>
      <c r="H905" s="53"/>
    </row>
    <row r="906" spans="1:8" ht="13.2">
      <c r="A906" s="65" t="str">
        <f>HYPERLINK("https://www.infoarena.ro/problema/sir3","infoarena sir3")</f>
        <v>infoarena sir3</v>
      </c>
      <c r="B906" s="20" t="s">
        <v>1017</v>
      </c>
      <c r="C906" s="24">
        <v>5.5</v>
      </c>
      <c r="D906" s="65" t="str">
        <f>HYPERLINK("https://github.com/stefdasca/CompetitiveProgramming/blob/master/Infoarena/sir3.cpp","Sol")</f>
        <v>Sol</v>
      </c>
      <c r="E906" s="31" t="s">
        <v>1018</v>
      </c>
      <c r="F906" s="37" t="s">
        <v>139</v>
      </c>
      <c r="G906" s="24"/>
      <c r="H906" s="53"/>
    </row>
    <row r="907" spans="1:8" ht="13.2">
      <c r="A907" s="65" t="str">
        <f>HYPERLINK("https://www.infoarena.ro/problema/sir42","Infoarena sir42")</f>
        <v>Infoarena sir42</v>
      </c>
      <c r="B907" s="20" t="s">
        <v>7040</v>
      </c>
      <c r="C907" s="21">
        <v>4.5</v>
      </c>
      <c r="D907" s="65" t="str">
        <f>HYPERLINK("https://github.com/stefdasca/CompetitiveProgramming/blob/master/Infoarena/sir42.cpp","Sol")</f>
        <v>Sol</v>
      </c>
      <c r="E907" s="31" t="s">
        <v>2153</v>
      </c>
      <c r="F907" s="37"/>
      <c r="G907" s="24"/>
      <c r="H907" s="53"/>
    </row>
    <row r="908" spans="1:8" ht="13.2">
      <c r="A908" s="65" t="str">
        <f>HYPERLINK("https://infoarena.ro/problema/sms","infoarena sms")</f>
        <v>infoarena sms</v>
      </c>
      <c r="B908" s="37" t="s">
        <v>2076</v>
      </c>
      <c r="C908" s="24">
        <v>7</v>
      </c>
      <c r="D908" s="65" t="str">
        <f>HYPERLINK("https://github.com/stefdasca/CompetitiveProgramming/blob/master/Infoarena/sms.cpp","Sol")</f>
        <v>Sol</v>
      </c>
      <c r="E908" s="31" t="s">
        <v>2074</v>
      </c>
      <c r="F908" s="37" t="s">
        <v>139</v>
      </c>
      <c r="G908" s="24"/>
      <c r="H908" s="53"/>
    </row>
    <row r="909" spans="1:8" ht="13.2">
      <c r="A909" s="65" t="str">
        <f>HYPERLINK("https://www.infoarena.ro/problema/sormin","infoarena sormin")</f>
        <v>infoarena sormin</v>
      </c>
      <c r="B909" s="20" t="s">
        <v>6873</v>
      </c>
      <c r="C909" s="21">
        <v>6.25</v>
      </c>
      <c r="D909" s="65" t="str">
        <f>HYPERLINK("https://github.com/mostafa-saad/MyCompetitiveProgramming/blob/master/Olympiad/infoarena/infoarena_sormin.txt","Sol")</f>
        <v>Sol</v>
      </c>
      <c r="E909" s="31" t="s">
        <v>1337</v>
      </c>
      <c r="F909" s="37" t="s">
        <v>139</v>
      </c>
      <c r="G909" s="24"/>
      <c r="H909" s="53"/>
    </row>
    <row r="910" spans="1:8" ht="13.2">
      <c r="A910" s="65" t="str">
        <f>HYPERLINK("https://www.infoarena.ro/problema/ssdj","infoarena ssdj")</f>
        <v>infoarena ssdj</v>
      </c>
      <c r="B910" s="20" t="s">
        <v>6677</v>
      </c>
      <c r="C910" s="21">
        <v>6.8</v>
      </c>
      <c r="D910" s="65" t="str">
        <f>HYPERLINK("https://github.com/mostafa-saad/MyCompetitiveProgramming/blob/master/Olympiad/infoarena/infoarena-ssdj.txt","Sol")</f>
        <v>Sol</v>
      </c>
      <c r="E910" s="31" t="s">
        <v>575</v>
      </c>
      <c r="F910" s="37" t="s">
        <v>139</v>
      </c>
      <c r="G910" s="24"/>
      <c r="H910" s="53"/>
    </row>
    <row r="911" spans="1:8" ht="13.2">
      <c r="A911" s="65" t="str">
        <f>HYPERLINK("https://www.infoarena.ro/problema/struti", "Infoarena Struti")</f>
        <v>Infoarena Struti</v>
      </c>
      <c r="B911" s="20" t="s">
        <v>6692</v>
      </c>
      <c r="C911" s="17">
        <v>6</v>
      </c>
      <c r="D911" s="65" t="str">
        <f>HYPERLINK("https://github.com/stefdasca/CompetitiveProgramming/blob/master/Infoarena/struti.cpp","Sol")</f>
        <v>Sol</v>
      </c>
      <c r="E911" s="31" t="s">
        <v>575</v>
      </c>
      <c r="F911" s="37"/>
      <c r="G911" s="24"/>
      <c r="H911" s="53"/>
    </row>
    <row r="912" spans="1:8" ht="13.2">
      <c r="A912" s="65" t="str">
        <f>HYPERLINK("https://www.infoarena.ro/problema/tablou","infoarena tablou")</f>
        <v>infoarena tablou</v>
      </c>
      <c r="B912" s="20" t="s">
        <v>6937</v>
      </c>
      <c r="C912" s="21">
        <v>4.5</v>
      </c>
      <c r="D912" s="65" t="str">
        <f>HYPERLINK("https://github.com/stefdasca/CompetitiveProgramming/blob/master/Infoarena/tablou.cpp","Sol")</f>
        <v>Sol</v>
      </c>
      <c r="E912" s="31" t="s">
        <v>1337</v>
      </c>
      <c r="F912" s="37"/>
      <c r="G912" s="24"/>
      <c r="H912" s="53"/>
    </row>
    <row r="913" spans="1:8" ht="13.2">
      <c r="A913" s="65" t="str">
        <f>HYPERLINK("https://www.infoarena.ro/problema/treesearch", "Infoarena Treesearch")</f>
        <v>Infoarena Treesearch</v>
      </c>
      <c r="B913" s="20" t="s">
        <v>7195</v>
      </c>
      <c r="C913" s="17">
        <v>6</v>
      </c>
      <c r="D913" s="65" t="str">
        <f>HYPERLINK("https://github.com/stefdasca/CompetitiveProgramming/blob/master/Infoarena/treesearch.cpp","Sol")</f>
        <v>Sol</v>
      </c>
      <c r="E913" s="31" t="s">
        <v>3650</v>
      </c>
      <c r="F913" s="37"/>
      <c r="G913" s="24"/>
      <c r="H913" s="53"/>
    </row>
    <row r="914" spans="1:8" ht="13.2">
      <c r="A914" s="65" t="str">
        <f>HYPERLINK(" https://www.infoarena.ro/problema/tricolor","Infoarena tricolor")</f>
        <v>Infoarena tricolor</v>
      </c>
      <c r="B914" s="37" t="s">
        <v>7503</v>
      </c>
      <c r="C914" s="24">
        <v>6.5</v>
      </c>
      <c r="D914" s="65" t="str">
        <f>HYPERLINK("https://github.com/mostafa-saad/MyCompetitiveProgramming/blob/master/Olympiad/infoarena/Infoarena_tricolor.txt","Sol")</f>
        <v>Sol</v>
      </c>
      <c r="E914" s="31" t="s">
        <v>6459</v>
      </c>
      <c r="F914" s="37" t="s">
        <v>139</v>
      </c>
      <c r="G914" s="24"/>
      <c r="H914" s="53"/>
    </row>
    <row r="915" spans="1:8" ht="13.2">
      <c r="A915" s="65" t="str">
        <f>HYPERLINK("https://www.infoarena.ro/problema/troll","infoarena troll")</f>
        <v>infoarena troll</v>
      </c>
      <c r="B915" s="20" t="s">
        <v>6702</v>
      </c>
      <c r="C915" s="21">
        <v>5</v>
      </c>
      <c r="D915" s="65" t="str">
        <f>HYPERLINK("https://github.com/stefdasca/CompetitiveProgramming/blob/master/Infoarena/troll.cpp","Sol")</f>
        <v>Sol</v>
      </c>
      <c r="E915" s="31" t="s">
        <v>575</v>
      </c>
      <c r="F915" s="37"/>
      <c r="G915" s="24"/>
      <c r="H915" s="53"/>
    </row>
    <row r="916" spans="1:8" ht="13.2">
      <c r="A916" s="65" t="str">
        <f>HYPERLINK("https://www.infoarena.ro/problema/turnuri","infoarena turnuri")</f>
        <v>infoarena turnuri</v>
      </c>
      <c r="B916" s="20" t="s">
        <v>6840</v>
      </c>
      <c r="C916" s="24">
        <v>6.75</v>
      </c>
      <c r="D916" s="65" t="str">
        <f>HYPERLINK("https://github.com/mostafa-saad/MyCompetitiveProgramming/blob/master/Olympiad/infoarena/infoarena_turnuri.txt","Sol")</f>
        <v>Sol</v>
      </c>
      <c r="E916" s="31" t="s">
        <v>1337</v>
      </c>
      <c r="F916" s="37" t="s">
        <v>139</v>
      </c>
      <c r="G916" s="24"/>
      <c r="H916" s="53"/>
    </row>
    <row r="917" spans="1:8" ht="13.2">
      <c r="A917" s="65" t="str">
        <f>HYPERLINK("https://www.infoarena.ro/problema/unique","infoarena unique")</f>
        <v>infoarena unique</v>
      </c>
      <c r="B917" s="20" t="s">
        <v>7230</v>
      </c>
      <c r="C917" s="17">
        <v>6.75</v>
      </c>
      <c r="D917" s="65" t="str">
        <f>HYPERLINK("https://github.com/mostafa-saad/MyCompetitiveProgramming/blob/master/Olympiad/infoarena/infoarena_unique.txt","Sol")</f>
        <v>Sol</v>
      </c>
      <c r="E917" s="31" t="s">
        <v>3883</v>
      </c>
      <c r="F917" s="37" t="s">
        <v>139</v>
      </c>
      <c r="G917" s="24"/>
      <c r="H917" s="53"/>
    </row>
    <row r="918" spans="1:8" ht="13.2">
      <c r="A918" s="65" t="str">
        <f>HYPERLINK("https://www.infoarena.ro/problema/v2d","infoarena v2d")</f>
        <v>infoarena v2d</v>
      </c>
      <c r="B918" s="20" t="s">
        <v>6894</v>
      </c>
      <c r="C918" s="21">
        <v>6</v>
      </c>
      <c r="D918" s="65" t="str">
        <f>HYPERLINK("https://github.com/stefdasca/CompetitiveProgramming/blob/master/Infoarena/v2d.cpp","Sol")</f>
        <v>Sol</v>
      </c>
      <c r="E918" s="31" t="s">
        <v>1337</v>
      </c>
      <c r="F918" s="37"/>
      <c r="G918" s="24"/>
      <c r="H918" s="53"/>
    </row>
    <row r="919" spans="1:8" ht="13.2">
      <c r="A919" s="65" t="str">
        <f>HYPERLINK("https://www.infoarena.ro/problema/vmin","Infoarena vmin")</f>
        <v>Infoarena vmin</v>
      </c>
      <c r="B919" s="37" t="s">
        <v>7468</v>
      </c>
      <c r="C919" s="24">
        <v>5</v>
      </c>
      <c r="D919" s="65" t="str">
        <f>HYPERLINK("https://github.com/mostafa-saad/MyCompetitiveProgramming/blob/master/Olympiad/infoarena/Infoarena_vmin.txt","Sol")</f>
        <v>Sol</v>
      </c>
      <c r="E919" s="31" t="s">
        <v>6362</v>
      </c>
      <c r="F919" s="37" t="s">
        <v>201</v>
      </c>
      <c r="G919" s="24"/>
      <c r="H919" s="53"/>
    </row>
    <row r="920" spans="1:8" ht="13.2">
      <c r="A920" s="65" t="str">
        <f>HYPERLINK("https://infoarena.ro/problema/xortransform","infoarena xortransform")</f>
        <v>infoarena xortransform</v>
      </c>
      <c r="B920" s="15" t="s">
        <v>7496</v>
      </c>
      <c r="C920" s="24">
        <v>6.9</v>
      </c>
      <c r="D920" s="65" t="str">
        <f>HYPERLINK("https://github.com/mostafa-saad/MyCompetitiveProgramming/blob/master/Olympiad/infoarena/infoarena_xortransform.txt","Sol")</f>
        <v>Sol</v>
      </c>
      <c r="E920" s="31" t="s">
        <v>6441</v>
      </c>
      <c r="F920" s="37" t="s">
        <v>154</v>
      </c>
      <c r="G920" s="24"/>
      <c r="H920" s="53"/>
    </row>
    <row r="921" spans="1:8" ht="13.2">
      <c r="A921" s="65" t="str">
        <f>HYPERLINK("https://infoarena.ro/problema/xreverse","infoarena xreverse")</f>
        <v>infoarena xreverse</v>
      </c>
      <c r="B921" s="37" t="s">
        <v>6848</v>
      </c>
      <c r="C921" s="24">
        <v>6.7</v>
      </c>
      <c r="D921" s="65" t="str">
        <f>HYPERLINK("https://github.com/mostafa-saad/MyCompetitiveProgramming/blob/master/Olympiad/infoarena/infoarena_xreverse.txt","Sol")</f>
        <v>Sol</v>
      </c>
      <c r="E921" s="31" t="s">
        <v>1337</v>
      </c>
      <c r="F921" s="37" t="s">
        <v>139</v>
      </c>
      <c r="G921" s="24"/>
      <c r="H921" s="53"/>
    </row>
    <row r="922" spans="1:8" ht="13.2">
      <c r="A922" s="65" t="str">
        <f>HYPERLINK("https://www.infoarena.ro/problema/zip","infoarena zip")</f>
        <v>infoarena zip</v>
      </c>
      <c r="B922" s="20" t="s">
        <v>6916</v>
      </c>
      <c r="C922" s="21">
        <v>5.5</v>
      </c>
      <c r="D922" s="65" t="str">
        <f>HYPERLINK("https://github.com/stefdasca/CompetitiveProgramming/blob/master/Infoarena/zip.cpp","Sol")</f>
        <v>Sol</v>
      </c>
      <c r="E922" s="31" t="s">
        <v>1337</v>
      </c>
      <c r="F922" s="37"/>
      <c r="G922" s="24"/>
      <c r="H922" s="53"/>
    </row>
    <row r="923" spans="1:8" ht="13.2">
      <c r="A923" s="65" t="str">
        <f>HYPERLINK("https://www.infoarena.ro/problema/zmeu","infoarena zmeu")</f>
        <v>infoarena zmeu</v>
      </c>
      <c r="B923" s="20" t="s">
        <v>6917</v>
      </c>
      <c r="C923" s="17">
        <v>5.5</v>
      </c>
      <c r="D923" s="65" t="str">
        <f>HYPERLINK("https://github.com/stefdasca/CompetitiveProgramming/blob/master/Infoarena/zmeu.cpp","Sol")</f>
        <v>Sol</v>
      </c>
      <c r="E923" s="31" t="s">
        <v>1337</v>
      </c>
      <c r="F923" s="37"/>
      <c r="G923" s="24"/>
      <c r="H923" s="53"/>
    </row>
    <row r="924" spans="1:8" ht="13.2">
      <c r="A924" s="65" t="str">
        <f>HYPERLINK("https://www.infoarena.ro/problema/zuma","infoarena zuma")</f>
        <v>infoarena zuma</v>
      </c>
      <c r="B924" s="20" t="s">
        <v>6836</v>
      </c>
      <c r="C924" s="17">
        <v>7</v>
      </c>
      <c r="D924" s="65" t="str">
        <f>HYPERLINK("https://github.com/stefdasca/CompetitiveProgramming/blob/master/Infoarena/zuma.cpp","Sol")</f>
        <v>Sol</v>
      </c>
      <c r="E924" s="31" t="s">
        <v>1337</v>
      </c>
      <c r="F924" s="37"/>
      <c r="G924" s="24"/>
      <c r="H924" s="53"/>
    </row>
    <row r="925" spans="1:8" ht="13.2">
      <c r="A925" s="65" t="str">
        <f>HYPERLINK("https://oj.uz/problem/view/innopolis2018_final_A","innopolis 18-final_A")</f>
        <v>innopolis 18-final_A</v>
      </c>
      <c r="B925" s="37" t="s">
        <v>7527</v>
      </c>
      <c r="C925" s="24"/>
      <c r="D925" s="69"/>
      <c r="E925" s="31" t="s">
        <v>7525</v>
      </c>
      <c r="F925" s="37"/>
      <c r="G925" s="24"/>
      <c r="H925" s="53"/>
    </row>
    <row r="926" spans="1:8" ht="13.2">
      <c r="A926" s="65" t="str">
        <f>HYPERLINK("https://oj.uz/problem/view/innopolis2018_final_B","innopolis 18-final_B")</f>
        <v>innopolis 18-final_B</v>
      </c>
      <c r="B926" s="37" t="s">
        <v>7527</v>
      </c>
      <c r="C926" s="24"/>
      <c r="D926" s="69"/>
      <c r="E926" s="31" t="s">
        <v>7525</v>
      </c>
      <c r="F926" s="37"/>
      <c r="G926" s="24"/>
      <c r="H926" s="53"/>
    </row>
    <row r="927" spans="1:8" ht="13.2">
      <c r="A927" s="65" t="str">
        <f>HYPERLINK("https://oj.uz/problem/view/innopolis2018_final_C","innopolis 18-final_C")</f>
        <v>innopolis 18-final_C</v>
      </c>
      <c r="B927" s="37" t="s">
        <v>7527</v>
      </c>
      <c r="C927" s="24"/>
      <c r="D927" s="69"/>
      <c r="E927" s="31" t="s">
        <v>7525</v>
      </c>
      <c r="F927" s="37"/>
      <c r="G927" s="24"/>
      <c r="H927" s="53"/>
    </row>
    <row r="928" spans="1:8" ht="13.2">
      <c r="A928" s="65" t="str">
        <f>HYPERLINK("https://oj.uz/problem/view/innopolis2018_final_D","innopolis 18-final_D")</f>
        <v>innopolis 18-final_D</v>
      </c>
      <c r="B928" s="37" t="s">
        <v>7527</v>
      </c>
      <c r="C928" s="24"/>
      <c r="D928" s="69"/>
      <c r="E928" s="31" t="s">
        <v>7525</v>
      </c>
      <c r="F928" s="37"/>
      <c r="G928" s="24"/>
      <c r="H928" s="53"/>
    </row>
    <row r="929" spans="1:8" ht="13.2">
      <c r="A929" s="65" t="str">
        <f>HYPERLINK("https://oj.uz/problem/view/innopolis2018_final_E","innopolis 18-final_E")</f>
        <v>innopolis 18-final_E</v>
      </c>
      <c r="B929" s="37" t="s">
        <v>7527</v>
      </c>
      <c r="C929" s="24"/>
      <c r="D929" s="69"/>
      <c r="E929" s="31" t="s">
        <v>7525</v>
      </c>
      <c r="F929" s="37"/>
      <c r="G929" s="24"/>
      <c r="H929" s="53"/>
    </row>
    <row r="930" spans="1:8" ht="13.2">
      <c r="A930" s="65" t="str">
        <f>HYPERLINK("https://codeforces.com/gym/102032/problem/D","Innopolis 19-Q1-D")</f>
        <v>Innopolis 19-Q1-D</v>
      </c>
      <c r="B930" s="37" t="s">
        <v>7527</v>
      </c>
      <c r="C930" s="17">
        <v>7.1</v>
      </c>
      <c r="D930" s="69"/>
      <c r="E930" s="31" t="s">
        <v>7525</v>
      </c>
      <c r="F930" s="37" t="s">
        <v>139</v>
      </c>
      <c r="G930" s="24"/>
      <c r="H930" s="53"/>
    </row>
    <row r="931" spans="1:8" ht="13.2">
      <c r="A931" s="65" t="str">
        <f>HYPERLINK("https://codeforces.com/gym/102436?locale=en","Innopolis 20-Q1-D")</f>
        <v>Innopolis 20-Q1-D</v>
      </c>
      <c r="B931" s="37" t="s">
        <v>7527</v>
      </c>
      <c r="C931" s="17">
        <v>7.1</v>
      </c>
      <c r="D931" s="69"/>
      <c r="E931" s="31" t="s">
        <v>7525</v>
      </c>
      <c r="F931" s="37" t="s">
        <v>139</v>
      </c>
      <c r="G931" s="24"/>
      <c r="H931" s="53"/>
    </row>
    <row r="932" spans="1:8" ht="13.2">
      <c r="A932" s="65" t="str">
        <f>HYPERLINK("https://dunjudge.me/analysis/problems/1233/","INOI 16-brackets_inoi")</f>
        <v>INOI 16-brackets_inoi</v>
      </c>
      <c r="B932" s="37" t="s">
        <v>7527</v>
      </c>
      <c r="C932" s="24"/>
      <c r="D932" s="69"/>
      <c r="E932" s="31" t="s">
        <v>7525</v>
      </c>
      <c r="F932" s="37"/>
      <c r="G932" s="24"/>
      <c r="H932" s="53"/>
    </row>
    <row r="933" spans="1:8" ht="13.2">
      <c r="A933" s="65" t="str">
        <f>HYPERLINK("https://wcipeg.com/problem/ioi0023","IOI 00-Blocks")</f>
        <v>IOI 00-Blocks</v>
      </c>
      <c r="B933" s="20" t="s">
        <v>7697</v>
      </c>
      <c r="C933" s="24">
        <v>7</v>
      </c>
      <c r="D933" s="65" t="str">
        <f>HYPERLINK("https://github.com/mostafa-saad/MyCompetitiveProgramming/blob/master/Olympiad/IOI/IOI-00-Blocks.txt","Sol")</f>
        <v>Sol</v>
      </c>
      <c r="E933" s="31" t="s">
        <v>332</v>
      </c>
      <c r="F933" s="37"/>
      <c r="G933" s="24"/>
      <c r="H933" s="53"/>
    </row>
    <row r="934" spans="1:8" ht="13.2">
      <c r="A934" s="65" t="str">
        <f>HYPERLINK("https://dunjudge.me/analysis/problems/727/","IOI 00-car")</f>
        <v>IOI 00-car</v>
      </c>
      <c r="B934" s="20" t="s">
        <v>7157</v>
      </c>
      <c r="C934" s="24">
        <v>5.5</v>
      </c>
      <c r="D934" s="65" t="str">
        <f>HYPERLINK("https://github.com/mostafa-saad/MyCompetitiveProgramming/blob/master/Olympiad/IOI/official/2000","Editorial")</f>
        <v>Editorial</v>
      </c>
      <c r="E934" s="31" t="s">
        <v>3257</v>
      </c>
      <c r="F934" s="37"/>
      <c r="G934" s="24"/>
      <c r="H934" s="53"/>
    </row>
    <row r="935" spans="1:8" ht="13.2">
      <c r="A935" s="65" t="str">
        <f>HYPERLINK("https://dunjudge.me/analysis/problems/728/","IOI 00-median")</f>
        <v>IOI 00-median</v>
      </c>
      <c r="B935" s="20" t="s">
        <v>6596</v>
      </c>
      <c r="C935" s="24">
        <v>6.5</v>
      </c>
      <c r="D935" s="65" t="str">
        <f>HYPERLINK("https://github.com/mostafa-saad/MyCompetitiveProgramming/blob/master/Olympiad/IOI/IOI-00-median.txt","Sol")</f>
        <v>Sol</v>
      </c>
      <c r="E935" s="31" t="s">
        <v>125</v>
      </c>
      <c r="F935" s="37" t="s">
        <v>139</v>
      </c>
      <c r="G935" s="24"/>
      <c r="H935" s="53"/>
    </row>
    <row r="936" spans="1:8" ht="13.2">
      <c r="A936" s="65" t="str">
        <f>HYPERLINK("http://poj.org/problem?id=1159","IOI 00-palindrome")</f>
        <v>IOI 00-palindrome</v>
      </c>
      <c r="B936" s="15" t="s">
        <v>1348</v>
      </c>
      <c r="C936" s="24">
        <v>2</v>
      </c>
      <c r="D936" s="65" t="str">
        <f>HYPERLINK("https://github.com/mostafa-saad/MyCompetitiveProgramming/blob/master/Olympiad/IOI/official/2000","Editorial")</f>
        <v>Editorial</v>
      </c>
      <c r="E936" s="31" t="s">
        <v>1337</v>
      </c>
      <c r="F936" s="37"/>
      <c r="G936" s="24"/>
      <c r="H936" s="53"/>
    </row>
    <row r="937" spans="1:8" ht="13.2">
      <c r="A937" s="65" t="str">
        <f>HYPERLINK("http://poj.org/problem?id=1160","IOI 00-Post")</f>
        <v>IOI 00-Post</v>
      </c>
      <c r="B937" s="20" t="s">
        <v>2112</v>
      </c>
      <c r="C937" s="24">
        <v>5</v>
      </c>
      <c r="D937" s="65" t="str">
        <f>HYPERLINK("https://github.com/mostafa-saad/MyCompetitiveProgramming/blob/master/Olympiad/IOI/official/2000","Editorial. Google POJ 1160 for codes")</f>
        <v>Editorial. Google POJ 1160 for codes</v>
      </c>
      <c r="E937" s="31" t="s">
        <v>2113</v>
      </c>
      <c r="F937" s="37" t="s">
        <v>201</v>
      </c>
      <c r="G937" s="24"/>
      <c r="H937" s="53"/>
    </row>
    <row r="938" spans="1:8" ht="13.2">
      <c r="A938" s="65" t="str">
        <f>HYPERLINK("http://poj.org/problem?id=1161","IOI 00-walls")</f>
        <v>IOI 00-walls</v>
      </c>
      <c r="B938" s="20" t="s">
        <v>7253</v>
      </c>
      <c r="C938" s="24">
        <v>5</v>
      </c>
      <c r="D938" s="65" t="str">
        <f>HYPERLINK("https://github.com/mostafa-saad/MyCompetitiveProgramming/blob/master/Olympiad/IOI/IOI-00-walls.txt","Sol")</f>
        <v>Sol</v>
      </c>
      <c r="E938" s="31" t="s">
        <v>3998</v>
      </c>
      <c r="F938" s="37" t="s">
        <v>242</v>
      </c>
      <c r="G938" s="24"/>
      <c r="H938" s="53"/>
    </row>
    <row r="939" spans="1:8" ht="13.2">
      <c r="A939" s="65" t="str">
        <f>HYPERLINK("http://poj.org/problem?id=1147","IOI 01-BinaryCodes")</f>
        <v>IOI 01-BinaryCodes</v>
      </c>
      <c r="B939" s="20" t="s">
        <v>7540</v>
      </c>
      <c r="C939" s="24">
        <v>3</v>
      </c>
      <c r="D939" s="65" t="str">
        <f>HYPERLINK("https://github.com/mostafa-saad/MyCompetitiveProgramming/blob/master/Olympiad/IOI/official/2001","Editorial")</f>
        <v>Editorial</v>
      </c>
      <c r="E939" s="31" t="s">
        <v>7525</v>
      </c>
      <c r="F939" s="37"/>
      <c r="G939" s="24"/>
      <c r="H939" s="53"/>
    </row>
    <row r="940" spans="1:8" ht="13.2">
      <c r="A940" s="65" t="str">
        <f>HYPERLINK("https://dunjudge.me/analysis/problems/734/","IOI 01-depot")</f>
        <v>IOI 01-depot</v>
      </c>
      <c r="B940" s="20" t="s">
        <v>6655</v>
      </c>
      <c r="C940" s="24">
        <v>6.6</v>
      </c>
      <c r="D940" s="65" t="str">
        <f>HYPERLINK("https://github.com/mostafa-saad/MyCompetitiveProgramming/blob/master/Olympiad/IOI/IOI-01-depot.txt","Sol")</f>
        <v>Sol</v>
      </c>
      <c r="E940" s="31" t="s">
        <v>332</v>
      </c>
      <c r="F940" s="37" t="s">
        <v>201</v>
      </c>
      <c r="G940" s="24"/>
      <c r="H940" s="53"/>
    </row>
    <row r="941" spans="1:8" ht="13.2">
      <c r="A941" s="65" t="str">
        <f>HYPERLINK("https://dunjudge.me/analysis/problems/753/","IOI 01-ioiwari")</f>
        <v>IOI 01-ioiwari</v>
      </c>
      <c r="B941" s="20" t="s">
        <v>6881</v>
      </c>
      <c r="C941" s="24">
        <v>6.25</v>
      </c>
      <c r="D941" s="65" t="str">
        <f t="shared" ref="D941:D943" si="23">HYPERLINK("https://github.com/mostafa-saad/MyCompetitiveProgramming/blob/master/Olympiad/IOI/official/2001","Editorial")</f>
        <v>Editorial</v>
      </c>
      <c r="E941" s="31" t="s">
        <v>1337</v>
      </c>
      <c r="F941" s="37"/>
      <c r="G941" s="24"/>
      <c r="H941" s="53"/>
    </row>
    <row r="942" spans="1:8" ht="13.2">
      <c r="A942" s="65" t="str">
        <f>HYPERLINK("https://dmoj.ca/problem/ioi01p1","IOI 01-mobile")</f>
        <v>IOI 01-mobile</v>
      </c>
      <c r="B942" s="20" t="s">
        <v>1329</v>
      </c>
      <c r="C942" s="24">
        <v>4.5</v>
      </c>
      <c r="D942" s="65" t="str">
        <f t="shared" si="23"/>
        <v>Editorial</v>
      </c>
      <c r="E942" s="31" t="s">
        <v>1223</v>
      </c>
      <c r="F942" s="37"/>
      <c r="G942" s="24"/>
      <c r="H942" s="53"/>
    </row>
    <row r="943" spans="1:8" ht="13.2">
      <c r="A943" s="65" t="str">
        <f>HYPERLINK("http://poj.org/problem?id=1196","IOI 01-Twofive")</f>
        <v>IOI 01-Twofive</v>
      </c>
      <c r="B943" s="20" t="s">
        <v>7527</v>
      </c>
      <c r="C943" s="24">
        <v>5.25</v>
      </c>
      <c r="D943" s="65" t="str">
        <f t="shared" si="23"/>
        <v>Editorial</v>
      </c>
      <c r="E943" s="31" t="s">
        <v>7525</v>
      </c>
      <c r="F943" s="37"/>
      <c r="G943" s="24"/>
      <c r="H943" s="53"/>
    </row>
    <row r="944" spans="1:8" ht="13.2">
      <c r="A944" s="65" t="str">
        <f>HYPERLINK("https://dmoj.ca/problem/ioi02p4","IOI 02-Batch")</f>
        <v>IOI 02-Batch</v>
      </c>
      <c r="B944" s="20" t="s">
        <v>6882</v>
      </c>
      <c r="C944" s="24">
        <v>6.1</v>
      </c>
      <c r="D944" s="65" t="str">
        <f>HYPERLINK("https://github.com/mostafa-saad/MyCompetitiveProgramming/blob/master/Olympiad/IOI/IOI-02-Batch.txt","Sol")</f>
        <v>Sol</v>
      </c>
      <c r="E944" s="31" t="s">
        <v>1337</v>
      </c>
      <c r="F944" s="37" t="s">
        <v>139</v>
      </c>
      <c r="G944" s="24"/>
      <c r="H944" s="53"/>
    </row>
    <row r="945" spans="1:8" ht="13.2">
      <c r="A945" s="65" t="str">
        <f>HYPERLINK("https://www.acmicpc.net/problem/2209","IOI 02-Bus")</f>
        <v>IOI 02-Bus</v>
      </c>
      <c r="B945" s="20" t="s">
        <v>7136</v>
      </c>
      <c r="C945" s="24">
        <v>6.5</v>
      </c>
      <c r="D945" s="65" t="str">
        <f>HYPERLINK("https://github.com/mostafa-saad/MyCompetitiveProgramming/blob/master/Olympiad/IOI/IOI-02-Bus.txt","Sol")</f>
        <v>Sol</v>
      </c>
      <c r="E945" s="31" t="s">
        <v>3257</v>
      </c>
      <c r="F945" s="37" t="s">
        <v>139</v>
      </c>
      <c r="G945" s="24"/>
      <c r="H945" s="53"/>
    </row>
    <row r="946" spans="1:8" ht="13.2">
      <c r="A946" s="65" t="str">
        <f>HYPERLINK("https://www.acmicpc.net/problem/1752","IOI 02-Frog")</f>
        <v>IOI 02-Frog</v>
      </c>
      <c r="B946" s="20" t="s">
        <v>6911</v>
      </c>
      <c r="C946" s="24">
        <v>5.5</v>
      </c>
      <c r="D946" s="65" t="str">
        <f>HYPERLINK("https://github.com/mostafa-saad/MyCompetitiveProgramming/blob/master/Olympiad/IOI/IOI-02-Frog.txt","Sol")</f>
        <v>Sol</v>
      </c>
      <c r="E946" s="31" t="s">
        <v>1337</v>
      </c>
      <c r="F946" s="37"/>
      <c r="G946" s="24"/>
      <c r="H946" s="53"/>
    </row>
    <row r="947" spans="1:8" ht="13.2">
      <c r="A947" s="65" t="str">
        <f>HYPERLINK("http://poj.org/problem?id=1148","IOI 02-Utopia")</f>
        <v>IOI 02-Utopia</v>
      </c>
      <c r="B947" s="20" t="s">
        <v>6593</v>
      </c>
      <c r="C947" s="24">
        <v>6.5</v>
      </c>
      <c r="D947" s="65" t="str">
        <f>HYPERLINK("https://github.com/mostafa-saad/MyCompetitiveProgramming/blob/master/Olympiad/IOI/IOI-02-Utopia.txt","Sol")</f>
        <v>Sol</v>
      </c>
      <c r="E947" s="31" t="s">
        <v>125</v>
      </c>
      <c r="F947" s="37" t="s">
        <v>154</v>
      </c>
      <c r="G947" s="24"/>
      <c r="H947" s="53"/>
    </row>
    <row r="948" spans="1:8" ht="13.2">
      <c r="A948" s="65" t="str">
        <f>HYPERLINK("https://dunjudge.me/analysis/problems/738/","IOI 02-xor")</f>
        <v>IOI 02-xor</v>
      </c>
      <c r="B948" s="20" t="s">
        <v>6652</v>
      </c>
      <c r="C948" s="17"/>
      <c r="D948" s="65" t="str">
        <f>HYPERLINK("https://github.com/mostafa-saad/MyCompetitiveProgramming/blob/master/Olympiad/IOI/official/2002","Editorial")</f>
        <v>Editorial</v>
      </c>
      <c r="E948" s="31" t="s">
        <v>125</v>
      </c>
      <c r="F948" s="37"/>
      <c r="G948" s="24"/>
      <c r="H948" s="53"/>
    </row>
    <row r="949" spans="1:8" ht="13.2">
      <c r="A949" s="65" t="str">
        <f>HYPERLINK("https://contest.yandex.ru/ioi/contest/558/enter/","IOI 03-boundary")</f>
        <v>IOI 03-boundary</v>
      </c>
      <c r="B949" s="15" t="s">
        <v>7079</v>
      </c>
      <c r="C949" s="24">
        <v>5</v>
      </c>
      <c r="D949" s="65" t="str">
        <f>HYPERLINK("https://github.com/mostafa-saad/MyCompetitiveProgramming/blob/master/Olympiad/IOI/official/2003","Editorial")</f>
        <v>Editorial</v>
      </c>
      <c r="E949" s="31" t="s">
        <v>2510</v>
      </c>
      <c r="F949" s="37"/>
      <c r="G949" s="24"/>
      <c r="H949" s="53"/>
    </row>
    <row r="950" spans="1:8" ht="13.2">
      <c r="A950" s="65" t="str">
        <f>HYPERLINK("https://contest.yandex.ru/ioi/contest/558/problems/B/","IOI 03-code")</f>
        <v>IOI 03-code</v>
      </c>
      <c r="B950" s="15" t="s">
        <v>7698</v>
      </c>
      <c r="C950" s="24">
        <v>6.5</v>
      </c>
      <c r="D950" s="65" t="str">
        <f>HYPERLINK("https://github.com/mostafa-saad/MyCompetitiveProgramming/blob/master/Olympiad/IOI/IOI-03-code.txt","Sol")</f>
        <v>Sol</v>
      </c>
      <c r="E950" s="31" t="s">
        <v>6505</v>
      </c>
      <c r="F950" s="37" t="s">
        <v>201</v>
      </c>
      <c r="G950" s="24"/>
      <c r="H950" s="53"/>
    </row>
    <row r="951" spans="1:8" ht="13.2">
      <c r="A951" s="65" t="str">
        <f>HYPERLINK("https://contest.yandex.ru/ioi/contest/558/enter/","IOI 03-guess")</f>
        <v>IOI 03-guess</v>
      </c>
      <c r="B951" s="15" t="s">
        <v>6571</v>
      </c>
      <c r="C951" s="24">
        <v>6</v>
      </c>
      <c r="D951" s="65" t="str">
        <f>HYPERLINK("https://github.com/mostafa-saad/MyCompetitiveProgramming/blob/master/Olympiad/IOI/IOI-03-guess.txt","Sol")</f>
        <v>Sol</v>
      </c>
      <c r="E951" s="31" t="s">
        <v>125</v>
      </c>
      <c r="F951" s="37"/>
      <c r="G951" s="24"/>
      <c r="H951" s="53"/>
    </row>
    <row r="952" spans="1:8" ht="13.2">
      <c r="A952" s="65" t="str">
        <f>HYPERLINK("https://contest.yandex.ru/ioi/contest/558/enter/","IOI 03-maintain")</f>
        <v>IOI 03-maintain</v>
      </c>
      <c r="B952" s="15" t="s">
        <v>4279</v>
      </c>
      <c r="C952" s="24">
        <v>6</v>
      </c>
      <c r="D952" s="65" t="str">
        <f>HYPERLINK("https://github.com/zoooma13/Competitive-Programming/blob/master/trail_maintenance.cpp","Sol")</f>
        <v>Sol</v>
      </c>
      <c r="E952" s="31" t="s">
        <v>4275</v>
      </c>
      <c r="F952" s="37"/>
      <c r="G952" s="24"/>
      <c r="H952" s="53"/>
    </row>
    <row r="953" spans="1:8" ht="13.2">
      <c r="A953" s="65" t="str">
        <f>HYPERLINK("https://contest.yandex.ru/ioi/contest/558/enter/","IOI 03-reverse")</f>
        <v>IOI 03-reverse</v>
      </c>
      <c r="B953" s="15" t="s">
        <v>6571</v>
      </c>
      <c r="C953" s="24">
        <v>7.25</v>
      </c>
      <c r="D953" s="65" t="str">
        <f>HYPERLINK("https://github.com/mostafa-saad/MyCompetitiveProgramming/blob/master/Olympiad/IOI/official/2003","Editorial")</f>
        <v>Editorial</v>
      </c>
      <c r="E953" s="31" t="s">
        <v>125</v>
      </c>
      <c r="F953" s="37" t="s">
        <v>139</v>
      </c>
      <c r="G953" s="24"/>
      <c r="H953" s="53"/>
    </row>
    <row r="954" spans="1:8" ht="13.2">
      <c r="A954" s="65" t="str">
        <f>HYPERLINK("https://contest.yandex.ru/ioi/contest/558/enter/","IOI 03-robots")</f>
        <v>IOI 03-robots</v>
      </c>
      <c r="B954" s="20" t="s">
        <v>7399</v>
      </c>
      <c r="C954" s="24">
        <v>6.5</v>
      </c>
      <c r="D954" s="65" t="str">
        <f>HYPERLINK("https://github.com/mostafa-saad/MyCompetitiveProgramming/blob/master/Olympiad/IOI/IOI-03-robots.txt","Sol")</f>
        <v>Sol</v>
      </c>
      <c r="E954" s="31" t="s">
        <v>5958</v>
      </c>
      <c r="F954" s="37"/>
      <c r="G954" s="24"/>
      <c r="H954" s="53"/>
    </row>
    <row r="955" spans="1:8" ht="13.2">
      <c r="A955" s="65" t="str">
        <f>HYPERLINK("https://contest.yandex.ru/ioi/contest/560/enter/","IOI 04-artemis")</f>
        <v>IOI 04-artemis</v>
      </c>
      <c r="B955" s="15" t="s">
        <v>7076</v>
      </c>
      <c r="C955" s="24">
        <v>6</v>
      </c>
      <c r="D955" s="65" t="str">
        <f>HYPERLINK("https://github.com/mostafa-saad/MyCompetitiveProgramming/blob/master/Olympiad/IOI/IOI-04-artemis.txt","Sol")</f>
        <v>Sol</v>
      </c>
      <c r="E955" s="31" t="s">
        <v>2510</v>
      </c>
      <c r="F955" s="37"/>
      <c r="G955" s="24"/>
      <c r="H955" s="53"/>
    </row>
    <row r="956" spans="1:8" ht="13.2">
      <c r="A956" s="65" t="str">
        <f>HYPERLINK("https://contest.yandex.ru/ioi/contest/560/enter/","IOI 04-empodia")</f>
        <v>IOI 04-empodia</v>
      </c>
      <c r="B956" s="15" t="s">
        <v>6592</v>
      </c>
      <c r="C956" s="24">
        <v>6.6</v>
      </c>
      <c r="D956" s="65" t="str">
        <f>HYPERLINK("https://github.com/mostafa-saad/MyCompetitiveProgramming/blob/master/Olympiad/IOI/IOI-04-empodia.txt","Sol")</f>
        <v>Sol</v>
      </c>
      <c r="E956" s="31" t="s">
        <v>125</v>
      </c>
      <c r="F956" s="37" t="s">
        <v>196</v>
      </c>
      <c r="G956" s="24"/>
      <c r="H956" s="53"/>
    </row>
    <row r="957" spans="1:8" ht="13.2">
      <c r="A957" s="65" t="str">
        <f>HYPERLINK("https://contest.yandex.ru/ioi/contest/560/enter/","IOI 04-farmer")</f>
        <v>IOI 04-farmer</v>
      </c>
      <c r="B957" s="15" t="s">
        <v>2232</v>
      </c>
      <c r="C957" s="24">
        <v>5.5</v>
      </c>
      <c r="D957" s="65" t="str">
        <f>HYPERLINK("https://github.com/mostafa-saad/MyCompetitiveProgramming/blob/master/Olympiad/IOI/IOI-04-farmer.txt","Sol")</f>
        <v>Sol</v>
      </c>
      <c r="E957" s="31" t="s">
        <v>2153</v>
      </c>
      <c r="F957" s="37" t="s">
        <v>201</v>
      </c>
      <c r="G957" s="24"/>
      <c r="H957" s="53"/>
    </row>
    <row r="958" spans="1:8" ht="13.2">
      <c r="A958" s="65" t="str">
        <f>HYPERLINK("https://contest.yandex.ru/ioi/contest/560/enter/","IOI 04-hermes")</f>
        <v>IOI 04-hermes</v>
      </c>
      <c r="B958" s="23" t="s">
        <v>1574</v>
      </c>
      <c r="C958" s="24">
        <v>5.25</v>
      </c>
      <c r="D958" s="65" t="str">
        <f t="shared" ref="D958:D959" si="24">HYPERLINK("https://github.com/mostafa-saad/MyCompetitiveProgramming/blob/master/Olympiad/IOI/official/2004","Editorial")</f>
        <v>Editorial</v>
      </c>
      <c r="E958" s="31" t="s">
        <v>1337</v>
      </c>
      <c r="F958" s="37" t="s">
        <v>139</v>
      </c>
      <c r="G958" s="24"/>
      <c r="H958" s="53"/>
    </row>
    <row r="959" spans="1:8" ht="13.2">
      <c r="A959" s="65" t="str">
        <f>HYPERLINK("https://contest.yandex.ru/ioi/contest/560/enter/","IOI 04-phidias")</f>
        <v>IOI 04-phidias</v>
      </c>
      <c r="B959" s="15" t="s">
        <v>1348</v>
      </c>
      <c r="C959" s="24">
        <v>5.25</v>
      </c>
      <c r="D959" s="65" t="str">
        <f t="shared" si="24"/>
        <v>Editorial</v>
      </c>
      <c r="E959" s="31" t="s">
        <v>1337</v>
      </c>
      <c r="F959" s="37" t="s">
        <v>139</v>
      </c>
      <c r="G959" s="24"/>
      <c r="H959" s="53"/>
    </row>
    <row r="960" spans="1:8" ht="13.2">
      <c r="A960" s="65" t="str">
        <f>HYPERLINK("https://contest.yandex.ru/ioi/contest/560/enter/","IOI 04-polygon")</f>
        <v>IOI 04-polygon</v>
      </c>
      <c r="B960" s="15" t="s">
        <v>7094</v>
      </c>
      <c r="C960" s="24">
        <v>6.25</v>
      </c>
      <c r="D960" s="65" t="str">
        <f>HYPERLINK("https://github.com/mostafa-saad/MyCompetitiveProgramming/blob/master/Olympiad/IOI/IOI-04-polygon.txt","Sol")</f>
        <v>Sol</v>
      </c>
      <c r="E960" s="31" t="s">
        <v>2948</v>
      </c>
      <c r="F960" s="37" t="s">
        <v>154</v>
      </c>
      <c r="G960" s="24"/>
      <c r="H960" s="53"/>
    </row>
    <row r="961" spans="1:8" ht="13.2">
      <c r="A961" s="65" t="str">
        <f>HYPERLINK("https://contest.yandex.ru/ioi/contest/566/enter/","IOI 05-birthday")</f>
        <v>IOI 05-birthday</v>
      </c>
      <c r="B961" s="15" t="s">
        <v>6723</v>
      </c>
      <c r="C961" s="24">
        <v>6.25</v>
      </c>
      <c r="D961" s="65" t="str">
        <f>HYPERLINK("https://github.com/mostafa-saad/MyCompetitiveProgramming/blob/master/Olympiad/IOI/IOI-05-birthday.txt","Sol")</f>
        <v>Sol</v>
      </c>
      <c r="E961" s="31" t="s">
        <v>805</v>
      </c>
      <c r="F961" s="37" t="s">
        <v>196</v>
      </c>
      <c r="G961" s="24"/>
      <c r="H961" s="53"/>
    </row>
    <row r="962" spans="1:8" ht="13.2">
      <c r="A962" s="65" t="str">
        <f>HYPERLINK("https://contest.yandex.ru/ioi/contest/566/enter/","IOI 05-game")</f>
        <v>IOI 05-game</v>
      </c>
      <c r="B962" s="15" t="s">
        <v>7057</v>
      </c>
      <c r="C962" s="24">
        <v>5.5</v>
      </c>
      <c r="D962" s="65" t="str">
        <f>HYPERLINK("https://github.com/mostafa-saad/MyCompetitiveProgramming/blob/master/Olympiad/IOI/IOI-05-game.txt","Sol")</f>
        <v>Sol</v>
      </c>
      <c r="E962" s="31" t="s">
        <v>2394</v>
      </c>
      <c r="F962" s="37"/>
      <c r="G962" s="24"/>
      <c r="H962" s="53"/>
    </row>
    <row r="963" spans="1:8" ht="13.2">
      <c r="A963" s="65" t="str">
        <f>HYPERLINK("https://contest.yandex.ru/ioi/contest/566/enter/","IOI 05-garden")</f>
        <v>IOI 05-garden</v>
      </c>
      <c r="B963" s="15" t="s">
        <v>6579</v>
      </c>
      <c r="C963" s="24">
        <v>7</v>
      </c>
      <c r="D963" s="65" t="str">
        <f t="shared" ref="D963:D964" si="25">HYPERLINK("https://www.oi.edu.pl/old/ioi/downloads/ioi2005-tasks-and-solutions-a5.pdf","Editorial")</f>
        <v>Editorial</v>
      </c>
      <c r="E963" s="31" t="s">
        <v>125</v>
      </c>
      <c r="F963" s="37"/>
      <c r="G963" s="24"/>
      <c r="H963" s="53"/>
    </row>
    <row r="964" spans="1:8" ht="13.2">
      <c r="A964" s="65" t="str">
        <f>HYPERLINK("https://contest.yandex.ru/ioi/contest/566/enter/","IOI 05-mean")</f>
        <v>IOI 05-mean</v>
      </c>
      <c r="B964" s="23" t="s">
        <v>4654</v>
      </c>
      <c r="C964" s="24">
        <v>5</v>
      </c>
      <c r="D964" s="65" t="str">
        <f t="shared" si="25"/>
        <v>Editorial</v>
      </c>
      <c r="E964" s="31" t="s">
        <v>4531</v>
      </c>
      <c r="F964" s="37"/>
      <c r="G964" s="24"/>
      <c r="H964" s="53"/>
    </row>
    <row r="965" spans="1:8" ht="13.2">
      <c r="A965" s="65" t="str">
        <f>HYPERLINK("https://contest.yandex.ru/ioi/contest/566/enter/","IOI 05-mountains")</f>
        <v>IOI 05-mountains</v>
      </c>
      <c r="B965" s="23" t="s">
        <v>6783</v>
      </c>
      <c r="C965" s="24">
        <v>6</v>
      </c>
      <c r="D965" s="65" t="str">
        <f>HYPERLINK("https://github.com/mostafa-saad/MyCompetitiveProgramming/blob/master/Olympiad/IOI/IOI-05-mountains.txt","Sol")</f>
        <v>Sol</v>
      </c>
      <c r="E965" s="31" t="s">
        <v>1018</v>
      </c>
      <c r="F965" s="37" t="s">
        <v>139</v>
      </c>
      <c r="G965" s="24"/>
      <c r="H965" s="53"/>
    </row>
    <row r="966" spans="1:8" ht="13.2">
      <c r="A966" s="65" t="str">
        <f>HYPERLINK("https://contest.yandex.ru/ioi/contest/566/enter/","IOI 05-rivers")</f>
        <v>IOI 05-rivers</v>
      </c>
      <c r="B966" s="15" t="s">
        <v>7502</v>
      </c>
      <c r="C966" s="24">
        <v>6.5</v>
      </c>
      <c r="D966" s="65" t="str">
        <f>HYPERLINK("https://github.com/mostafa-saad/MyCompetitiveProgramming/blob/master/Olympiad/IOI/IOI-05-rivers.txt","Sol")</f>
        <v>Sol</v>
      </c>
      <c r="E966" s="31" t="s">
        <v>6459</v>
      </c>
      <c r="F966" s="37" t="s">
        <v>154</v>
      </c>
      <c r="G966" s="24"/>
      <c r="H966" s="53"/>
    </row>
    <row r="967" spans="1:8" ht="13.2">
      <c r="A967" s="65" t="str">
        <f>HYPERLINK("https://contest.yandex.ru/ioi/contest/562/problems/F/","IOI 06-blackbox")</f>
        <v>IOI 06-blackbox</v>
      </c>
      <c r="B967" s="47" t="s">
        <v>6581</v>
      </c>
      <c r="C967" s="66">
        <v>7</v>
      </c>
      <c r="D967" s="65" t="str">
        <f>HYPERLINK("https://github.com/mostafa-saad/MyCompetitiveProgramming/blob/master/Olympiad/IOI/official/2006/ioi06_blackbox_sol.pdf","Editorial")</f>
        <v>Editorial</v>
      </c>
      <c r="E967" s="31" t="s">
        <v>125</v>
      </c>
      <c r="F967" s="37"/>
      <c r="G967" s="24"/>
      <c r="H967" s="53"/>
    </row>
    <row r="968" spans="1:8" ht="13.2">
      <c r="A968" s="65" t="str">
        <f>HYPERLINK("https://contest.yandex.ru/ioi/contest/562/problems/C/","IOI 06-forbidden")</f>
        <v>IOI 06-forbidden</v>
      </c>
      <c r="B968" s="15" t="s">
        <v>7117</v>
      </c>
      <c r="C968" s="24">
        <v>7.5</v>
      </c>
      <c r="D968" s="65" t="str">
        <f>HYPERLINK("https://github.com/mostafa-saad/MyCompetitiveProgramming/blob/master/Olympiad/IOI/official/2006/ioi06_forbidden_sol.pdf","Editorial")</f>
        <v>Editorial</v>
      </c>
      <c r="E968" s="31" t="s">
        <v>3257</v>
      </c>
      <c r="F968" s="37"/>
      <c r="G968" s="24"/>
      <c r="H968" s="53"/>
    </row>
    <row r="969" spans="1:8" ht="13.2">
      <c r="A969" s="65" t="str">
        <f>HYPERLINK("https://contest.yandex.ru/ioi/contest/562/problems/D/","IOI 06-mexico")</f>
        <v>IOI 06-mexico</v>
      </c>
      <c r="B969" s="15" t="s">
        <v>6879</v>
      </c>
      <c r="C969" s="24">
        <v>6.25</v>
      </c>
      <c r="D969" s="65" t="str">
        <f>HYPERLINK("https://github.com/mostafa-saad/MyCompetitiveProgramming/blob/master/Olympiad/IOI/official/2006/ioi06_mexico_sol.pdf","Editorial")</f>
        <v>Editorial</v>
      </c>
      <c r="E969" s="31" t="s">
        <v>1337</v>
      </c>
      <c r="F969" s="37"/>
      <c r="G969" s="24"/>
      <c r="H969" s="53"/>
    </row>
    <row r="970" spans="1:8" ht="13.2">
      <c r="A970" s="65" t="str">
        <f>HYPERLINK("https://contest.yandex.ru/ioi/contest/562/problems/E/","IOI 06-points")</f>
        <v>IOI 06-points</v>
      </c>
      <c r="B970" s="15" t="s">
        <v>7060</v>
      </c>
      <c r="C970" s="24">
        <v>7.25</v>
      </c>
      <c r="D970" s="65" t="str">
        <f>HYPERLINK("https://github.com/mostafa-saad/MyCompetitiveProgramming/blob/master/Olympiad/IOI/IOI-06-points.txt","Sol")</f>
        <v>Sol</v>
      </c>
      <c r="E970" s="31" t="s">
        <v>2510</v>
      </c>
      <c r="F970" s="37" t="s">
        <v>154</v>
      </c>
      <c r="G970" s="24"/>
      <c r="H970" s="53"/>
    </row>
    <row r="971" spans="1:8" ht="13.2">
      <c r="A971" s="65" t="str">
        <f>HYPERLINK("https://contest.yandex.ru/ioi/contest/562/problems/B/","IOI 06-pyramid")</f>
        <v>IOI 06-pyramid</v>
      </c>
      <c r="B971" s="15" t="s">
        <v>6689</v>
      </c>
      <c r="C971" s="24">
        <v>6</v>
      </c>
      <c r="D971" s="65" t="str">
        <f>HYPERLINK("https://github.com/mostafa-saad/MyCompetitiveProgramming/blob/master/Olympiad/IOI/IOI-06-pyramid.txt","Sol")</f>
        <v>Sol</v>
      </c>
      <c r="E971" s="31" t="s">
        <v>575</v>
      </c>
      <c r="F971" s="37" t="s">
        <v>139</v>
      </c>
      <c r="G971" s="24"/>
      <c r="H971" s="53"/>
    </row>
    <row r="972" spans="1:8" ht="13.2">
      <c r="A972" s="65" t="str">
        <f>HYPERLINK("https://contest.yandex.ru/ioi/contest/562/problems/A/","IOI 06-writing")</f>
        <v>IOI 06-writing</v>
      </c>
      <c r="B972" s="18" t="s">
        <v>146</v>
      </c>
      <c r="C972" s="17">
        <v>4</v>
      </c>
      <c r="D972" s="65" t="str">
        <f>HYPERLINK("https://github.com/mostafa-saad/MyCompetitiveProgramming/blob/master/Olympiad/IOI/official/2006/ioi06_writing_sol.pdf","Editorial")</f>
        <v>Editorial</v>
      </c>
      <c r="E972" s="31" t="s">
        <v>125</v>
      </c>
      <c r="F972" s="37"/>
      <c r="G972" s="24"/>
      <c r="H972" s="53"/>
    </row>
    <row r="973" spans="1:8" ht="13.2">
      <c r="A973" s="65" t="str">
        <f>HYPERLINK("https://oj.uz/problem/view/IOI07_aliens","IOI 07-aliens")</f>
        <v>IOI 07-aliens</v>
      </c>
      <c r="B973" s="23" t="s">
        <v>6738</v>
      </c>
      <c r="C973" s="24">
        <v>5</v>
      </c>
      <c r="D973" s="65" t="str">
        <f>HYPERLINK("https://github.com/mostafa-saad/MyCompetitiveProgramming/blob/master/Olympiad/IOI/official/2007","Editorial")</f>
        <v>Editorial</v>
      </c>
      <c r="E973" s="31" t="s">
        <v>805</v>
      </c>
      <c r="F973" s="37" t="s">
        <v>613</v>
      </c>
      <c r="G973" s="24"/>
      <c r="H973" s="53"/>
    </row>
    <row r="974" spans="1:8" ht="13.2">
      <c r="A974" s="65" t="str">
        <f>HYPERLINK("https://oj.uz/problem/view/IOI07_flood","IOI 07-flood")</f>
        <v>IOI 07-flood</v>
      </c>
      <c r="B974" s="20" t="s">
        <v>7173</v>
      </c>
      <c r="C974" s="24">
        <v>6.5</v>
      </c>
      <c r="D974" s="65" t="str">
        <f>HYPERLINK("https://github.com/mostafa-saad/MyCompetitiveProgramming/blob/master/Olympiad/IOI/IOI-07-flood.txt","Sol")</f>
        <v>Sol</v>
      </c>
      <c r="E974" s="31" t="s">
        <v>3467</v>
      </c>
      <c r="F974" s="37" t="s">
        <v>196</v>
      </c>
      <c r="G974" s="24"/>
      <c r="H974" s="53"/>
    </row>
    <row r="975" spans="1:8" ht="13.2">
      <c r="A975" s="65" t="str">
        <f>HYPERLINK("https://oj.uz/problem/view/IOI07_miners","IOI 07-miners")</f>
        <v>IOI 07-miners</v>
      </c>
      <c r="B975" s="18" t="s">
        <v>6939</v>
      </c>
      <c r="C975" s="17">
        <v>4</v>
      </c>
      <c r="D975" s="65" t="str">
        <f t="shared" ref="D975:D976" si="26">HYPERLINK("https://github.com/mostafa-saad/MyCompetitiveProgramming/blob/master/Olympiad/IOI/official/2007","Editorial")</f>
        <v>Editorial</v>
      </c>
      <c r="E975" s="31" t="s">
        <v>1337</v>
      </c>
      <c r="F975" s="37"/>
      <c r="G975" s="24"/>
      <c r="H975" s="53"/>
    </row>
    <row r="976" spans="1:8" ht="13.2">
      <c r="A976" s="65" t="str">
        <f>HYPERLINK("https://oj.uz/problem/view/IOI07_pairs","IOI 07-pairs")</f>
        <v>IOI 07-pairs</v>
      </c>
      <c r="B976" s="20" t="s">
        <v>7699</v>
      </c>
      <c r="C976" s="24">
        <v>6.5</v>
      </c>
      <c r="D976" s="65" t="str">
        <f t="shared" si="26"/>
        <v>Editorial</v>
      </c>
      <c r="E976" s="31" t="s">
        <v>1223</v>
      </c>
      <c r="F976" s="37" t="s">
        <v>201</v>
      </c>
      <c r="G976" s="24"/>
      <c r="H976" s="53"/>
    </row>
    <row r="977" spans="1:8" ht="13.2">
      <c r="A977" s="65" t="str">
        <f>HYPERLINK("https://oj.uz/problem/view/IOI07_sails","IOI 07-sails")</f>
        <v>IOI 07-sails</v>
      </c>
      <c r="B977" s="20" t="s">
        <v>6770</v>
      </c>
      <c r="C977" s="24">
        <v>6.6</v>
      </c>
      <c r="D977" s="65" t="str">
        <f>HYPERLINK("https://github.com/mostafa-saad/MyCompetitiveProgramming/blob/master/Olympiad/IOI/IOI-07-sails.txt","Sol")</f>
        <v>Sol</v>
      </c>
      <c r="E977" s="31" t="s">
        <v>1018</v>
      </c>
      <c r="F977" s="37" t="s">
        <v>154</v>
      </c>
      <c r="G977" s="24"/>
      <c r="H977" s="53"/>
    </row>
    <row r="978" spans="1:8" ht="13.2">
      <c r="A978" s="65" t="str">
        <f>HYPERLINK("https://oj.uz/problem/view/IOI07_training","IOI 07-training")</f>
        <v>IOI 07-training</v>
      </c>
      <c r="B978" s="20" t="s">
        <v>7499</v>
      </c>
      <c r="C978" s="24">
        <v>7.1</v>
      </c>
      <c r="D978" s="65" t="str">
        <f>HYPERLINK("https://github.com/mostafa-saad/MyCompetitiveProgramming/blob/master/Olympiad/IOI/IOI-07-training.txt","Sol")</f>
        <v>Sol</v>
      </c>
      <c r="E978" s="31" t="s">
        <v>6459</v>
      </c>
      <c r="F978" s="37" t="s">
        <v>154</v>
      </c>
      <c r="G978" s="24"/>
      <c r="H978" s="53"/>
    </row>
    <row r="979" spans="1:8" ht="13.2">
      <c r="A979" s="65" t="str">
        <f>HYPERLINK("https://oj.uz/problem/view/IOI08_fish","IOI 08-fish")</f>
        <v>IOI 08-fish</v>
      </c>
      <c r="B979" s="20" t="s">
        <v>1017</v>
      </c>
      <c r="C979" s="24">
        <v>7.5</v>
      </c>
      <c r="D979" s="65" t="str">
        <f t="shared" ref="D979:D980" si="27">HYPERLINK("https://github.com/mostafa-saad/MyCompetitiveProgramming/blob/master/Olympiad/IOI/official/2008","Editorial")</f>
        <v>Editorial</v>
      </c>
      <c r="E979" s="31" t="s">
        <v>1018</v>
      </c>
      <c r="F979" s="37"/>
      <c r="G979" s="24"/>
      <c r="H979" s="53"/>
    </row>
    <row r="980" spans="1:8" ht="13.2">
      <c r="A980" s="65" t="str">
        <f>HYPERLINK("https://oj.uz/problem/view/IOI08_islands","IOI 08-islands")</f>
        <v>IOI 08-islands</v>
      </c>
      <c r="B980" s="20" t="s">
        <v>7191</v>
      </c>
      <c r="C980" s="24">
        <v>6.25</v>
      </c>
      <c r="D980" s="65" t="str">
        <f t="shared" si="27"/>
        <v>Editorial</v>
      </c>
      <c r="E980" s="31" t="s">
        <v>3650</v>
      </c>
      <c r="F980" s="37" t="s">
        <v>201</v>
      </c>
      <c r="G980" s="24"/>
      <c r="H980" s="53"/>
    </row>
    <row r="981" spans="1:8" ht="13.2">
      <c r="A981" s="65" t="str">
        <f>HYPERLINK("https://oj.uz/problem/view/IOI08_linear_garden","IOI 08-linear")</f>
        <v>IOI 08-linear</v>
      </c>
      <c r="B981" s="18" t="s">
        <v>7427</v>
      </c>
      <c r="C981" s="24">
        <v>5.75</v>
      </c>
      <c r="D981" s="65" t="str">
        <f>HYPERLINK("https://github.com/mostafa-saad/MyCompetitiveProgramming/blob/master/Olympiad/IOI/IOI-08-linear.txt","Sol")</f>
        <v>Sol</v>
      </c>
      <c r="E981" s="31" t="s">
        <v>6075</v>
      </c>
      <c r="F981" s="37" t="s">
        <v>139</v>
      </c>
      <c r="G981" s="24"/>
      <c r="H981" s="53"/>
    </row>
    <row r="982" spans="1:8" ht="13.2">
      <c r="A982" s="65" t="str">
        <f>HYPERLINK("https://oj.uz/problem/view/IOI08_printer","IOI 08-printer")</f>
        <v>IOI 08-printer</v>
      </c>
      <c r="B982" s="18" t="s">
        <v>7375</v>
      </c>
      <c r="C982" s="17">
        <v>5.5</v>
      </c>
      <c r="D982" s="65" t="str">
        <f>HYPERLINK("https://github.com/updown2/OI-Practice/blob/master/IOI/IOI%202008/Type%20Printer.cpp","Sol")</f>
        <v>Sol</v>
      </c>
      <c r="E982" s="31" t="s">
        <v>5643</v>
      </c>
      <c r="F982" s="37" t="s">
        <v>201</v>
      </c>
      <c r="G982" s="24"/>
      <c r="H982" s="53"/>
    </row>
    <row r="983" spans="1:8" ht="13.2">
      <c r="A983" s="65" t="str">
        <f>HYPERLINK("https://oj.uz/problem/view/IOI08_pyramid_base","IOI 08-pyramid_base")</f>
        <v>IOI 08-pyramid_base</v>
      </c>
      <c r="B983" s="20" t="s">
        <v>6752</v>
      </c>
      <c r="C983" s="24">
        <v>7.25</v>
      </c>
      <c r="D983" s="65" t="str">
        <f>HYPERLINK("https://github.com/mostafa-saad/MyCompetitiveProgramming/blob/master/Olympiad/IOI/IOI-08-pyramid_base.txt","Sol")</f>
        <v>Sol</v>
      </c>
      <c r="E983" s="31" t="s">
        <v>1018</v>
      </c>
      <c r="F983" s="37" t="s">
        <v>154</v>
      </c>
      <c r="G983" s="24"/>
      <c r="H983" s="53"/>
    </row>
    <row r="984" spans="1:8" ht="13.2">
      <c r="A984" s="65" t="str">
        <f>HYPERLINK("https://oj.uz/problem/view/IOI08_teleporters","IOI 08-teleporters")</f>
        <v>IOI 08-teleporters</v>
      </c>
      <c r="B984" s="20" t="s">
        <v>6996</v>
      </c>
      <c r="C984" s="24">
        <v>6.5</v>
      </c>
      <c r="D984" s="65" t="str">
        <f>HYPERLINK("https://github.com/mostafa-saad/MyCompetitiveProgramming/blob/master/Olympiad/IOI/official/2008","Editorial")</f>
        <v>Editorial</v>
      </c>
      <c r="E984" s="31" t="s">
        <v>2153</v>
      </c>
      <c r="F984" s="37"/>
      <c r="G984" s="24"/>
      <c r="H984" s="53"/>
    </row>
    <row r="985" spans="1:8" ht="13.2">
      <c r="A985" s="65" t="str">
        <f>HYPERLINK("https://contest.yandex.ru/ioi/contest/568/enter/","IOI 09-archery")</f>
        <v>IOI 09-archery</v>
      </c>
      <c r="B985" s="23" t="s">
        <v>6746</v>
      </c>
      <c r="C985" s="24">
        <v>7.75</v>
      </c>
      <c r="D985" s="65" t="str">
        <f t="shared" ref="D985:D987" si="28">HYPERLINK("https://github.com/mostafa-saad/MyCompetitiveProgramming/blob/master/Olympiad/IOI/official/2009","Editorial")</f>
        <v>Editorial</v>
      </c>
      <c r="E985" s="31" t="s">
        <v>1018</v>
      </c>
      <c r="F985" s="37" t="s">
        <v>139</v>
      </c>
      <c r="G985" s="24"/>
      <c r="H985" s="53"/>
    </row>
    <row r="986" spans="1:8" ht="13.2">
      <c r="A986" s="65" t="str">
        <f>HYPERLINK("https://oj.uz/problem/view/IOI09_garage","IOI 09-garage")</f>
        <v>IOI 09-garage</v>
      </c>
      <c r="B986" s="20" t="s">
        <v>5961</v>
      </c>
      <c r="C986" s="24">
        <v>3</v>
      </c>
      <c r="D986" s="65" t="str">
        <f t="shared" si="28"/>
        <v>Editorial</v>
      </c>
      <c r="E986" s="31" t="s">
        <v>5958</v>
      </c>
      <c r="F986" s="37"/>
      <c r="G986" s="24"/>
      <c r="H986" s="53"/>
    </row>
    <row r="987" spans="1:8" ht="13.2">
      <c r="A987" s="65" t="str">
        <f>HYPERLINK("https://contest.yandex.ru/ioi/contest/568/enter/","IOI 09-hiring")</f>
        <v>IOI 09-hiring</v>
      </c>
      <c r="B987" s="15" t="s">
        <v>2163</v>
      </c>
      <c r="C987" s="24">
        <v>6.25</v>
      </c>
      <c r="D987" s="65" t="str">
        <f t="shared" si="28"/>
        <v>Editorial</v>
      </c>
      <c r="E987" s="31" t="s">
        <v>2153</v>
      </c>
      <c r="F987" s="37" t="s">
        <v>201</v>
      </c>
      <c r="G987" s="24"/>
      <c r="H987" s="53"/>
    </row>
    <row r="988" spans="1:8" ht="13.2">
      <c r="A988" s="65" t="str">
        <f>HYPERLINK("https://oj.uz/problem/view/IOI09_mecho","IOI 09-mecho")</f>
        <v>IOI 09-mecho</v>
      </c>
      <c r="B988" s="20" t="s">
        <v>6740</v>
      </c>
      <c r="C988" s="24">
        <v>4</v>
      </c>
      <c r="D988" s="65" t="str">
        <f>HYPERLINK("https://github.com/tmwilliamlin168/CompetitiveProgramming/blob/master/IOI/09-Mecho.cpp", "Sol")</f>
        <v>Sol</v>
      </c>
      <c r="E988" s="31" t="s">
        <v>805</v>
      </c>
      <c r="F988" s="37"/>
      <c r="G988" s="24"/>
      <c r="H988" s="53"/>
    </row>
    <row r="989" spans="1:8" ht="13.2">
      <c r="A989" s="65" t="str">
        <f>HYPERLINK("https://contest.yandex.ru/ioi/contest/568/enter/","IOI 09-poi")</f>
        <v>IOI 09-poi</v>
      </c>
      <c r="B989" s="15" t="s">
        <v>341</v>
      </c>
      <c r="C989" s="17">
        <v>1</v>
      </c>
      <c r="D989" s="65" t="str">
        <f>HYPERLINK("https://github.com/updown2/OI-Practice/blob/master/JOI/2018/Stove.cpp","Sol")</f>
        <v>Sol</v>
      </c>
      <c r="E989" s="31" t="s">
        <v>332</v>
      </c>
      <c r="F989" s="37"/>
      <c r="G989" s="24"/>
      <c r="H989" s="53"/>
    </row>
    <row r="990" spans="1:8" ht="13.2">
      <c r="A990" s="65" t="str">
        <f>HYPERLINK("https://contest.yandex.ru/ioi/contest/568/enter/","IOI 09-raisins")</f>
        <v>IOI 09-raisins</v>
      </c>
      <c r="B990" s="18" t="s">
        <v>1687</v>
      </c>
      <c r="C990" s="17">
        <v>6</v>
      </c>
      <c r="D990" s="65" t="str">
        <f>HYPERLINK("https://github.com/mostafa-saad/MyCompetitiveProgramming/blob/master/Olympiad/IOI/official/2009","Editorial")</f>
        <v>Editorial</v>
      </c>
      <c r="E990" s="31" t="s">
        <v>1337</v>
      </c>
      <c r="F990" s="37"/>
      <c r="G990" s="24"/>
      <c r="H990" s="53"/>
    </row>
    <row r="991" spans="1:8" ht="13.2">
      <c r="A991" s="65" t="str">
        <f>HYPERLINK("https://oj.uz/problem/view/IOI09_regions","IOI 09-regions")</f>
        <v>IOI 09-regions</v>
      </c>
      <c r="B991" s="20" t="s">
        <v>7481</v>
      </c>
      <c r="C991" s="24">
        <v>6.4</v>
      </c>
      <c r="D991" s="65" t="str">
        <f>HYPERLINK("https://github.com/mostafa-saad/MyCompetitiveProgramming/blob/master/Olympiad/IOI/IOI-09-regions.txt","Sol")</f>
        <v>Sol</v>
      </c>
      <c r="E991" s="31" t="s">
        <v>6397</v>
      </c>
      <c r="F991" s="37" t="s">
        <v>201</v>
      </c>
      <c r="G991" s="24"/>
      <c r="H991" s="53"/>
    </row>
    <row r="992" spans="1:8" ht="13.2">
      <c r="A992" s="65" t="str">
        <f>HYPERLINK("https://oj.uz/problem/view/IOI09_salesman","IOI 09-salesman")</f>
        <v>IOI 09-salesman</v>
      </c>
      <c r="B992" s="37" t="s">
        <v>7458</v>
      </c>
      <c r="C992" s="24">
        <v>6.8</v>
      </c>
      <c r="D992" s="65" t="str">
        <f>HYPERLINK("https://github.com/mostafa-saad/MyCompetitiveProgramming/blob/master/Olympiad/IOI/IOI-09-salesman.txt","Sol")</f>
        <v>Sol</v>
      </c>
      <c r="E992" s="31" t="s">
        <v>6362</v>
      </c>
      <c r="F992" s="37" t="s">
        <v>139</v>
      </c>
      <c r="G992" s="24"/>
      <c r="H992" s="53"/>
    </row>
    <row r="993" spans="1:8" ht="13.2">
      <c r="A993" s="65" t="str">
        <f>HYPERLINK("https://contest.yandex.ru/ioi/contest/570/enter/","IOI 10-cluedo")</f>
        <v>IOI 10-cluedo</v>
      </c>
      <c r="B993" s="18" t="s">
        <v>5961</v>
      </c>
      <c r="C993" s="17">
        <v>2</v>
      </c>
      <c r="D993" s="65" t="str">
        <f t="shared" ref="D993:D997" si="29">HYPERLINK("https://github.com/mostafa-saad/MyCompetitiveProgramming/blob/master/Olympiad/IOI/official/2010","Editorial")</f>
        <v>Editorial</v>
      </c>
      <c r="E993" s="31" t="s">
        <v>5958</v>
      </c>
      <c r="F993" s="37"/>
      <c r="G993" s="24"/>
      <c r="H993" s="53"/>
    </row>
    <row r="994" spans="1:8" ht="13.2">
      <c r="A994" s="65" t="str">
        <f>HYPERLINK("https://oj.uz/problem/view/IOI10_hottercolder","IOI 10-hottercolder")</f>
        <v>IOI 10-hottercolder</v>
      </c>
      <c r="B994" s="20" t="s">
        <v>6715</v>
      </c>
      <c r="C994" s="24">
        <v>7.5</v>
      </c>
      <c r="D994" s="65" t="str">
        <f t="shared" si="29"/>
        <v>Editorial</v>
      </c>
      <c r="E994" s="31" t="s">
        <v>805</v>
      </c>
      <c r="F994" s="37"/>
      <c r="G994" s="24"/>
      <c r="H994" s="53"/>
    </row>
    <row r="995" spans="1:8" ht="13.2">
      <c r="A995" s="65" t="str">
        <f>HYPERLINK("https://oj.uz/problem/view/IOI10_languages","IOI 10-languages")</f>
        <v>IOI 10-languages</v>
      </c>
      <c r="B995" s="23" t="s">
        <v>6600</v>
      </c>
      <c r="C995" s="24">
        <v>6.5</v>
      </c>
      <c r="D995" s="65" t="str">
        <f t="shared" si="29"/>
        <v>Editorial</v>
      </c>
      <c r="E995" s="31" t="s">
        <v>125</v>
      </c>
      <c r="F995" s="37"/>
      <c r="G995" s="24"/>
      <c r="H995" s="53"/>
    </row>
    <row r="996" spans="1:8" ht="13.2">
      <c r="A996" s="65" t="str">
        <f>HYPERLINK("https://oj.uz/problem/view/IOI10_maze","IOI 10-maze")</f>
        <v>IOI 10-maze</v>
      </c>
      <c r="B996" s="68" t="s">
        <v>6564</v>
      </c>
      <c r="C996" s="66">
        <v>8</v>
      </c>
      <c r="D996" s="65" t="str">
        <f t="shared" si="29"/>
        <v>Editorial</v>
      </c>
      <c r="E996" s="31" t="s">
        <v>125</v>
      </c>
      <c r="F996" s="37"/>
      <c r="G996" s="24"/>
      <c r="H996" s="53"/>
    </row>
    <row r="997" spans="1:8" ht="13.2">
      <c r="A997" s="65" t="str">
        <f>HYPERLINK("https://contest.yandex.ru/ioi/contest/570/enter/","IOI 10-memory")</f>
        <v>IOI 10-memory</v>
      </c>
      <c r="B997" s="18" t="s">
        <v>5961</v>
      </c>
      <c r="C997" s="17">
        <v>2</v>
      </c>
      <c r="D997" s="65" t="str">
        <f t="shared" si="29"/>
        <v>Editorial</v>
      </c>
      <c r="E997" s="31" t="s">
        <v>5958</v>
      </c>
      <c r="F997" s="37"/>
      <c r="G997" s="24"/>
      <c r="H997" s="53"/>
    </row>
    <row r="998" spans="1:8" ht="13.2">
      <c r="A998" s="65" t="str">
        <f>HYPERLINK("https://contest.yandex.ru/ioi/contest/570/problems/C/","IOI 10-quality")</f>
        <v>IOI 10-quality</v>
      </c>
      <c r="B998" s="18" t="s">
        <v>6626</v>
      </c>
      <c r="C998" s="17">
        <v>5</v>
      </c>
      <c r="D998" s="65" t="str">
        <f>HYPERLINK("https://github.com/mostafa-saad/MyCompetitiveProgramming/blob/master/Olympiad/IOI/IOI-10-quality.txt","Sol")</f>
        <v>Sol</v>
      </c>
      <c r="E998" s="31" t="s">
        <v>125</v>
      </c>
      <c r="F998" s="37" t="s">
        <v>196</v>
      </c>
      <c r="G998" s="24"/>
      <c r="H998" s="53"/>
    </row>
    <row r="999" spans="1:8" ht="13.2">
      <c r="A999" s="65" t="str">
        <f>HYPERLINK("https://ioi2010.contest.atcoder.jp/tasks/ioi2010_2_4","IOI 10-saveit")</f>
        <v>IOI 10-saveit</v>
      </c>
      <c r="B999" s="20" t="s">
        <v>7264</v>
      </c>
      <c r="C999" s="24">
        <v>7</v>
      </c>
      <c r="D999" s="65" t="str">
        <f>HYPERLINK("https://github.com/mostafa-saad/MyCompetitiveProgramming/blob/master/Olympiad/IOI/IOI-10-saveit.txt","Sol")</f>
        <v>Sol</v>
      </c>
      <c r="E999" s="31" t="s">
        <v>4275</v>
      </c>
      <c r="F999" s="37" t="s">
        <v>154</v>
      </c>
      <c r="G999" s="24"/>
      <c r="H999" s="53"/>
    </row>
    <row r="1000" spans="1:8" ht="13.2">
      <c r="A1000" s="65" t="str">
        <f>HYPERLINK("https://contest.yandex.ru/ioi/contest/570/enter/","IOI 10-traffic")</f>
        <v>IOI 10-traffic</v>
      </c>
      <c r="B1000" s="18" t="s">
        <v>6927</v>
      </c>
      <c r="C1000" s="17">
        <v>5</v>
      </c>
      <c r="D1000" s="65" t="str">
        <f>HYPERLINK("https://github.com/mostafa-saad/MyCompetitiveProgramming/blob/master/Olympiad/IOI/IOI-10-traffic.txt","Sol")</f>
        <v>Sol</v>
      </c>
      <c r="E1000" s="31" t="s">
        <v>1337</v>
      </c>
      <c r="F1000" s="37"/>
      <c r="G1000" s="24"/>
      <c r="H1000" s="53"/>
    </row>
    <row r="1001" spans="1:8" ht="13.2">
      <c r="A1001" s="65" t="str">
        <f>HYPERLINK("https://oj.uz/problem/view/IOI11_crocodile","IOI 11-crocodile")</f>
        <v>IOI 11-crocodile</v>
      </c>
      <c r="B1001" s="18" t="s">
        <v>3791</v>
      </c>
      <c r="C1001" s="17">
        <v>6.25</v>
      </c>
      <c r="D1001" s="65" t="str">
        <f>HYPERLINK("http://www.ioi2011.or.th/hsc/tasks/solutions/crocodile.pdf","Editorial")</f>
        <v>Editorial</v>
      </c>
      <c r="E1001" s="31" t="s">
        <v>3784</v>
      </c>
      <c r="F1001" s="37" t="s">
        <v>613</v>
      </c>
      <c r="G1001" s="24"/>
      <c r="H1001" s="53"/>
    </row>
    <row r="1002" spans="1:8" ht="13.2">
      <c r="A1002" s="65" t="str">
        <f>HYPERLINK("https://oj.uz/problem/view/IOI11_elephants","IOI 11-elephants")</f>
        <v>IOI 11-elephants</v>
      </c>
      <c r="B1002" s="20" t="s">
        <v>7479</v>
      </c>
      <c r="C1002" s="24">
        <v>6.75</v>
      </c>
      <c r="D1002" s="65" t="str">
        <f>HYPERLINK("https://github.com/mostafa-saad/MyCompetitiveProgramming/blob/master/Olympiad/IOI/IOI-11-elephants.txt","Sol")</f>
        <v>Sol</v>
      </c>
      <c r="E1002" s="31" t="s">
        <v>6397</v>
      </c>
      <c r="F1002" s="37" t="s">
        <v>242</v>
      </c>
      <c r="G1002" s="24"/>
      <c r="H1002" s="53"/>
    </row>
    <row r="1003" spans="1:8" ht="13.2">
      <c r="A1003" s="65" t="str">
        <f>HYPERLINK("https://oj.uz/problem/view/IOI11_garden","IOI 11-garden")</f>
        <v>IOI 11-garden</v>
      </c>
      <c r="B1003" s="20" t="s">
        <v>7700</v>
      </c>
      <c r="C1003" s="24">
        <v>6.3</v>
      </c>
      <c r="D1003" s="65" t="str">
        <f>HYPERLINK("https://github.com/mostafa-saad/MyCompetitiveProgramming/blob/master/Olympiad/IOI/IOI-11-garden.txt","Sol")</f>
        <v>Sol</v>
      </c>
      <c r="E1003" s="31" t="s">
        <v>3650</v>
      </c>
      <c r="F1003" s="37" t="s">
        <v>139</v>
      </c>
      <c r="G1003" s="24"/>
      <c r="H1003" s="53"/>
    </row>
    <row r="1004" spans="1:8" ht="13.2">
      <c r="A1004" s="65" t="str">
        <f>HYPERLINK("https://oj.uz/problem/view/IOI11_parrots","IOI 11-parrots")</f>
        <v>IOI 11-parrots</v>
      </c>
      <c r="B1004" s="20" t="s">
        <v>6568</v>
      </c>
      <c r="C1004" s="24">
        <v>7.5</v>
      </c>
      <c r="D1004" s="65" t="str">
        <f>HYPERLINK("http://www.ioi2011.or.th/hsc/tasks/EN/parrots.pdf","Editorial")</f>
        <v>Editorial</v>
      </c>
      <c r="E1004" s="31" t="s">
        <v>125</v>
      </c>
      <c r="F1004" s="37"/>
      <c r="G1004" s="24"/>
      <c r="H1004" s="53"/>
    </row>
    <row r="1005" spans="1:8" ht="13.2">
      <c r="A1005" s="65" t="str">
        <f>HYPERLINK("https://oj.uz/problem/view/IOI11_race","IOI 11-race")</f>
        <v>IOI 11-race</v>
      </c>
      <c r="B1005" s="20" t="s">
        <v>7469</v>
      </c>
      <c r="C1005" s="17">
        <v>6</v>
      </c>
      <c r="D1005" s="65" t="str">
        <f>HYPERLINK("https://github.com/aviroop123/CompetitiveProgramming/blob/master/Olympiad/IOI/IOI%2011-race.cpp","Sol")</f>
        <v>Sol</v>
      </c>
      <c r="E1005" s="31" t="s">
        <v>6390</v>
      </c>
      <c r="F1005" s="37" t="s">
        <v>201</v>
      </c>
      <c r="G1005" s="24"/>
      <c r="H1005" s="53"/>
    </row>
    <row r="1006" spans="1:8" ht="13.2">
      <c r="A1006" s="65" t="str">
        <f>HYPERLINK("https://oj.uz/problem/view/IOI11_ricehub","IOI 11-ricehub")</f>
        <v>IOI 11-ricehub</v>
      </c>
      <c r="B1006" s="18" t="s">
        <v>7701</v>
      </c>
      <c r="C1006" s="17">
        <v>6</v>
      </c>
      <c r="D1006" s="65" t="str">
        <f>HYPERLINK("https://github.com/mostafa-saad/MyCompetitiveProgramming/blob/master/Olympiad/IOI/official/2011","Sol")</f>
        <v>Sol</v>
      </c>
      <c r="E1006" s="31" t="s">
        <v>805</v>
      </c>
      <c r="F1006" s="37"/>
      <c r="G1006" s="24"/>
      <c r="H1006" s="53"/>
    </row>
    <row r="1007" spans="1:8" ht="13.2">
      <c r="A1007" s="65" t="str">
        <f>HYPERLINK("https://oj.uz/problem/view/IOI12_city","IOI 12-city")</f>
        <v>IOI 12-city</v>
      </c>
      <c r="B1007" s="15" t="s">
        <v>7498</v>
      </c>
      <c r="C1007" s="24">
        <v>7.1</v>
      </c>
      <c r="D1007" s="65" t="str">
        <f>HYPERLINK("https://github.com/mostafa-saad/MyCompetitiveProgramming/blob/master/Olympiad/IOI/IOI-12-city.txt","Sol")</f>
        <v>Sol</v>
      </c>
      <c r="E1007" s="31" t="s">
        <v>6459</v>
      </c>
      <c r="F1007" s="37" t="s">
        <v>154</v>
      </c>
      <c r="G1007" s="24"/>
      <c r="H1007" s="53"/>
    </row>
    <row r="1008" spans="1:8" ht="13.2">
      <c r="A1008" s="65" t="str">
        <f>HYPERLINK("https://contest.yandex.ru/ioi/contest/572/enter/","IOI 12-odometer")</f>
        <v>IOI 12-odometer</v>
      </c>
      <c r="B1008" s="47" t="s">
        <v>6563</v>
      </c>
      <c r="C1008" s="66">
        <v>8</v>
      </c>
      <c r="D1008" s="65" t="str">
        <f>HYPERLINK("https://github.com/mostafa-saad/MyCompetitiveProgramming/blob/master/Olympiad/IOI/IOI-12-editorials.txt","Editorial")</f>
        <v>Editorial</v>
      </c>
      <c r="E1008" s="31" t="s">
        <v>125</v>
      </c>
      <c r="F1008" s="37"/>
      <c r="G1008" s="24"/>
      <c r="H1008" s="53"/>
    </row>
    <row r="1009" spans="1:8" ht="13.2">
      <c r="A1009" s="65" t="str">
        <f>HYPERLINK("https://oj.uz/problem/view/IOI12_rings","IOI 12-rings")</f>
        <v>IOI 12-rings</v>
      </c>
      <c r="B1009" s="23" t="s">
        <v>7702</v>
      </c>
      <c r="C1009" s="24">
        <v>6.5</v>
      </c>
      <c r="D1009" s="65" t="str">
        <f>HYPERLINK("https://github.com/tmwilliamlin168/CompetitiveProgramming/blob/master/IOI/12-Rings.cpp","Sol")</f>
        <v>Sol</v>
      </c>
      <c r="E1009" s="31" t="s">
        <v>3883</v>
      </c>
      <c r="F1009" s="37" t="s">
        <v>242</v>
      </c>
      <c r="G1009" s="24"/>
      <c r="H1009" s="53"/>
    </row>
    <row r="1010" spans="1:8" ht="13.2">
      <c r="A1010" s="65" t="str">
        <f>HYPERLINK("https://oj.uz/problem/view/IOI12_scrivener","IOI 12-scrivener")</f>
        <v>IOI 12-scrivener</v>
      </c>
      <c r="B1010" s="18" t="s">
        <v>7373</v>
      </c>
      <c r="C1010" s="17">
        <v>6</v>
      </c>
      <c r="D1010" s="65" t="str">
        <f>HYPERLINK("https://github.com/mostafa-saad/MyCompetitiveProgramming/blob/master/Olympiad/IOI/IOI-12-scrivener.txt","Sol")</f>
        <v>Sol</v>
      </c>
      <c r="E1010" s="31" t="s">
        <v>5643</v>
      </c>
      <c r="F1010" s="37"/>
      <c r="G1010" s="24"/>
      <c r="H1010" s="53"/>
    </row>
    <row r="1011" spans="1:8" ht="13.2">
      <c r="A1011" s="65" t="str">
        <f>HYPERLINK("https://oj.uz/problem/view/IOI12_supper","IOI 12-supper")</f>
        <v>IOI 12-supper</v>
      </c>
      <c r="B1011" s="23" t="s">
        <v>6587</v>
      </c>
      <c r="C1011" s="17">
        <v>6.75</v>
      </c>
      <c r="D1011" s="65" t="str">
        <f>HYPERLINK("https://github.com/mostafa-saad/MyCompetitiveProgramming/blob/master/Olympiad/IOI/IOI-12-editorials.txt","Editorial")</f>
        <v>Editorial</v>
      </c>
      <c r="E1011" s="31" t="s">
        <v>125</v>
      </c>
      <c r="F1011" s="37" t="s">
        <v>139</v>
      </c>
      <c r="G1011" s="24"/>
      <c r="H1011" s="53"/>
    </row>
    <row r="1012" spans="1:8" ht="13.2">
      <c r="A1012" s="65" t="str">
        <f>HYPERLINK("https://oj.uz/problem/view/IOI12_tournament","IOI 12-tournament")</f>
        <v>IOI 12-tournament</v>
      </c>
      <c r="B1012" s="18" t="s">
        <v>7511</v>
      </c>
      <c r="C1012" s="17">
        <v>6</v>
      </c>
      <c r="D1012" s="65" t="str">
        <f>HYPERLINK("https://github.com/mostafa-saad/MyCompetitiveProgramming/blob/master/Olympiad/IOI/IOI-12-tournament.txt","Sol")</f>
        <v>Sol</v>
      </c>
      <c r="E1012" s="31" t="s">
        <v>6459</v>
      </c>
      <c r="F1012" s="37"/>
      <c r="G1012" s="24"/>
      <c r="H1012" s="53"/>
    </row>
    <row r="1013" spans="1:8" ht="13.2">
      <c r="A1013" s="65" t="str">
        <f>HYPERLINK("https://oj.uz/problem/view/IOI13_cave","IOI 13-cave")</f>
        <v>IOI 13-cave</v>
      </c>
      <c r="B1013" s="18" t="s">
        <v>6736</v>
      </c>
      <c r="C1013" s="17">
        <v>5</v>
      </c>
      <c r="D1013" s="65" t="str">
        <f>HYPERLINK("https://github.com/mostafa-saad/MyCompetitiveProgramming/blob/master/Olympiad/IOI/IOI-13-cave.txt","Sol")</f>
        <v>Sol</v>
      </c>
      <c r="E1013" s="31" t="s">
        <v>805</v>
      </c>
      <c r="F1013" s="37" t="s">
        <v>196</v>
      </c>
      <c r="G1013" s="24"/>
      <c r="H1013" s="53"/>
    </row>
    <row r="1014" spans="1:8" ht="13.2">
      <c r="A1014" s="65" t="str">
        <f>HYPERLINK("https://oj.uz/problem/view/IOI13_dreaming","IOI 13-dreaming")</f>
        <v>IOI 13-dreaming</v>
      </c>
      <c r="B1014" s="18" t="s">
        <v>7183</v>
      </c>
      <c r="C1014" s="17">
        <v>5.75</v>
      </c>
      <c r="D1014" s="65" t="str">
        <f>HYPERLINK("https://github.com/MohamedAhmed04/Competitive-programming/blob/master/IOI/IOI%202013-Dreaming.cpp","Sol")</f>
        <v>Sol</v>
      </c>
      <c r="E1014" s="31" t="s">
        <v>3633</v>
      </c>
      <c r="F1014" s="37" t="s">
        <v>139</v>
      </c>
      <c r="G1014" s="24"/>
      <c r="H1014" s="53"/>
    </row>
    <row r="1015" spans="1:8" ht="13.2">
      <c r="A1015" s="65" t="str">
        <f>HYPERLINK("https://oj.uz/problem/view/IOI13_game","IOI 13-game")</f>
        <v>IOI 13-game</v>
      </c>
      <c r="B1015" s="18" t="s">
        <v>7703</v>
      </c>
      <c r="C1015" s="17">
        <v>7</v>
      </c>
      <c r="D1015" s="65" t="str">
        <f>HYPERLINK("http://blog.brucemerry.org.za/2013/07/","Editorial")</f>
        <v>Editorial</v>
      </c>
      <c r="E1015" s="31" t="s">
        <v>1018</v>
      </c>
      <c r="F1015" s="37" t="s">
        <v>201</v>
      </c>
      <c r="G1015" s="24"/>
      <c r="H1015" s="53"/>
    </row>
    <row r="1016" spans="1:8" ht="13.2">
      <c r="A1016" s="65" t="str">
        <f>HYPERLINK("https://oj.uz/problem/view/IOI13_robots","IOI 13-robots")</f>
        <v>IOI 13-robots</v>
      </c>
      <c r="B1016" s="18" t="s">
        <v>6688</v>
      </c>
      <c r="C1016" s="17">
        <v>6</v>
      </c>
      <c r="D1016" s="65" t="str">
        <f>HYPERLINK("https://github.com/mostafa-saad/MyCompetitiveProgramming/blob/master/Olympiad/IOI/IOI-13-robots.txt","Sol")</f>
        <v>Sol</v>
      </c>
      <c r="E1016" s="31" t="s">
        <v>575</v>
      </c>
      <c r="F1016" s="37" t="s">
        <v>3311</v>
      </c>
      <c r="G1016" s="24"/>
      <c r="H1016" s="53"/>
    </row>
    <row r="1017" spans="1:8" ht="13.2">
      <c r="A1017" s="65" t="str">
        <f>HYPERLINK("https://oj.uz/problem/view/IOI13_wombats","IOI 13-wombats")</f>
        <v>IOI 13-wombats</v>
      </c>
      <c r="B1017" s="37" t="s">
        <v>6755</v>
      </c>
      <c r="C1017" s="24">
        <v>7.1</v>
      </c>
      <c r="D1017" s="65" t="str">
        <f>HYPERLINK("https://github.com/mostafa-saad/MyCompetitiveProgramming/blob/master/Olympiad/IOI/IOI-13-wombats.txt","Sol")</f>
        <v>Sol</v>
      </c>
      <c r="E1017" s="31" t="s">
        <v>1018</v>
      </c>
      <c r="F1017" s="37" t="s">
        <v>154</v>
      </c>
      <c r="G1017" s="24"/>
      <c r="H1017" s="53"/>
    </row>
    <row r="1018" spans="1:8" ht="13.2">
      <c r="A1018" s="65" t="str">
        <f>HYPERLINK("https://oj.uz/problem/view/IOI14_friend","IOI 14-friend")</f>
        <v>IOI 14-friend</v>
      </c>
      <c r="B1018" s="15" t="s">
        <v>7143</v>
      </c>
      <c r="C1018" s="17">
        <v>6.25</v>
      </c>
      <c r="D1018" s="65" t="str">
        <f>HYPERLINK("https://github.com/mostafa-saad/MyCompetitiveProgramming/blob/master/Olympiad/IOI/IOI-14-friend.txt","Sol")</f>
        <v>Sol</v>
      </c>
      <c r="E1018" s="31" t="s">
        <v>3257</v>
      </c>
      <c r="F1018" s="37" t="s">
        <v>1053</v>
      </c>
      <c r="G1018" s="24"/>
      <c r="H1018" s="53"/>
    </row>
    <row r="1019" spans="1:8" ht="13.2">
      <c r="A1019" s="65" t="str">
        <f>HYPERLINK("https://oj.uz/problem/view/IOI14_game","IOI 14-game")</f>
        <v>IOI 14-game</v>
      </c>
      <c r="B1019" s="18" t="s">
        <v>7236</v>
      </c>
      <c r="C1019" s="17">
        <v>6.25</v>
      </c>
      <c r="D1019" s="65" t="str">
        <f>HYPERLINK("https://github.com/mostafa-saad/MyCompetitiveProgramming/blob/master/Olympiad/IOI/IOI-14-game.txt","Sol")</f>
        <v>Sol</v>
      </c>
      <c r="E1019" s="31" t="s">
        <v>3883</v>
      </c>
      <c r="F1019" s="37" t="s">
        <v>201</v>
      </c>
      <c r="G1019" s="24"/>
      <c r="H1019" s="53"/>
    </row>
    <row r="1020" spans="1:8" ht="13.2">
      <c r="A1020" s="65" t="str">
        <f>HYPERLINK("https://oj.uz/problem/view/IOI14_gondola","IOI 14-gondola")</f>
        <v>IOI 14-gondola</v>
      </c>
      <c r="B1020" s="18" t="s">
        <v>6632</v>
      </c>
      <c r="C1020" s="17">
        <v>5</v>
      </c>
      <c r="D1020" s="65" t="str">
        <f>HYPERLINK("http://blog.brucemerry.org.za/2014/07/","Editorial")</f>
        <v>Editorial</v>
      </c>
      <c r="E1020" s="31" t="s">
        <v>125</v>
      </c>
      <c r="F1020" s="37"/>
      <c r="G1020" s="24"/>
      <c r="H1020" s="53"/>
    </row>
    <row r="1021" spans="1:8" ht="13.2">
      <c r="A1021" s="65" t="str">
        <f>HYPERLINK("https://oj.uz/problem/view/IOI14_holiday","IOI 14-holiday")</f>
        <v>IOI 14-holiday</v>
      </c>
      <c r="B1021" s="15" t="s">
        <v>6747</v>
      </c>
      <c r="C1021" s="24">
        <v>7.5</v>
      </c>
      <c r="D1021" s="65" t="str">
        <f>HYPERLINK("https://github.com/mostafa-saad/MyCompetitiveProgramming/blob/master/Olympiad/IOI/IOI-14-holiday.txt","Sol")</f>
        <v>Sol</v>
      </c>
      <c r="E1021" s="31" t="s">
        <v>1018</v>
      </c>
      <c r="F1021" s="37" t="s">
        <v>173</v>
      </c>
      <c r="G1021" s="24"/>
      <c r="H1021" s="53"/>
    </row>
    <row r="1022" spans="1:8" ht="13.2">
      <c r="A1022" s="65" t="str">
        <f>HYPERLINK("https://oj.uz/problem/view/IOI14_rail","IOI 14-rail")</f>
        <v>IOI 14-rail</v>
      </c>
      <c r="B1022" s="18" t="s">
        <v>6567</v>
      </c>
      <c r="C1022" s="17">
        <v>7.5</v>
      </c>
      <c r="D1022" s="65" t="str">
        <f>HYPERLINK("https://github.com/mostafa-saad/MyCompetitiveProgramming/blob/master/Olympiad/IOI/IOI-14-rail.txt","Sol")</f>
        <v>Sol</v>
      </c>
      <c r="E1022" s="31" t="s">
        <v>125</v>
      </c>
      <c r="F1022" s="37" t="s">
        <v>139</v>
      </c>
      <c r="G1022" s="24"/>
      <c r="H1022" s="53"/>
    </row>
    <row r="1023" spans="1:8" ht="13.2">
      <c r="A1023" s="65" t="str">
        <f>HYPERLINK("https://oj.uz/problem/view/IOI14_wall","IOI 14-wall")</f>
        <v>IOI 14-wall</v>
      </c>
      <c r="B1023" s="18" t="s">
        <v>1043</v>
      </c>
      <c r="C1023" s="17">
        <v>6.75</v>
      </c>
      <c r="D1023" s="65" t="str">
        <f>HYPERLINK("http://blog.brucemerry.org.za/2014/07/","Editorial")</f>
        <v>Editorial</v>
      </c>
      <c r="E1023" s="31" t="s">
        <v>1018</v>
      </c>
      <c r="F1023" s="37"/>
      <c r="G1023" s="24"/>
      <c r="H1023" s="53"/>
    </row>
    <row r="1024" spans="1:8" ht="13.2">
      <c r="A1024" s="65" t="str">
        <f>HYPERLINK("https://oj.uz/problem/view/IOI15_boxes","IOI 15-boxes")</f>
        <v>IOI 15-boxes</v>
      </c>
      <c r="B1024" s="18" t="s">
        <v>1366</v>
      </c>
      <c r="C1024" s="17">
        <v>6</v>
      </c>
      <c r="D1024" s="65" t="str">
        <f>HYPERLINK("https://github.com/mostafa-saad/MyCompetitiveProgramming/blob/master/Olympiad/IOI/IOI-15-boxes.txt","Sol")</f>
        <v>Sol</v>
      </c>
      <c r="E1024" s="31" t="s">
        <v>1337</v>
      </c>
      <c r="F1024" s="37" t="s">
        <v>201</v>
      </c>
      <c r="G1024" s="24"/>
      <c r="H1024" s="53"/>
    </row>
    <row r="1025" spans="1:8" ht="13.2">
      <c r="A1025" s="65" t="str">
        <f>HYPERLINK("https://oj.uz/problem/view/IOI15_horses","IOI 15-horses")</f>
        <v>IOI 15-horses</v>
      </c>
      <c r="B1025" s="18" t="s">
        <v>6682</v>
      </c>
      <c r="C1025" s="17">
        <v>6.5</v>
      </c>
      <c r="D1025" s="65" t="str">
        <f t="shared" ref="D1025:D1026" si="30">HYPERLINK("https://github.com/mostafa-saad/MyCompetitiveProgramming/blob/master/Olympiad/IOI/official/2015","Editorial")</f>
        <v>Editorial</v>
      </c>
      <c r="E1025" s="31" t="s">
        <v>575</v>
      </c>
      <c r="F1025" s="37"/>
      <c r="G1025" s="24"/>
      <c r="H1025" s="53"/>
    </row>
    <row r="1026" spans="1:8" ht="13.2">
      <c r="A1026" s="65" t="str">
        <f>HYPERLINK("https://oj.uz/problem/view/IOI15_scales","IOI 15-scales")</f>
        <v>IOI 15-scales</v>
      </c>
      <c r="B1026" s="23" t="s">
        <v>7704</v>
      </c>
      <c r="C1026" s="24">
        <v>6.75</v>
      </c>
      <c r="D1026" s="65" t="str">
        <f t="shared" si="30"/>
        <v>Editorial</v>
      </c>
      <c r="E1026" s="31" t="s">
        <v>655</v>
      </c>
      <c r="F1026" s="37" t="s">
        <v>201</v>
      </c>
      <c r="G1026" s="24"/>
      <c r="H1026" s="53"/>
    </row>
    <row r="1027" spans="1:8" ht="13.2">
      <c r="A1027" s="65" t="str">
        <f>HYPERLINK("https://oj.uz/problem/view/IOI15_sorting","IOI 15-sorting")</f>
        <v>IOI 15-sorting</v>
      </c>
      <c r="B1027" s="18" t="s">
        <v>814</v>
      </c>
      <c r="C1027" s="17">
        <v>6.75</v>
      </c>
      <c r="D1027" s="65" t="str">
        <f>HYPERLINK("https://github.com/mostafa-saad/MyCompetitiveProgramming/blob/master/Olympiad/IOI/IOI-15-sorting.txt","Sol")</f>
        <v>Sol</v>
      </c>
      <c r="E1027" s="31" t="s">
        <v>805</v>
      </c>
      <c r="F1027" s="37"/>
      <c r="G1027" s="24"/>
      <c r="H1027" s="53"/>
    </row>
    <row r="1028" spans="1:8" ht="13.2">
      <c r="A1028" s="65" t="str">
        <f>HYPERLINK("https://oj.uz/problem/view/IOI15_teams","IOI 15-teams")</f>
        <v>IOI 15-teams</v>
      </c>
      <c r="B1028" s="23" t="s">
        <v>6768</v>
      </c>
      <c r="C1028" s="24">
        <v>6.75</v>
      </c>
      <c r="D1028" s="65" t="str">
        <f>HYPERLINK("https://github.com/mostafa-saad/MyCompetitiveProgramming/blob/master/Olympiad/IOI/official/2015","Editorial")</f>
        <v>Editorial</v>
      </c>
      <c r="E1028" s="31" t="s">
        <v>1018</v>
      </c>
      <c r="F1028" s="37" t="s">
        <v>242</v>
      </c>
      <c r="G1028" s="24"/>
      <c r="H1028" s="53"/>
    </row>
    <row r="1029" spans="1:8" ht="13.2">
      <c r="A1029" s="65" t="str">
        <f>HYPERLINK("https://oj.uz/problem/view/IOI15_towns","IOI 15-towns")</f>
        <v>IOI 15-towns</v>
      </c>
      <c r="B1029" s="15" t="s">
        <v>6575</v>
      </c>
      <c r="C1029" s="24">
        <v>7</v>
      </c>
      <c r="D1029" s="65" t="str">
        <f>HYPERLINK("https://github.com/mostafa-saad/MyCompetitiveProgramming/blob/master/Olympiad/IOI/IOI-15-towns.txt","Sol")</f>
        <v>Sol</v>
      </c>
      <c r="E1029" s="31" t="s">
        <v>125</v>
      </c>
      <c r="F1029" s="37" t="s">
        <v>139</v>
      </c>
      <c r="G1029" s="24"/>
      <c r="H1029" s="53"/>
    </row>
    <row r="1030" spans="1:8" ht="13.2">
      <c r="A1030" s="65" t="str">
        <f>HYPERLINK("https://oj.uz/problem/view/IOI16_aliens","IOI 16-aliens")</f>
        <v>IOI 16-aliens</v>
      </c>
      <c r="B1030" s="20" t="s">
        <v>7486</v>
      </c>
      <c r="C1030" s="17">
        <v>7.25</v>
      </c>
      <c r="D1030" s="65" t="str">
        <f>HYPERLINK("https://github.com/mostafa-saad/MyCompetitiveProgramming/blob/master/Olympiad/IOI/IOI-16-aliens.txt","Sol")</f>
        <v>Sol</v>
      </c>
      <c r="E1030" s="31" t="s">
        <v>6417</v>
      </c>
      <c r="F1030" s="37" t="s">
        <v>173</v>
      </c>
      <c r="G1030" s="24"/>
      <c r="H1030" s="53"/>
    </row>
    <row r="1031" spans="1:8" ht="13.2">
      <c r="A1031" s="65" t="str">
        <f>HYPERLINK("https://oj.uz/problem/view/IOI16_dna","IOI 16-dna")</f>
        <v>IOI 16-dna</v>
      </c>
      <c r="B1031" s="20" t="s">
        <v>806</v>
      </c>
      <c r="C1031" s="21">
        <v>5.5</v>
      </c>
      <c r="D1031" s="65" t="str">
        <f>HYPERLINK("https://codeforces.com/blog/entry/46525?#comment-310021","Sol")</f>
        <v>Sol</v>
      </c>
      <c r="E1031" s="31" t="s">
        <v>805</v>
      </c>
      <c r="F1031" s="37" t="s">
        <v>154</v>
      </c>
      <c r="G1031" s="24"/>
      <c r="H1031" s="53"/>
    </row>
    <row r="1032" spans="1:8" ht="13.2">
      <c r="A1032" s="65" t="str">
        <f>HYPERLINK("https://oj.uz/problem/view/IOI16_laugh","IOI 16-laugh")</f>
        <v>IOI 16-laugh</v>
      </c>
      <c r="B1032" s="20" t="s">
        <v>359</v>
      </c>
      <c r="C1032" s="17">
        <v>3</v>
      </c>
      <c r="D1032" s="65" t="str">
        <f>HYPERLINK("https://github.com/mostafa-saad/MyCompetitiveProgramming/blob/master/Olympiad/IOI/official/2016","Editorial")</f>
        <v>Editorial</v>
      </c>
      <c r="E1032" s="31" t="s">
        <v>332</v>
      </c>
      <c r="F1032" s="37"/>
      <c r="G1032" s="24"/>
      <c r="H1032" s="53"/>
    </row>
    <row r="1033" spans="1:8" ht="13.2">
      <c r="A1033" s="65" t="str">
        <f>HYPERLINK("https://oj.uz/problem/view/IOI16_messy","IOI 16-messy")</f>
        <v>IOI 16-messy</v>
      </c>
      <c r="B1033" s="18" t="s">
        <v>6573</v>
      </c>
      <c r="C1033" s="17">
        <v>7</v>
      </c>
      <c r="D1033" s="65" t="str">
        <f>HYPERLINK("https://github.com/mostafa-saad/MyCompetitiveProgramming/blob/master/Olympiad/IOI/IOI-16-messy.txt","Sol")</f>
        <v>Sol</v>
      </c>
      <c r="E1033" s="31" t="s">
        <v>125</v>
      </c>
      <c r="F1033" s="37" t="s">
        <v>154</v>
      </c>
      <c r="G1033" s="24"/>
      <c r="H1033" s="53"/>
    </row>
    <row r="1034" spans="1:8" ht="13.2">
      <c r="A1034" s="65" t="str">
        <f>HYPERLINK("https://oj.uz/problem/view/IOI16_molecules","IOI 16-molecules")</f>
        <v>IOI 16-molecules</v>
      </c>
      <c r="B1034" s="18" t="s">
        <v>6047</v>
      </c>
      <c r="C1034" s="17">
        <v>5.5</v>
      </c>
      <c r="D1034" s="65" t="str">
        <f>HYPERLINK("https://github.com/mostafa-saad/MyCompetitiveProgramming/blob/master/Olympiad/IOI/official/2016","Editorial")</f>
        <v>Editorial</v>
      </c>
      <c r="E1034" s="31" t="s">
        <v>6040</v>
      </c>
      <c r="F1034" s="37" t="s">
        <v>201</v>
      </c>
      <c r="G1034" s="24"/>
      <c r="H1034" s="53"/>
    </row>
    <row r="1035" spans="1:8" ht="13.2">
      <c r="A1035" s="65" t="str">
        <f>HYPERLINK("https://oj.uz/problem/view/IOI16_paint","IOI 16-paint")</f>
        <v>IOI 16-paint</v>
      </c>
      <c r="B1035" s="18" t="s">
        <v>6895</v>
      </c>
      <c r="C1035" s="17">
        <v>5.75</v>
      </c>
      <c r="D1035" s="65" t="str">
        <f>HYPERLINK("https://github.com/mostafa-saad/MyCompetitiveProgramming/blob/master/Olympiad/IOI/IOI-16-paint.txt","Sol")</f>
        <v>Sol</v>
      </c>
      <c r="E1035" s="31" t="s">
        <v>1337</v>
      </c>
      <c r="F1035" s="37" t="s">
        <v>196</v>
      </c>
      <c r="G1035" s="24"/>
      <c r="H1035" s="53"/>
    </row>
    <row r="1036" spans="1:8" ht="13.2">
      <c r="A1036" s="65" t="str">
        <f>HYPERLINK("https://oj.uz/problem/view/IOI16_railroad","IOI 16-railroad")</f>
        <v>IOI 16-railroad</v>
      </c>
      <c r="B1036" s="18" t="s">
        <v>4279</v>
      </c>
      <c r="C1036" s="17">
        <v>7.25</v>
      </c>
      <c r="D1036" s="65" t="str">
        <f>HYPERLINK("https://github.com/mostafa-saad/MyCompetitiveProgramming/blob/master/Olympiad/IOI/official/2016","Editorial")</f>
        <v>Editorial</v>
      </c>
      <c r="E1036" s="31" t="s">
        <v>4275</v>
      </c>
      <c r="F1036" s="37" t="s">
        <v>139</v>
      </c>
      <c r="G1036" s="24"/>
      <c r="H1036" s="53"/>
    </row>
    <row r="1037" spans="1:8" ht="13.2">
      <c r="A1037" s="65" t="str">
        <f>HYPERLINK("https://oj.uz/problem/view/IOI16_reverse","IOI 16-reverse")</f>
        <v>IOI 16-reverse</v>
      </c>
      <c r="B1037" s="20" t="s">
        <v>6646</v>
      </c>
      <c r="C1037" s="24">
        <v>1</v>
      </c>
      <c r="D1037" s="69"/>
      <c r="E1037" s="31" t="s">
        <v>125</v>
      </c>
      <c r="F1037" s="37"/>
      <c r="G1037" s="24"/>
      <c r="H1037" s="53"/>
    </row>
    <row r="1038" spans="1:8" ht="13.2">
      <c r="A1038" s="65" t="str">
        <f>HYPERLINK("https://oj.uz/problem/view/IOI16_shortcut","IOI 16-shortcut")</f>
        <v>IOI 16-shortcut</v>
      </c>
      <c r="B1038" s="15" t="s">
        <v>7115</v>
      </c>
      <c r="C1038" s="24">
        <v>7.5</v>
      </c>
      <c r="D1038" s="65" t="str">
        <f>HYPERLINK("https://github.com/mostafa-saad/MyCompetitiveProgramming/blob/master/Olympiad/IOI/official/2016","Editorial")</f>
        <v>Editorial</v>
      </c>
      <c r="E1038" s="31" t="s">
        <v>3257</v>
      </c>
      <c r="F1038" s="37"/>
      <c r="G1038" s="24"/>
      <c r="H1038" s="53"/>
    </row>
    <row r="1039" spans="1:8" ht="13.2">
      <c r="A1039" s="65" t="str">
        <f>HYPERLINK("https://oj.uz/problem/view/IOI16_tetris","IOI 16-tetris")</f>
        <v>IOI 16-tetris</v>
      </c>
      <c r="B1039" s="20" t="s">
        <v>6625</v>
      </c>
      <c r="C1039" s="24">
        <v>5.25</v>
      </c>
      <c r="D1039" s="65" t="str">
        <f>HYPERLINK("https://github.com/mostafa-saad/MyCompetitiveProgramming/blob/master/Olympiad/IOI/IOI-16-tetris.txt","Sol")</f>
        <v>Sol</v>
      </c>
      <c r="E1039" s="31" t="s">
        <v>125</v>
      </c>
      <c r="F1039" s="37" t="s">
        <v>139</v>
      </c>
      <c r="G1039" s="24"/>
      <c r="H1039" s="53"/>
    </row>
    <row r="1040" spans="1:8" ht="13.2">
      <c r="A1040" s="65" t="str">
        <f>HYPERLINK("https://oj.uz/problem/view/IOI17_books","IOI 17-books")</f>
        <v>IOI 17-books</v>
      </c>
      <c r="B1040" s="15" t="s">
        <v>7118</v>
      </c>
      <c r="C1040" s="24">
        <v>7.25</v>
      </c>
      <c r="D1040" s="65" t="str">
        <f>HYPERLINK("https://github.com/mostafa-saad/MyCompetitiveProgramming/blob/master/Olympiad/IOI/official/2017","Editorial")</f>
        <v>Editorial</v>
      </c>
      <c r="E1040" s="31" t="s">
        <v>3257</v>
      </c>
      <c r="F1040" s="37" t="s">
        <v>154</v>
      </c>
      <c r="G1040" s="24"/>
      <c r="H1040" s="53"/>
    </row>
    <row r="1041" spans="1:8" ht="13.2">
      <c r="A1041" s="65" t="str">
        <f>HYPERLINK("https://oj.uz/problem/view/IOI17_coins","IOI 17-coins")</f>
        <v>IOI 17-coins</v>
      </c>
      <c r="B1041" s="20" t="s">
        <v>4698</v>
      </c>
      <c r="C1041" s="17">
        <v>4</v>
      </c>
      <c r="D1041" s="69"/>
      <c r="E1041" s="31" t="s">
        <v>4531</v>
      </c>
      <c r="F1041" s="37" t="s">
        <v>139</v>
      </c>
      <c r="G1041" s="24"/>
      <c r="H1041" s="53"/>
    </row>
    <row r="1042" spans="1:8" ht="13.2">
      <c r="A1042" s="65" t="str">
        <f>HYPERLINK("https://oj.uz/problem/view/IOI17_cup","IOI 17-cup")</f>
        <v>IOI 17-cup</v>
      </c>
      <c r="B1042" s="20" t="s">
        <v>124</v>
      </c>
      <c r="C1042" s="17">
        <v>4</v>
      </c>
      <c r="D1042" s="69"/>
      <c r="E1042" s="31" t="s">
        <v>125</v>
      </c>
      <c r="F1042" s="37"/>
      <c r="G1042" s="24"/>
      <c r="H1042" s="53"/>
    </row>
    <row r="1043" spans="1:8" ht="13.2">
      <c r="A1043" s="65" t="str">
        <f>HYPERLINK("https://oj.uz/problem/view/IOI17_mountains","IOI 17-mountains")</f>
        <v>IOI 17-mountains</v>
      </c>
      <c r="B1043" s="20" t="s">
        <v>6978</v>
      </c>
      <c r="C1043" s="24">
        <v>6</v>
      </c>
      <c r="D1043" s="65" t="str">
        <f>HYPERLINK("https://github.com/ZeyadKhattab/Competitive-Programming/blob/master/Problems/IOI%2017-mountains.cpp","Sol")</f>
        <v>Sol</v>
      </c>
      <c r="E1043" s="31" t="s">
        <v>2113</v>
      </c>
      <c r="F1043" s="37" t="s">
        <v>139</v>
      </c>
      <c r="G1043" s="24"/>
      <c r="H1043" s="53"/>
    </row>
    <row r="1044" spans="1:8" ht="13.2">
      <c r="A1044" s="65" t="str">
        <f>HYPERLINK("https://oj.uz/problem/view/IOI17_prize","IOI 17-prize")</f>
        <v>IOI 17-prize</v>
      </c>
      <c r="B1044" s="15" t="s">
        <v>6599</v>
      </c>
      <c r="C1044" s="24">
        <v>6.5</v>
      </c>
      <c r="D1044" s="65" t="str">
        <f>HYPERLINK("https://github.com/timpostuvan/CompetitiveProgramming/blob/master/Olympiad/IOI/Prize2017.cpp","Sol")</f>
        <v>Sol</v>
      </c>
      <c r="E1044" s="31" t="s">
        <v>125</v>
      </c>
      <c r="F1044" s="37" t="s">
        <v>201</v>
      </c>
      <c r="G1044" s="24"/>
      <c r="H1044" s="53"/>
    </row>
    <row r="1045" spans="1:8" ht="13.2">
      <c r="A1045" s="65" t="str">
        <f>HYPERLINK("https://oj.uz/problem/view/IOI17_simurgh","IOI 17-simurgh")</f>
        <v>IOI 17-simurgh</v>
      </c>
      <c r="B1045" s="15" t="s">
        <v>7271</v>
      </c>
      <c r="C1045" s="17">
        <v>7.75</v>
      </c>
      <c r="D1045" s="65" t="str">
        <f>HYPERLINK("https://github.com/mostafa-saad/MyCompetitiveProgramming/blob/master/Olympiad/IOI/IOI-17-simurgh.txt","Sol")</f>
        <v>Sol</v>
      </c>
      <c r="E1045" s="31" t="s">
        <v>4344</v>
      </c>
      <c r="F1045" s="37" t="s">
        <v>139</v>
      </c>
      <c r="G1045" s="24"/>
      <c r="H1045" s="53"/>
    </row>
    <row r="1046" spans="1:8" ht="13.2">
      <c r="A1046" s="65" t="str">
        <f>HYPERLINK("https://oj.uz/problem/view/IOI17_train","IOI 17-train")</f>
        <v>IOI 17-train</v>
      </c>
      <c r="B1046" s="15" t="s">
        <v>7053</v>
      </c>
      <c r="C1046" s="17">
        <v>7.25</v>
      </c>
      <c r="D1046" s="65" t="str">
        <f>HYPERLINK("https://github.com/mostafa-saad/MyCompetitiveProgramming/blob/master/Olympiad/IOI/IOI-17-toytrain.txt","Sol")</f>
        <v>Sol</v>
      </c>
      <c r="E1046" s="31" t="s">
        <v>2394</v>
      </c>
      <c r="F1046" s="37" t="s">
        <v>154</v>
      </c>
      <c r="G1046" s="24"/>
      <c r="H1046" s="53"/>
    </row>
    <row r="1047" spans="1:8" ht="13.2">
      <c r="A1047" s="65" t="str">
        <f>HYPERLINK("https://oj.uz/problem/view/IOI17_wiring","IOI 17-wiring")</f>
        <v>IOI 17-wiring</v>
      </c>
      <c r="B1047" s="15" t="s">
        <v>6831</v>
      </c>
      <c r="C1047" s="17">
        <v>7.1</v>
      </c>
      <c r="D1047" s="65" t="str">
        <f>HYPERLINK("https://github.com/mostafa-saad/MyCompetitiveProgramming/blob/master/Olympiad/IOI/IOI-17-wiring.txt","Sol")</f>
        <v>Sol</v>
      </c>
      <c r="E1047" s="31" t="s">
        <v>1337</v>
      </c>
      <c r="F1047" s="37" t="s">
        <v>139</v>
      </c>
      <c r="G1047" s="24"/>
      <c r="H1047" s="53"/>
    </row>
    <row r="1048" spans="1:8" ht="13.2">
      <c r="A1048" s="65" t="str">
        <f>HYPERLINK("https://oj.uz/problem/view/IOI18_combo","IOI 18-combo")</f>
        <v>IOI 18-combo</v>
      </c>
      <c r="B1048" s="20" t="s">
        <v>6619</v>
      </c>
      <c r="C1048" s="21">
        <v>5.5</v>
      </c>
      <c r="D1048" s="65" t="str">
        <f>HYPERLINK("https://github.com/mostafa-saad/MyCompetitiveProgramming/blob/master/Olympiad/IOI/IOI-18-Combo.txt", "Sol")</f>
        <v>Sol</v>
      </c>
      <c r="E1048" s="31" t="s">
        <v>125</v>
      </c>
      <c r="F1048" s="37" t="s">
        <v>139</v>
      </c>
      <c r="G1048" s="24"/>
      <c r="H1048" s="53"/>
    </row>
    <row r="1049" spans="1:8" ht="13.2">
      <c r="A1049" s="65" t="str">
        <f>HYPERLINK("https://oj.uz/problem/view/IOI18_doll","IOI 18-doll")</f>
        <v>IOI 18-doll</v>
      </c>
      <c r="B1049" s="20" t="s">
        <v>6763</v>
      </c>
      <c r="C1049" s="21">
        <v>6.75</v>
      </c>
      <c r="D1049" s="65" t="str">
        <f>HYPERLINK("https://github.com/mostafa-saad/MyCompetitiveProgramming/blob/master/Olympiad/IOI/IOI-18-Doll.txt","Sol")</f>
        <v>Sol</v>
      </c>
      <c r="E1049" s="31" t="s">
        <v>1018</v>
      </c>
      <c r="F1049" s="37" t="s">
        <v>173</v>
      </c>
      <c r="G1049" s="24"/>
      <c r="H1049" s="53"/>
    </row>
    <row r="1050" spans="1:8" ht="13.2">
      <c r="A1050" s="65" t="str">
        <f>HYPERLINK("https://oj.uz/problem/view/IOI18_highway","IOI 18-highway")</f>
        <v>IOI 18-highway</v>
      </c>
      <c r="B1050" s="20" t="s">
        <v>7206</v>
      </c>
      <c r="C1050" s="24">
        <v>7.1</v>
      </c>
      <c r="D1050" s="65" t="str">
        <f>HYPERLINK("https://github.com/mostafa-saad/MyCompetitiveProgramming/blob/master/Olympiad/IOI/official/2018","Editorial")</f>
        <v>Editorial</v>
      </c>
      <c r="E1050" s="31" t="s">
        <v>3784</v>
      </c>
      <c r="F1050" s="37"/>
      <c r="G1050" s="24"/>
      <c r="H1050" s="53"/>
    </row>
    <row r="1051" spans="1:8" ht="13.2">
      <c r="A1051" s="65" t="str">
        <f>HYPERLINK("https://oj.uz/problem/view/IOI18_meetings","IOI 18-meetings")</f>
        <v>IOI 18-meetings</v>
      </c>
      <c r="B1051" s="20" t="s">
        <v>6744</v>
      </c>
      <c r="C1051" s="24">
        <v>8.1</v>
      </c>
      <c r="D1051" s="65" t="str">
        <f>HYPERLINK("https://github.com/mostafa-saad/MyCompetitiveProgramming/blob/master/Olympiad/IOI/IOI-18-meetings.txt","Sol")</f>
        <v>Sol</v>
      </c>
      <c r="E1051" s="31" t="s">
        <v>1018</v>
      </c>
      <c r="F1051" s="37" t="s">
        <v>154</v>
      </c>
      <c r="G1051" s="24"/>
      <c r="H1051" s="53"/>
    </row>
    <row r="1052" spans="1:8" ht="13.2">
      <c r="A1052" s="65" t="str">
        <f>HYPERLINK("https://oj.uz/problem/view/IOI18_seats","IOI 18-seats")</f>
        <v>IOI 18-seats</v>
      </c>
      <c r="B1052" s="20" t="s">
        <v>7705</v>
      </c>
      <c r="C1052" s="24">
        <v>7.25</v>
      </c>
      <c r="D1052" s="65" t="str">
        <f>HYPERLINK("https://github.com/nikolapesic2802/Programming-Practice/blob/master/Seats/IOI%202018%20Seats.txt","Sol")</f>
        <v>Sol</v>
      </c>
      <c r="E1052" s="31" t="s">
        <v>1018</v>
      </c>
      <c r="F1052" s="37" t="s">
        <v>139</v>
      </c>
      <c r="G1052" s="24"/>
      <c r="H1052" s="53"/>
    </row>
    <row r="1053" spans="1:8" ht="13.2">
      <c r="A1053" s="65" t="str">
        <f>HYPERLINK("https://oj.uz/problem/view/IOI18_werewolf","IOI 18-werewolf")</f>
        <v>IOI 18-werewolf</v>
      </c>
      <c r="B1053" s="20" t="s">
        <v>7227</v>
      </c>
      <c r="C1053" s="21">
        <v>7.1</v>
      </c>
      <c r="D1053" s="65" t="str">
        <f>HYPERLINK("https://github.com/mostafa-saad/MyCompetitiveProgramming/blob/master/Olympiad/IOI/IOI-18-Werewolf.txt","Sol")</f>
        <v>Sol</v>
      </c>
      <c r="E1053" s="31" t="s">
        <v>3883</v>
      </c>
      <c r="F1053" s="37" t="s">
        <v>139</v>
      </c>
      <c r="G1053" s="24"/>
      <c r="H1053" s="53"/>
    </row>
    <row r="1054" spans="1:8" ht="13.2">
      <c r="A1054" s="65" t="str">
        <f>HYPERLINK("https://oj.uz/problem/view/IOI19_line","IOI 19-line")</f>
        <v>IOI 19-line</v>
      </c>
      <c r="B1054" s="37" t="s">
        <v>147</v>
      </c>
      <c r="C1054" s="24">
        <v>7.5</v>
      </c>
      <c r="D1054" s="65" t="str">
        <f>HYPERLINK("https://github.com/mostafa-saad/MyCompetitiveProgramming/blob/master/Olympiad/IOI/IOI-19-line.txt","Sol")</f>
        <v>Sol</v>
      </c>
      <c r="E1054" s="31" t="s">
        <v>125</v>
      </c>
      <c r="F1054" s="37"/>
      <c r="G1054" s="24"/>
      <c r="H1054" s="53"/>
    </row>
    <row r="1055" spans="1:8" ht="13.2">
      <c r="A1055" s="65" t="str">
        <f>HYPERLINK("https://oj.uz/problem/view/IOI19_rect","IOI 19-rect")</f>
        <v>IOI 19-rect</v>
      </c>
      <c r="B1055" s="37" t="s">
        <v>6676</v>
      </c>
      <c r="C1055" s="24">
        <v>6.8</v>
      </c>
      <c r="D1055" s="65" t="str">
        <f>HYPERLINK("https://github.com/mostafa-saad/MyCompetitiveProgramming/blob/master/Olympiad/IOI/IOI-19-rect.txt","Sol")</f>
        <v>Sol</v>
      </c>
      <c r="E1055" s="31" t="s">
        <v>575</v>
      </c>
      <c r="F1055" s="37" t="s">
        <v>139</v>
      </c>
      <c r="G1055" s="24"/>
      <c r="H1055" s="53"/>
    </row>
    <row r="1056" spans="1:8" ht="13.2">
      <c r="A1056" s="65" t="str">
        <f>HYPERLINK("https://oj.uz/problem/view/IOI19_shoes","IOI 19-shoes")</f>
        <v>IOI 19-shoes</v>
      </c>
      <c r="B1056" s="37" t="s">
        <v>7015</v>
      </c>
      <c r="C1056" s="24">
        <v>5.75</v>
      </c>
      <c r="D1056" s="65" t="str">
        <f t="shared" ref="D1056:D1057" si="31">HYPERLINK("https://github.com/mostafa-saad/MyCompetitiveProgramming/tree/master/Olympiad/IOI/official/2019","Official sols")</f>
        <v>Official sols</v>
      </c>
      <c r="E1056" s="31" t="s">
        <v>2153</v>
      </c>
      <c r="F1056" s="37" t="s">
        <v>139</v>
      </c>
      <c r="G1056" s="24"/>
      <c r="H1056" s="53"/>
    </row>
    <row r="1057" spans="1:8" ht="13.2">
      <c r="A1057" s="65" t="str">
        <f>HYPERLINK("https://oj.uz/problem/view/IOI19_split","IOI 19-split")</f>
        <v>IOI 19-split</v>
      </c>
      <c r="B1057" s="37" t="s">
        <v>7527</v>
      </c>
      <c r="C1057" s="24">
        <v>7.5</v>
      </c>
      <c r="D1057" s="65" t="str">
        <f t="shared" si="31"/>
        <v>Official sols</v>
      </c>
      <c r="E1057" s="31" t="s">
        <v>7525</v>
      </c>
      <c r="F1057" s="37"/>
      <c r="G1057" s="24"/>
      <c r="H1057" s="53"/>
    </row>
    <row r="1058" spans="1:8" ht="13.2">
      <c r="A1058" s="65" t="str">
        <f>HYPERLINK("https://oj.uz/problem/view/IOI19_vision","IOI 19-vision")</f>
        <v>IOI 19-vision</v>
      </c>
      <c r="B1058" s="37" t="s">
        <v>6590</v>
      </c>
      <c r="C1058" s="24">
        <v>6.7</v>
      </c>
      <c r="D1058" s="65" t="str">
        <f>HYPERLINK("https://github.com/mostafa-saad/MyCompetitiveProgramming/blob/master/Olympiad/IOI/IOI-19-vision.txt","Sol")</f>
        <v>Sol</v>
      </c>
      <c r="E1058" s="31" t="s">
        <v>125</v>
      </c>
      <c r="F1058" s="37" t="s">
        <v>173</v>
      </c>
      <c r="G1058" s="24"/>
      <c r="H1058" s="53"/>
    </row>
    <row r="1059" spans="1:8" ht="13.2">
      <c r="A1059" s="65" t="str">
        <f>HYPERLINK("https://oj.uz/problem/view/IOI19_walk","IOI 19-walk")</f>
        <v>IOI 19-walk</v>
      </c>
      <c r="B1059" s="37" t="s">
        <v>7527</v>
      </c>
      <c r="C1059" s="24">
        <v>8.5</v>
      </c>
      <c r="D1059" s="65" t="str">
        <f>HYPERLINK("https://github.com/mostafa-saad/MyCompetitiveProgramming/tree/master/Olympiad/IOI/official/2019","Official sols")</f>
        <v>Official sols</v>
      </c>
      <c r="E1059" s="31" t="s">
        <v>7525</v>
      </c>
      <c r="F1059" s="37"/>
      <c r="G1059" s="24"/>
      <c r="H1059" s="53"/>
    </row>
    <row r="1060" spans="1:8" ht="13.2">
      <c r="A1060" s="65" t="str">
        <f>HYPERLINK("https://dmoj.ca/problem/ioi97p1","IOI 97-Mars")</f>
        <v>IOI 97-Mars</v>
      </c>
      <c r="B1060" s="20" t="s">
        <v>7162</v>
      </c>
      <c r="C1060" s="24">
        <v>5</v>
      </c>
      <c r="D1060" s="65" t="str">
        <f>HYPERLINK("http://olympiads.win.tue.nl/ioi/ioi97/contest/index.html","Editorial")</f>
        <v>Editorial</v>
      </c>
      <c r="E1060" s="31" t="s">
        <v>3257</v>
      </c>
      <c r="F1060" s="37"/>
      <c r="G1060" s="24"/>
      <c r="H1060" s="53"/>
    </row>
    <row r="1061" spans="1:8" ht="13.2">
      <c r="A1061" s="65" t="str">
        <f>HYPERLINK("https://www.hackerrank.com/contests/ioi-2014-practice-contest-1/challenges","IOIPractice 14-bounce-bounce-bounce-ioi14")</f>
        <v>IOIPractice 14-bounce-bounce-bounce-ioi14</v>
      </c>
      <c r="B1061" s="15" t="s">
        <v>7085</v>
      </c>
      <c r="C1061" s="17">
        <v>5</v>
      </c>
      <c r="D1061" s="65" t="str">
        <f>HYPERLINK("https://github.com/tmwilliamlin168/CompetitiveProgramming/blob/master/HackerRank/bounce-bounce-bounce-ioi14.cpp", "Sol")</f>
        <v>Sol</v>
      </c>
      <c r="E1061" s="31" t="s">
        <v>2798</v>
      </c>
      <c r="F1061" s="37" t="s">
        <v>201</v>
      </c>
      <c r="G1061" s="24"/>
      <c r="H1061" s="53"/>
    </row>
    <row r="1062" spans="1:8" ht="13.2">
      <c r="A1062" s="65" t="str">
        <f>HYPERLINK("https://www.hackerrank.com/contests/ioi-2014-practice-contest-1/challenges","IOIPractice 14-christopher-candy-ioi14")</f>
        <v>IOIPractice 14-christopher-candy-ioi14</v>
      </c>
      <c r="B1062" s="15" t="s">
        <v>6636</v>
      </c>
      <c r="C1062" s="17">
        <v>5</v>
      </c>
      <c r="D1062" s="65" t="str">
        <f>HYPERLINK("https://github.com/Yehezkiel01/CompetitiveProgramming/blob/master/IOIPractice/IOIPractice-14-christopher-candy-ioi14.cpp","Sol")</f>
        <v>Sol</v>
      </c>
      <c r="E1062" s="31" t="s">
        <v>125</v>
      </c>
      <c r="F1062" s="37"/>
      <c r="G1062" s="24"/>
      <c r="H1062" s="53"/>
    </row>
    <row r="1063" spans="1:8" ht="13.2">
      <c r="A1063" s="65" t="str">
        <f>HYPERLINK("https://www.hackerrank.com/contests/ioi-2014-practice-contest-1/challenges","IOIPractice 14-color-grid-ioi14")</f>
        <v>IOIPractice 14-color-grid-ioi14</v>
      </c>
      <c r="B1063" s="15" t="s">
        <v>6634</v>
      </c>
      <c r="C1063" s="17">
        <v>5</v>
      </c>
      <c r="D1063" s="65" t="str">
        <f>HYPERLINK("https://github.com/mostafa-saad/MyCompetitiveProgramming/blob/master/Olympiad/IOI/IOIPractice-14-color-grid-ioi14.txt","Sol")</f>
        <v>Sol</v>
      </c>
      <c r="E1063" s="31" t="s">
        <v>125</v>
      </c>
      <c r="F1063" s="37"/>
      <c r="G1063" s="24"/>
      <c r="H1063" s="53"/>
    </row>
    <row r="1064" spans="1:8" ht="13.2">
      <c r="A1064" s="65" t="str">
        <f>HYPERLINK("https://www.hackerrank.com/contests/ioi-2014-practice-contest-1/challenges","IOIPractice 14-david-copperfailed-ioi14")</f>
        <v>IOIPractice 14-david-copperfailed-ioi14</v>
      </c>
      <c r="B1064" s="15" t="s">
        <v>7058</v>
      </c>
      <c r="C1064" s="17">
        <v>7.5</v>
      </c>
      <c r="D1064" s="69"/>
      <c r="E1064" s="31" t="s">
        <v>2510</v>
      </c>
      <c r="F1064" s="37"/>
      <c r="G1064" s="24"/>
      <c r="H1064" s="53"/>
    </row>
    <row r="1065" spans="1:8" ht="13.2">
      <c r="A1065" s="65" t="str">
        <f>HYPERLINK("https://www.hackerrank.com/contests/ioi-2014-practice-contest-2/challenges","IOIPractice 14-family-ioi14")</f>
        <v>IOIPractice 14-family-ioi14</v>
      </c>
      <c r="B1065" s="20" t="s">
        <v>2509</v>
      </c>
      <c r="C1065" s="24">
        <v>2</v>
      </c>
      <c r="D1065" s="65" t="str">
        <f>HYPERLINK("https://github.com/tmwilliamlin168/CompetitiveProgramming/blob/master/HackerRank/family-ioi14.cpp", "Sol")</f>
        <v>Sol</v>
      </c>
      <c r="E1065" s="31" t="s">
        <v>2510</v>
      </c>
      <c r="F1065" s="37"/>
      <c r="G1065" s="24"/>
      <c r="H1065" s="53"/>
    </row>
    <row r="1066" spans="1:8" ht="13.2">
      <c r="A1066" s="65" t="str">
        <f>HYPERLINK("https://www.hackerrank.com/contests/ioi-2014-practice-contest-2/challenges","IOIPractice 14-grand-noi-icpc-battle-ioi14")</f>
        <v>IOIPractice 14-grand-noi-icpc-battle-ioi14</v>
      </c>
      <c r="B1066" s="15" t="s">
        <v>6751</v>
      </c>
      <c r="C1066" s="17">
        <v>7.5</v>
      </c>
      <c r="D1066" s="69"/>
      <c r="E1066" s="31" t="s">
        <v>1018</v>
      </c>
      <c r="F1066" s="37"/>
      <c r="G1066" s="24"/>
      <c r="H1066" s="53"/>
    </row>
    <row r="1067" spans="1:8" ht="13.2">
      <c r="A1067" s="65" t="str">
        <f>HYPERLINK("https://www.hackerrank.com/contests/ioi-2014-practice-contest-2/challenges","IOIPractice 14-guardians-lunatics-ioi14")</f>
        <v>IOIPractice 14-guardians-lunatics-ioi14</v>
      </c>
      <c r="B1067" s="15" t="s">
        <v>7489</v>
      </c>
      <c r="C1067" s="17">
        <v>6.25</v>
      </c>
      <c r="D1067" s="65" t="str">
        <f>HYPERLINK("https://github.com/mostafa-saad/MyCompetitiveProgramming/blob/master/Olympiad/IOI/IOIPractice-14-guardians-lunatics-ioi14.txt","Sol - must read - can u do O(LG)?")</f>
        <v>Sol - must read - can u do O(LG)?</v>
      </c>
      <c r="E1067" s="31" t="s">
        <v>6419</v>
      </c>
      <c r="F1067" s="37" t="s">
        <v>139</v>
      </c>
      <c r="G1067" s="24"/>
      <c r="H1067" s="53"/>
    </row>
    <row r="1068" spans="1:8" ht="13.2">
      <c r="A1068" s="65" t="str">
        <f>HYPERLINK("https://www.hackerrank.com/contests/ioi-2014-practice-contest-2/challenges","IOIPractice 14-questions-i-ask-myself-ioi14")</f>
        <v>IOIPractice 14-questions-i-ask-myself-ioi14</v>
      </c>
      <c r="B1068" s="15" t="s">
        <v>6732</v>
      </c>
      <c r="C1068" s="17">
        <v>5.5</v>
      </c>
      <c r="D1068" s="65" t="str">
        <f>HYPERLINK("https://github.com/Yehezkiel01/CompetitiveProgramming/blob/master/IOIPractice/IOIPractice-14-questions-i-ask-myself-ioi14.cpp","Sol")</f>
        <v>Sol</v>
      </c>
      <c r="E1068" s="31" t="s">
        <v>805</v>
      </c>
      <c r="F1068" s="37" t="s">
        <v>201</v>
      </c>
      <c r="G1068" s="24"/>
      <c r="H1068" s="53"/>
    </row>
    <row r="1069" spans="1:8" ht="13.2">
      <c r="A1069" s="65" t="str">
        <f>HYPERLINK("https://www.hackerrank.com/contests/ioi-2014-practice-contest-1/challenges","IOIPractice 14-skwishinese-ioi14")</f>
        <v>IOIPractice 14-skwishinese-ioi14</v>
      </c>
      <c r="B1069" s="15" t="s">
        <v>6899</v>
      </c>
      <c r="C1069" s="24">
        <v>5.75</v>
      </c>
      <c r="D1069" s="65" t="str">
        <f>HYPERLINK("https://github.com/mostafa-saad/MyCompetitiveProgramming/blob/master/Olympiad/IOI/IOIPractice-14-skwishinese-ioi14.txt","Sol")</f>
        <v>Sol</v>
      </c>
      <c r="E1069" s="31" t="s">
        <v>1337</v>
      </c>
      <c r="F1069" s="37" t="s">
        <v>139</v>
      </c>
      <c r="G1069" s="24"/>
      <c r="H1069" s="53"/>
    </row>
    <row r="1070" spans="1:8" ht="14.25" customHeight="1">
      <c r="A1070" s="65" t="str">
        <f>HYPERLINK("https://wcipeg.com/problem/ioi1401","IOIPractice 14-square")</f>
        <v>IOIPractice 14-square</v>
      </c>
      <c r="B1070" s="15" t="s">
        <v>7527</v>
      </c>
      <c r="C1070" s="24"/>
      <c r="D1070" s="69"/>
      <c r="E1070" s="31" t="s">
        <v>7525</v>
      </c>
      <c r="F1070" s="37"/>
      <c r="G1070" s="24"/>
      <c r="H1070" s="53"/>
    </row>
    <row r="1071" spans="1:8" ht="13.2">
      <c r="A1071" s="65" t="str">
        <f>HYPERLINK("https://wcipeg.com/problem/ioi1402","IOIPractice 14-station")</f>
        <v>IOIPractice 14-station</v>
      </c>
      <c r="B1071" s="15" t="s">
        <v>7527</v>
      </c>
      <c r="C1071" s="24"/>
      <c r="D1071" s="69"/>
      <c r="E1071" s="31" t="s">
        <v>7525</v>
      </c>
      <c r="F1071" s="37"/>
      <c r="G1071" s="24"/>
      <c r="H1071" s="53"/>
    </row>
    <row r="1072" spans="1:8" ht="13.2">
      <c r="A1072" s="65" t="str">
        <f>HYPERLINK("https://wcipeg.com/problem/ioi1403","IOIPractice 14-tile")</f>
        <v>IOIPractice 14-tile</v>
      </c>
      <c r="B1072" s="15" t="s">
        <v>7527</v>
      </c>
      <c r="C1072" s="24"/>
      <c r="D1072" s="69"/>
      <c r="E1072" s="31" t="s">
        <v>7525</v>
      </c>
      <c r="F1072" s="37"/>
      <c r="G1072" s="24"/>
      <c r="H1072" s="53"/>
    </row>
    <row r="1073" spans="1:8" ht="13.2">
      <c r="A1073" s="65" t="str">
        <f>HYPERLINK("https://dunjudge.me/analysis/problems/592/","IOIPractice 14-totem")</f>
        <v>IOIPractice 14-totem</v>
      </c>
      <c r="B1073" s="20" t="s">
        <v>3466</v>
      </c>
      <c r="C1073" s="24"/>
      <c r="D1073" s="69"/>
      <c r="E1073" s="31" t="s">
        <v>3467</v>
      </c>
      <c r="F1073" s="37"/>
      <c r="G1073" s="24"/>
      <c r="H1073" s="53"/>
    </row>
    <row r="1074" spans="1:8" ht="13.2">
      <c r="A1074" s="65" t="str">
        <f>HYPERLINK("https://www.hackerrank.com/contests/ioi-2014-practice-contest-2/challenges/world-peace-ioi14","IOIPractice 14-world-peace-ioi14")</f>
        <v>IOIPractice 14-world-peace-ioi14</v>
      </c>
      <c r="B1074" s="15" t="s">
        <v>7243</v>
      </c>
      <c r="C1074" s="24">
        <v>5</v>
      </c>
      <c r="D1074" s="65" t="str">
        <f>HYPERLINK("https://github.com/updown2/OI-Practice/blob/master/IOI/IOI%202014/World%20Peace%20%5BPractice%5D.cpp","Sol")</f>
        <v>Sol</v>
      </c>
      <c r="E1074" s="31" t="s">
        <v>3883</v>
      </c>
      <c r="F1074" s="37" t="s">
        <v>139</v>
      </c>
      <c r="G1074" s="24"/>
      <c r="H1074" s="53"/>
    </row>
    <row r="1075" spans="1:8" ht="13.2">
      <c r="A1075" s="65" t="str">
        <f>HYPERLINK("https://csacademy.com/contest/ioi-2016-training-round-5/task/balanced-string/","IOIPractice 16-balanced-string")</f>
        <v>IOIPractice 16-balanced-string</v>
      </c>
      <c r="B1075" s="37" t="s">
        <v>6992</v>
      </c>
      <c r="C1075" s="24">
        <v>6.5</v>
      </c>
      <c r="D1075" s="65" t="str">
        <f>HYPERLINK("https://github.com/arvindr9/CompetitiveProgramming/blob/master/CSAcademy/IOI%20Training%20Rounds/IOIPractice%2016-balanced-string.cpp","Sol")</f>
        <v>Sol</v>
      </c>
      <c r="E1075" s="31" t="s">
        <v>2153</v>
      </c>
      <c r="F1075" s="37" t="s">
        <v>139</v>
      </c>
      <c r="G1075" s="24"/>
      <c r="H1075" s="53"/>
    </row>
    <row r="1076" spans="1:8" ht="13.2">
      <c r="A1076" s="65" t="str">
        <f>HYPERLINK("https://csacademy.com/contest/ioi-2016-training-round-2/task/cograph_clique/","IOIPractice 16-cograph_clique")</f>
        <v>IOIPractice 16-cograph_clique</v>
      </c>
      <c r="B1076" s="37" t="s">
        <v>7111</v>
      </c>
      <c r="C1076" s="24">
        <v>8</v>
      </c>
      <c r="D1076" s="69"/>
      <c r="E1076" s="31" t="s">
        <v>3257</v>
      </c>
      <c r="F1076" s="37"/>
      <c r="G1076" s="24"/>
      <c r="H1076" s="53"/>
    </row>
    <row r="1077" spans="1:8" ht="13.2">
      <c r="A1077" s="65" t="str">
        <f>HYPERLINK("https://csacademy.com/contest/ioi-2016-training-round-5/task/empty-triangles/","IOIPractice 16-empty-triangles")</f>
        <v>IOIPractice 16-empty-triangles</v>
      </c>
      <c r="B1077" s="37" t="s">
        <v>7096</v>
      </c>
      <c r="C1077" s="24">
        <v>7.25</v>
      </c>
      <c r="D1077" s="69"/>
      <c r="E1077" s="31" t="s">
        <v>3065</v>
      </c>
      <c r="F1077" s="37"/>
      <c r="G1077" s="24"/>
      <c r="H1077" s="53"/>
    </row>
    <row r="1078" spans="1:8" ht="13.2">
      <c r="A1078" s="65" t="str">
        <f>HYPERLINK("https://csacademy.com/contest/ioi-2016-training-round-1/task/farey_sequence","IOIPractice 16-farey_sequence")</f>
        <v>IOIPractice 16-farey_sequence</v>
      </c>
      <c r="B1078" s="37" t="s">
        <v>6724</v>
      </c>
      <c r="C1078" s="24">
        <v>6</v>
      </c>
      <c r="D1078" s="69"/>
      <c r="E1078" s="31" t="s">
        <v>805</v>
      </c>
      <c r="F1078" s="37" t="s">
        <v>201</v>
      </c>
      <c r="G1078" s="24"/>
      <c r="H1078" s="53"/>
    </row>
    <row r="1079" spans="1:8" ht="13.2">
      <c r="A1079" s="65" t="str">
        <f>HYPERLINK("https://csacademy.com/contest/ioi-2016-training-round-1/task/hallway","IOIPractice 16-hallway")</f>
        <v>IOIPractice 16-hallway</v>
      </c>
      <c r="B1079" s="37" t="s">
        <v>7219</v>
      </c>
      <c r="C1079" s="24">
        <v>5.75</v>
      </c>
      <c r="D1079" s="69"/>
      <c r="E1079" s="31" t="s">
        <v>3784</v>
      </c>
      <c r="F1079" s="37" t="s">
        <v>139</v>
      </c>
      <c r="G1079" s="24"/>
      <c r="H1079" s="53"/>
    </row>
    <row r="1080" spans="1:8" ht="13.2">
      <c r="A1080" s="65" t="str">
        <f>HYPERLINK("https://csacademy.com/contest/ioi-2016-training-round-2/task/increasing_subarrays/","IOIPractice 16-increasing_subarrays")</f>
        <v>IOIPractice 16-increasing_subarrays</v>
      </c>
      <c r="B1080" s="37" t="s">
        <v>7414</v>
      </c>
      <c r="C1080" s="24">
        <v>6.4</v>
      </c>
      <c r="D1080" s="65" t="str">
        <f>HYPERLINK("https://github.com/mostafa-saad/MyCompetitiveProgramming/blob/master/Olympiad/IOI/IOIPractice-16-increasing_subarrays.txt","Sol")</f>
        <v>Sol</v>
      </c>
      <c r="E1080" s="31" t="s">
        <v>6040</v>
      </c>
      <c r="F1080" s="37" t="s">
        <v>196</v>
      </c>
      <c r="G1080" s="24"/>
      <c r="H1080" s="53"/>
    </row>
    <row r="1081" spans="1:8" ht="13.2">
      <c r="A1081" s="65" t="str">
        <f>HYPERLINK("https://csacademy.com/contest/ioi-2016-training-round-4/task/k-consecutive/","IOIPractice 16-k-consecutive")</f>
        <v>IOIPractice 16-k-consecutive</v>
      </c>
      <c r="B1081" s="37" t="s">
        <v>6847</v>
      </c>
      <c r="C1081" s="24">
        <v>6.7</v>
      </c>
      <c r="D1081" s="65" t="str">
        <f>HYPERLINK("https://github.com/mostafa-saad/MyCompetitiveProgramming/blob/master/Olympiad/IOI/IOIPractice-16-k-consecutive.txt","Sol")</f>
        <v>Sol</v>
      </c>
      <c r="E1081" s="31" t="s">
        <v>1337</v>
      </c>
      <c r="F1081" s="37" t="s">
        <v>139</v>
      </c>
      <c r="G1081" s="24"/>
      <c r="H1081" s="53"/>
    </row>
    <row r="1082" spans="1:8" ht="13.2">
      <c r="A1082" s="65" t="str">
        <f>HYPERLINK("https://csacademy.com/contest/ioi-2016-training-round-5/task/lights-out/","IOIPractice 16-lights-out")</f>
        <v>IOIPractice 16-lights-out</v>
      </c>
      <c r="B1082" s="37" t="s">
        <v>1348</v>
      </c>
      <c r="C1082" s="24">
        <v>5.5</v>
      </c>
      <c r="D1082" s="69"/>
      <c r="E1082" s="31" t="s">
        <v>1337</v>
      </c>
      <c r="F1082" s="37"/>
      <c r="G1082" s="24"/>
      <c r="H1082" s="53"/>
    </row>
    <row r="1083" spans="1:8" ht="13.2">
      <c r="A1083" s="65" t="str">
        <f>HYPERLINK("https://csacademy.com/contest/ioi-2016-training-round-3/task/network-rumour/","IOIPractice 16-network-rumour")</f>
        <v>IOIPractice 16-network-rumour</v>
      </c>
      <c r="B1083" s="37" t="s">
        <v>7706</v>
      </c>
      <c r="C1083" s="24">
        <v>7</v>
      </c>
      <c r="D1083" s="69"/>
      <c r="E1083" s="31" t="s">
        <v>3140</v>
      </c>
      <c r="F1083" s="37"/>
      <c r="G1083" s="24"/>
      <c r="H1083" s="53"/>
    </row>
    <row r="1084" spans="1:8" ht="13.2">
      <c r="A1084" s="65" t="str">
        <f>HYPERLINK("https://csacademy.com/contest/ioi-2016-training-round-1/task/polygon_partition","IOIPractice 16-polygon_partition")</f>
        <v>IOIPractice 16-polygon_partition</v>
      </c>
      <c r="B1084" s="37" t="s">
        <v>6875</v>
      </c>
      <c r="C1084" s="24">
        <v>6.25</v>
      </c>
      <c r="D1084" s="65" t="str">
        <f>HYPERLINK("https://github.com/thecodingwizard/competitive-programming/blob/master/IOI/IOIPractice%2016-polygon.cpp","Sol")</f>
        <v>Sol</v>
      </c>
      <c r="E1084" s="31" t="s">
        <v>1337</v>
      </c>
      <c r="F1084" s="37" t="s">
        <v>139</v>
      </c>
      <c r="G1084" s="24"/>
      <c r="H1084" s="53"/>
    </row>
    <row r="1085" spans="1:8" ht="13.2">
      <c r="A1085" s="65" t="str">
        <f>HYPERLINK("https://csacademy.com/contest/ioi-2016-training-round-3/task/telegraph/","IOIPractice 16-telegraph")</f>
        <v>IOIPractice 16-telegraph</v>
      </c>
      <c r="B1085" s="37" t="s">
        <v>6583</v>
      </c>
      <c r="C1085" s="24">
        <v>7</v>
      </c>
      <c r="D1085" s="69"/>
      <c r="E1085" s="31" t="s">
        <v>125</v>
      </c>
      <c r="F1085" s="37"/>
      <c r="G1085" s="24"/>
      <c r="H1085" s="53"/>
    </row>
    <row r="1086" spans="1:8" ht="13.2">
      <c r="A1086" s="65" t="str">
        <f>HYPERLINK("https://csacademy.com/contest/ioi-2016-training-round-3/task/tree-nodes-destruction/","IOIPractice 16-tree-nodes-destruction")</f>
        <v>IOIPractice 16-tree-nodes-destruction</v>
      </c>
      <c r="B1086" s="37" t="s">
        <v>7707</v>
      </c>
      <c r="C1086" s="24">
        <v>7</v>
      </c>
      <c r="D1086" s="69"/>
      <c r="E1086" s="31" t="s">
        <v>4454</v>
      </c>
      <c r="F1086" s="37"/>
      <c r="G1086" s="24"/>
      <c r="H1086" s="53"/>
    </row>
    <row r="1087" spans="1:8" ht="13.2">
      <c r="A1087" s="65" t="str">
        <f>HYPERLINK("https://csacademy.com/contest/ioi-2016-training-round-5/task/tree-square/","IOIPractice 16-tree-square")</f>
        <v>IOIPractice 16-tree-square</v>
      </c>
      <c r="B1087" s="37" t="s">
        <v>3256</v>
      </c>
      <c r="C1087" s="24">
        <v>9</v>
      </c>
      <c r="D1087" s="69"/>
      <c r="E1087" s="31" t="s">
        <v>3257</v>
      </c>
      <c r="F1087" s="37"/>
      <c r="G1087" s="24"/>
      <c r="H1087" s="53"/>
    </row>
    <row r="1088" spans="1:8" ht="13.2">
      <c r="A1088" s="65" t="str">
        <f>HYPERLINK("https://dunjudge.me/analysis/problems/1663/","IOIPractice 17-coins")</f>
        <v>IOIPractice 17-coins</v>
      </c>
      <c r="B1088" s="18" t="s">
        <v>7317</v>
      </c>
      <c r="C1088" s="17">
        <v>6.1</v>
      </c>
      <c r="D1088" s="65" t="str">
        <f>HYPERLINK("https://github.com/mostafa-saad/MyCompetitiveProgramming/blob/master/Olympiad/IOI/IOIPractice-17-coins.txt","Sol")</f>
        <v>Sol</v>
      </c>
      <c r="E1088" s="31" t="s">
        <v>4531</v>
      </c>
      <c r="F1088" s="37" t="s">
        <v>154</v>
      </c>
      <c r="G1088" s="24"/>
      <c r="H1088" s="53"/>
    </row>
    <row r="1089" spans="1:8" ht="13.2">
      <c r="A1089" s="65" t="str">
        <f>HYPERLINK("https://dunjudge.me/analysis/problems/1659/","IOIPractice 17-cup")</f>
        <v>IOIPractice 17-cup</v>
      </c>
      <c r="B1089" s="15" t="s">
        <v>7527</v>
      </c>
      <c r="C1089" s="24">
        <v>7</v>
      </c>
      <c r="D1089" s="69"/>
      <c r="E1089" s="31" t="s">
        <v>7525</v>
      </c>
      <c r="F1089" s="37"/>
      <c r="G1089" s="24"/>
      <c r="H1089" s="53"/>
    </row>
    <row r="1090" spans="1:8" ht="13.2">
      <c r="A1090" s="65" t="str">
        <f>HYPERLINK("https://dunjudge.me/analysis/problems/1660/","IOIPractice 17-mountains")</f>
        <v>IOIPractice 17-mountains</v>
      </c>
      <c r="B1090" s="15" t="s">
        <v>7527</v>
      </c>
      <c r="C1090" s="24">
        <v>7.25</v>
      </c>
      <c r="D1090" s="69"/>
      <c r="E1090" s="31" t="s">
        <v>7525</v>
      </c>
      <c r="F1090" s="37"/>
      <c r="G1090" s="24"/>
      <c r="H1090" s="53"/>
    </row>
    <row r="1091" spans="1:8" ht="13.2">
      <c r="A1091" s="65" t="str">
        <f>HYPERLINK("http://ioi2017.org/contest/practice/","IOIPractice 17-notice")</f>
        <v>IOIPractice 17-notice</v>
      </c>
      <c r="B1091" s="15" t="s">
        <v>7541</v>
      </c>
      <c r="C1091" s="24"/>
      <c r="D1091" s="69"/>
      <c r="E1091" s="31" t="s">
        <v>7525</v>
      </c>
      <c r="F1091" s="37"/>
      <c r="G1091" s="24"/>
      <c r="H1091" s="53"/>
    </row>
    <row r="1092" spans="1:8" ht="13.2">
      <c r="A1092" s="65" t="str">
        <f>HYPERLINK("https://dunjudge.me/analysis/problems/1661/","IOIPractice 17-sudoku_ioi")</f>
        <v>IOIPractice 17-sudoku_ioi</v>
      </c>
      <c r="B1092" s="15" t="s">
        <v>7527</v>
      </c>
      <c r="C1092" s="24">
        <v>7.5</v>
      </c>
      <c r="D1092" s="69"/>
      <c r="E1092" s="31" t="s">
        <v>7525</v>
      </c>
      <c r="F1092" s="37"/>
      <c r="G1092" s="24"/>
      <c r="H1092" s="53"/>
    </row>
    <row r="1093" spans="1:8" ht="13.2">
      <c r="A1093" s="65" t="str">
        <f>HYPERLINK("https://oj.uz/problem/view/IOI19_cycle","IOIPractice 19-cycle")</f>
        <v>IOIPractice 19-cycle</v>
      </c>
      <c r="B1093" s="23" t="s">
        <v>808</v>
      </c>
      <c r="C1093" s="24">
        <v>4</v>
      </c>
      <c r="D1093" s="65" t="str">
        <f>HYPERLINK("https://github.com/nikolapesic2802/Programming-Practice/blob/master/Cycle/main.cpp","Sol")</f>
        <v>Sol</v>
      </c>
      <c r="E1093" s="31" t="s">
        <v>805</v>
      </c>
      <c r="F1093" s="37" t="s">
        <v>139</v>
      </c>
      <c r="G1093" s="24"/>
      <c r="H1093" s="53"/>
    </row>
    <row r="1094" spans="1:8" ht="13.2">
      <c r="A1094" s="65" t="str">
        <f>HYPERLINK("https://oj.uz/problem/view/IOI19_job","IOIPractice 19-Job")</f>
        <v>IOIPractice 19-Job</v>
      </c>
      <c r="B1094" s="20" t="s">
        <v>6982</v>
      </c>
      <c r="C1094" s="17">
        <v>7.1</v>
      </c>
      <c r="D1094" s="65" t="str">
        <f>HYPERLINK("https://github.com/mostafa-saad/MyCompetitiveProgramming/blob/master/Olympiad/IOI/IOIPractice-19-Job.txt","Sol")</f>
        <v>Sol</v>
      </c>
      <c r="E1094" s="31" t="s">
        <v>2153</v>
      </c>
      <c r="F1094" s="37" t="s">
        <v>139</v>
      </c>
      <c r="G1094" s="24"/>
      <c r="H1094" s="53"/>
    </row>
    <row r="1095" spans="1:8" ht="13.2">
      <c r="A1095" s="65" t="str">
        <f>HYPERLINK("https://oj.uz/problem/view/IOI19_packing","IOIPractice 19-packing")</f>
        <v>IOIPractice 19-packing</v>
      </c>
      <c r="B1095" s="20" t="s">
        <v>7012</v>
      </c>
      <c r="C1095" s="17">
        <v>6</v>
      </c>
      <c r="D1095" s="65" t="str">
        <f>HYPERLINK("https://github.com/tmwilliamlin168/CompetitiveProgramming/blob/master/IOI/19P-Packing.cpp","Sol")</f>
        <v>Sol</v>
      </c>
      <c r="E1095" s="31" t="s">
        <v>2153</v>
      </c>
      <c r="F1095" s="37" t="s">
        <v>201</v>
      </c>
      <c r="G1095" s="24"/>
      <c r="H1095" s="53"/>
    </row>
    <row r="1096" spans="1:8" ht="13.2">
      <c r="A1096" s="65" t="str">
        <f>HYPERLINK("https://oj.uz/problem/view/IOI19_transfer","IOIPractice 19-Transfer")</f>
        <v>IOIPractice 19-Transfer</v>
      </c>
      <c r="B1096" s="20" t="s">
        <v>6622</v>
      </c>
      <c r="C1096" s="17">
        <v>5.5</v>
      </c>
      <c r="D1096" s="65" t="str">
        <f>HYPERLINK("https://github.com/tmwilliamlin168/CompetitiveProgramming/blob/master/IOI/19P-Transfer.cpp", "Sol")</f>
        <v>Sol</v>
      </c>
      <c r="E1096" s="31" t="s">
        <v>125</v>
      </c>
      <c r="F1096" s="37"/>
      <c r="G1096" s="24"/>
      <c r="H1096" s="53"/>
    </row>
    <row r="1097" spans="1:8" ht="13.2">
      <c r="A1097" s="65" t="str">
        <f>HYPERLINK("https://codeforces.com/group/swEqtABRxe/contest/227531/problem/C", "IOIQ 18-onsite-C")</f>
        <v>IOIQ 18-onsite-C</v>
      </c>
      <c r="B1097" s="20" t="s">
        <v>7416</v>
      </c>
      <c r="C1097" s="17">
        <v>5.5</v>
      </c>
      <c r="D1097" s="65" t="str">
        <f>HYPERLINK("https://ideone.com/iyHw7X", "Sol")</f>
        <v>Sol</v>
      </c>
      <c r="E1097" s="31" t="s">
        <v>6040</v>
      </c>
      <c r="F1097" s="37" t="s">
        <v>139</v>
      </c>
      <c r="G1097" s="24"/>
      <c r="H1097" s="53"/>
    </row>
    <row r="1098" spans="1:8" ht="13.2">
      <c r="A1098" s="65" t="str">
        <f>HYPERLINK("https://codeforces.com/group/swEqtABRxe/contest/227527/problem/A", "IOIQ 18-r1-A")</f>
        <v>IOIQ 18-r1-A</v>
      </c>
      <c r="B1098" s="20" t="s">
        <v>6712</v>
      </c>
      <c r="C1098" s="17">
        <v>5</v>
      </c>
      <c r="D1098" s="65" t="str">
        <f>HYPERLINK("https://ideone.com/gbGHt9", "Sol")</f>
        <v>Sol</v>
      </c>
      <c r="E1098" s="31" t="s">
        <v>655</v>
      </c>
      <c r="F1098" s="37"/>
      <c r="G1098" s="24"/>
      <c r="H1098" s="53"/>
    </row>
    <row r="1099" spans="1:8" ht="13.2">
      <c r="A1099" s="65" t="str">
        <f>HYPERLINK("https://codeforces.com/group/swEqtABRxe/contest/227527/problem/B", "IOIQ 18-r1-B")</f>
        <v>IOIQ 18-r1-B</v>
      </c>
      <c r="B1099" s="37" t="s">
        <v>5961</v>
      </c>
      <c r="C1099" s="17">
        <v>4</v>
      </c>
      <c r="D1099" s="69"/>
      <c r="E1099" s="31" t="s">
        <v>5958</v>
      </c>
      <c r="F1099" s="37"/>
      <c r="G1099" s="24"/>
      <c r="H1099" s="53"/>
    </row>
    <row r="1100" spans="1:8" ht="13.2">
      <c r="A1100" s="65" t="str">
        <f>HYPERLINK("https://codeforces.com/group/swEqtABRxe/contest/227530/problem/B", "IOIQ 18-r2-B")</f>
        <v>IOIQ 18-r2-B</v>
      </c>
      <c r="B1100" s="20" t="s">
        <v>6971</v>
      </c>
      <c r="C1100" s="21">
        <v>5.75</v>
      </c>
      <c r="D1100" s="65" t="str">
        <f>HYPERLINK("https://github.com/ahmedibrahim404/CompetitiveProgramming/blob/master/EOI/IOI_Quals'18/18-R2-B/src/main.cpp","Sol")</f>
        <v>Sol</v>
      </c>
      <c r="E1100" s="31" t="s">
        <v>1909</v>
      </c>
      <c r="F1100" s="37"/>
      <c r="G1100" s="24"/>
      <c r="H1100" s="53"/>
    </row>
    <row r="1101" spans="1:8" ht="13.2">
      <c r="A1101" s="65" t="str">
        <f>HYPERLINK("https://codeforces.com/group/swEqtABRxe/contest/243437/problem/A", "IOIQ 19-d1-A")</f>
        <v>IOIQ 19-d1-A</v>
      </c>
      <c r="B1101" s="20" t="s">
        <v>6739</v>
      </c>
      <c r="C1101" s="17">
        <v>5</v>
      </c>
      <c r="D1101" s="69"/>
      <c r="E1101" s="31" t="s">
        <v>805</v>
      </c>
      <c r="F1101" s="37"/>
      <c r="G1101" s="24"/>
      <c r="H1101" s="53"/>
    </row>
    <row r="1102" spans="1:8" ht="13.2">
      <c r="A1102" s="65" t="str">
        <f>HYPERLINK("https://codeforces.com/group/swEqtABRxe/contest/243438/problem/A", "IOIQ 19-d2-A")</f>
        <v>IOIQ 19-d2-A</v>
      </c>
      <c r="B1102" s="20" t="s">
        <v>814</v>
      </c>
      <c r="C1102" s="17">
        <v>5</v>
      </c>
      <c r="D1102" s="65" t="str">
        <f>HYPERLINK("https://github.com/ahmedibrahim404/CompetitiveProgramming/blob/master/EOI/IOI_Quals'19/D2_A/main.cpp","Sol")</f>
        <v>Sol</v>
      </c>
      <c r="E1102" s="31" t="s">
        <v>805</v>
      </c>
      <c r="F1102" s="37"/>
      <c r="G1102" s="24"/>
      <c r="H1102" s="53"/>
    </row>
    <row r="1103" spans="1:8" ht="13.2">
      <c r="A1103" s="65" t="str">
        <f>HYPERLINK("https://codeforces.com/group/swEqtABRxe/contest/243438/problem/C", "IOIQ 19-d2-C")</f>
        <v>IOIQ 19-d2-C</v>
      </c>
      <c r="B1103" s="20" t="s">
        <v>6920</v>
      </c>
      <c r="C1103" s="17">
        <v>5.25</v>
      </c>
      <c r="D1103" s="69"/>
      <c r="E1103" s="31" t="s">
        <v>1337</v>
      </c>
      <c r="F1103" s="37"/>
      <c r="G1103" s="24"/>
      <c r="H1103" s="53"/>
    </row>
    <row r="1104" spans="1:8" ht="13.2">
      <c r="A1104" s="65" t="str">
        <f>HYPERLINK("https://codeforces.com/group/swEqtABRxe/contest/243438/problem/D", "IOIQ 19-d2-D")</f>
        <v>IOIQ 19-d2-D</v>
      </c>
      <c r="B1104" s="20" t="s">
        <v>285</v>
      </c>
      <c r="C1104" s="17">
        <v>6.5</v>
      </c>
      <c r="D1104" s="69"/>
      <c r="E1104" s="31" t="s">
        <v>125</v>
      </c>
      <c r="F1104" s="37"/>
      <c r="G1104" s="24"/>
      <c r="H1104" s="53"/>
    </row>
    <row r="1105" spans="1:8" ht="13.2">
      <c r="A1105" s="65" t="str">
        <f>HYPERLINK("https://codeforces.com/group/swEqtABRxe/contest/243431/problem/A", "IOIQ 19-r1-A")</f>
        <v>IOIQ 19-r1-A</v>
      </c>
      <c r="B1105" s="20" t="s">
        <v>5961</v>
      </c>
      <c r="C1105" s="17">
        <v>3</v>
      </c>
      <c r="D1105" s="69"/>
      <c r="E1105" s="31" t="s">
        <v>5958</v>
      </c>
      <c r="F1105" s="37"/>
      <c r="G1105" s="24"/>
      <c r="H1105" s="53"/>
    </row>
    <row r="1106" spans="1:8" ht="13.2">
      <c r="A1106" s="65" t="str">
        <f>HYPERLINK("https://codeforces.com/group/swEqtABRxe/contest/243431/problem/B", "IOIQ 19-r1-C")</f>
        <v>IOIQ 19-r1-C</v>
      </c>
      <c r="B1106" s="20" t="s">
        <v>1604</v>
      </c>
      <c r="C1106" s="17">
        <v>4</v>
      </c>
      <c r="D1106" s="69"/>
      <c r="E1106" s="31" t="s">
        <v>1337</v>
      </c>
      <c r="F1106" s="37"/>
      <c r="G1106" s="24"/>
      <c r="H1106" s="53"/>
    </row>
    <row r="1107" spans="1:8" ht="13.2">
      <c r="A1107" s="65" t="str">
        <f>HYPERLINK("https://codeforces.com/group/swEqtABRxe/contest/243435/problem/A", "IOIQ 19-r2-A")</f>
        <v>IOIQ 19-r2-A</v>
      </c>
      <c r="B1107" s="20" t="s">
        <v>6797</v>
      </c>
      <c r="C1107" s="17">
        <v>5</v>
      </c>
      <c r="D1107" s="69"/>
      <c r="E1107" s="31" t="s">
        <v>1018</v>
      </c>
      <c r="F1107" s="37"/>
      <c r="G1107" s="24"/>
      <c r="H1107" s="53"/>
    </row>
    <row r="1108" spans="1:8" ht="13.2">
      <c r="A1108" s="65" t="str">
        <f>HYPERLINK("https://codeforces.com/group/swEqtABRxe/contest/243435/problem/B", "IOIQ 19-r2-B")</f>
        <v>IOIQ 19-r2-B</v>
      </c>
      <c r="B1108" s="20" t="s">
        <v>5961</v>
      </c>
      <c r="C1108" s="17">
        <v>3</v>
      </c>
      <c r="D1108" s="69"/>
      <c r="E1108" s="31" t="s">
        <v>5958</v>
      </c>
      <c r="F1108" s="37"/>
      <c r="G1108" s="24"/>
      <c r="H1108" s="53"/>
    </row>
    <row r="1109" spans="1:8" ht="13.2">
      <c r="A1109" s="65" t="str">
        <f>HYPERLINK("https://codeforces.com/group/swEqtABRxe/contest/243435/problem/C", "IOIQ 19-r2-C")</f>
        <v>IOIQ 19-r2-C</v>
      </c>
      <c r="B1109" s="20" t="s">
        <v>5961</v>
      </c>
      <c r="C1109" s="17">
        <v>4</v>
      </c>
      <c r="D1109" s="69"/>
      <c r="E1109" s="31" t="s">
        <v>5958</v>
      </c>
      <c r="F1109" s="37"/>
      <c r="G1109" s="24"/>
      <c r="H1109" s="53"/>
    </row>
    <row r="1110" spans="1:8" ht="13.2">
      <c r="A1110" s="65" t="str">
        <f>HYPERLINK("https://ipsc.ksp.sk/2018/real/problems/h.html","IPSC 18-H1")</f>
        <v>IPSC 18-H1</v>
      </c>
      <c r="B1110" s="20" t="s">
        <v>6575</v>
      </c>
      <c r="C1110" s="21">
        <v>4</v>
      </c>
      <c r="D1110" s="69"/>
      <c r="E1110" s="31" t="s">
        <v>125</v>
      </c>
      <c r="F1110" s="37" t="s">
        <v>201</v>
      </c>
      <c r="G1110" s="24"/>
      <c r="H1110" s="53"/>
    </row>
    <row r="1111" spans="1:8" ht="13.2">
      <c r="A1111" s="65" t="str">
        <f>HYPERLINK("https://ipsc.ksp.sk/2018/real/problems/j.html","IPSC 18-J1")</f>
        <v>IPSC 18-J1</v>
      </c>
      <c r="B1111" s="20" t="s">
        <v>138</v>
      </c>
      <c r="C1111" s="21">
        <v>4</v>
      </c>
      <c r="D1111" s="69"/>
      <c r="E1111" s="31" t="s">
        <v>125</v>
      </c>
      <c r="F1111" s="37" t="s">
        <v>201</v>
      </c>
      <c r="G1111" s="24"/>
      <c r="H1111" s="53"/>
    </row>
    <row r="1112" spans="1:8" ht="13.2">
      <c r="A1112" s="65" t="str">
        <f>HYPERLINK("https://oj.uz/problem/view/IZhO11_triangle","IZhO 11-triangle")</f>
        <v>IZhO 11-triangle</v>
      </c>
      <c r="B1112" s="37" t="s">
        <v>6646</v>
      </c>
      <c r="C1112" s="24">
        <v>1</v>
      </c>
      <c r="D1112" s="69"/>
      <c r="E1112" s="31" t="s">
        <v>125</v>
      </c>
      <c r="F1112" s="37"/>
      <c r="G1112" s="24"/>
      <c r="H1112" s="53"/>
    </row>
    <row r="1113" spans="1:8" ht="13.2">
      <c r="A1113" s="65" t="str">
        <f>HYPERLINK("https://oj.uz/problem/view/IZhO12_apple","IZhO 12-apple")</f>
        <v>IZhO 12-apple</v>
      </c>
      <c r="B1113" s="37" t="s">
        <v>6761</v>
      </c>
      <c r="C1113" s="24">
        <v>7</v>
      </c>
      <c r="D1113" s="69"/>
      <c r="E1113" s="31" t="s">
        <v>1018</v>
      </c>
      <c r="F1113" s="37"/>
      <c r="G1113" s="24"/>
      <c r="H1113" s="53"/>
    </row>
    <row r="1114" spans="1:8" ht="13.2">
      <c r="A1114" s="65" t="str">
        <f>HYPERLINK("https://oj.uz/problem/view/IZhO12_beauty","IZhO 12-beauty")</f>
        <v>IZhO 12-beauty</v>
      </c>
      <c r="B1114" s="20" t="s">
        <v>1818</v>
      </c>
      <c r="C1114" s="24">
        <v>5</v>
      </c>
      <c r="D1114" s="65" t="str">
        <f>HYPERLINK("https://github.com/ShabdanBatyrkulov/codee/blob/master/IZhO%2012-beauty.cpp", "Sol")</f>
        <v>Sol</v>
      </c>
      <c r="E1114" s="31" t="s">
        <v>1819</v>
      </c>
      <c r="F1114" s="37" t="s">
        <v>139</v>
      </c>
      <c r="G1114" s="24"/>
      <c r="H1114" s="53"/>
    </row>
    <row r="1115" spans="1:8" ht="13.2">
      <c r="A1115" s="65" t="str">
        <f>HYPERLINK("https://oj.uz/problem/view/IZhO12_biochips","IZhO 12-biochips")</f>
        <v>IZhO 12-biochips</v>
      </c>
      <c r="B1115" s="20" t="s">
        <v>7507</v>
      </c>
      <c r="C1115" s="24">
        <v>6.25</v>
      </c>
      <c r="D1115" s="65" t="str">
        <f>HYPERLINK("https://github.com/mostafa-saad/MyCompetitiveProgramming/blob/master/Olympiad/IZhO/IZhO-12-biochips.txt","Sol")</f>
        <v>Sol</v>
      </c>
      <c r="E1115" s="31" t="s">
        <v>6459</v>
      </c>
      <c r="F1115" s="37" t="s">
        <v>139</v>
      </c>
      <c r="G1115" s="24"/>
      <c r="H1115" s="53"/>
    </row>
    <row r="1116" spans="1:8" ht="13.2">
      <c r="A1116" s="65" t="str">
        <f>HYPERLINK("https://oj.uz/problem/view/IZhO12_xor","IZhO 12-xor")</f>
        <v>IZhO 12-xor</v>
      </c>
      <c r="B1116" s="20" t="s">
        <v>7369</v>
      </c>
      <c r="C1116" s="24">
        <v>7</v>
      </c>
      <c r="D1116" s="69"/>
      <c r="E1116" s="31" t="s">
        <v>5643</v>
      </c>
      <c r="F1116" s="37"/>
      <c r="G1116" s="24"/>
      <c r="H1116" s="53"/>
    </row>
    <row r="1117" spans="1:8" ht="13.2">
      <c r="A1117" s="65" t="str">
        <f>HYPERLINK("http://www.spoj.com/problems/MINSUB/","IZhO 13-burrow")</f>
        <v>IZhO 13-burrow</v>
      </c>
      <c r="B1117" s="20" t="s">
        <v>6726</v>
      </c>
      <c r="C1117" s="17">
        <v>6</v>
      </c>
      <c r="D1117" s="65" t="str">
        <f>HYPERLINK("https://github.com/tmwilliamlin168/CompetitiveProgramming/blob/master/IZHO/13-Burrow.cpp", "Sol")</f>
        <v>Sol</v>
      </c>
      <c r="E1117" s="31" t="s">
        <v>805</v>
      </c>
      <c r="F1117" s="37"/>
      <c r="G1117" s="24"/>
      <c r="H1117" s="53"/>
    </row>
    <row r="1118" spans="1:8" ht="13.2">
      <c r="A1118" s="65" t="str">
        <f>HYPERLINK("https://oj.uz/problem/view/IZhO13_school","IZhO 13-school")</f>
        <v>IZhO 13-school</v>
      </c>
      <c r="B1118" s="23" t="s">
        <v>7006</v>
      </c>
      <c r="C1118" s="24">
        <v>6.1</v>
      </c>
      <c r="D1118" s="65" t="str">
        <f>HYPERLINK("https://github.com/mostafa-saad/MyCompetitiveProgramming/blob/master/Olympiad/IZhO/IZhO-13-school.txt","Sol")</f>
        <v>Sol</v>
      </c>
      <c r="E1118" s="31" t="s">
        <v>2153</v>
      </c>
      <c r="F1118" s="37" t="s">
        <v>154</v>
      </c>
      <c r="G1118" s="24"/>
      <c r="H1118" s="53"/>
    </row>
    <row r="1119" spans="1:8" ht="13.2">
      <c r="A1119" s="65" t="str">
        <f>HYPERLINK("https://www.e-olymp.com/en/problems/7482","IZhO 13-Trading")</f>
        <v>IZhO 13-Trading</v>
      </c>
      <c r="B1119" s="20" t="s">
        <v>6800</v>
      </c>
      <c r="C1119" s="24">
        <v>4.5</v>
      </c>
      <c r="D1119" s="65" t="str">
        <f>HYPERLINK("https://github.com/tmwilliamlin168/CompetitiveProgramming/blob/master/IZHO/13-Trading.cpp","Sol")</f>
        <v>Sol</v>
      </c>
      <c r="E1119" s="31" t="s">
        <v>1018</v>
      </c>
      <c r="F1119" s="37"/>
      <c r="G1119" s="24"/>
      <c r="H1119" s="53"/>
    </row>
    <row r="1120" spans="1:8" ht="13.2">
      <c r="A1120" s="65" t="str">
        <f>HYPERLINK("https://oj.uz/problem/view/IZhO14_bank","IZhO 14-bank")</f>
        <v>IZhO 14-bank</v>
      </c>
      <c r="B1120" s="20" t="s">
        <v>6960</v>
      </c>
      <c r="C1120" s="24">
        <v>6</v>
      </c>
      <c r="D1120" s="69"/>
      <c r="E1120" s="31" t="s">
        <v>1819</v>
      </c>
      <c r="F1120" s="37"/>
      <c r="G1120" s="24"/>
      <c r="H1120" s="53"/>
    </row>
    <row r="1121" spans="1:8" ht="13.2">
      <c r="A1121" s="65" t="str">
        <f>HYPERLINK("https://oj.uz/problem/view/IZhO14_blocks","IZhO 14-blocks")</f>
        <v>IZhO 14-blocks</v>
      </c>
      <c r="B1121" s="37" t="s">
        <v>6866</v>
      </c>
      <c r="C1121" s="24">
        <v>6.25</v>
      </c>
      <c r="D1121" s="65" t="str">
        <f>HYPERLINK("https://github.com/mostafa-saad/MyCompetitiveProgramming/blob/master/Olympiad/IZhO/IZhO-14-blocks.txt","Sol")</f>
        <v>Sol</v>
      </c>
      <c r="E1121" s="31" t="s">
        <v>1337</v>
      </c>
      <c r="F1121" s="37" t="s">
        <v>154</v>
      </c>
      <c r="G1121" s="24"/>
      <c r="H1121" s="53"/>
    </row>
    <row r="1122" spans="1:8" ht="13.2">
      <c r="A1122" s="65" t="str">
        <f>HYPERLINK("https://oj.uz/problem/view/IZhO14_divide","IZhO 14-divide")</f>
        <v>IZhO 14-divide</v>
      </c>
      <c r="B1122" s="20" t="s">
        <v>6792</v>
      </c>
      <c r="C1122" s="24">
        <v>5.5</v>
      </c>
      <c r="D1122" s="65" t="str">
        <f>HYPERLINK("https://github.com/Coder-Boy1/Others/blob/master/IZHO%2014-divide","Sol")</f>
        <v>Sol</v>
      </c>
      <c r="E1122" s="31" t="s">
        <v>1018</v>
      </c>
      <c r="F1122" s="37" t="s">
        <v>139</v>
      </c>
      <c r="G1122" s="24"/>
      <c r="H1122" s="53"/>
    </row>
    <row r="1123" spans="1:8" ht="13.2">
      <c r="A1123" s="65" t="str">
        <f>HYPERLINK("https://oj.uz/problem/view/IZhO14_marriage","IZhO 14-marriage")</f>
        <v>IZhO 14-marriage</v>
      </c>
      <c r="B1123" s="37" t="s">
        <v>7256</v>
      </c>
      <c r="C1123" s="24">
        <v>6.75</v>
      </c>
      <c r="D1123" s="65" t="str">
        <f>HYPERLINK("https://github.com/LeTrongDat/CompetitiveProgramming/blob/master/IZhO/IZhO14-marriage.cpp","Sol")</f>
        <v>Sol</v>
      </c>
      <c r="E1123" s="31" t="s">
        <v>4144</v>
      </c>
      <c r="F1123" s="37" t="s">
        <v>242</v>
      </c>
      <c r="G1123" s="24"/>
      <c r="H1123" s="53"/>
    </row>
    <row r="1124" spans="1:8" ht="13.2">
      <c r="A1124" s="65" t="str">
        <f>HYPERLINK("https://oj.uz/problem/view/IZhO14_shymbulak","IZhO 14-shymbulak")</f>
        <v>IZhO 14-shymbulak</v>
      </c>
      <c r="B1124" s="20" t="s">
        <v>7148</v>
      </c>
      <c r="C1124" s="24">
        <v>6.1</v>
      </c>
      <c r="D1124" s="65" t="str">
        <f>HYPERLINK("https://github.com/tmwilliamlin168/CompetitiveProgramming/blob/master/IZhO/14-Shymbulak.cpp", "Sol")</f>
        <v>Sol</v>
      </c>
      <c r="E1124" s="31" t="s">
        <v>3257</v>
      </c>
      <c r="F1124" s="37"/>
      <c r="G1124" s="24"/>
      <c r="H1124" s="53"/>
    </row>
    <row r="1125" spans="1:8" ht="13.2">
      <c r="A1125" s="65" t="str">
        <f>HYPERLINK("https://oj.uz/problem/view/IZhO14_ufo","IZhO 14-ufo")</f>
        <v>IZhO 14-ufo</v>
      </c>
      <c r="B1125" s="37" t="s">
        <v>7527</v>
      </c>
      <c r="C1125" s="24"/>
      <c r="D1125" s="69"/>
      <c r="E1125" s="31" t="s">
        <v>7525</v>
      </c>
      <c r="F1125" s="37"/>
      <c r="G1125" s="24"/>
      <c r="H1125" s="53"/>
    </row>
    <row r="1126" spans="1:8" ht="13.2">
      <c r="A1126" s="65" t="str">
        <f>HYPERLINK("https://oj.uz/problem/view/IZhO17_bomb","IZhO 17-bomb")</f>
        <v>IZhO 17-bomb</v>
      </c>
      <c r="B1126" s="20" t="s">
        <v>4530</v>
      </c>
      <c r="C1126" s="24">
        <v>7.5</v>
      </c>
      <c r="D1126" s="65" t="str">
        <f>HYPERLINK("https://github.com/ihdignite/CompetitiveProgramming/blob/master/IZHO/17-Bomb.cpp", "Sol")</f>
        <v>Sol</v>
      </c>
      <c r="E1126" s="31" t="s">
        <v>4531</v>
      </c>
      <c r="F1126" s="37" t="s">
        <v>139</v>
      </c>
      <c r="G1126" s="24"/>
      <c r="H1126" s="53"/>
    </row>
    <row r="1127" spans="1:8" ht="13.2">
      <c r="A1127" s="65" t="str">
        <f>HYPERLINK("https://oj.uz/problem/view/IZhO17_bootfall","IZhO 17-bootfall")</f>
        <v>IZhO 17-bootfall</v>
      </c>
      <c r="B1127" s="20" t="s">
        <v>1481</v>
      </c>
      <c r="C1127" s="24">
        <v>6</v>
      </c>
      <c r="D1127" s="65" t="str">
        <f>HYPERLINK("https://github.com/stefdasca/CompetitiveProgramming/blob/master/IZhO/IZhO%2017-bootfall.cpp","Sol")</f>
        <v>Sol</v>
      </c>
      <c r="E1127" s="31" t="s">
        <v>1337</v>
      </c>
      <c r="F1127" s="37"/>
      <c r="G1127" s="24"/>
      <c r="H1127" s="53"/>
    </row>
    <row r="1128" spans="1:8" ht="13.2">
      <c r="A1128" s="65" t="str">
        <f>HYPERLINK("https://oj.uz/problem/view/IZhO17_game","IZhO 17-GAME")</f>
        <v>IZhO 17-GAME</v>
      </c>
      <c r="B1128" s="20" t="s">
        <v>1222</v>
      </c>
      <c r="C1128" s="24">
        <v>5</v>
      </c>
      <c r="D1128" s="69"/>
      <c r="E1128" s="31" t="s">
        <v>1223</v>
      </c>
      <c r="F1128" s="37"/>
      <c r="G1128" s="24"/>
      <c r="H1128" s="53"/>
    </row>
    <row r="1129" spans="1:8" ht="13.2">
      <c r="A1129" s="65" t="str">
        <f>HYPERLINK("https://oj.uz/problem/view/IZhO17_money","IZhO 17-money")</f>
        <v>IZhO 17-money</v>
      </c>
      <c r="B1129" s="23" t="s">
        <v>2163</v>
      </c>
      <c r="C1129" s="24">
        <v>5.5</v>
      </c>
      <c r="D1129" s="65" t="str">
        <f>HYPERLINK("https://github.com/stefdasca/CompetitiveProgramming/blob/master/IZhO/IZhO%2017-money.cpp","Sol")</f>
        <v>Sol</v>
      </c>
      <c r="E1129" s="31" t="s">
        <v>2153</v>
      </c>
      <c r="F1129" s="37"/>
      <c r="G1129" s="24"/>
      <c r="H1129" s="53"/>
    </row>
    <row r="1130" spans="1:8" ht="13.2">
      <c r="A1130" s="65" t="str">
        <f>HYPERLINK("https://oj.uz/problem/view/IZhO17_road","IZhO 17-road")</f>
        <v>IZhO 17-road</v>
      </c>
      <c r="B1130" s="23" t="s">
        <v>6458</v>
      </c>
      <c r="C1130" s="24">
        <v>7.5</v>
      </c>
      <c r="D1130" s="65" t="str">
        <f>HYPERLINK("https://github.com/LeTrongDat/CompetitiveProgramming/blob/master/IZhO/IZhO17-road.cpp","Sol")</f>
        <v>Sol</v>
      </c>
      <c r="E1130" s="31" t="s">
        <v>6459</v>
      </c>
      <c r="F1130" s="37" t="s">
        <v>154</v>
      </c>
      <c r="G1130" s="24"/>
      <c r="H1130" s="53"/>
    </row>
    <row r="1131" spans="1:8" ht="13.2">
      <c r="A1131" s="65" t="str">
        <f>HYPERLINK("https://oj.uz/problem/view/IZhO17_subsequence","IZhO 17-subsequence")</f>
        <v>IZhO 17-subsequence</v>
      </c>
      <c r="B1131" s="20" t="s">
        <v>6956</v>
      </c>
      <c r="C1131" s="24">
        <v>6.6</v>
      </c>
      <c r="D1131" s="65" t="str">
        <f>HYPERLINK("https://github.com/mostafa-saad/MyCompetitiveProgramming/blob/master/Olympiad/IZhO/IZhO-17-subsequence.txt","Sol")</f>
        <v>Sol</v>
      </c>
      <c r="E1131" s="31" t="s">
        <v>1819</v>
      </c>
      <c r="F1131" s="37" t="s">
        <v>154</v>
      </c>
      <c r="G1131" s="24"/>
      <c r="H1131" s="53"/>
    </row>
    <row r="1132" spans="1:8" ht="13.2">
      <c r="A1132" s="65" t="str">
        <f>HYPERLINK("https://oj.uz/problem/view/IZhO18_chessboard","IZhO 18-chessboard")</f>
        <v>IZhO 18-chessboard</v>
      </c>
      <c r="B1132" s="20" t="s">
        <v>5992</v>
      </c>
      <c r="C1132" s="24">
        <v>6</v>
      </c>
      <c r="D1132" s="69"/>
      <c r="E1132" s="31" t="s">
        <v>5958</v>
      </c>
      <c r="F1132" s="37"/>
      <c r="G1132" s="24"/>
      <c r="H1132" s="53"/>
    </row>
    <row r="1133" spans="1:8" ht="13.2">
      <c r="A1133" s="65" t="str">
        <f>HYPERLINK("https://oj.uz/problem/view/IZhO18_nicegift","IZhO 18-NiceGift")</f>
        <v>IZhO 18-NiceGift</v>
      </c>
      <c r="B1133" s="20" t="s">
        <v>6578</v>
      </c>
      <c r="C1133" s="24">
        <v>7</v>
      </c>
      <c r="D1133" s="69"/>
      <c r="E1133" s="31" t="s">
        <v>125</v>
      </c>
      <c r="F1133" s="37"/>
      <c r="G1133" s="24"/>
      <c r="H1133" s="53"/>
    </row>
    <row r="1134" spans="1:8" ht="13.2">
      <c r="A1134" s="65" t="str">
        <f>HYPERLINK("https://oj.uz/problem/view/IZhO18_plan","IZHh 18-plan")</f>
        <v>IZHh 18-plan</v>
      </c>
      <c r="B1134" s="23" t="s">
        <v>7297</v>
      </c>
      <c r="C1134" s="24">
        <v>6.1</v>
      </c>
      <c r="D1134" s="69"/>
      <c r="E1134" s="31" t="s">
        <v>4454</v>
      </c>
      <c r="F1134" s="37" t="s">
        <v>139</v>
      </c>
      <c r="G1134" s="24"/>
      <c r="H1134" s="53"/>
    </row>
    <row r="1135" spans="1:8" ht="13.2">
      <c r="A1135" s="65" t="str">
        <f>HYPERLINK("https://oj.uz/problem/view/IZhO18_segments","IZhO 18-segments")</f>
        <v>IZhO 18-segments</v>
      </c>
      <c r="B1135" s="23" t="s">
        <v>7474</v>
      </c>
      <c r="C1135" s="24">
        <v>7.4</v>
      </c>
      <c r="D1135" s="65" t="str">
        <f>HYPERLINK("https://github.com/mostafa-saad/MyCompetitiveProgramming/blob/master/Olympiad/IZhO/IZhO-18-segments.txt","Sol")</f>
        <v>Sol</v>
      </c>
      <c r="E1135" s="31" t="s">
        <v>6397</v>
      </c>
      <c r="F1135" s="37" t="s">
        <v>201</v>
      </c>
      <c r="G1135" s="24"/>
      <c r="H1135" s="53"/>
    </row>
    <row r="1136" spans="1:8" ht="13.2">
      <c r="A1136" s="65" t="str">
        <f>HYPERLINK("https://oj.uz/problem/view/IZhO18_sequence","IZhO 18-sequence")</f>
        <v>IZhO 18-sequence</v>
      </c>
      <c r="B1136" s="20" t="s">
        <v>6208</v>
      </c>
      <c r="C1136" s="24">
        <v>7</v>
      </c>
      <c r="D1136" s="69"/>
      <c r="E1136" s="31" t="s">
        <v>6205</v>
      </c>
      <c r="F1136" s="37"/>
      <c r="G1136" s="24"/>
      <c r="H1136" s="53"/>
    </row>
    <row r="1137" spans="1:8" ht="13.2">
      <c r="A1137" s="65" t="str">
        <f>HYPERLINK("https://oj.uz/problem/view/IZhO18_treearray","IZhO 18-treearray")</f>
        <v>IZhO 18-treearray</v>
      </c>
      <c r="B1137" s="37" t="s">
        <v>7298</v>
      </c>
      <c r="C1137" s="24">
        <v>6</v>
      </c>
      <c r="D1137" s="65" t="str">
        <f>HYPERLINK("https://github.com/mostafa-saad/MyCompetitiveProgramming/blob/master/Olympiad/IZhO/IZhO-18-treearray.txt","Sol")</f>
        <v>Sol</v>
      </c>
      <c r="E1137" s="31" t="s">
        <v>4454</v>
      </c>
      <c r="F1137" s="37" t="s">
        <v>154</v>
      </c>
      <c r="G1137" s="24"/>
      <c r="H1137" s="53"/>
    </row>
    <row r="1138" spans="1:8" ht="13.2">
      <c r="A1138" s="65" t="str">
        <f>HYPERLINK("https://oj.uz/problem/view/IZhO19_lyuboyn","IZhO 19-lyuboyn")</f>
        <v>IZhO 19-lyuboyn</v>
      </c>
      <c r="B1138" s="37" t="s">
        <v>6605</v>
      </c>
      <c r="C1138" s="24">
        <v>6.5</v>
      </c>
      <c r="D1138" s="69"/>
      <c r="E1138" s="31" t="s">
        <v>125</v>
      </c>
      <c r="F1138" s="37"/>
      <c r="G1138" s="24"/>
      <c r="H1138" s="53"/>
    </row>
    <row r="1139" spans="1:8" ht="13.2">
      <c r="A1139" s="65" t="str">
        <f>HYPERLINK("https://oj.uz/problem/view/IZhO19_segments","IZhO 19-segments")</f>
        <v>IZhO 19-segments</v>
      </c>
      <c r="B1139" s="20" t="s">
        <v>6838</v>
      </c>
      <c r="C1139" s="24">
        <v>6.75</v>
      </c>
      <c r="D1139" s="65" t="str">
        <f>HYPERLINK("https://github.com/stefdasca/CompetitiveProgramming/blob/master/IZhO/IZhO%2019-segments.cpp","Sol. See Solution E notes in codeforces")</f>
        <v>Sol. See Solution E notes in codeforces</v>
      </c>
      <c r="E1139" s="31" t="s">
        <v>1337</v>
      </c>
      <c r="F1139" s="37" t="s">
        <v>196</v>
      </c>
      <c r="G1139" s="24"/>
      <c r="H1139" s="53"/>
    </row>
    <row r="1140" spans="1:8" ht="13.2">
      <c r="A1140" s="65" t="str">
        <f>HYPERLINK("https://oj.uz/problem/view/IZhO19_sortbooks","IZhO 19-sortbooks")</f>
        <v>IZhO 19-sortbooks</v>
      </c>
      <c r="B1140" s="20" t="s">
        <v>1222</v>
      </c>
      <c r="C1140" s="24">
        <v>5</v>
      </c>
      <c r="D1140" s="69"/>
      <c r="E1140" s="31" t="s">
        <v>1223</v>
      </c>
      <c r="F1140" s="37"/>
      <c r="G1140" s="24"/>
      <c r="H1140" s="53"/>
    </row>
    <row r="1141" spans="1:8" ht="13.2">
      <c r="A1141" s="65" t="str">
        <f>HYPERLINK("https://oj.uz/problem/view/IZhO19_stones","IZhO 19-stones")</f>
        <v>IZhO 19-stones</v>
      </c>
      <c r="B1141" s="20" t="s">
        <v>5961</v>
      </c>
      <c r="C1141" s="24">
        <v>5</v>
      </c>
      <c r="D1141" s="69"/>
      <c r="E1141" s="31" t="s">
        <v>5958</v>
      </c>
      <c r="F1141" s="37"/>
      <c r="G1141" s="24"/>
      <c r="H1141" s="53"/>
    </row>
    <row r="1142" spans="1:8" ht="13.2">
      <c r="A1142" s="65" t="str">
        <f>HYPERLINK("https://oj.uz/problem/view/IZhO19_xoractive","IZhO 19-Xoractive")</f>
        <v>IZhO 19-Xoractive</v>
      </c>
      <c r="B1142" s="37" t="s">
        <v>6586</v>
      </c>
      <c r="C1142" s="24">
        <v>6.75</v>
      </c>
      <c r="D1142" s="65" t="str">
        <f>HYPERLINK("https://github.com/stefdasca/CompetitiveProgramming/blob/master/IZhO/IZhO%2019-xoractive.cpp","Sol")</f>
        <v>Sol</v>
      </c>
      <c r="E1142" s="31" t="s">
        <v>125</v>
      </c>
      <c r="F1142" s="37" t="s">
        <v>139</v>
      </c>
      <c r="G1142" s="24"/>
      <c r="H1142" s="53"/>
    </row>
    <row r="1143" spans="1:8" ht="13.2">
      <c r="A1143" s="65" t="str">
        <f>HYPERLINK("https://oj.uz/problem/view/IZhO19_xorsum","IZhO 19-xorsum")</f>
        <v>IZhO 19-xorsum</v>
      </c>
      <c r="B1143" s="20" t="s">
        <v>7306</v>
      </c>
      <c r="C1143" s="24">
        <v>7.5</v>
      </c>
      <c r="D1143" s="69"/>
      <c r="E1143" s="31" t="s">
        <v>4531</v>
      </c>
      <c r="F1143" s="37"/>
      <c r="G1143" s="24"/>
      <c r="H1143" s="53"/>
    </row>
    <row r="1144" spans="1:8" ht="13.2">
      <c r="A1144" s="65" t="str">
        <f>HYPERLINK("https://joi2013ho.contest.atcoder.jp/tasks/joi2013ho5","JOI 13-BubbleSort")</f>
        <v>JOI 13-BubbleSort</v>
      </c>
      <c r="B1144" s="20" t="s">
        <v>6807</v>
      </c>
      <c r="C1144" s="24">
        <v>6.8</v>
      </c>
      <c r="D1144" s="65" t="str">
        <f>HYPERLINK("https://github.com/mostafa-saad/MyCompetitiveProgramming/blob/master/Olympiad/JOI/JOI-13-BubbleSort.txt","Sol")</f>
        <v>Sol</v>
      </c>
      <c r="E1144" s="31" t="s">
        <v>1223</v>
      </c>
      <c r="F1144" s="37" t="s">
        <v>154</v>
      </c>
      <c r="G1144" s="24"/>
      <c r="H1144" s="53"/>
    </row>
    <row r="1145" spans="1:8" ht="13.2">
      <c r="A1145" s="65" t="str">
        <f>HYPERLINK("https://joi2013ho.contest.atcoder.jp/tasks/joi2013ho1","JOI 13-illumination")</f>
        <v>JOI 13-illumination</v>
      </c>
      <c r="B1145" s="20" t="s">
        <v>7225</v>
      </c>
      <c r="C1145" s="17">
        <v>4</v>
      </c>
      <c r="D1145" s="69"/>
      <c r="E1145" s="31" t="s">
        <v>3784</v>
      </c>
      <c r="F1145" s="37"/>
      <c r="G1145" s="24"/>
      <c r="H1145" s="53"/>
    </row>
    <row r="1146" spans="1:8" ht="13.2">
      <c r="A1146" s="65" t="str">
        <f>HYPERLINK("https://joi2013ho.contest.atcoder.jp/tasks/joi2013ho3","JOI 13-ModernMansion")</f>
        <v>JOI 13-ModernMansion</v>
      </c>
      <c r="B1146" s="20" t="s">
        <v>3791</v>
      </c>
      <c r="C1146" s="17">
        <v>5</v>
      </c>
      <c r="D1146" s="69"/>
      <c r="E1146" s="31" t="s">
        <v>3784</v>
      </c>
      <c r="F1146" s="37"/>
      <c r="G1146" s="24"/>
      <c r="H1146" s="53"/>
    </row>
    <row r="1147" spans="1:8" ht="13.2">
      <c r="A1147" s="65" t="str">
        <f>HYPERLINK("https://joi2013ho.contest.atcoder.jp/tasks/joi2013ho2","JOI 13-TakeIOITrain")</f>
        <v>JOI 13-TakeIOITrain</v>
      </c>
      <c r="B1147" s="20" t="s">
        <v>7708</v>
      </c>
      <c r="C1147" s="17">
        <v>4</v>
      </c>
      <c r="D1147" s="69"/>
      <c r="E1147" s="31" t="s">
        <v>1337</v>
      </c>
      <c r="F1147" s="37"/>
      <c r="G1147" s="24"/>
      <c r="H1147" s="53"/>
    </row>
    <row r="1148" spans="1:8" ht="13.2">
      <c r="A1148" s="65" t="str">
        <f>HYPERLINK("https://joi2013ho.contest.atcoder.jp/tasks/joi2013ho4","JOI 13-Tower")</f>
        <v>JOI 13-Tower</v>
      </c>
      <c r="B1148" s="20" t="s">
        <v>7709</v>
      </c>
      <c r="C1148" s="24">
        <v>5.5</v>
      </c>
      <c r="D1148" s="69"/>
      <c r="E1148" s="31" t="s">
        <v>805</v>
      </c>
      <c r="F1148" s="37"/>
      <c r="G1148" s="24"/>
      <c r="H1148" s="53"/>
    </row>
    <row r="1149" spans="1:8" ht="13.2">
      <c r="A1149" s="65" t="str">
        <f>HYPERLINK("https://joi2014ho.contest.atcoder.jp/tasks/joi2014ho3","JOI 14-Baumkuchen")</f>
        <v>JOI 14-Baumkuchen</v>
      </c>
      <c r="B1149" s="20" t="s">
        <v>7710</v>
      </c>
      <c r="C1149" s="17">
        <v>5.5</v>
      </c>
      <c r="D1149" s="69"/>
      <c r="E1149" s="31" t="s">
        <v>805</v>
      </c>
      <c r="F1149" s="37"/>
      <c r="G1149" s="24"/>
      <c r="H1149" s="53"/>
    </row>
    <row r="1150" spans="1:8" ht="13.2">
      <c r="A1150" s="65" t="str">
        <f>HYPERLINK("https://joi2014ho.contest.atcoder.jp/tasks/joi2014ho5","JOI 14-Cutting")</f>
        <v>JOI 14-Cutting</v>
      </c>
      <c r="B1150" s="20" t="s">
        <v>7711</v>
      </c>
      <c r="C1150" s="17"/>
      <c r="D1150" s="69"/>
      <c r="E1150" s="31" t="s">
        <v>7525</v>
      </c>
      <c r="F1150" s="37"/>
      <c r="G1150" s="24"/>
      <c r="H1150" s="53"/>
    </row>
    <row r="1151" spans="1:8" ht="13.2">
      <c r="A1151" s="65" t="str">
        <f>HYPERLINK("https://joi2014ho.contest.atcoder.jp/tasks/joi2014ho2","JOI 14-IOIManju")</f>
        <v>JOI 14-IOIManju</v>
      </c>
      <c r="B1151" s="20" t="s">
        <v>7712</v>
      </c>
      <c r="C1151" s="17">
        <v>5</v>
      </c>
      <c r="D1151" s="69"/>
      <c r="E1151" s="31" t="s">
        <v>1337</v>
      </c>
      <c r="F1151" s="37"/>
      <c r="G1151" s="24"/>
      <c r="H1151" s="53"/>
    </row>
    <row r="1152" spans="1:8" ht="13.2">
      <c r="A1152" s="65" t="str">
        <f>HYPERLINK("https://joi2014ho.contest.atcoder.jp/tasks/joi2014ho1","JOI 14-JOIEmblem")</f>
        <v>JOI 14-JOIEmblem</v>
      </c>
      <c r="B1152" s="20" t="s">
        <v>7713</v>
      </c>
      <c r="C1152" s="17">
        <v>5.5</v>
      </c>
      <c r="D1152" s="69"/>
      <c r="E1152" s="31" t="s">
        <v>5958</v>
      </c>
      <c r="F1152" s="37"/>
      <c r="G1152" s="24"/>
      <c r="H1152" s="53"/>
    </row>
    <row r="1153" spans="1:8" ht="13.2">
      <c r="A1153" s="65" t="str">
        <f>HYPERLINK("https://joi2014ho.contest.atcoder.jp/tasks/joi2014ho4","JOI 14-SugarGlider")</f>
        <v>JOI 14-SugarGlider</v>
      </c>
      <c r="B1153" s="20" t="s">
        <v>7714</v>
      </c>
      <c r="C1153" s="17">
        <v>6.5</v>
      </c>
      <c r="D1153" s="69"/>
      <c r="E1153" s="31" t="s">
        <v>3784</v>
      </c>
      <c r="F1153" s="37"/>
      <c r="G1153" s="24"/>
      <c r="H1153" s="53"/>
    </row>
    <row r="1154" spans="1:8" ht="13.2">
      <c r="A1154" s="65" t="str">
        <f>HYPERLINK("https://joi2015ho.contest.atcoder.jp/tasks/joi2015ho_d","JOI 15-Ball")</f>
        <v>JOI 15-Ball</v>
      </c>
      <c r="B1154" s="20" t="s">
        <v>7715</v>
      </c>
      <c r="C1154" s="17"/>
      <c r="D1154" s="69"/>
      <c r="E1154" s="31" t="s">
        <v>7525</v>
      </c>
      <c r="F1154" s="37"/>
      <c r="G1154" s="24"/>
      <c r="H1154" s="53"/>
    </row>
    <row r="1155" spans="1:8" ht="13.2">
      <c r="A1155" s="65" t="str">
        <f>HYPERLINK("https://joi2015ho.contest.atcoder.jp/tasks/joi2015ho_b","JOI 15-Cake2")</f>
        <v>JOI 15-Cake2</v>
      </c>
      <c r="B1155" s="20" t="s">
        <v>6908</v>
      </c>
      <c r="C1155" s="17">
        <v>5.5</v>
      </c>
      <c r="D1155" s="65" t="str">
        <f>HYPERLINK("https://github.com/nikolapesic2802/Programming-Practice/blob/master/Cake%20Division2/main.cpp","Sol")</f>
        <v>Sol</v>
      </c>
      <c r="E1155" s="31" t="s">
        <v>1337</v>
      </c>
      <c r="F1155" s="37" t="s">
        <v>201</v>
      </c>
      <c r="G1155" s="24"/>
      <c r="H1155" s="53"/>
    </row>
    <row r="1156" spans="1:8" ht="13.2">
      <c r="A1156" s="65" t="str">
        <f>HYPERLINK("https://joi2015ho.contest.atcoder.jp/tasks/joi2015ho_c","JOI 15-JOIPark")</f>
        <v>JOI 15-JOIPark</v>
      </c>
      <c r="B1156" s="20" t="s">
        <v>7716</v>
      </c>
      <c r="C1156" s="17">
        <v>5.5</v>
      </c>
      <c r="D1156" s="69"/>
      <c r="E1156" s="31" t="s">
        <v>3784</v>
      </c>
      <c r="F1156" s="37"/>
      <c r="G1156" s="24"/>
      <c r="H1156" s="53"/>
    </row>
    <row r="1157" spans="1:8" ht="13.2">
      <c r="A1157" s="65" t="str">
        <f>HYPERLINK("https://joi2015ho.contest.atcoder.jp/tasks/joi2015ho_a","JOI 15-RailroadTrip")</f>
        <v>JOI 15-RailroadTrip</v>
      </c>
      <c r="B1157" s="20" t="s">
        <v>7717</v>
      </c>
      <c r="C1157" s="17">
        <v>4</v>
      </c>
      <c r="D1157" s="65" t="str">
        <f>HYPERLINK("https://github.com/nikolapesic2802/Programming-Practice/blob/master/Railroad%20Trip/main.cpp","Sol")</f>
        <v>Sol</v>
      </c>
      <c r="E1157" s="31" t="s">
        <v>3257</v>
      </c>
      <c r="F1157" s="37"/>
      <c r="G1157" s="24"/>
      <c r="H1157" s="53"/>
    </row>
    <row r="1158" spans="1:8" ht="13.2">
      <c r="A1158" s="65" t="str">
        <f>HYPERLINK("https://joi2015ho.contest.atcoder.jp/tasks/joi2015ho_e","JOI 15-Rampart")</f>
        <v>JOI 15-Rampart</v>
      </c>
      <c r="B1158" s="20" t="s">
        <v>7718</v>
      </c>
      <c r="C1158" s="17"/>
      <c r="D1158" s="69"/>
      <c r="E1158" s="31" t="s">
        <v>7525</v>
      </c>
      <c r="F1158" s="37"/>
      <c r="G1158" s="24"/>
      <c r="H1158" s="53"/>
    </row>
    <row r="1159" spans="1:8" ht="13.2">
      <c r="A1159" s="65" t="str">
        <f>HYPERLINK("https://joi2016ho.contest.atcoder.jp/tasks/joi2016ho_b","JOI 16-CollectingStamps2")</f>
        <v>JOI 16-CollectingStamps2</v>
      </c>
      <c r="B1159" s="20" t="s">
        <v>7719</v>
      </c>
      <c r="C1159" s="17">
        <v>5.5</v>
      </c>
      <c r="D1159" s="65" t="str">
        <f>HYPERLINK("https://github.com/nikolapesic2802/Programming-Practice/blob/master/Collecting%20stamps/main.cpp","AC")</f>
        <v>AC</v>
      </c>
      <c r="E1159" s="31" t="s">
        <v>5958</v>
      </c>
      <c r="F1159" s="37"/>
      <c r="G1159" s="24"/>
      <c r="H1159" s="53"/>
    </row>
    <row r="1160" spans="1:8" ht="13.2">
      <c r="A1160" s="65" t="str">
        <f>HYPERLINK("https://joi2016ho.contest.atcoder.jp/tasks/joi2016ho_e","JOI 16-GeologicFault")</f>
        <v>JOI 16-GeologicFault</v>
      </c>
      <c r="B1160" s="20" t="s">
        <v>7720</v>
      </c>
      <c r="C1160" s="17">
        <v>6.5</v>
      </c>
      <c r="D1160" s="69"/>
      <c r="E1160" s="31" t="s">
        <v>1223</v>
      </c>
      <c r="F1160" s="37"/>
      <c r="G1160" s="24"/>
      <c r="H1160" s="53"/>
    </row>
    <row r="1161" spans="1:8" ht="13.2">
      <c r="A1161" s="65" t="str">
        <f>HYPERLINK("https://joi2016ho.contest.atcoder.jp/tasks/joi2016ho_a","JOI 16-Oranges")</f>
        <v>JOI 16-Oranges</v>
      </c>
      <c r="B1161" s="20" t="s">
        <v>7721</v>
      </c>
      <c r="C1161" s="17">
        <v>4.5</v>
      </c>
      <c r="D1161" s="65" t="str">
        <f>HYPERLINK("https://github.com/nikolapesic2802/Programming-Practice/blob/master/Oranges/main.cpp","AC")</f>
        <v>AC</v>
      </c>
      <c r="E1161" s="31" t="s">
        <v>1337</v>
      </c>
      <c r="F1161" s="37"/>
      <c r="G1161" s="24"/>
      <c r="H1161" s="53"/>
    </row>
    <row r="1162" spans="1:8" ht="13.2">
      <c r="A1162" s="65" t="str">
        <f>HYPERLINK("https://joi2016ho.contest.atcoder.jp/tasks/joi2016ho_d","JOI 16-Territory")</f>
        <v>JOI 16-Territory</v>
      </c>
      <c r="B1162" s="20" t="s">
        <v>7722</v>
      </c>
      <c r="C1162" s="17"/>
      <c r="D1162" s="69"/>
      <c r="E1162" s="31" t="s">
        <v>7525</v>
      </c>
      <c r="F1162" s="37"/>
      <c r="G1162" s="24"/>
      <c r="H1162" s="53"/>
    </row>
    <row r="1163" spans="1:8" ht="13.2">
      <c r="A1163" s="65" t="str">
        <f>HYPERLINK("https://joi2016ho.contest.atcoder.jp/tasks/joi2016ho_c","JOI 16-TrainFare")</f>
        <v>JOI 16-TrainFare</v>
      </c>
      <c r="B1163" s="20" t="s">
        <v>7723</v>
      </c>
      <c r="C1163" s="17">
        <v>5.5</v>
      </c>
      <c r="D1163" s="69"/>
      <c r="E1163" s="31" t="s">
        <v>3650</v>
      </c>
      <c r="F1163" s="37"/>
      <c r="G1163" s="24"/>
      <c r="H1163" s="53"/>
    </row>
    <row r="1164" spans="1:8" ht="13.2">
      <c r="A1164" s="65" t="str">
        <f>HYPERLINK("https://oj.uz/problem/view/JOI17_foehn_phenomena","JOI 17-foehnPhenomena")</f>
        <v>JOI 17-foehnPhenomena</v>
      </c>
      <c r="B1164" s="23" t="s">
        <v>1027</v>
      </c>
      <c r="C1164" s="24">
        <v>5</v>
      </c>
      <c r="D1164" s="65" t="str">
        <f>HYPERLINK("https://github.com/nikolapesic2802/Programming-Practice/blob/master/Foehn%20Phenomena/main.cpp","Sol")</f>
        <v>Sol</v>
      </c>
      <c r="E1164" s="31" t="s">
        <v>1018</v>
      </c>
      <c r="F1164" s="37" t="s">
        <v>139</v>
      </c>
      <c r="G1164" s="24"/>
      <c r="H1164" s="53"/>
    </row>
    <row r="1165" spans="1:8" ht="13.2">
      <c r="A1165" s="65" t="str">
        <f>HYPERLINK("https://oj.uz/problem/view/JOI17_joioi","JOI 17-joioi")</f>
        <v>JOI 17-joioi</v>
      </c>
      <c r="B1165" s="20" t="s">
        <v>848</v>
      </c>
      <c r="C1165" s="17">
        <v>5.75</v>
      </c>
      <c r="D1165" s="65" t="str">
        <f>HYPERLINK("https://github.com/stefdasca/CompetitiveProgramming/blob/master/JOI/JOI%2017-joioi.cpp","Sol")</f>
        <v>Sol</v>
      </c>
      <c r="E1165" s="31" t="s">
        <v>805</v>
      </c>
      <c r="F1165" s="37" t="s">
        <v>139</v>
      </c>
      <c r="G1165" s="24"/>
      <c r="H1165" s="53"/>
    </row>
    <row r="1166" spans="1:8" ht="13.2">
      <c r="A1166" s="65" t="str">
        <f>HYPERLINK("https://oj.uz/problem/view/JOI17_rope","JOI 17-rope")</f>
        <v>JOI 17-rope</v>
      </c>
      <c r="B1166" s="20" t="s">
        <v>7527</v>
      </c>
      <c r="C1166" s="17"/>
      <c r="D1166" s="69"/>
      <c r="E1166" s="31" t="s">
        <v>7525</v>
      </c>
      <c r="F1166" s="37"/>
      <c r="G1166" s="24"/>
      <c r="H1166" s="53"/>
    </row>
    <row r="1167" spans="1:8" ht="13.2">
      <c r="A1167" s="65" t="str">
        <f>HYPERLINK("https://oj.uz/problem/view/JOI17_semiexpress","JOI 17-semiexpress")</f>
        <v>JOI 17-semiexpress</v>
      </c>
      <c r="B1167" s="20" t="s">
        <v>5961</v>
      </c>
      <c r="C1167" s="17">
        <v>5.5</v>
      </c>
      <c r="D1167" s="69"/>
      <c r="E1167" s="31" t="s">
        <v>5958</v>
      </c>
      <c r="F1167" s="37"/>
      <c r="G1167" s="24"/>
      <c r="H1167" s="53"/>
    </row>
    <row r="1168" spans="1:8" ht="13.2">
      <c r="A1168" s="65" t="str">
        <f>HYPERLINK("https://oj.uz/problem/view/JOI17_soccer","JOI 17-soccer")</f>
        <v>JOI 17-soccer</v>
      </c>
      <c r="B1168" s="20" t="s">
        <v>3866</v>
      </c>
      <c r="C1168" s="17">
        <v>7</v>
      </c>
      <c r="D1168" s="65" t="str">
        <f>HYPERLINK("https://github.com/mostafa-saad/MyCompetitiveProgramming/tree/master/Olympiad/JOI/official/JOI/JOI-17-soccer.txt","Editorial")</f>
        <v>Editorial</v>
      </c>
      <c r="E1168" s="31" t="s">
        <v>3784</v>
      </c>
      <c r="F1168" s="37" t="s">
        <v>139</v>
      </c>
      <c r="G1168" s="24"/>
      <c r="H1168" s="53"/>
    </row>
    <row r="1169" spans="1:8" ht="13.2">
      <c r="A1169" s="65" t="str">
        <f>HYPERLINK("https://oj.uz/problems/source/307","JOI 18-art")</f>
        <v>JOI 18-art</v>
      </c>
      <c r="B1169" s="15" t="s">
        <v>6924</v>
      </c>
      <c r="C1169" s="17">
        <v>5</v>
      </c>
      <c r="D1169" s="65" t="str">
        <f>HYPERLINK("https://github.com/updown2/OI-Practice/blob/master/JOI/2018/Art.cpp", "Sol")</f>
        <v>Sol</v>
      </c>
      <c r="E1169" s="31" t="s">
        <v>1337</v>
      </c>
      <c r="F1169" s="37"/>
      <c r="G1169" s="24"/>
      <c r="H1169" s="53"/>
    </row>
    <row r="1170" spans="1:8" ht="13.2">
      <c r="A1170" s="65" t="str">
        <f>HYPERLINK("https://oj.uz/problems/source/307","JOI 18-commuterpass")</f>
        <v>JOI 18-commuterpass</v>
      </c>
      <c r="B1170" s="15" t="s">
        <v>3809</v>
      </c>
      <c r="C1170" s="24">
        <v>6.4</v>
      </c>
      <c r="D1170" s="65" t="str">
        <f>HYPERLINK("https://github.com/mostafa-saad/MyCompetitiveProgramming/blob/master/Olympiad/JOI/JOI-18-commuterpass.txt","Sol")</f>
        <v>Sol</v>
      </c>
      <c r="E1170" s="31" t="s">
        <v>3784</v>
      </c>
      <c r="F1170" s="37" t="s">
        <v>139</v>
      </c>
      <c r="G1170" s="24"/>
      <c r="H1170" s="53"/>
    </row>
    <row r="1171" spans="1:8" ht="13.2">
      <c r="A1171" s="65" t="str">
        <f>HYPERLINK("https://oj.uz/problems/source/307","JOI 18-Dangomaker")</f>
        <v>JOI 18-Dangomaker</v>
      </c>
      <c r="B1171" s="15" t="s">
        <v>6863</v>
      </c>
      <c r="C1171" s="24">
        <v>6.3</v>
      </c>
      <c r="D1171" s="65" t="str">
        <f>HYPERLINK("https://github.com/mostafa-saad/MyCompetitiveProgramming/blob/master/Olympiad/JOI/JOI-18-Dangomaker.txt","Sol")</f>
        <v>Sol</v>
      </c>
      <c r="E1171" s="31" t="s">
        <v>1337</v>
      </c>
      <c r="F1171" s="37" t="s">
        <v>1053</v>
      </c>
      <c r="G1171" s="24"/>
      <c r="H1171" s="53"/>
    </row>
    <row r="1172" spans="1:8" ht="13.2">
      <c r="A1172" s="65" t="str">
        <f>HYPERLINK("https://oj.uz/problem/view/JOI18_snake_escaping","JOI 18-snakeescaping")</f>
        <v>JOI 18-snakeescaping</v>
      </c>
      <c r="B1172" s="15" t="s">
        <v>6953</v>
      </c>
      <c r="C1172" s="24">
        <v>7.25</v>
      </c>
      <c r="D1172" s="65" t="str">
        <f>HYPERLINK("https://github.com/mostafa-saad/MyCompetitiveProgramming/blob/master/Olympiad/JOI/JOI-18-snakeescaping.txt","Sol")</f>
        <v>Sol</v>
      </c>
      <c r="E1172" s="31" t="s">
        <v>1819</v>
      </c>
      <c r="F1172" s="37" t="s">
        <v>139</v>
      </c>
      <c r="G1172" s="24"/>
      <c r="H1172" s="53"/>
    </row>
    <row r="1173" spans="1:8" ht="13.2">
      <c r="A1173" s="65" t="str">
        <f>HYPERLINK("https://oj.uz/problems/source/307","JOI 18-stove")</f>
        <v>JOI 18-stove</v>
      </c>
      <c r="B1173" s="15" t="s">
        <v>2163</v>
      </c>
      <c r="C1173" s="17">
        <v>3</v>
      </c>
      <c r="D1173" s="65" t="str">
        <f>HYPERLINK("https://github.com/tmwilliamlin168/CompetitiveProgramming/tree/master/JOI", "Sol")</f>
        <v>Sol</v>
      </c>
      <c r="E1173" s="31" t="s">
        <v>2153</v>
      </c>
      <c r="F1173" s="37"/>
      <c r="G1173" s="24"/>
      <c r="H1173" s="53"/>
    </row>
    <row r="1174" spans="1:8" ht="13.2">
      <c r="A1174" s="65" t="str">
        <f>HYPERLINK("https://oj.uz/problem/view/JOI19_ho_t1","JOI 19-Bitaro")</f>
        <v>JOI 19-Bitaro</v>
      </c>
      <c r="B1174" s="37" t="s">
        <v>6664</v>
      </c>
      <c r="C1174" s="24">
        <v>4</v>
      </c>
      <c r="D1174" s="69"/>
      <c r="E1174" s="31" t="s">
        <v>332</v>
      </c>
      <c r="F1174" s="37"/>
      <c r="G1174" s="24"/>
      <c r="H1174" s="53"/>
    </row>
    <row r="1175" spans="1:8" ht="13.2">
      <c r="A1175" s="65" t="str">
        <f>HYPERLINK("https://oj.uz/problem/view/JOI19_ho_t4", "JOI 19-Coin")</f>
        <v>JOI 19-Coin</v>
      </c>
      <c r="B1175" s="37" t="s">
        <v>6993</v>
      </c>
      <c r="C1175" s="24">
        <v>6.5</v>
      </c>
      <c r="D1175" s="65" t="str">
        <f>HYPERLINK("https://github.com/mostafa-saad/MyCompetitiveProgramming/blob/master/Olympiad/JOI/JOI-19-Coin.txt","Sol")</f>
        <v>Sol</v>
      </c>
      <c r="E1175" s="31" t="s">
        <v>2153</v>
      </c>
      <c r="F1175" s="37" t="s">
        <v>201</v>
      </c>
      <c r="G1175" s="24"/>
      <c r="H1175" s="53"/>
    </row>
    <row r="1176" spans="1:8" ht="13.2">
      <c r="A1176" s="65" t="str">
        <f>HYPERLINK("https://oj.uz/problem/view/JOI19_ho_t2","JOI 19-ExhibitionBatch")</f>
        <v>JOI 19-ExhibitionBatch</v>
      </c>
      <c r="B1176" s="37" t="s">
        <v>7422</v>
      </c>
      <c r="C1176" s="24">
        <v>5</v>
      </c>
      <c r="D1176" s="69"/>
      <c r="E1176" s="31" t="s">
        <v>6040</v>
      </c>
      <c r="F1176" s="37"/>
      <c r="G1176" s="24"/>
      <c r="H1176" s="53"/>
    </row>
    <row r="1177" spans="1:8" ht="13.2">
      <c r="A1177" s="65" t="str">
        <f>HYPERLINK("https://oj.uz/problem/view/JOI19_ho_t3","JOI 19-GrowingVegetable")</f>
        <v>JOI 19-GrowingVegetable</v>
      </c>
      <c r="B1177" s="37" t="s">
        <v>6968</v>
      </c>
      <c r="C1177" s="24">
        <v>6.4</v>
      </c>
      <c r="D1177" s="65" t="str">
        <f>HYPERLINK("https://github.com/mostafa-saad/MyCompetitiveProgramming/blob/master/Olympiad/JOI/JOI-19-GrowingVegetable.txt","Sol")</f>
        <v>Sol</v>
      </c>
      <c r="E1177" s="31" t="s">
        <v>1909</v>
      </c>
      <c r="F1177" s="37" t="s">
        <v>139</v>
      </c>
      <c r="G1177" s="24"/>
      <c r="H1177" s="53"/>
    </row>
    <row r="1178" spans="1:8" ht="13.2">
      <c r="A1178" s="65" t="str">
        <f>HYPERLINK("https://oj.uz/problem/view/JOI19_ho_t5","JOI 19-UniqueCities")</f>
        <v>JOI 19-UniqueCities</v>
      </c>
      <c r="B1178" s="37" t="s">
        <v>7112</v>
      </c>
      <c r="C1178" s="24">
        <v>8</v>
      </c>
      <c r="D1178" s="69"/>
      <c r="E1178" s="31" t="s">
        <v>3257</v>
      </c>
      <c r="F1178" s="37"/>
      <c r="G1178" s="24"/>
      <c r="H1178" s="53"/>
    </row>
    <row r="1179" spans="1:8" ht="13.2">
      <c r="A1179" s="65" t="str">
        <f>HYPERLINK("https://oj.uz/problem/view/JOI20_ho_t3","JOI 20-CollectingStamps3")</f>
        <v>JOI 20-CollectingStamps3</v>
      </c>
      <c r="B1179" s="25" t="s">
        <v>6928</v>
      </c>
      <c r="C1179" s="24">
        <v>5</v>
      </c>
      <c r="D1179" s="65" t="str">
        <f>HYPERLINK("https://github.com/mostafa-saad/MyCompetitiveProgramming/blob/master/Olympiad/JOI/JOI-20-CollectingStamps3.txt","Sol")</f>
        <v>Sol</v>
      </c>
      <c r="E1179" s="31" t="s">
        <v>1337</v>
      </c>
      <c r="F1179" s="37"/>
      <c r="G1179" s="24"/>
      <c r="H1179" s="53"/>
    </row>
    <row r="1180" spans="1:8" ht="13.2">
      <c r="A1180" s="65" t="str">
        <f>HYPERLINK("https://oj.uz/problem/view/JOI20_ho_t5","JOI 20-Fire")</f>
        <v>JOI 20-Fire</v>
      </c>
      <c r="B1180" s="25" t="s">
        <v>6811</v>
      </c>
      <c r="C1180" s="24">
        <v>6.5</v>
      </c>
      <c r="D1180" s="65" t="str">
        <f>HYPERLINK("https://github.com/mostafa-saad/MyCompetitiveProgramming/tree/master/Olympiad/JOI/official/JOI/2020","Official Code")</f>
        <v>Official Code</v>
      </c>
      <c r="E1180" s="31" t="s">
        <v>1223</v>
      </c>
      <c r="F1180" s="37"/>
      <c r="G1180" s="24"/>
      <c r="H1180" s="53"/>
    </row>
    <row r="1181" spans="1:8" ht="13.2">
      <c r="A1181" s="65" t="str">
        <f>HYPERLINK("https://oj.uz/problem/view/JOI20_ho_t2","JOI 20-JJOOII2")</f>
        <v>JOI 20-JJOOII2</v>
      </c>
      <c r="B1181" s="25" t="s">
        <v>7423</v>
      </c>
      <c r="C1181" s="24">
        <v>4</v>
      </c>
      <c r="D1181" s="65" t="str">
        <f>HYPERLINK("https://github.com/dolphingarlic/CompetitiveProgramming/blob/master/JOI/JOI%2020-jjooii.cpp","Sol")</f>
        <v>Sol</v>
      </c>
      <c r="E1181" s="31" t="s">
        <v>6040</v>
      </c>
      <c r="F1181" s="37"/>
      <c r="G1181" s="24"/>
      <c r="H1181" s="53"/>
    </row>
    <row r="1182" spans="1:8" ht="13.2">
      <c r="A1182" s="65" t="str">
        <f>HYPERLINK("https://oj.uz/problem/view/JOI20_ho_t1","JOI 20-Neckties")</f>
        <v>JOI 20-Neckties</v>
      </c>
      <c r="B1182" s="25" t="s">
        <v>6647</v>
      </c>
      <c r="C1182" s="24">
        <v>3</v>
      </c>
      <c r="D1182" s="65" t="str">
        <f>HYPERLINK("https://github.com/dolphingarlic/CompetitiveProgramming/blob/master/JOI/JOI%2020-neckties.cpp","sol")</f>
        <v>sol</v>
      </c>
      <c r="E1182" s="31" t="s">
        <v>125</v>
      </c>
      <c r="F1182" s="37"/>
      <c r="G1182" s="24"/>
      <c r="H1182" s="53"/>
    </row>
    <row r="1183" spans="1:8" ht="13.2">
      <c r="A1183" s="65" t="str">
        <f>HYPERLINK("https://oj.uz/problem/view/JOI20_ho_t4","JOI 20-OlympicBus")</f>
        <v>JOI 20-OlympicBus</v>
      </c>
      <c r="B1183" s="25" t="s">
        <v>7211</v>
      </c>
      <c r="C1183" s="24">
        <v>6.5</v>
      </c>
      <c r="D1183" s="65" t="str">
        <f>HYPERLINK("https://github.com/mostafa-saad/MyCompetitiveProgramming/tree/master/Olympiad/JOI/official/JOI/2020","Official Code")</f>
        <v>Official Code</v>
      </c>
      <c r="E1183" s="31" t="s">
        <v>3784</v>
      </c>
      <c r="F1183" s="37"/>
      <c r="G1183" s="24"/>
      <c r="H1183" s="53"/>
    </row>
    <row r="1184" spans="1:8" ht="13.2">
      <c r="A1184" s="65" t="str">
        <f>HYPERLINK("https://oj.uz/problems/source/6","JOIOC 13-disparity")</f>
        <v>JOIOC 13-disparity</v>
      </c>
      <c r="B1184" s="47" t="s">
        <v>7546</v>
      </c>
      <c r="C1184" s="71"/>
      <c r="D1184" s="69"/>
      <c r="E1184" s="31" t="s">
        <v>7525</v>
      </c>
      <c r="F1184" s="37"/>
      <c r="G1184" s="24"/>
      <c r="H1184" s="53"/>
    </row>
    <row r="1185" spans="1:8" ht="13.2">
      <c r="A1185" s="65" t="str">
        <f>HYPERLINK("https://oj.uz/problems/source/6","JOIOC 13-synchronization")</f>
        <v>JOIOC 13-synchronization</v>
      </c>
      <c r="B1185" s="15" t="s">
        <v>6802</v>
      </c>
      <c r="C1185" s="17">
        <v>7.5</v>
      </c>
      <c r="D1185" s="65" t="str">
        <f>HYPERLINK("https://github.com/mostafa-saad/MyCompetitiveProgramming/blob/master/Olympiad/JOI/JOIOC-13-synchronization.txt","Sol")</f>
        <v>Sol</v>
      </c>
      <c r="E1185" s="31" t="s">
        <v>1223</v>
      </c>
      <c r="F1185" s="37" t="s">
        <v>154</v>
      </c>
      <c r="G1185" s="24"/>
      <c r="H1185" s="53"/>
    </row>
    <row r="1186" spans="1:8" ht="13.2">
      <c r="A1186" s="65" t="str">
        <f>HYPERLINK("https://oj.uz/problems/source/6","JOIOC 13-watching")</f>
        <v>JOIOC 13-watching</v>
      </c>
      <c r="B1186" s="15" t="s">
        <v>1374</v>
      </c>
      <c r="C1186" s="17">
        <v>5</v>
      </c>
      <c r="D1186" s="65" t="str">
        <f>HYPERLINK("https://github.com/mostafa-saad/MyCompetitiveProgramming/blob/master/Olympiad/JOI/JOIOC-13-Watching.txt","Sol")</f>
        <v>Sol</v>
      </c>
      <c r="E1186" s="31" t="s">
        <v>1337</v>
      </c>
      <c r="F1186" s="37"/>
      <c r="G1186" s="24"/>
      <c r="H1186" s="53"/>
    </row>
    <row r="1187" spans="1:8" ht="13.2">
      <c r="A1187" s="65" t="str">
        <f>HYPERLINK("https://oj.uz/problem/view/JOI14_factories","JOIOC 14-factories")</f>
        <v>JOIOC 14-factories</v>
      </c>
      <c r="B1187" s="15" t="s">
        <v>7454</v>
      </c>
      <c r="C1187" s="17">
        <v>6</v>
      </c>
      <c r="D1187" s="65" t="str">
        <f>HYPERLINK("https://github.com/Yehezkiel01/CompetitiveProgramming/blob/master/JOIOC/JOIOC-14-factories.cpp","Sol")</f>
        <v>Sol</v>
      </c>
      <c r="E1187" s="31" t="s">
        <v>6345</v>
      </c>
      <c r="F1187" s="37" t="s">
        <v>139</v>
      </c>
      <c r="G1187" s="24"/>
      <c r="H1187" s="53"/>
    </row>
    <row r="1188" spans="1:8" ht="13.2">
      <c r="A1188" s="65" t="str">
        <f>HYPERLINK("https://oj.uz/problems/source/55","JOIOC 14-fortune_telling2")</f>
        <v>JOIOC 14-fortune_telling2</v>
      </c>
      <c r="B1188" s="15" t="s">
        <v>6719</v>
      </c>
      <c r="C1188" s="24">
        <v>6.5</v>
      </c>
      <c r="D1188" s="69"/>
      <c r="E1188" s="31" t="s">
        <v>805</v>
      </c>
      <c r="F1188" s="37"/>
      <c r="G1188" s="24"/>
      <c r="H1188" s="53"/>
    </row>
    <row r="1189" spans="1:8" ht="13.2">
      <c r="A1189" s="65" t="str">
        <f>HYPERLINK("https://oj.uz/problems/source/56","JOIOC 14-migration")</f>
        <v>JOIOC 14-migration</v>
      </c>
      <c r="B1189" s="15" t="s">
        <v>7527</v>
      </c>
      <c r="C1189" s="17">
        <v>9</v>
      </c>
      <c r="D1189" s="69"/>
      <c r="E1189" s="31" t="s">
        <v>7525</v>
      </c>
      <c r="F1189" s="37"/>
      <c r="G1189" s="24"/>
      <c r="H1189" s="53"/>
    </row>
    <row r="1190" spans="1:8" ht="13.2">
      <c r="A1190" s="65" t="str">
        <f>HYPERLINK("https://oj.uz/problems/source/56","JOIOC 14-pinball")</f>
        <v>JOIOC 14-pinball</v>
      </c>
      <c r="B1190" s="15" t="s">
        <v>1040</v>
      </c>
      <c r="C1190" s="17">
        <v>6.5</v>
      </c>
      <c r="D1190" s="65" t="str">
        <f>HYPERLINK("https://github.com/SpeedOfMagic/CompetitiveProgramming/blob/master/JOIOC/14-pinball.cpp","Sol")</f>
        <v>Sol</v>
      </c>
      <c r="E1190" s="31" t="s">
        <v>1018</v>
      </c>
      <c r="F1190" s="37" t="s">
        <v>139</v>
      </c>
      <c r="G1190" s="24"/>
      <c r="H1190" s="53"/>
    </row>
    <row r="1191" spans="1:8" ht="13.2">
      <c r="A1191" s="65" t="str">
        <f>HYPERLINK("https://oj.uz/problems/source/56","JOIOC 14-secret")</f>
        <v>JOIOC 14-secret</v>
      </c>
      <c r="B1191" s="15" t="s">
        <v>210</v>
      </c>
      <c r="C1191" s="24">
        <v>5</v>
      </c>
      <c r="D1191" s="65" t="str">
        <f>HYPERLINK("https://github.com/Yehezkiel01/CompetitiveProgramming/blob/master/JOIOC/JOIOC-14-secret.cpp","Sol")</f>
        <v>Sol</v>
      </c>
      <c r="E1191" s="31" t="s">
        <v>125</v>
      </c>
      <c r="F1191" s="37"/>
      <c r="G1191" s="24"/>
      <c r="H1191" s="53"/>
    </row>
    <row r="1192" spans="1:8" ht="13.2">
      <c r="A1192" s="65" t="str">
        <f>HYPERLINK("https://oj.uz/problem/view/JOI14_space_pirate","JOIOC 14-space_pirate")</f>
        <v>JOIOC 14-space_pirate</v>
      </c>
      <c r="B1192" s="15" t="s">
        <v>7184</v>
      </c>
      <c r="C1192" s="17">
        <v>9</v>
      </c>
      <c r="D1192" s="69"/>
      <c r="E1192" s="31" t="s">
        <v>3650</v>
      </c>
      <c r="F1192" s="37"/>
      <c r="G1192" s="24"/>
      <c r="H1192" s="53"/>
    </row>
    <row r="1193" spans="1:8" ht="13.2">
      <c r="A1193" s="65" t="str">
        <f>HYPERLINK("https://oj.uz/problems/source/214","JOIOC 15-coloredTiles")</f>
        <v>JOIOC 15-coloredTiles</v>
      </c>
      <c r="B1193" s="47" t="s">
        <v>7526</v>
      </c>
      <c r="C1193" s="71"/>
      <c r="D1193" s="69"/>
      <c r="E1193" s="31" t="s">
        <v>7525</v>
      </c>
      <c r="F1193" s="37"/>
      <c r="G1193" s="24"/>
      <c r="H1193" s="53"/>
    </row>
    <row r="1194" spans="1:8" ht="13.2">
      <c r="A1194" s="65" t="str">
        <f>HYPERLINK("https://oj.uz/problem/view/JOI15_election_campaign","JOIOC 15-electionCampaign")</f>
        <v>JOIOC 15-electionCampaign</v>
      </c>
      <c r="B1194" s="20" t="s">
        <v>7547</v>
      </c>
      <c r="C1194" s="24">
        <v>6</v>
      </c>
      <c r="D1194" s="69"/>
      <c r="E1194" s="31" t="s">
        <v>7525</v>
      </c>
      <c r="F1194" s="37"/>
      <c r="G1194" s="24"/>
      <c r="H1194" s="53"/>
    </row>
    <row r="1195" spans="1:8" ht="13.2">
      <c r="A1195" s="65" t="str">
        <f>HYPERLINK("https://oj.uz/problem/view/JOI15_sterilizing","JOIOC 15-sterilizing")</f>
        <v>JOIOC 15-sterilizing</v>
      </c>
      <c r="B1195" s="23" t="s">
        <v>1017</v>
      </c>
      <c r="C1195" s="24">
        <v>5</v>
      </c>
      <c r="D1195" s="65" t="str">
        <f>HYPERLINK("https://github.com/SpeedOfMagic/CompetitiveProgramming/blob/master/JOIOC/15-sterilizing.cpp","Sol")</f>
        <v>Sol</v>
      </c>
      <c r="E1195" s="31" t="s">
        <v>1018</v>
      </c>
      <c r="F1195" s="37" t="s">
        <v>201</v>
      </c>
      <c r="G1195" s="24"/>
      <c r="H1195" s="53"/>
    </row>
    <row r="1196" spans="1:8" ht="13.2">
      <c r="A1196" s="65" t="str">
        <f>HYPERLINK("https://oj.uz/problem/view/JOI16_joiris","JOIOC 16-joiris")</f>
        <v>JOIOC 16-joiris</v>
      </c>
      <c r="B1196" s="23" t="s">
        <v>7339</v>
      </c>
      <c r="C1196" s="24">
        <v>7.1</v>
      </c>
      <c r="D1196" s="65" t="str">
        <f>HYPERLINK("https://github.com/mostafa-saad/MyCompetitiveProgramming/blob/master/Olympiad/JOI/JOIOC-16-joiris.txt","Sol")</f>
        <v>Sol</v>
      </c>
      <c r="E1196" s="31" t="s">
        <v>4867</v>
      </c>
      <c r="F1196" s="37" t="s">
        <v>154</v>
      </c>
      <c r="G1196" s="24"/>
      <c r="H1196" s="53"/>
    </row>
    <row r="1197" spans="1:8" ht="13.2">
      <c r="A1197" s="65" t="str">
        <f>HYPERLINK("https://oj.uz/problems/source/213","JOIOC 16-selling_rna")</f>
        <v>JOIOC 16-selling_rna</v>
      </c>
      <c r="B1197" s="15" t="s">
        <v>7368</v>
      </c>
      <c r="C1197" s="17">
        <v>7</v>
      </c>
      <c r="D1197" s="65" t="str">
        <f>HYPERLINK("https://github.com/mostafa-saad/MyCompetitiveProgramming/blob/master/Olympiad/JOI/JOIOC-16-selling_rna.txt","Sol")</f>
        <v>Sol</v>
      </c>
      <c r="E1197" s="31" t="s">
        <v>5643</v>
      </c>
      <c r="F1197" s="37" t="s">
        <v>139</v>
      </c>
      <c r="G1197" s="24"/>
      <c r="H1197" s="53"/>
    </row>
    <row r="1198" spans="1:8" ht="13.2">
      <c r="A1198" s="65" t="str">
        <f>HYPERLINK("https://oj.uz/problems/source/213","JOIOC 16-skyscraper")</f>
        <v>JOIOC 16-skyscraper</v>
      </c>
      <c r="B1198" s="18" t="s">
        <v>7491</v>
      </c>
      <c r="C1198" s="24">
        <v>7.25</v>
      </c>
      <c r="D1198" s="65" t="str">
        <f>HYPERLINK("http://codeforces.com/blog/entry/47764","Sol")</f>
        <v>Sol</v>
      </c>
      <c r="E1198" s="31" t="s">
        <v>7492</v>
      </c>
      <c r="F1198" s="37" t="s">
        <v>173</v>
      </c>
      <c r="G1198" s="24"/>
      <c r="H1198" s="53"/>
    </row>
    <row r="1199" spans="1:8" ht="13.2">
      <c r="A1199" s="65" t="str">
        <f>HYPERLINK("https://oj.uz/problem/view/JOI17_amusement_park","JOIOC 17-amusementPark")</f>
        <v>JOIOC 17-amusementPark</v>
      </c>
      <c r="B1199" s="37" t="s">
        <v>7138</v>
      </c>
      <c r="C1199" s="24">
        <v>6.5</v>
      </c>
      <c r="D1199" s="65" t="str">
        <f>HYPERLINK("https://github.com/mostafa-saad/MyCompetitiveProgramming/blob/master/Olympiad/JOI/JOIOC-17-amusementPark.txt","Sol")</f>
        <v>Sol</v>
      </c>
      <c r="E1199" s="31" t="s">
        <v>3257</v>
      </c>
      <c r="F1199" s="37"/>
      <c r="G1199" s="24"/>
      <c r="H1199" s="53"/>
    </row>
    <row r="1200" spans="1:8" ht="13.2">
      <c r="A1200" s="65" t="str">
        <f>HYPERLINK("https://oj.uz/problems/source/270","JOIOC 17-bulldozer")</f>
        <v>JOIOC 17-bulldozer</v>
      </c>
      <c r="B1200" s="23" t="s">
        <v>7062</v>
      </c>
      <c r="C1200" s="24">
        <v>7</v>
      </c>
      <c r="D1200" s="65" t="str">
        <f>HYPERLINK("https://github.com/mostafa-saad/MyCompetitiveProgramming/blob/master/Olympiad/JOI/JOIOC-17-bulldozer.txt","Sol")</f>
        <v>Sol</v>
      </c>
      <c r="E1200" s="31" t="s">
        <v>2510</v>
      </c>
      <c r="F1200" s="37" t="s">
        <v>154</v>
      </c>
      <c r="G1200" s="24"/>
      <c r="H1200" s="53"/>
    </row>
    <row r="1201" spans="1:8" ht="13.2">
      <c r="A1201" s="65" t="str">
        <f>HYPERLINK("https://oj.uz/problems/source/270","JOIOC 17-golf")</f>
        <v>JOIOC 17-golf</v>
      </c>
      <c r="B1201" s="15" t="s">
        <v>7527</v>
      </c>
      <c r="C1201" s="24">
        <v>8</v>
      </c>
      <c r="D1201" s="69"/>
      <c r="E1201" s="31" t="s">
        <v>7525</v>
      </c>
      <c r="F1201" s="37"/>
      <c r="G1201" s="24"/>
      <c r="H1201" s="53"/>
    </row>
    <row r="1202" spans="1:8" ht="13.2">
      <c r="A1202" s="65" t="str">
        <f>HYPERLINK("https://oj.uz/problem/view/JOI18_bubblesort2","JOIOC 18-bubblesort2")</f>
        <v>JOIOC 18-bubblesort2</v>
      </c>
      <c r="B1202" s="20" t="s">
        <v>7724</v>
      </c>
      <c r="C1202" s="21">
        <v>6</v>
      </c>
      <c r="D1202" s="65" t="str">
        <f>HYPERLINK("https://github.com/mostafa-saad/MyCompetitiveProgramming/blob/master/Olympiad/JOI/JOIOC-18-bubblesort2.txt","Sol")</f>
        <v>Sol</v>
      </c>
      <c r="E1202" s="31" t="s">
        <v>1018</v>
      </c>
      <c r="F1202" s="37" t="s">
        <v>139</v>
      </c>
      <c r="G1202" s="24"/>
      <c r="H1202" s="53"/>
    </row>
    <row r="1203" spans="1:8" ht="13.2">
      <c r="A1203" s="65" t="str">
        <f>HYPERLINK("https://oj.uz/problems/source/351","JOIOC 18-CatsorDogs")</f>
        <v>JOIOC 18-CatsorDogs</v>
      </c>
      <c r="B1203" s="20" t="s">
        <v>7500</v>
      </c>
      <c r="C1203" s="21">
        <v>6.75</v>
      </c>
      <c r="D1203" s="65" t="str">
        <f t="shared" ref="D1203:D1204" si="32">HYPERLINK("https://github.com/mostafa-saad/MyCompetitiveProgramming/tree/master/Olympiad/JOI/official/JOIOC/2018","Editorial")</f>
        <v>Editorial</v>
      </c>
      <c r="E1203" s="31" t="s">
        <v>6459</v>
      </c>
      <c r="F1203" s="37"/>
      <c r="G1203" s="24"/>
      <c r="H1203" s="53"/>
    </row>
    <row r="1204" spans="1:8" ht="13.2">
      <c r="A1204" s="65" t="str">
        <f>HYPERLINK("https://oj.uz/problems/source/351","JOIOC 18-Collapse")</f>
        <v>JOIOC 18-Collapse</v>
      </c>
      <c r="B1204" s="20" t="s">
        <v>6398</v>
      </c>
      <c r="C1204" s="21">
        <v>7.5</v>
      </c>
      <c r="D1204" s="65" t="str">
        <f t="shared" si="32"/>
        <v>Editorial</v>
      </c>
      <c r="E1204" s="31" t="s">
        <v>6397</v>
      </c>
      <c r="F1204" s="37"/>
      <c r="G1204" s="24"/>
      <c r="H1204" s="53"/>
    </row>
    <row r="1205" spans="1:8" ht="13.2">
      <c r="A1205" s="65" t="str">
        <f>HYPERLINK("https://oj.uz/problems/source/351","JOIOC 18-Xylophone")</f>
        <v>JOIOC 18-Xylophone</v>
      </c>
      <c r="B1205" s="20" t="s">
        <v>6575</v>
      </c>
      <c r="C1205" s="21">
        <v>5.5</v>
      </c>
      <c r="D1205" s="65" t="str">
        <f>HYPERLINK("https://github.com/mostafa-saad/MyCompetitiveProgramming/blob/master/Olympiad/JOI/JOIOC-18-Xylophone.txt","Sol")</f>
        <v>Sol</v>
      </c>
      <c r="E1205" s="31" t="s">
        <v>125</v>
      </c>
      <c r="F1205" s="37" t="s">
        <v>139</v>
      </c>
      <c r="G1205" s="24"/>
      <c r="H1205" s="53"/>
    </row>
    <row r="1206" spans="1:8" ht="13.2">
      <c r="A1206" s="65" t="str">
        <f>HYPERLINK("https://oj.uz/problem/view/JOI19_jumps","JOIOC 19-jumps")</f>
        <v>JOIOC 19-jumps</v>
      </c>
      <c r="B1206" s="37" t="s">
        <v>1017</v>
      </c>
      <c r="C1206" s="24">
        <v>7.5</v>
      </c>
      <c r="D1206" s="65" t="str">
        <f>HYPERLINK("https://github.com/tmwilliamlin168/CompetitiveProgramming/blob/master/JOI/19O-Jumps.cpp", "Sol (no editrial)")</f>
        <v>Sol (no editrial)</v>
      </c>
      <c r="E1206" s="31" t="s">
        <v>1018</v>
      </c>
      <c r="F1206" s="37" t="s">
        <v>201</v>
      </c>
      <c r="G1206" s="24"/>
      <c r="H1206" s="53"/>
    </row>
    <row r="1207" spans="1:8" ht="13.2">
      <c r="A1207" s="65" t="str">
        <f>HYPERLINK("https://oj.uz/problem/view/JOI19_remittance","JOIOC 19-Remittance")</f>
        <v>JOIOC 19-Remittance</v>
      </c>
      <c r="B1207" s="20" t="s">
        <v>6601</v>
      </c>
      <c r="C1207" s="17">
        <v>6.5</v>
      </c>
      <c r="D1207" s="65" t="str">
        <f>HYPERLINK("https://github.com/mostafa-saad/MyCompetitiveProgramming/blob/master/Olympiad/JOI/JOIOC-19-Remittance.txt","Sol")</f>
        <v>Sol</v>
      </c>
      <c r="E1207" s="31" t="s">
        <v>125</v>
      </c>
      <c r="F1207" s="37"/>
      <c r="G1207" s="24"/>
      <c r="H1207" s="53"/>
    </row>
    <row r="1208" spans="1:8" ht="13.2">
      <c r="A1208" s="65" t="str">
        <f>HYPERLINK("https://oj.uz/problem/view/JOI19_virus","JOIOC 19-Virus")</f>
        <v>JOIOC 19-Virus</v>
      </c>
      <c r="B1208" s="20" t="s">
        <v>7272</v>
      </c>
      <c r="C1208" s="17">
        <v>7.5</v>
      </c>
      <c r="D1208" s="65" t="str">
        <f>HYPERLINK("https://github.com/tmwilliamlin168/CompetitiveProgramming/blob/master/JOI/19O-Virus.cpp", "Sol (no editorial)")</f>
        <v>Sol (no editorial)</v>
      </c>
      <c r="E1208" s="31" t="s">
        <v>4344</v>
      </c>
      <c r="F1208" s="37" t="s">
        <v>139</v>
      </c>
      <c r="G1208" s="24"/>
      <c r="H1208" s="53"/>
    </row>
    <row r="1209" spans="1:8" ht="13.2">
      <c r="A1209" s="65" t="str">
        <f>HYPERLINK("https://joisc2013-day1.contest.atcoder.jp/tasks/joisc2013_bustour","JOISC 13-BusTour")</f>
        <v>JOISC 13-BusTour</v>
      </c>
      <c r="B1209" s="20" t="s">
        <v>7725</v>
      </c>
      <c r="C1209" s="24">
        <v>6</v>
      </c>
      <c r="D1209" s="69"/>
      <c r="E1209" s="31" t="s">
        <v>3784</v>
      </c>
      <c r="F1209" s="37"/>
      <c r="G1209" s="24"/>
      <c r="H1209" s="53"/>
    </row>
    <row r="1210" spans="1:8" ht="13.2">
      <c r="A1210" s="65" t="str">
        <f>HYPERLINK("https://joisc2013-day3.contest.atcoder.jp/tasks/joisc2013_cake","JOISC 13-Cake")</f>
        <v>JOISC 13-Cake</v>
      </c>
      <c r="B1210" s="20" t="s">
        <v>7726</v>
      </c>
      <c r="C1210" s="24">
        <v>7</v>
      </c>
      <c r="D1210" s="69"/>
      <c r="E1210" s="31" t="s">
        <v>7525</v>
      </c>
      <c r="F1210" s="37"/>
      <c r="G1210" s="24"/>
      <c r="H1210" s="53"/>
    </row>
    <row r="1211" spans="1:8" ht="13.2">
      <c r="A1211" s="65" t="str">
        <f>HYPERLINK("https://joisc2013-day1.contest.atcoder.jp/tasks/joisc2013_collecting","JOISC 13-Collecting")</f>
        <v>JOISC 13-Collecting</v>
      </c>
      <c r="B1211" s="20" t="s">
        <v>7727</v>
      </c>
      <c r="C1211" s="24">
        <v>5.5</v>
      </c>
      <c r="D1211" s="69"/>
      <c r="E1211" s="31" t="s">
        <v>1018</v>
      </c>
      <c r="F1211" s="37"/>
      <c r="G1211" s="24"/>
      <c r="H1211" s="53"/>
    </row>
    <row r="1212" spans="1:8" ht="13.2">
      <c r="A1212" s="65" t="str">
        <f>HYPERLINK("https://joisc2013-day2.contest.atcoder.jp/tasks/joisc2013_construction","JOISC 13-Construct")</f>
        <v>JOISC 13-Construct</v>
      </c>
      <c r="B1212" s="20" t="s">
        <v>7728</v>
      </c>
      <c r="C1212" s="24">
        <v>6.25</v>
      </c>
      <c r="D1212" s="69"/>
      <c r="E1212" s="31" t="s">
        <v>3883</v>
      </c>
      <c r="F1212" s="37"/>
      <c r="G1212" s="24"/>
      <c r="H1212" s="53"/>
    </row>
    <row r="1213" spans="1:8" ht="13.2">
      <c r="A1213" s="65" t="str">
        <f>HYPERLINK("https://joisc2013-day1.contest.atcoder.jp/tasks/joisc2013_communication","JOISC 13-Jamming")</f>
        <v>JOISC 13-Jamming</v>
      </c>
      <c r="B1213" s="20" t="s">
        <v>7729</v>
      </c>
      <c r="C1213" s="24">
        <v>6.5</v>
      </c>
      <c r="D1213" s="69"/>
      <c r="E1213" s="31" t="s">
        <v>3883</v>
      </c>
      <c r="F1213" s="37"/>
      <c r="G1213" s="24"/>
      <c r="H1213" s="53"/>
    </row>
    <row r="1214" spans="1:8" ht="13.2">
      <c r="A1214" s="65" t="str">
        <f>HYPERLINK("https://joisc2013-day2.contest.atcoder.jp/tasks/joisc2013_mascots","JOISC 13-Mascots")</f>
        <v>JOISC 13-Mascots</v>
      </c>
      <c r="B1214" s="20" t="s">
        <v>7730</v>
      </c>
      <c r="C1214" s="24">
        <v>5.5</v>
      </c>
      <c r="D1214" s="69"/>
      <c r="E1214" s="31" t="s">
        <v>1337</v>
      </c>
      <c r="F1214" s="37"/>
      <c r="G1214" s="24"/>
      <c r="H1214" s="53"/>
    </row>
    <row r="1215" spans="1:8" ht="13.2">
      <c r="A1215" s="65" t="str">
        <f>HYPERLINK("https://joisc2013-day4.contest.atcoder.jp/tasks/joisc2013_messenger","JOISC 13-Messenger")</f>
        <v>JOISC 13-Messenger</v>
      </c>
      <c r="B1215" s="20" t="s">
        <v>6610</v>
      </c>
      <c r="C1215" s="24">
        <v>6.25</v>
      </c>
      <c r="D1215" s="69"/>
      <c r="E1215" s="31" t="s">
        <v>125</v>
      </c>
      <c r="F1215" s="37"/>
      <c r="G1215" s="24"/>
      <c r="H1215" s="53"/>
    </row>
    <row r="1216" spans="1:8" ht="13.2">
      <c r="A1216" s="65" t="str">
        <f>HYPERLINK("https://joisc2013-day3.contest.atcoder.jp/tasks/joisc2013_mountain","JOISC 13-Mountain")</f>
        <v>JOISC 13-Mountain</v>
      </c>
      <c r="B1216" s="20" t="s">
        <v>6624</v>
      </c>
      <c r="C1216" s="24">
        <v>5.5</v>
      </c>
      <c r="D1216" s="69"/>
      <c r="E1216" s="31" t="s">
        <v>125</v>
      </c>
      <c r="F1216" s="37"/>
      <c r="G1216" s="24"/>
      <c r="H1216" s="53"/>
    </row>
    <row r="1217" spans="1:8" ht="13.2">
      <c r="A1217" s="65" t="str">
        <f>HYPERLINK("https://joisc2013-day1.contest.atcoder.jp/tasks/joisc2013_joi_poster","JOISC 13-Poster")</f>
        <v>JOISC 13-Poster</v>
      </c>
      <c r="B1217" s="20" t="s">
        <v>7731</v>
      </c>
      <c r="C1217" s="24">
        <v>5</v>
      </c>
      <c r="D1217" s="69"/>
      <c r="E1217" s="31" t="s">
        <v>5958</v>
      </c>
      <c r="F1217" s="37"/>
      <c r="G1217" s="24"/>
      <c r="H1217" s="53"/>
    </row>
    <row r="1218" spans="1:8" ht="13.2">
      <c r="A1218" s="65" t="str">
        <f>HYPERLINK("https://joisc2013-day4.contest.atcoder.jp/tasks/joisc2013_presents","JOISC 13-Presents")</f>
        <v>JOISC 13-Presents</v>
      </c>
      <c r="B1218" s="20" t="s">
        <v>7732</v>
      </c>
      <c r="C1218" s="24">
        <v>6</v>
      </c>
      <c r="D1218" s="69"/>
      <c r="E1218" s="31" t="s">
        <v>3257</v>
      </c>
      <c r="F1218" s="37"/>
      <c r="G1218" s="24"/>
      <c r="H1218" s="53"/>
    </row>
    <row r="1219" spans="1:8" ht="13.2">
      <c r="A1219" s="65" t="str">
        <f>HYPERLINK("https://joisc2013-day4.contest.atcoder.jp/tasks/joisc2013_spaceships","JOISC 13-Spaceships")</f>
        <v>JOISC 13-Spaceships</v>
      </c>
      <c r="B1219" s="20" t="s">
        <v>7733</v>
      </c>
      <c r="C1219" s="24">
        <v>5</v>
      </c>
      <c r="D1219" s="69"/>
      <c r="E1219" s="31" t="s">
        <v>5874</v>
      </c>
      <c r="F1219" s="37"/>
      <c r="G1219" s="24"/>
      <c r="H1219" s="53"/>
    </row>
    <row r="1220" spans="1:8" ht="13.2">
      <c r="A1220" s="65" t="str">
        <f>HYPERLINK("https://joisc2013-day2.contest.atcoder.jp/tasks/joisc2013_spy","JOISC 13-Spy")</f>
        <v>JOISC 13-Spy</v>
      </c>
      <c r="B1220" s="20" t="s">
        <v>7734</v>
      </c>
      <c r="C1220" s="24">
        <v>5.5</v>
      </c>
      <c r="D1220" s="69"/>
      <c r="E1220" s="31" t="s">
        <v>3650</v>
      </c>
      <c r="F1220" s="37"/>
      <c r="G1220" s="24"/>
      <c r="H1220" s="53"/>
    </row>
    <row r="1221" spans="1:8" ht="13.2">
      <c r="A1221" s="65" t="str">
        <f>HYPERLINK("https://joisc2014.contest.atcoder.jp/tasks/joisc2014_e","JOISC 14-Bottle")</f>
        <v>JOISC 14-Bottle</v>
      </c>
      <c r="B1221" s="20" t="s">
        <v>7735</v>
      </c>
      <c r="C1221" s="24">
        <v>6</v>
      </c>
      <c r="D1221" s="69"/>
      <c r="E1221" s="31" t="s">
        <v>7525</v>
      </c>
      <c r="F1221" s="37"/>
      <c r="G1221" s="24"/>
      <c r="H1221" s="53"/>
    </row>
    <row r="1222" spans="1:8" ht="13.2">
      <c r="A1222" s="65" t="str">
        <f>HYPERLINK("https://joisc2014.contest.atcoder.jp/tasks/joisc2014_a","JOISC 14-Bus")</f>
        <v>JOISC 14-Bus</v>
      </c>
      <c r="B1222" s="20" t="s">
        <v>7736</v>
      </c>
      <c r="C1222" s="24">
        <v>5</v>
      </c>
      <c r="D1222" s="69"/>
      <c r="E1222" s="31" t="s">
        <v>7525</v>
      </c>
      <c r="F1222" s="37"/>
      <c r="G1222" s="24"/>
      <c r="H1222" s="53"/>
    </row>
    <row r="1223" spans="1:8" ht="13.2">
      <c r="A1223" s="65" t="str">
        <f>HYPERLINK("https://joisc2014.contest.atcoder.jp/tasks/joisc2014_k","JOISC 14-Constella")</f>
        <v>JOISC 14-Constella</v>
      </c>
      <c r="B1223" s="20" t="s">
        <v>7737</v>
      </c>
      <c r="C1223" s="24">
        <v>7.5</v>
      </c>
      <c r="D1223" s="69"/>
      <c r="E1223" s="31" t="s">
        <v>7525</v>
      </c>
      <c r="F1223" s="37"/>
      <c r="G1223" s="24"/>
      <c r="H1223" s="53"/>
    </row>
    <row r="1224" spans="1:8" ht="13.2">
      <c r="A1224" s="65" t="str">
        <f>HYPERLINK("https://joisc2014.contest.atcoder.jp/tasks/joisc2014_f","JOISC 14-Friends")</f>
        <v>JOISC 14-Friends</v>
      </c>
      <c r="B1224" s="20" t="s">
        <v>7738</v>
      </c>
      <c r="C1224" s="24">
        <v>5.5</v>
      </c>
      <c r="D1224" s="69"/>
      <c r="E1224" s="31" t="s">
        <v>7525</v>
      </c>
      <c r="F1224" s="37"/>
      <c r="G1224" s="24"/>
      <c r="H1224" s="53"/>
    </row>
    <row r="1225" spans="1:8" ht="13.2">
      <c r="A1225" s="65" t="str">
        <f>HYPERLINK("https://joisc2014.contest.atcoder.jp/tasks/joisc2014_h","JOISC 14-JOIOJI")</f>
        <v>JOISC 14-JOIOJI</v>
      </c>
      <c r="B1225" s="20" t="s">
        <v>7739</v>
      </c>
      <c r="C1225" s="24">
        <v>4</v>
      </c>
      <c r="D1225" s="69"/>
      <c r="E1225" s="31" t="s">
        <v>7525</v>
      </c>
      <c r="F1225" s="37"/>
      <c r="G1225" s="24"/>
      <c r="H1225" s="53"/>
    </row>
    <row r="1226" spans="1:8" ht="13.2">
      <c r="A1226" s="65" t="str">
        <f>HYPERLINK("https://joisc2014.contest.atcoder.jp/tasks/joisc2014_l","JOISC 14-Kanji")</f>
        <v>JOISC 14-Kanji</v>
      </c>
      <c r="B1226" s="20" t="s">
        <v>7740</v>
      </c>
      <c r="C1226" s="24">
        <v>7</v>
      </c>
      <c r="D1226" s="69"/>
      <c r="E1226" s="31" t="s">
        <v>7525</v>
      </c>
      <c r="F1226" s="37"/>
      <c r="G1226" s="24"/>
      <c r="H1226" s="53"/>
    </row>
    <row r="1227" spans="1:8" ht="13.2">
      <c r="A1227" s="65" t="str">
        <f>HYPERLINK("https://joisc2014.contest.atcoder.jp/tasks/joisc2014_d","JOISC 14-Ramen")</f>
        <v>JOISC 14-Ramen</v>
      </c>
      <c r="B1227" s="20" t="s">
        <v>7741</v>
      </c>
      <c r="C1227" s="24">
        <v>6</v>
      </c>
      <c r="D1227" s="69"/>
      <c r="E1227" s="31" t="s">
        <v>7525</v>
      </c>
      <c r="F1227" s="37"/>
      <c r="G1227" s="24"/>
      <c r="H1227" s="53"/>
    </row>
    <row r="1228" spans="1:8" ht="13.2">
      <c r="A1228" s="65" t="str">
        <f>HYPERLINK("https://joisc2014.contest.atcoder.jp/tasks/joisc2014_i","JOISC 14-Scarecrow")</f>
        <v>JOISC 14-Scarecrow</v>
      </c>
      <c r="B1228" s="20" t="s">
        <v>7742</v>
      </c>
      <c r="C1228" s="24">
        <v>7</v>
      </c>
      <c r="D1228" s="69"/>
      <c r="E1228" s="31" t="s">
        <v>7525</v>
      </c>
      <c r="F1228" s="37"/>
      <c r="G1228" s="24"/>
      <c r="H1228" s="53"/>
    </row>
    <row r="1229" spans="1:8" ht="13.2">
      <c r="A1229" s="65" t="str">
        <f>HYPERLINK("https://joisc2014.contest.atcoder.jp/tasks/joisc2014_g","JOISC 14-Stamps")</f>
        <v>JOISC 14-Stamps</v>
      </c>
      <c r="B1229" s="20" t="s">
        <v>7743</v>
      </c>
      <c r="C1229" s="24">
        <v>6</v>
      </c>
      <c r="D1229" s="69"/>
      <c r="E1229" s="31" t="s">
        <v>7525</v>
      </c>
      <c r="F1229" s="37"/>
      <c r="G1229" s="24"/>
      <c r="H1229" s="53"/>
    </row>
    <row r="1230" spans="1:8" ht="13.2">
      <c r="A1230" s="65" t="str">
        <f>HYPERLINK("https://joisc2014.contest.atcoder.jp/tasks/joisc2014_m","JOISC 14-Straps")</f>
        <v>JOISC 14-Straps</v>
      </c>
      <c r="B1230" s="20" t="s">
        <v>7744</v>
      </c>
      <c r="C1230" s="24">
        <v>5</v>
      </c>
      <c r="D1230" s="69"/>
      <c r="E1230" s="31" t="s">
        <v>7525</v>
      </c>
      <c r="F1230" s="37"/>
      <c r="G1230" s="24"/>
      <c r="H1230" s="53"/>
    </row>
    <row r="1231" spans="1:8" ht="13.2">
      <c r="A1231" s="65" t="str">
        <f>HYPERLINK("https://joisc2014.contest.atcoder.jp/tasks/joisc2014_b","JOISC 14-Vegetable")</f>
        <v>JOISC 14-Vegetable</v>
      </c>
      <c r="B1231" s="20" t="s">
        <v>7745</v>
      </c>
      <c r="C1231" s="24">
        <v>5</v>
      </c>
      <c r="D1231" s="69"/>
      <c r="E1231" s="31" t="s">
        <v>7525</v>
      </c>
      <c r="F1231" s="37"/>
      <c r="G1231" s="24"/>
      <c r="H1231" s="53"/>
    </row>
    <row r="1232" spans="1:8" ht="13.2">
      <c r="A1232" s="65" t="str">
        <f>HYPERLINK("https://joisc2014.contest.atcoder.jp/tasks/joisc2014_j","JOISC 14-Voltage")</f>
        <v>JOISC 14-Voltage</v>
      </c>
      <c r="B1232" s="20" t="s">
        <v>7746</v>
      </c>
      <c r="C1232" s="24">
        <v>6.25</v>
      </c>
      <c r="D1232" s="69"/>
      <c r="E1232" s="31" t="s">
        <v>7525</v>
      </c>
      <c r="F1232" s="37"/>
      <c r="G1232" s="24"/>
      <c r="H1232" s="53"/>
    </row>
    <row r="1233" spans="1:8" ht="13.2">
      <c r="A1233" s="65" t="str">
        <f>HYPERLINK("https://dunjudge.me/analysis/problems/771/","JOISC 15-aaqqz")</f>
        <v>JOISC 15-aaqqz</v>
      </c>
      <c r="B1233" s="20" t="s">
        <v>7527</v>
      </c>
      <c r="C1233" s="24">
        <v>8</v>
      </c>
      <c r="D1233" s="69"/>
      <c r="E1233" s="31" t="s">
        <v>7525</v>
      </c>
      <c r="F1233" s="37"/>
      <c r="G1233" s="24"/>
      <c r="H1233" s="53"/>
    </row>
    <row r="1234" spans="1:8" ht="13.2">
      <c r="A1234" s="65" t="str">
        <f>HYPERLINK("https://joisc2015.contest.atcoder.jp/tasks/joisc2015_e","JOISC 15-Building3")</f>
        <v>JOISC 15-Building3</v>
      </c>
      <c r="B1234" s="20" t="s">
        <v>7747</v>
      </c>
      <c r="C1234" s="24">
        <v>6</v>
      </c>
      <c r="D1234" s="69"/>
      <c r="E1234" s="31" t="s">
        <v>7525</v>
      </c>
      <c r="F1234" s="37"/>
      <c r="G1234" s="24"/>
      <c r="H1234" s="53"/>
    </row>
    <row r="1235" spans="1:8" ht="13.2">
      <c r="A1235" s="65" t="str">
        <f>HYPERLINK("https://joisc2015.contest.atcoder.jp/tasks/joisc2015_i","JOISC 15-CardGame")</f>
        <v>JOISC 15-CardGame</v>
      </c>
      <c r="B1235" s="20" t="s">
        <v>7748</v>
      </c>
      <c r="C1235" s="24">
        <v>6</v>
      </c>
      <c r="D1235" s="69"/>
      <c r="E1235" s="31" t="s">
        <v>7525</v>
      </c>
      <c r="F1235" s="37"/>
      <c r="G1235" s="24"/>
      <c r="H1235" s="53"/>
    </row>
    <row r="1236" spans="1:8" ht="13.2">
      <c r="A1236" s="65" t="str">
        <f>HYPERLINK("https://joisc2015.contest.atcoder.jp/tasks/joisc2015_a","JOISC 15-Copypaste2")</f>
        <v>JOISC 15-Copypaste2</v>
      </c>
      <c r="B1236" s="20" t="s">
        <v>7749</v>
      </c>
      <c r="C1236" s="24">
        <v>5.5</v>
      </c>
      <c r="D1236" s="69"/>
      <c r="E1236" s="31" t="s">
        <v>7525</v>
      </c>
      <c r="F1236" s="37"/>
      <c r="G1236" s="24"/>
      <c r="H1236" s="53"/>
    </row>
    <row r="1237" spans="1:8" ht="13.2">
      <c r="A1237" s="65" t="str">
        <f>HYPERLINK("https://dunjudge.me/analysis/problems/732/","JOISC 15-inheritance")</f>
        <v>JOISC 15-inheritance</v>
      </c>
      <c r="B1237" s="20" t="s">
        <v>3882</v>
      </c>
      <c r="C1237" s="24">
        <v>6</v>
      </c>
      <c r="D1237" s="65" t="str">
        <f>HYPERLINK("https://github.com/mostafa-saad/MyCompetitiveProgramming/blob/master/Olympiad/JOI/JOISC-15-inheritance.txt","Sol")</f>
        <v>Sol</v>
      </c>
      <c r="E1237" s="31" t="s">
        <v>3883</v>
      </c>
      <c r="F1237" s="37" t="s">
        <v>154</v>
      </c>
      <c r="G1237" s="24"/>
      <c r="H1237" s="53"/>
    </row>
    <row r="1238" spans="1:8" ht="13.2">
      <c r="A1238" s="65" t="str">
        <f>HYPERLINK("https://dunjudge.me/analysis/problems/742/","JOISC 15-ioioi_cards")</f>
        <v>JOISC 15-ioioi_cards</v>
      </c>
      <c r="B1238" s="20" t="s">
        <v>7527</v>
      </c>
      <c r="C1238" s="24">
        <v>7.5</v>
      </c>
      <c r="D1238" s="69"/>
      <c r="E1238" s="31" t="s">
        <v>7525</v>
      </c>
      <c r="F1238" s="37"/>
      <c r="G1238" s="24"/>
      <c r="H1238" s="53"/>
    </row>
    <row r="1239" spans="1:8" ht="13.2">
      <c r="A1239" s="65" t="str">
        <f>HYPERLINK("https://dunjudge.me/analysis/problems/751/","JOISC 15-keys")</f>
        <v>JOISC 15-keys</v>
      </c>
      <c r="B1239" s="20" t="s">
        <v>7527</v>
      </c>
      <c r="C1239" s="24">
        <v>8</v>
      </c>
      <c r="D1239" s="69"/>
      <c r="E1239" s="31" t="s">
        <v>7525</v>
      </c>
      <c r="F1239" s="37"/>
      <c r="G1239" s="24"/>
      <c r="H1239" s="53"/>
    </row>
    <row r="1240" spans="1:8" ht="13.2">
      <c r="A1240" s="65" t="str">
        <f>HYPERLINK("https://joisc2015.contest.atcoder.jp/tasks/joisc2015_b","JOISC 15-Logo")</f>
        <v>JOISC 15-Logo</v>
      </c>
      <c r="B1240" s="20" t="s">
        <v>7750</v>
      </c>
      <c r="C1240" s="24">
        <v>5</v>
      </c>
      <c r="D1240" s="69"/>
      <c r="E1240" s="31" t="s">
        <v>7525</v>
      </c>
      <c r="F1240" s="37"/>
      <c r="G1240" s="24"/>
      <c r="H1240" s="53"/>
    </row>
    <row r="1241" spans="1:8" ht="13.2">
      <c r="A1241" s="65" t="str">
        <f>HYPERLINK("https://dunjudge.me/analysis/problems/801/","JOISC 15-memory")</f>
        <v>JOISC 15-memory</v>
      </c>
      <c r="B1241" s="20" t="s">
        <v>7527</v>
      </c>
      <c r="C1241" s="24">
        <v>8</v>
      </c>
      <c r="D1241" s="69"/>
      <c r="E1241" s="31" t="s">
        <v>7525</v>
      </c>
      <c r="F1241" s="37"/>
      <c r="G1241" s="24"/>
      <c r="H1241" s="53"/>
    </row>
    <row r="1242" spans="1:8" ht="13.2">
      <c r="A1242" s="65" t="str">
        <f>HYPERLINK("https://dunjudge.me/analysis/problems/762/","JOISC 15-navigation")</f>
        <v>JOISC 15-navigation</v>
      </c>
      <c r="B1242" s="37" t="s">
        <v>7186</v>
      </c>
      <c r="C1242" s="24">
        <v>6.8</v>
      </c>
      <c r="D1242" s="65" t="str">
        <f>HYPERLINK("https://ivaniscoding.wordpress.com/2018/08/25/communication-2-navigation/","Sol")</f>
        <v>Sol</v>
      </c>
      <c r="E1242" s="31" t="s">
        <v>3650</v>
      </c>
      <c r="F1242" s="37" t="s">
        <v>154</v>
      </c>
      <c r="G1242" s="24"/>
      <c r="H1242" s="53"/>
    </row>
    <row r="1243" spans="1:8" ht="13.2">
      <c r="A1243" s="65" t="str">
        <f>HYPERLINK("https://joisc2015.contest.atcoder.jp/tasks/joisc2015_g","JOISC 15-Road")</f>
        <v>JOISC 15-Road</v>
      </c>
      <c r="B1243" s="20" t="s">
        <v>7751</v>
      </c>
      <c r="C1243" s="24">
        <v>5.5</v>
      </c>
      <c r="D1243" s="69"/>
      <c r="E1243" s="31" t="s">
        <v>7525</v>
      </c>
      <c r="F1243" s="37"/>
      <c r="G1243" s="24"/>
      <c r="H1243" s="53"/>
    </row>
    <row r="1244" spans="1:8" ht="13.2">
      <c r="A1244" s="65" t="str">
        <f>HYPERLINK("https://joisc2015.contest.atcoder.jp/tasks/joisc2015_c","JOISC 15-Vegetable2")</f>
        <v>JOISC 15-Vegetable2</v>
      </c>
      <c r="B1244" s="20" t="s">
        <v>7752</v>
      </c>
      <c r="C1244" s="24">
        <v>6</v>
      </c>
      <c r="D1244" s="69"/>
      <c r="E1244" s="31" t="s">
        <v>7525</v>
      </c>
      <c r="F1244" s="37"/>
      <c r="G1244" s="24"/>
      <c r="H1244" s="53"/>
    </row>
    <row r="1245" spans="1:8" ht="13.2">
      <c r="A1245" s="65" t="str">
        <f>HYPERLINK("https://joisc2015.contest.atcoder.jp/tasks/joisc2015_m","JOISC 15-Walls")</f>
        <v>JOISC 15-Walls</v>
      </c>
      <c r="B1245" s="20" t="s">
        <v>7753</v>
      </c>
      <c r="C1245" s="24">
        <v>7</v>
      </c>
      <c r="D1245" s="69"/>
      <c r="E1245" s="31" t="s">
        <v>7525</v>
      </c>
      <c r="F1245" s="37"/>
      <c r="G1245" s="24"/>
      <c r="H1245" s="53"/>
    </row>
    <row r="1246" spans="1:8" ht="13.2">
      <c r="A1246" s="65" t="str">
        <f>HYPERLINK("https://joisc2016.contest.atcoder.jp/tasks/joisc2016_g","JOISC 16-Dungeon2")</f>
        <v>JOISC 16-Dungeon2</v>
      </c>
      <c r="B1246" s="20" t="s">
        <v>7754</v>
      </c>
      <c r="C1246" s="24">
        <v>7.5</v>
      </c>
      <c r="D1246" s="69"/>
      <c r="E1246" s="31" t="s">
        <v>7525</v>
      </c>
      <c r="F1246" s="37"/>
      <c r="G1246" s="24"/>
      <c r="H1246" s="53"/>
    </row>
    <row r="1247" spans="1:8" ht="13.2">
      <c r="A1247" s="65" t="str">
        <f>HYPERLINK("https://joisc2016.contest.atcoder.jp/tasks/joisc2016_d","JOISC 16-Employment")</f>
        <v>JOISC 16-Employment</v>
      </c>
      <c r="B1247" s="20" t="s">
        <v>7755</v>
      </c>
      <c r="C1247" s="24">
        <v>6</v>
      </c>
      <c r="D1247" s="69"/>
      <c r="E1247" s="31" t="s">
        <v>7525</v>
      </c>
      <c r="F1247" s="37"/>
      <c r="G1247" s="24"/>
      <c r="H1247" s="53"/>
    </row>
    <row r="1248" spans="1:8" ht="13.2">
      <c r="A1248" s="65" t="str">
        <f>HYPERLINK("https://joisc2016.contest.atcoder.jp/tasks/joisc2016_a","JOISC 16-Matryoshka")</f>
        <v>JOISC 16-Matryoshka</v>
      </c>
      <c r="B1248" s="20" t="s">
        <v>7756</v>
      </c>
      <c r="C1248" s="24">
        <v>6</v>
      </c>
      <c r="D1248" s="69"/>
      <c r="E1248" s="31" t="s">
        <v>7525</v>
      </c>
      <c r="F1248" s="37"/>
      <c r="G1248" s="24"/>
      <c r="H1248" s="53"/>
    </row>
    <row r="1249" spans="1:8" ht="13.2">
      <c r="A1249" s="65" t="str">
        <f>HYPERLINK("https://joisc2016.contest.atcoder.jp/tasks/joisc2016_b","JOISC 16-Memory2")</f>
        <v>JOISC 16-Memory2</v>
      </c>
      <c r="B1249" s="20" t="s">
        <v>7757</v>
      </c>
      <c r="C1249" s="24">
        <v>7</v>
      </c>
      <c r="D1249" s="69"/>
      <c r="E1249" s="31" t="s">
        <v>7525</v>
      </c>
      <c r="F1249" s="37"/>
      <c r="G1249" s="24"/>
      <c r="H1249" s="53"/>
    </row>
    <row r="1250" spans="1:8" ht="13.2">
      <c r="A1250" s="65" t="str">
        <f>HYPERLINK("https://joisc2016.contest.atcoder.jp/tasks/joisc2016_l","JOISC 16-Reporter2")</f>
        <v>JOISC 16-Reporter2</v>
      </c>
      <c r="B1250" s="20" t="s">
        <v>7758</v>
      </c>
      <c r="C1250" s="24">
        <v>6</v>
      </c>
      <c r="D1250" s="69"/>
      <c r="E1250" s="31" t="s">
        <v>7525</v>
      </c>
      <c r="F1250" s="37"/>
      <c r="G1250" s="24"/>
      <c r="H1250" s="53"/>
    </row>
    <row r="1251" spans="1:8" ht="13.2">
      <c r="A1251" s="65" t="str">
        <f>HYPERLINK("https://joisc2016.contest.atcoder.jp/tasks/joisc2016_e","JOISC 16-Sandwich")</f>
        <v>JOISC 16-Sandwich</v>
      </c>
      <c r="B1251" s="20" t="s">
        <v>7759</v>
      </c>
      <c r="C1251" s="24">
        <v>6.25</v>
      </c>
      <c r="D1251" s="69"/>
      <c r="E1251" s="31" t="s">
        <v>7525</v>
      </c>
      <c r="F1251" s="37"/>
      <c r="G1251" s="24"/>
      <c r="H1251" s="53"/>
    </row>
    <row r="1252" spans="1:8" ht="13.2">
      <c r="A1252" s="65" t="str">
        <f>HYPERLINK("https://joisc2016.contest.atcoder.jp/tasks/joisc2016_j","JOISC 16-Skating")</f>
        <v>JOISC 16-Skating</v>
      </c>
      <c r="B1252" s="20" t="s">
        <v>7760</v>
      </c>
      <c r="C1252" s="24">
        <v>6.25</v>
      </c>
      <c r="D1252" s="69"/>
      <c r="E1252" s="31" t="s">
        <v>7525</v>
      </c>
      <c r="F1252" s="37"/>
      <c r="G1252" s="24"/>
      <c r="H1252" s="53"/>
    </row>
    <row r="1253" spans="1:8" ht="13.2">
      <c r="A1253" s="65" t="str">
        <f>HYPERLINK("https://joisc2016.contest.atcoder.jp/tasks/joisc2016_k","JOISC 16-Snowy")</f>
        <v>JOISC 16-Snowy</v>
      </c>
      <c r="B1253" s="20" t="s">
        <v>7761</v>
      </c>
      <c r="C1253" s="24">
        <v>7.5</v>
      </c>
      <c r="D1253" s="69"/>
      <c r="E1253" s="31" t="s">
        <v>7525</v>
      </c>
      <c r="F1253" s="37"/>
      <c r="G1253" s="24"/>
      <c r="H1253" s="53"/>
    </row>
    <row r="1254" spans="1:8" ht="13.2">
      <c r="A1254" s="65" t="str">
        <f>HYPERLINK("https://joisc2016.contest.atcoder.jp/tasks/joisc2016_c","JOISC 16-Solitaire")</f>
        <v>JOISC 16-Solitaire</v>
      </c>
      <c r="B1254" s="20" t="s">
        <v>7762</v>
      </c>
      <c r="C1254" s="24">
        <v>6.25</v>
      </c>
      <c r="D1254" s="69"/>
      <c r="E1254" s="31" t="s">
        <v>7525</v>
      </c>
      <c r="F1254" s="37"/>
      <c r="G1254" s="24"/>
      <c r="H1254" s="53"/>
    </row>
    <row r="1255" spans="1:8" ht="13.2">
      <c r="A1255" s="65" t="str">
        <f>HYPERLINK("https://joisc2016.contest.atcoder.jp/tasks/joisc2016_h","JOISC 16-Sushi")</f>
        <v>JOISC 16-Sushi</v>
      </c>
      <c r="B1255" s="20" t="s">
        <v>7763</v>
      </c>
      <c r="C1255" s="24">
        <v>6.25</v>
      </c>
      <c r="D1255" s="69"/>
      <c r="E1255" s="31" t="s">
        <v>7525</v>
      </c>
      <c r="F1255" s="37"/>
      <c r="G1255" s="24"/>
      <c r="H1255" s="53"/>
    </row>
    <row r="1256" spans="1:8" ht="13.2">
      <c r="A1256" s="65" t="str">
        <f>HYPERLINK("https://joisc2016.contest.atcoder.jp/tasks/joisc2016_i","JOISC 16-Telegraph")</f>
        <v>JOISC 16-Telegraph</v>
      </c>
      <c r="B1256" s="20" t="s">
        <v>7764</v>
      </c>
      <c r="C1256" s="24">
        <v>6</v>
      </c>
      <c r="D1256" s="69"/>
      <c r="E1256" s="31" t="s">
        <v>7525</v>
      </c>
      <c r="F1256" s="37"/>
      <c r="G1256" s="24"/>
      <c r="H1256" s="53"/>
    </row>
    <row r="1257" spans="1:8" ht="13.2">
      <c r="A1257" s="65" t="str">
        <f>HYPERLINK("https://joisc2016.contest.atcoder.jp/tasks/joisc2016_f","JOISC 16-Toilets")</f>
        <v>JOISC 16-Toilets</v>
      </c>
      <c r="B1257" s="20" t="s">
        <v>7765</v>
      </c>
      <c r="C1257" s="24">
        <v>6.25</v>
      </c>
      <c r="D1257" s="69"/>
      <c r="E1257" s="31" t="s">
        <v>7525</v>
      </c>
      <c r="F1257" s="37"/>
      <c r="G1257" s="24"/>
      <c r="H1257" s="53"/>
    </row>
    <row r="1258" spans="1:8" ht="16.5" customHeight="1">
      <c r="A1258" s="65" t="str">
        <f>HYPERLINK("https://oj.uz/problem/view/JOI17_abduction2","JOISC 17-abduction2")</f>
        <v>JOISC 17-abduction2</v>
      </c>
      <c r="B1258" s="20" t="s">
        <v>6841</v>
      </c>
      <c r="C1258" s="24">
        <v>6.75</v>
      </c>
      <c r="D1258" s="65" t="str">
        <f>HYPERLINK("https://github.com/mostafa-saad/MyCompetitiveProgramming/blob/master/Olympiad/JOI/JOISC-17-abduction2.txt","Sol")</f>
        <v>Sol</v>
      </c>
      <c r="E1258" s="31" t="s">
        <v>1337</v>
      </c>
      <c r="F1258" s="37" t="s">
        <v>139</v>
      </c>
      <c r="G1258" s="24"/>
      <c r="H1258" s="53"/>
    </row>
    <row r="1259" spans="1:8" ht="13.2">
      <c r="A1259" s="65" t="str">
        <f>HYPERLINK("https://oj.uz/problem/view/JOI17_arranging_tickets","JOISC 17-arranging_tickets")</f>
        <v>JOISC 17-arranging_tickets</v>
      </c>
      <c r="B1259" s="23" t="s">
        <v>814</v>
      </c>
      <c r="C1259" s="24">
        <v>7</v>
      </c>
      <c r="D1259" s="65" t="str">
        <f>HYPERLINK("https://github.com/mostafa-saad/MyCompetitiveProgramming/blob/master/Olympiad/JOI/JOISC-17-arranging_tickets.txt","Sol")</f>
        <v>Sol</v>
      </c>
      <c r="E1259" s="31" t="s">
        <v>805</v>
      </c>
      <c r="F1259" s="37" t="s">
        <v>201</v>
      </c>
      <c r="G1259" s="24"/>
      <c r="H1259" s="53"/>
    </row>
    <row r="1260" spans="1:8" ht="13.2">
      <c r="A1260" s="65" t="str">
        <f>HYPERLINK("https://oj.uz/problem/view/JOI17_broken_device","JOISC 17-broken_device")</f>
        <v>JOISC 17-broken_device</v>
      </c>
      <c r="B1260" s="20" t="s">
        <v>7401</v>
      </c>
      <c r="C1260" s="24">
        <v>6</v>
      </c>
      <c r="D1260" s="65" t="str">
        <f>HYPERLINK("https://ivaniscoding.wordpress.com/2018/08/25/communication-3-broken-device/","Sol")</f>
        <v>Sol</v>
      </c>
      <c r="E1260" s="31" t="s">
        <v>5958</v>
      </c>
      <c r="F1260" s="37"/>
      <c r="G1260" s="24"/>
      <c r="H1260" s="53"/>
    </row>
    <row r="1261" spans="1:8" ht="13.2">
      <c r="A1261" s="65" t="str">
        <f>HYPERLINK("https://oj.uz/problem/view/JOI17_city","JOISC 17-city")</f>
        <v>JOISC 17-city</v>
      </c>
      <c r="B1261" s="20" t="s">
        <v>7113</v>
      </c>
      <c r="C1261" s="24">
        <v>7.5</v>
      </c>
      <c r="D1261" s="65" t="str">
        <f>HYPERLINK("https://github.com/mostafa-saad/MyCompetitiveProgramming/blob/master/Olympiad/JOI/JOISC-17-city.txt","Sol")</f>
        <v>Sol</v>
      </c>
      <c r="E1261" s="31" t="s">
        <v>3257</v>
      </c>
      <c r="F1261" s="37" t="s">
        <v>154</v>
      </c>
      <c r="G1261" s="24"/>
      <c r="H1261" s="53"/>
    </row>
    <row r="1262" spans="1:8" ht="13.2">
      <c r="A1262" s="65" t="str">
        <f>HYPERLINK("https://oj.uz/problem/view/JOI17_coach","JOISC 17-coach")</f>
        <v>JOISC 17-coach</v>
      </c>
      <c r="B1262" s="20" t="s">
        <v>6361</v>
      </c>
      <c r="C1262" s="24">
        <v>7.25</v>
      </c>
      <c r="D1262" s="65" t="str">
        <f>HYPERLINK("https://github.com/tmwilliamlin168/CompetitiveProgramming/blob/master/JOI/17SC-Coach.cpp", "Sol")</f>
        <v>Sol</v>
      </c>
      <c r="E1262" s="31" t="s">
        <v>6362</v>
      </c>
      <c r="F1262" s="37" t="s">
        <v>154</v>
      </c>
      <c r="G1262" s="24"/>
      <c r="H1262" s="53"/>
    </row>
    <row r="1263" spans="1:8" ht="13.2">
      <c r="A1263" s="65" t="str">
        <f>HYPERLINK("https://oj.uz/problem/view/JOI17_cultivation","JOISC 17-cultivation")</f>
        <v>JOISC 17-cultivation</v>
      </c>
      <c r="B1263" s="20" t="s">
        <v>7104</v>
      </c>
      <c r="C1263" s="24">
        <v>7</v>
      </c>
      <c r="D1263" s="65" t="str">
        <f>HYPERLINK("https://github.com/mostafa-saad/MyCompetitiveProgramming/blob/master/Olympiad/JOI/official/JOISC/2017/2017.txt","Sol")</f>
        <v>Sol</v>
      </c>
      <c r="E1263" s="31" t="s">
        <v>3140</v>
      </c>
      <c r="F1263" s="37"/>
      <c r="G1263" s="24"/>
      <c r="H1263" s="53"/>
    </row>
    <row r="1264" spans="1:8" ht="13.2">
      <c r="A1264" s="65" t="str">
        <f>HYPERLINK("https://oj.uz/problem/view/JOI17_dragon2","JOISC 17-dragon2")</f>
        <v>JOISC 17-dragon2</v>
      </c>
      <c r="B1264" s="20" t="s">
        <v>7102</v>
      </c>
      <c r="C1264" s="24">
        <v>7.1</v>
      </c>
      <c r="D1264" s="65" t="str">
        <f>HYPERLINK("https://github.com/mostafa-saad/MyCompetitiveProgramming/blob/master/Olympiad/POI/JOI/JOISC-17-dragon2.txt","Sol")</f>
        <v>Sol</v>
      </c>
      <c r="E1264" s="31" t="s">
        <v>3140</v>
      </c>
      <c r="F1264" s="37" t="s">
        <v>139</v>
      </c>
      <c r="G1264" s="24"/>
      <c r="H1264" s="53"/>
    </row>
    <row r="1265" spans="1:8" ht="13.2">
      <c r="A1265" s="65" t="str">
        <f>HYPERLINK("https://oj.uz/problem/view/JOI17_long_mansion","JOISC 17-long_mansion")</f>
        <v>JOISC 17-long_mansion</v>
      </c>
      <c r="B1265" s="20" t="s">
        <v>7004</v>
      </c>
      <c r="C1265" s="24">
        <v>6.25</v>
      </c>
      <c r="D1265" s="65" t="str">
        <f>HYPERLINK("https://github.com/nikolapesic2802/Programming-Practice/blob/master/Long%20Mansion/main.cpp","Sol")</f>
        <v>Sol</v>
      </c>
      <c r="E1265" s="31" t="s">
        <v>2153</v>
      </c>
      <c r="F1265" s="37"/>
      <c r="G1265" s="24"/>
      <c r="H1265" s="53"/>
    </row>
    <row r="1266" spans="1:8" ht="13.2">
      <c r="A1266" s="65" t="str">
        <f>HYPERLINK("https://oj.uz/problem/view/JOI17_park","JOISC 17-park")</f>
        <v>JOISC 17-park</v>
      </c>
      <c r="B1266" s="20" t="s">
        <v>6713</v>
      </c>
      <c r="C1266" s="24">
        <v>7.75</v>
      </c>
      <c r="D1266" s="65" t="str">
        <f>HYPERLINK("https://github.com/mostafa-saad/MyCompetitiveProgramming/blob/master/Olympiad/JOI/JOISC-17-park.txt","Sol")</f>
        <v>Sol</v>
      </c>
      <c r="E1266" s="31" t="s">
        <v>805</v>
      </c>
      <c r="F1266" s="37" t="s">
        <v>139</v>
      </c>
      <c r="G1266" s="24"/>
      <c r="H1266" s="53"/>
    </row>
    <row r="1267" spans="1:8" ht="13.2">
      <c r="A1267" s="65" t="str">
        <f>HYPERLINK("https://oj.uz/problem/view/JOI17_port_facility","JOISC 17-PortFacility")</f>
        <v>JOISC 17-PortFacility</v>
      </c>
      <c r="B1267" s="20" t="s">
        <v>6765</v>
      </c>
      <c r="C1267" s="21">
        <v>6.75</v>
      </c>
      <c r="D1267" s="65" t="str">
        <f>HYPERLINK("https://github.com/mostafa-saad/MyCompetitiveProgramming/blob/master/Olympiad/JOI/JOISC-17-PortFacility.txt","Sol")</f>
        <v>Sol</v>
      </c>
      <c r="E1267" s="31" t="s">
        <v>1018</v>
      </c>
      <c r="F1267" s="37" t="s">
        <v>196</v>
      </c>
      <c r="G1267" s="24"/>
      <c r="H1267" s="53"/>
    </row>
    <row r="1268" spans="1:8" ht="13.2">
      <c r="A1268" s="65" t="str">
        <f>HYPERLINK("https://oj.uz/problem/view/JOI17_railway_trip","JOISC 17-railway_trip")</f>
        <v>JOISC 17-railway_trip</v>
      </c>
      <c r="B1268" s="20" t="s">
        <v>6748</v>
      </c>
      <c r="C1268" s="24">
        <v>7.5</v>
      </c>
      <c r="D1268" s="65" t="str">
        <f>HYPERLINK("https://github.com/mostafa-saad/MyCompetitiveProgramming/blob/master/Olympiad/JOI/JOISC-17-railway_trip.txt","Sol")</f>
        <v>Sol</v>
      </c>
      <c r="E1268" s="31" t="s">
        <v>1018</v>
      </c>
      <c r="F1268" s="37" t="s">
        <v>139</v>
      </c>
      <c r="G1268" s="24"/>
      <c r="H1268" s="53"/>
    </row>
    <row r="1269" spans="1:8" ht="13.2">
      <c r="A1269" s="65" t="str">
        <f>HYPERLINK("https://oj.uz/problem/view/JOI17_sparklers","JOISC 17-sparklers")</f>
        <v>JOISC 17-sparklers</v>
      </c>
      <c r="B1269" s="20" t="s">
        <v>7022</v>
      </c>
      <c r="C1269" s="24">
        <v>5.5</v>
      </c>
      <c r="D1269" s="65" t="str">
        <f>HYPERLINK("https://github.com/nikolapesic2802/Programming-Practice/blob/master/Sparklersd/main.cpp","Sol")</f>
        <v>Sol</v>
      </c>
      <c r="E1269" s="31" t="s">
        <v>2153</v>
      </c>
      <c r="F1269" s="37" t="s">
        <v>201</v>
      </c>
      <c r="G1269" s="24"/>
      <c r="H1269" s="53"/>
    </row>
    <row r="1270" spans="1:8" ht="13.2">
      <c r="A1270" s="65" t="str">
        <f>HYPERLINK("https://oj.uz/problems/source/315","JOISC 18-airline")</f>
        <v>JOISC 18-airline</v>
      </c>
      <c r="B1270" s="18" t="s">
        <v>6574</v>
      </c>
      <c r="C1270" s="17">
        <v>7</v>
      </c>
      <c r="D1270" s="65" t="str">
        <f>HYPERLINK("https://github.com/mostafa-saad/MyCompetitiveProgramming/blob/master/Olympiad/JOI/JOISC-18-airline.txt","Sol")</f>
        <v>Sol</v>
      </c>
      <c r="E1270" s="31" t="s">
        <v>125</v>
      </c>
      <c r="F1270" s="37" t="s">
        <v>154</v>
      </c>
      <c r="G1270" s="24"/>
      <c r="H1270" s="53"/>
    </row>
    <row r="1271" spans="1:8" ht="13.2">
      <c r="A1271" s="65" t="str">
        <f>HYPERLINK("https://oj.uz/problems/source/314","JOISC 18-asceticism")</f>
        <v>JOISC 18-asceticism</v>
      </c>
      <c r="B1271" s="18" t="s">
        <v>7303</v>
      </c>
      <c r="C1271" s="72">
        <v>8</v>
      </c>
      <c r="D1271" s="65" t="str">
        <f>HYPERLINK("https://github.com/tmwilliamlin168/CompetitiveProgramming/blob/master/JOI/18SC-Asceticism.cpp","Sol")</f>
        <v>Sol</v>
      </c>
      <c r="E1271" s="31" t="s">
        <v>4531</v>
      </c>
      <c r="F1271" s="37"/>
      <c r="G1271" s="24"/>
      <c r="H1271" s="53"/>
    </row>
    <row r="1272" spans="1:8" ht="13.2">
      <c r="A1272" s="65" t="str">
        <f>HYPERLINK("https://oj.uz/problems/source/315","JOISC 18-bitaro")</f>
        <v>JOISC 18-bitaro</v>
      </c>
      <c r="B1272" s="18" t="s">
        <v>6402</v>
      </c>
      <c r="C1272" s="17">
        <v>7.25</v>
      </c>
      <c r="D1272" s="65" t="str">
        <f>HYPERLINK("https://github.com/mostafa-saad/MyCompetitiveProgramming/blob/master/Olympiad/JOI/JOISC-18-bitaro.txt","Sol")</f>
        <v>Sol</v>
      </c>
      <c r="E1272" s="31" t="s">
        <v>6397</v>
      </c>
      <c r="F1272" s="37" t="s">
        <v>154</v>
      </c>
      <c r="G1272" s="24"/>
      <c r="H1272" s="53"/>
    </row>
    <row r="1273" spans="1:8" ht="13.2">
      <c r="A1273" s="65" t="str">
        <f>HYPERLINK("https://oj.uz/problems/source/313","JOISC 18-construction")</f>
        <v>JOISC 18-construction</v>
      </c>
      <c r="B1273" s="15" t="s">
        <v>7445</v>
      </c>
      <c r="C1273" s="24">
        <v>7.25</v>
      </c>
      <c r="D1273" s="65" t="str">
        <f>HYPERLINK("https://github.com/mostafa-saad/MyCompetitiveProgramming/blob/master/Olympiad/JOI/JOISC-18-construction.txt","Sol")</f>
        <v>Sol</v>
      </c>
      <c r="E1273" s="31" t="s">
        <v>6311</v>
      </c>
      <c r="F1273" s="37" t="s">
        <v>154</v>
      </c>
      <c r="G1273" s="24"/>
      <c r="H1273" s="53"/>
    </row>
    <row r="1274" spans="1:8" ht="13.2">
      <c r="A1274" s="65" t="str">
        <f>HYPERLINK("https://oj.uz/problem/view/JOI18_fences","JOISC 18-fences")</f>
        <v>JOISC 18-fences</v>
      </c>
      <c r="B1274" s="15" t="s">
        <v>7090</v>
      </c>
      <c r="C1274" s="24">
        <v>7</v>
      </c>
      <c r="D1274" s="65" t="str">
        <f>HYPERLINK("https://github.com/tmwilliamlin168/CompetitiveProgramming/blob/master/JOI/18SC-Fences.cpp", "Sol")</f>
        <v>Sol</v>
      </c>
      <c r="E1274" s="31" t="s">
        <v>2948</v>
      </c>
      <c r="F1274" s="37" t="s">
        <v>201</v>
      </c>
      <c r="G1274" s="24"/>
      <c r="H1274" s="53"/>
    </row>
    <row r="1275" spans="1:8" ht="13.2">
      <c r="A1275" s="65" t="str">
        <f>HYPERLINK("https://www.ioi-jp.org/camp/2018/2018-sp-tasks/index.html","JOISC 18-library")</f>
        <v>JOISC 18-library</v>
      </c>
      <c r="B1275" s="18" t="s">
        <v>6621</v>
      </c>
      <c r="C1275" s="17">
        <v>5.5</v>
      </c>
      <c r="D1275" s="65" t="str">
        <f>HYPERLINK("https://github.com/mostafa-saad/MyCompetitiveProgramming/blob/master/Olympiad/JOI/JOISC-18-library.txt","Sol")</f>
        <v>Sol</v>
      </c>
      <c r="E1275" s="31" t="s">
        <v>125</v>
      </c>
      <c r="F1275" s="37" t="s">
        <v>139</v>
      </c>
      <c r="G1275" s="24"/>
      <c r="H1275" s="53"/>
    </row>
    <row r="1276" spans="1:8" ht="13.2">
      <c r="A1276" s="65" t="str">
        <f>HYPERLINK("https://oj.uz/problems/source/314","JOISC 18-roadservice")</f>
        <v>JOISC 18-roadservice</v>
      </c>
      <c r="B1276" s="47" t="s">
        <v>7170</v>
      </c>
      <c r="C1276" s="66"/>
      <c r="D1276" s="65" t="str">
        <f>HYPERLINK("https://codeforces.com/blog/entry/58433","sol (See reply from gamegame for 89 points!)")</f>
        <v>sol (See reply from gamegame for 89 points!)</v>
      </c>
      <c r="E1276" s="31" t="s">
        <v>3257</v>
      </c>
      <c r="F1276" s="37"/>
      <c r="G1276" s="24"/>
      <c r="H1276" s="53"/>
    </row>
    <row r="1277" spans="1:8" ht="13.2">
      <c r="A1277" s="65" t="str">
        <f>HYPERLINK("https://oj.uz/problem/view/JOI18_security_gate","JOISC 18-security_gate")</f>
        <v>JOISC 18-security_gate</v>
      </c>
      <c r="B1277" s="15" t="s">
        <v>1354</v>
      </c>
      <c r="C1277" s="24">
        <v>6.75</v>
      </c>
      <c r="D1277" s="69"/>
      <c r="E1277" s="31" t="s">
        <v>1337</v>
      </c>
      <c r="F1277" s="37"/>
      <c r="G1277" s="24"/>
      <c r="H1277" s="53"/>
    </row>
    <row r="1278" spans="1:8" ht="13.2">
      <c r="A1278" s="65" t="str">
        <f>HYPERLINK("https://oj.uz/problems/source/313","JOISC 18-tents")</f>
        <v>JOISC 18-tents</v>
      </c>
      <c r="B1278" s="18" t="s">
        <v>6842</v>
      </c>
      <c r="C1278" s="17">
        <v>6.75</v>
      </c>
      <c r="D1278" s="65" t="str">
        <f>HYPERLINK("https://codeforces.com/blog/entry/58433","sol (See reality420 reply on problem C)")</f>
        <v>sol (See reality420 reply on problem C)</v>
      </c>
      <c r="E1278" s="31" t="s">
        <v>1337</v>
      </c>
      <c r="F1278" s="37"/>
      <c r="G1278" s="24"/>
      <c r="H1278" s="53"/>
    </row>
    <row r="1279" spans="1:8" ht="13.2">
      <c r="A1279" s="65" t="str">
        <f>HYPERLINK("https://oj.uz/problems/source/316","JOISC 18-wildboar")</f>
        <v>JOISC 18-wildboar</v>
      </c>
      <c r="B1279" s="23" t="s">
        <v>6758</v>
      </c>
      <c r="C1279" s="24">
        <v>7</v>
      </c>
      <c r="D1279" s="65" t="str">
        <f>HYPERLINK("https://github.com/mostafa-saad/MyCompetitiveProgramming/blob/master/Olympiad/JOI/JOISC-18-wildboar.txt","Sol")</f>
        <v>Sol</v>
      </c>
      <c r="E1279" s="31" t="s">
        <v>1018</v>
      </c>
      <c r="F1279" s="37" t="s">
        <v>201</v>
      </c>
      <c r="G1279" s="24"/>
      <c r="H1279" s="53"/>
    </row>
    <row r="1280" spans="1:8" ht="13.2">
      <c r="A1280" s="65" t="str">
        <f>HYPERLINK("https://oj.uz/problems/source/314","JOISC 18-worstreporter3")</f>
        <v>JOISC 18-worstreporter3</v>
      </c>
      <c r="B1280" s="18" t="s">
        <v>814</v>
      </c>
      <c r="C1280" s="17">
        <v>7.5</v>
      </c>
      <c r="D1280" s="65" t="str">
        <f>HYPERLINK("https://codeforces.com/blog/entry/58433","sol (See reply from tsouza)")</f>
        <v>sol (See reply from tsouza)</v>
      </c>
      <c r="E1280" s="31" t="s">
        <v>805</v>
      </c>
      <c r="F1280" s="37"/>
      <c r="G1280" s="24"/>
      <c r="H1280" s="53"/>
    </row>
    <row r="1281" spans="1:8" ht="13.2">
      <c r="A1281" s="65" t="str">
        <f>HYPERLINK("https://oj.uz/problem/view/JOI19_antennas", "JOISC 19-Antennas")</f>
        <v>JOISC 19-Antennas</v>
      </c>
      <c r="B1281" s="23" t="s">
        <v>6749</v>
      </c>
      <c r="C1281" s="21">
        <v>7.5</v>
      </c>
      <c r="D1281" s="65" t="str">
        <f>HYPERLINK("https://github.com/nikolapesic2802/Programming-Practice/blob/master/Two%20Antennas/main.cpp","Sol")</f>
        <v>Sol</v>
      </c>
      <c r="E1281" s="31" t="s">
        <v>1018</v>
      </c>
      <c r="F1281" s="37" t="s">
        <v>139</v>
      </c>
      <c r="G1281" s="24"/>
      <c r="H1281" s="53"/>
    </row>
    <row r="1282" spans="1:8" ht="13.2">
      <c r="A1282" s="65" t="str">
        <f>HYPERLINK("https://oj.uz/problem/view/JOI19_cake3", "JOISC 19-Cake3")</f>
        <v>JOISC 19-Cake3</v>
      </c>
      <c r="B1282" s="20" t="s">
        <v>6806</v>
      </c>
      <c r="C1282" s="21">
        <v>7</v>
      </c>
      <c r="D1282" s="69"/>
      <c r="E1282" s="31" t="s">
        <v>1223</v>
      </c>
      <c r="F1282" s="37"/>
      <c r="G1282" s="24"/>
      <c r="H1282" s="53"/>
    </row>
    <row r="1283" spans="1:8" ht="13.2">
      <c r="A1283" s="65" t="str">
        <f>HYPERLINK("https://oj.uz/problem/view/JOI19_designated_cities","JOISC 19-designated-cities")</f>
        <v>JOISC 19-designated-cities</v>
      </c>
      <c r="B1283" s="20" t="s">
        <v>7448</v>
      </c>
      <c r="C1283" s="21">
        <v>7</v>
      </c>
      <c r="D1283" s="69"/>
      <c r="E1283" s="31" t="s">
        <v>6345</v>
      </c>
      <c r="F1283" s="37"/>
      <c r="G1283" s="24"/>
      <c r="H1283" s="53"/>
    </row>
    <row r="1284" spans="1:8" ht="13.2">
      <c r="A1284" s="65" t="str">
        <f>HYPERLINK("https://oj.uz/problem/view/JOI19_dishes", "JOISC 19-Dishes")</f>
        <v>JOISC 19-Dishes</v>
      </c>
      <c r="B1284" s="20" t="s">
        <v>1561</v>
      </c>
      <c r="C1284" s="21">
        <v>7.5</v>
      </c>
      <c r="D1284" s="69"/>
      <c r="E1284" s="31" t="s">
        <v>1337</v>
      </c>
      <c r="F1284" s="37" t="s">
        <v>139</v>
      </c>
      <c r="G1284" s="24"/>
      <c r="H1284" s="53"/>
    </row>
    <row r="1285" spans="1:8" ht="13.2">
      <c r="A1285" s="65" t="str">
        <f>HYPERLINK("https://oj.uz/problem/view/JOI19_examination", "JOISC 19-Examination")</f>
        <v>JOISC 19-Examination</v>
      </c>
      <c r="B1285" s="20" t="s">
        <v>6697</v>
      </c>
      <c r="C1285" s="21">
        <v>5.5</v>
      </c>
      <c r="D1285" s="65" t="str">
        <f>HYPERLINK("https://github.com/Szawinis/CompetitiveProgramming/blob/master/Olympiad/JOI/JOISC19-examination.cpp","Sol")</f>
        <v>Sol</v>
      </c>
      <c r="E1285" s="31" t="s">
        <v>575</v>
      </c>
      <c r="F1285" s="37" t="s">
        <v>201</v>
      </c>
      <c r="G1285" s="24"/>
      <c r="H1285" s="53"/>
    </row>
    <row r="1286" spans="1:8" ht="13.2">
      <c r="A1286" s="65" t="str">
        <f>HYPERLINK("https://oj.uz/problem/view/JOI19_lamps","JOISC 19-lamps")</f>
        <v>JOISC 19-lamps</v>
      </c>
      <c r="B1286" s="20" t="s">
        <v>1348</v>
      </c>
      <c r="C1286" s="21">
        <v>6</v>
      </c>
      <c r="D1286" s="69"/>
      <c r="E1286" s="31" t="s">
        <v>1337</v>
      </c>
      <c r="F1286" s="37"/>
      <c r="G1286" s="24"/>
      <c r="H1286" s="53"/>
    </row>
    <row r="1287" spans="1:8" ht="13.2">
      <c r="A1287" s="65" t="str">
        <f>HYPERLINK("https://oj.uz/problem/view/JOI19_meetings", "JOISC 19-Meetings")</f>
        <v>JOISC 19-Meetings</v>
      </c>
      <c r="B1287" s="37" t="s">
        <v>7114</v>
      </c>
      <c r="C1287" s="21">
        <v>7.5</v>
      </c>
      <c r="D1287" s="69"/>
      <c r="E1287" s="31" t="s">
        <v>3257</v>
      </c>
      <c r="F1287" s="37" t="s">
        <v>139</v>
      </c>
      <c r="G1287" s="24"/>
      <c r="H1287" s="53"/>
    </row>
    <row r="1288" spans="1:8" ht="13.2">
      <c r="A1288" s="65" t="str">
        <f>HYPERLINK("https://oj.uz/problem/view/JOI19_mergers", "JOISC 19-Mergers")</f>
        <v>JOISC 19-Mergers</v>
      </c>
      <c r="B1288" s="20" t="s">
        <v>7144</v>
      </c>
      <c r="C1288" s="21">
        <v>6.25</v>
      </c>
      <c r="D1288" s="65" t="str">
        <f>HYPERLINK("https://github.com/mostafa-saad/MyCompetitiveProgramming/blob/master/Olympiad/JOI/JOISC-19-Mergers.txt","Sol")</f>
        <v>Sol</v>
      </c>
      <c r="E1288" s="31" t="s">
        <v>3257</v>
      </c>
      <c r="F1288" s="37" t="s">
        <v>139</v>
      </c>
      <c r="G1288" s="24"/>
      <c r="H1288" s="53"/>
    </row>
    <row r="1289" spans="1:8" ht="13.2">
      <c r="A1289" s="65" t="str">
        <f>HYPERLINK("https://oj.uz/problem/view/JOI19_minerals", "JOISC 19-Minerals")</f>
        <v>JOISC 19-Minerals</v>
      </c>
      <c r="B1289" s="37" t="s">
        <v>6570</v>
      </c>
      <c r="C1289" s="24">
        <v>7.5</v>
      </c>
      <c r="D1289" s="69"/>
      <c r="E1289" s="31" t="s">
        <v>125</v>
      </c>
      <c r="F1289" s="37"/>
      <c r="G1289" s="24"/>
      <c r="H1289" s="53"/>
    </row>
    <row r="1290" spans="1:8" ht="13.2">
      <c r="A1290" s="65" t="str">
        <f>HYPERLINK("https://oj.uz/problem/view/JOI19_naan", "JOISC 19-Naan")</f>
        <v>JOISC 19-Naan</v>
      </c>
      <c r="B1290" s="20" t="s">
        <v>2200</v>
      </c>
      <c r="C1290" s="21">
        <v>6.4</v>
      </c>
      <c r="D1290" s="65" t="str">
        <f>HYPERLINK("https://github.com/mostafa-saad/MyCompetitiveProgramming/blob/master/Olympiad/JOI/JOISC-19-Naan.txt","Sol")</f>
        <v>Sol</v>
      </c>
      <c r="E1290" s="31" t="s">
        <v>2153</v>
      </c>
      <c r="F1290" s="37" t="s">
        <v>196</v>
      </c>
      <c r="G1290" s="24"/>
      <c r="H1290" s="53"/>
    </row>
    <row r="1291" spans="1:8" ht="13.2">
      <c r="A1291" s="65" t="str">
        <f>HYPERLINK("https://oj.uz/problem/view/JOI19_timeleap","JOISC 19-timeleap")</f>
        <v>JOISC 19-timeleap</v>
      </c>
      <c r="B1291" s="37" t="s">
        <v>587</v>
      </c>
      <c r="C1291" s="21">
        <v>7.5</v>
      </c>
      <c r="D1291" s="69"/>
      <c r="E1291" s="31" t="s">
        <v>575</v>
      </c>
      <c r="F1291" s="37" t="s">
        <v>139</v>
      </c>
      <c r="G1291" s="24"/>
      <c r="H1291" s="53"/>
    </row>
    <row r="1292" spans="1:8" ht="13.2">
      <c r="A1292" s="65" t="str">
        <f>HYPERLINK("https://oj.uz/problem/view/JOI19_transportations", "JOISC 19-Transportations")</f>
        <v>JOISC 19-Transportations</v>
      </c>
      <c r="B1292" s="20" t="s">
        <v>7205</v>
      </c>
      <c r="C1292" s="21">
        <v>7.5</v>
      </c>
      <c r="D1292" s="69"/>
      <c r="E1292" s="31" t="s">
        <v>3784</v>
      </c>
      <c r="F1292" s="37" t="s">
        <v>139</v>
      </c>
      <c r="G1292" s="24"/>
      <c r="H1292" s="53"/>
    </row>
    <row r="1293" spans="1:8" ht="13.2">
      <c r="A1293" s="65" t="str">
        <f>HYPERLINK("oj.uz/problem/view/LMIO19_bulves", "LMIO 19-bulves")</f>
        <v>LMIO 19-bulves</v>
      </c>
      <c r="B1293" s="37" t="s">
        <v>6833</v>
      </c>
      <c r="C1293" s="24">
        <v>7</v>
      </c>
      <c r="D1293" s="65" t="str">
        <f>HYPERLINK("https://github.com/dolphingarlic/CompetitiveProgramming/blob/master/LMIO/LMIO%2019-bulves.cpp", "Sol")</f>
        <v>Sol</v>
      </c>
      <c r="E1293" s="31" t="s">
        <v>1337</v>
      </c>
      <c r="F1293" s="37" t="s">
        <v>139</v>
      </c>
      <c r="G1293" s="24"/>
      <c r="H1293" s="53"/>
    </row>
    <row r="1294" spans="1:8" ht="13.2">
      <c r="A1294" s="65" t="str">
        <f>HYPERLINK("https://dunjudge.me/analysis/problems/551/","MCO 14-passport")</f>
        <v>MCO 14-passport</v>
      </c>
      <c r="B1294" s="37" t="s">
        <v>7527</v>
      </c>
      <c r="C1294" s="24">
        <v>2</v>
      </c>
      <c r="D1294" s="65" t="str">
        <f t="shared" ref="D1294:D1296" si="33">HYPERLINK("https://github.com/mostafa-saad/MyCompetitiveProgramming/tree/master/Olympiad/MCO/official/2014","Sol No Editorial")</f>
        <v>Sol No Editorial</v>
      </c>
      <c r="E1294" s="31" t="s">
        <v>7525</v>
      </c>
      <c r="F1294" s="37"/>
      <c r="G1294" s="24"/>
      <c r="H1294" s="53"/>
    </row>
    <row r="1295" spans="1:8" ht="13.2">
      <c r="A1295" s="65" t="str">
        <f>HYPERLINK("https://dunjudge.me/analysis/problems/552/","MCO 14-random")</f>
        <v>MCO 14-random</v>
      </c>
      <c r="B1295" s="37" t="s">
        <v>7329</v>
      </c>
      <c r="C1295" s="24">
        <v>4.5</v>
      </c>
      <c r="D1295" s="65" t="str">
        <f t="shared" si="33"/>
        <v>Sol No Editorial</v>
      </c>
      <c r="E1295" s="31" t="s">
        <v>4531</v>
      </c>
      <c r="F1295" s="37"/>
      <c r="G1295" s="24"/>
      <c r="H1295" s="53"/>
    </row>
    <row r="1296" spans="1:8" ht="13.2">
      <c r="A1296" s="65" t="str">
        <f>HYPERLINK("https://dunjudge.me/analysis/problems/553/","MCO 14-swaps")</f>
        <v>MCO 14-swaps</v>
      </c>
      <c r="B1296" s="37" t="s">
        <v>6639</v>
      </c>
      <c r="C1296" s="24">
        <v>5</v>
      </c>
      <c r="D1296" s="65" t="str">
        <f t="shared" si="33"/>
        <v>Sol No Editorial</v>
      </c>
      <c r="E1296" s="31" t="s">
        <v>125</v>
      </c>
      <c r="F1296" s="37"/>
      <c r="G1296" s="24"/>
      <c r="H1296" s="53"/>
    </row>
    <row r="1297" spans="1:8" ht="13.2">
      <c r="A1297" s="65" t="str">
        <f>HYPERLINK("https://dunjudge.me/analysis/problems/721/","MCO 15-badminton")</f>
        <v>MCO 15-badminton</v>
      </c>
      <c r="B1297" s="20" t="s">
        <v>6646</v>
      </c>
      <c r="C1297" s="24">
        <v>1</v>
      </c>
      <c r="D1297" s="65" t="str">
        <f t="shared" ref="D1297:D1301" si="34">HYPERLINK("https://github.com/mostafa-saad/MyCompetitiveProgramming/tree/master/Olympiad/MCO/official/2015","Sol No Editorial")</f>
        <v>Sol No Editorial</v>
      </c>
      <c r="E1297" s="31" t="s">
        <v>125</v>
      </c>
      <c r="F1297" s="37"/>
      <c r="G1297" s="24"/>
      <c r="H1297" s="53"/>
    </row>
    <row r="1298" spans="1:8" ht="13.2">
      <c r="A1298" s="65" t="str">
        <f>HYPERLINK("https://dunjudge.me/analysis/problems/723/","MCO 15-bitcoin")</f>
        <v>MCO 15-bitcoin</v>
      </c>
      <c r="B1298" s="37" t="s">
        <v>7527</v>
      </c>
      <c r="C1298" s="24">
        <v>5</v>
      </c>
      <c r="D1298" s="65" t="str">
        <f t="shared" si="34"/>
        <v>Sol No Editorial</v>
      </c>
      <c r="E1298" s="31" t="s">
        <v>7525</v>
      </c>
      <c r="F1298" s="37"/>
      <c r="G1298" s="24"/>
      <c r="H1298" s="53"/>
    </row>
    <row r="1299" spans="1:8" ht="13.2">
      <c r="A1299" s="65" t="str">
        <f>HYPERLINK("https://dunjudge.me/analysis/problems/722/","MCO 15-honey")</f>
        <v>MCO 15-honey</v>
      </c>
      <c r="B1299" s="37" t="s">
        <v>124</v>
      </c>
      <c r="C1299" s="24">
        <v>2</v>
      </c>
      <c r="D1299" s="65" t="str">
        <f t="shared" si="34"/>
        <v>Sol No Editorial</v>
      </c>
      <c r="E1299" s="31" t="s">
        <v>125</v>
      </c>
      <c r="F1299" s="37"/>
      <c r="G1299" s="24"/>
      <c r="H1299" s="53"/>
    </row>
    <row r="1300" spans="1:8" ht="13.2">
      <c r="A1300" s="65" t="str">
        <f>HYPERLINK("https://dunjudge.me/analysis/problems/725/","MCO 15-secret")</f>
        <v>MCO 15-secret</v>
      </c>
      <c r="B1300" s="37" t="s">
        <v>7523</v>
      </c>
      <c r="C1300" s="24">
        <v>5</v>
      </c>
      <c r="D1300" s="65" t="str">
        <f t="shared" si="34"/>
        <v>Sol No Editorial</v>
      </c>
      <c r="E1300" s="31" t="s">
        <v>6505</v>
      </c>
      <c r="F1300" s="37"/>
      <c r="G1300" s="24"/>
      <c r="H1300" s="53"/>
    </row>
    <row r="1301" spans="1:8" ht="13.2">
      <c r="A1301" s="65" t="str">
        <f>HYPERLINK("https://dunjudge.me/analysis/problems/724/","MCO 15-trains")</f>
        <v>MCO 15-trains</v>
      </c>
      <c r="B1301" s="37" t="s">
        <v>3791</v>
      </c>
      <c r="C1301" s="24">
        <v>4</v>
      </c>
      <c r="D1301" s="65" t="str">
        <f t="shared" si="34"/>
        <v>Sol No Editorial</v>
      </c>
      <c r="E1301" s="31" t="s">
        <v>3784</v>
      </c>
      <c r="F1301" s="37"/>
      <c r="G1301" s="24"/>
      <c r="H1301" s="53"/>
    </row>
    <row r="1302" spans="1:8" ht="13.2">
      <c r="A1302" s="65" t="str">
        <f>HYPERLINK("https://dunjudge.me/analysis/problems/964/","MCO 16-acorn")</f>
        <v>MCO 16-acorn</v>
      </c>
      <c r="B1302" s="37" t="s">
        <v>7463</v>
      </c>
      <c r="C1302" s="24">
        <v>6</v>
      </c>
      <c r="D1302" s="65" t="str">
        <f>HYPERLINK("https://github.com/mostafa-saad/MyCompetitiveProgramming/blob/master/Olympiad/MCO/MCO-16-acorn.txt","Sol")</f>
        <v>Sol</v>
      </c>
      <c r="E1302" s="31" t="s">
        <v>6362</v>
      </c>
      <c r="F1302" s="37" t="s">
        <v>139</v>
      </c>
      <c r="G1302" s="24"/>
      <c r="H1302" s="53"/>
    </row>
    <row r="1303" spans="1:8" ht="13.2">
      <c r="A1303" s="65" t="str">
        <f>HYPERLINK("https://dunjudge.me/analysis/problems/959/","MCO 16-cablecar")</f>
        <v>MCO 16-cablecar</v>
      </c>
      <c r="B1303" s="37" t="s">
        <v>6703</v>
      </c>
      <c r="C1303" s="24">
        <v>5</v>
      </c>
      <c r="D1303" s="65" t="str">
        <f>HYPERLINK("https://github.com/mostafa-saad/MyCompetitiveProgramming/tree/master/Olympiad/MCO/official","Editorial")</f>
        <v>Editorial</v>
      </c>
      <c r="E1303" s="31" t="s">
        <v>575</v>
      </c>
      <c r="F1303" s="37"/>
      <c r="G1303" s="24"/>
      <c r="H1303" s="53"/>
    </row>
    <row r="1304" spans="1:8" ht="13.2">
      <c r="A1304" s="65" t="str">
        <f>HYPERLINK("https://dunjudge.me/analysis/problems/976/","MCO 16-cropharvesting")</f>
        <v>MCO 16-cropharvesting</v>
      </c>
      <c r="B1304" s="37" t="s">
        <v>7527</v>
      </c>
      <c r="C1304" s="24">
        <v>5.5</v>
      </c>
      <c r="D1304" s="69"/>
      <c r="E1304" s="31" t="s">
        <v>7525</v>
      </c>
      <c r="F1304" s="37"/>
      <c r="G1304" s="24"/>
      <c r="H1304" s="53"/>
    </row>
    <row r="1305" spans="1:8" ht="13.2">
      <c r="A1305" s="65" t="str">
        <f>HYPERLINK("https://dunjudge.me/analysis/problems/963/","MCO 16-painting")</f>
        <v>MCO 16-painting</v>
      </c>
      <c r="B1305" s="37" t="s">
        <v>124</v>
      </c>
      <c r="C1305" s="24">
        <v>5</v>
      </c>
      <c r="D1305" s="65" t="str">
        <f t="shared" ref="D1305:D1307" si="35">HYPERLINK("https://github.com/mostafa-saad/MyCompetitiveProgramming/tree/master/Olympiad/MCO/official","Editorial")</f>
        <v>Editorial</v>
      </c>
      <c r="E1305" s="31" t="s">
        <v>125</v>
      </c>
      <c r="F1305" s="37"/>
      <c r="G1305" s="24"/>
      <c r="H1305" s="53"/>
    </row>
    <row r="1306" spans="1:8" ht="13.2">
      <c r="A1306" s="65" t="str">
        <f>HYPERLINK("https://dunjudge.me/analysis/problems/960/","MCO 16-penghulu")</f>
        <v>MCO 16-penghulu</v>
      </c>
      <c r="B1306" s="37" t="s">
        <v>7200</v>
      </c>
      <c r="C1306" s="24">
        <v>5</v>
      </c>
      <c r="D1306" s="65" t="str">
        <f t="shared" si="35"/>
        <v>Editorial</v>
      </c>
      <c r="E1306" s="31" t="s">
        <v>3650</v>
      </c>
      <c r="F1306" s="37"/>
      <c r="G1306" s="24"/>
      <c r="H1306" s="53"/>
    </row>
    <row r="1307" spans="1:8" ht="13.2">
      <c r="A1307" s="65" t="str">
        <f>HYPERLINK("https://dunjudge.me/analysis/problems/962/","MCO 16-relayrace")</f>
        <v>MCO 16-relayrace</v>
      </c>
      <c r="B1307" s="37" t="s">
        <v>3791</v>
      </c>
      <c r="C1307" s="24">
        <v>5</v>
      </c>
      <c r="D1307" s="65" t="str">
        <f t="shared" si="35"/>
        <v>Editorial</v>
      </c>
      <c r="E1307" s="31" t="s">
        <v>3784</v>
      </c>
      <c r="F1307" s="37"/>
      <c r="G1307" s="24"/>
      <c r="H1307" s="53"/>
    </row>
    <row r="1308" spans="1:8" ht="13.2">
      <c r="A1308" s="65" t="str">
        <f>HYPERLINK("https://dunjudge.me/analysis/problems/961/","MCO 16-town_planning")</f>
        <v>MCO 16-town_planning</v>
      </c>
      <c r="B1308" s="37" t="s">
        <v>6349</v>
      </c>
      <c r="C1308" s="24">
        <v>6</v>
      </c>
      <c r="D1308" s="65" t="str">
        <f>HYPERLINK("https://github.com/mostafa-saad/MyCompetitiveProgramming/blob/master/Olympiad/MCO/MCO-16-town_planning.txt","Sol")</f>
        <v>Sol</v>
      </c>
      <c r="E1308" s="31" t="s">
        <v>6345</v>
      </c>
      <c r="F1308" s="37"/>
      <c r="G1308" s="24"/>
      <c r="H1308" s="53"/>
    </row>
    <row r="1309" spans="1:8" ht="13.2">
      <c r="A1309" s="65" t="str">
        <f>HYPERLINK("https://codeforces.com/group/R2SERIff4f/contest/213171","MCO 17-CableCars")</f>
        <v>MCO 17-CableCars</v>
      </c>
      <c r="B1309" s="37" t="s">
        <v>124</v>
      </c>
      <c r="C1309" s="24">
        <v>2</v>
      </c>
      <c r="D1309" s="65" t="str">
        <f t="shared" ref="D1309:D1311" si="36">HYPERLINK("https://github.com/mostafa-saad/MyCompetitiveProgramming/tree/master/Olympiad/MCO/official","Editorial")</f>
        <v>Editorial</v>
      </c>
      <c r="E1309" s="31" t="s">
        <v>125</v>
      </c>
      <c r="F1309" s="37"/>
      <c r="G1309" s="24"/>
      <c r="H1309" s="53"/>
    </row>
    <row r="1310" spans="1:8" ht="13.2">
      <c r="A1310" s="65" t="str">
        <f>HYPERLINK("https://codeforces.com/group/R2SERIff4f/contest/213171","MCO 17-LargeCity")</f>
        <v>MCO 17-LargeCity</v>
      </c>
      <c r="B1310" s="37" t="s">
        <v>6595</v>
      </c>
      <c r="C1310" s="24">
        <v>6.5</v>
      </c>
      <c r="D1310" s="65" t="str">
        <f t="shared" si="36"/>
        <v>Editorial</v>
      </c>
      <c r="E1310" s="31" t="s">
        <v>125</v>
      </c>
      <c r="F1310" s="37" t="s">
        <v>139</v>
      </c>
      <c r="G1310" s="24"/>
      <c r="H1310" s="53"/>
    </row>
    <row r="1311" spans="1:8" ht="13.2">
      <c r="A1311" s="65" t="str">
        <f>HYPERLINK("https://codeforces.com/group/R2SERIff4f/contest/213171/problem/R","MCO 17-MagicalTeleporter")</f>
        <v>MCO 17-MagicalTeleporter</v>
      </c>
      <c r="B1311" s="37" t="s">
        <v>7493</v>
      </c>
      <c r="C1311" s="24">
        <v>7</v>
      </c>
      <c r="D1311" s="65" t="str">
        <f t="shared" si="36"/>
        <v>Editorial</v>
      </c>
      <c r="E1311" s="31" t="s">
        <v>7492</v>
      </c>
      <c r="F1311" s="37" t="s">
        <v>154</v>
      </c>
      <c r="G1311" s="24"/>
      <c r="H1311" s="53"/>
    </row>
    <row r="1312" spans="1:8" ht="13.2">
      <c r="A1312" s="65" t="str">
        <f>HYPERLINK("https://codeforces.com/group/R2SERIff4f/contest/213171","MCO 17-NewbieHacker")</f>
        <v>MCO 17-NewbieHacker</v>
      </c>
      <c r="B1312" s="37" t="s">
        <v>7380</v>
      </c>
      <c r="C1312" s="24">
        <v>6</v>
      </c>
      <c r="D1312" s="65" t="str">
        <f>HYPERLINK("https://github.com/mostafa-saad/MyCompetitiveProgramming/blob/master/Olympiad/MCO/MCO-17-NewbieHacker.txt","Sol")</f>
        <v>Sol</v>
      </c>
      <c r="E1312" s="31" t="s">
        <v>5702</v>
      </c>
      <c r="F1312" s="37" t="s">
        <v>139</v>
      </c>
      <c r="G1312" s="24"/>
      <c r="H1312" s="53"/>
    </row>
    <row r="1313" spans="1:8" ht="13.2">
      <c r="A1313" s="65" t="str">
        <f>HYPERLINK("https://codeforces.com/group/R2SERIff4f/contest/213171","MCO 17-ScientificResearch")</f>
        <v>MCO 17-ScientificResearch</v>
      </c>
      <c r="B1313" s="37" t="s">
        <v>7367</v>
      </c>
      <c r="C1313" s="24">
        <v>6</v>
      </c>
      <c r="D1313" s="65" t="str">
        <f t="shared" ref="D1313:D1314" si="37">HYPERLINK("https://github.com/mostafa-saad/MyCompetitiveProgramming/tree/master/Olympiad/MCO/official","Editorial")</f>
        <v>Editorial</v>
      </c>
      <c r="E1313" s="31" t="s">
        <v>5524</v>
      </c>
      <c r="F1313" s="37"/>
      <c r="G1313" s="24"/>
      <c r="H1313" s="53"/>
    </row>
    <row r="1314" spans="1:8" ht="13.2">
      <c r="A1314" s="65" t="str">
        <f>HYPERLINK("https://codeforces.com/group/R2SERIff4f/contest/213171","MCO 17-TravellingSalesman")</f>
        <v>MCO 17-TravellingSalesman</v>
      </c>
      <c r="B1314" s="37" t="s">
        <v>3791</v>
      </c>
      <c r="C1314" s="24">
        <v>3</v>
      </c>
      <c r="D1314" s="65" t="str">
        <f t="shared" si="37"/>
        <v>Editorial</v>
      </c>
      <c r="E1314" s="31" t="s">
        <v>3784</v>
      </c>
      <c r="F1314" s="37"/>
      <c r="G1314" s="24"/>
      <c r="H1314" s="53"/>
    </row>
    <row r="1315" spans="1:8" ht="13.2">
      <c r="A1315" s="65" t="str">
        <f>HYPERLINK("https://dunjudge.me/analysis/problems/973/","MCOCAMP 16-flipbits")</f>
        <v>MCOCAMP 16-flipbits</v>
      </c>
      <c r="B1315" s="37" t="s">
        <v>7355</v>
      </c>
      <c r="C1315" s="24">
        <v>6</v>
      </c>
      <c r="D1315" s="65" t="str">
        <f t="shared" ref="D1315:D1317" si="38">HYPERLINK("https://github.com/fyquah95/ioi-malaysia-2016-training-camp","Sol (no editorial)")</f>
        <v>Sol (no editorial)</v>
      </c>
      <c r="E1315" s="31" t="s">
        <v>5346</v>
      </c>
      <c r="F1315" s="37"/>
      <c r="G1315" s="24"/>
      <c r="H1315" s="53"/>
    </row>
    <row r="1316" spans="1:8" ht="13.2">
      <c r="A1316" s="65" t="str">
        <f>HYPERLINK("https://dunjudge.me/analysis/problems/974/","MCOCAMP 16-flipbrackets")</f>
        <v>MCOCAMP 16-flipbrackets</v>
      </c>
      <c r="B1316" s="37" t="s">
        <v>7444</v>
      </c>
      <c r="C1316" s="24">
        <v>8</v>
      </c>
      <c r="D1316" s="65" t="str">
        <f t="shared" si="38"/>
        <v>Sol (no editorial)</v>
      </c>
      <c r="E1316" s="31" t="s">
        <v>6311</v>
      </c>
      <c r="F1316" s="37"/>
      <c r="G1316" s="24"/>
      <c r="H1316" s="53"/>
    </row>
    <row r="1317" spans="1:8" ht="13.2">
      <c r="A1317" s="65" t="str">
        <f>HYPERLINK("https://dunjudge.me/analysis/problems/975/","MCOCAMP 16-flippermutation")</f>
        <v>MCOCAMP 16-flippermutation</v>
      </c>
      <c r="B1317" s="37" t="s">
        <v>7345</v>
      </c>
      <c r="C1317" s="24">
        <v>8</v>
      </c>
      <c r="D1317" s="65" t="str">
        <f t="shared" si="38"/>
        <v>Sol (no editorial)</v>
      </c>
      <c r="E1317" s="31" t="s">
        <v>5075</v>
      </c>
      <c r="F1317" s="37"/>
      <c r="G1317" s="24"/>
      <c r="H1317" s="53"/>
    </row>
    <row r="1318" spans="1:8" ht="13.2">
      <c r="A1318" s="65" t="str">
        <f>HYPERLINK("https://dmoj.ca/problem/mwc15c2p2","MWC 15-ToweringTowers")</f>
        <v>MWC 15-ToweringTowers</v>
      </c>
      <c r="B1318" s="37" t="s">
        <v>7527</v>
      </c>
      <c r="C1318" s="24"/>
      <c r="D1318" s="69"/>
      <c r="E1318" s="31" t="s">
        <v>7525</v>
      </c>
      <c r="F1318" s="37"/>
      <c r="G1318" s="24"/>
      <c r="H1318" s="53"/>
    </row>
    <row r="1319" spans="1:8" ht="13.2">
      <c r="A1319" s="65" t="str">
        <f>HYPERLINK("https://dunjudge.me/analysis/problems/1496/","NOI 06-claw")</f>
        <v>NOI 06-claw</v>
      </c>
      <c r="B1319" s="37" t="s">
        <v>1358</v>
      </c>
      <c r="C1319" s="24"/>
      <c r="D1319" s="69"/>
      <c r="E1319" s="31" t="s">
        <v>1337</v>
      </c>
      <c r="F1319" s="37"/>
      <c r="G1319" s="24"/>
      <c r="H1319" s="53"/>
    </row>
    <row r="1320" spans="1:8" ht="13.2">
      <c r="A1320" s="65" t="str">
        <f>HYPERLINK("https://dunjudge.me/analysis/problems/1497/","NOI 06-ecasino")</f>
        <v>NOI 06-ecasino</v>
      </c>
      <c r="B1320" s="37" t="s">
        <v>7527</v>
      </c>
      <c r="C1320" s="24"/>
      <c r="D1320" s="69"/>
      <c r="E1320" s="31" t="s">
        <v>7525</v>
      </c>
      <c r="F1320" s="37"/>
      <c r="G1320" s="24"/>
      <c r="H1320" s="53"/>
    </row>
    <row r="1321" spans="1:8" ht="13.2">
      <c r="A1321" s="65" t="str">
        <f>HYPERLINK("https://dunjudge.me/analysis/problems/1495/","NOI 06-euclid")</f>
        <v>NOI 06-euclid</v>
      </c>
      <c r="B1321" s="37" t="s">
        <v>4564</v>
      </c>
      <c r="C1321" s="24"/>
      <c r="D1321" s="69"/>
      <c r="E1321" s="31" t="s">
        <v>4531</v>
      </c>
      <c r="F1321" s="37"/>
      <c r="G1321" s="24"/>
      <c r="H1321" s="53"/>
    </row>
    <row r="1322" spans="1:8" ht="13.2">
      <c r="A1322" s="65" t="str">
        <f>HYPERLINK("https://dunjudge.me/analysis/problems/1499/","NOI 06-fludtown")</f>
        <v>NOI 06-fludtown</v>
      </c>
      <c r="B1322" s="37" t="s">
        <v>7527</v>
      </c>
      <c r="C1322" s="24"/>
      <c r="D1322" s="69"/>
      <c r="E1322" s="31" t="s">
        <v>7525</v>
      </c>
      <c r="F1322" s="37"/>
      <c r="G1322" s="24"/>
      <c r="H1322" s="53"/>
    </row>
    <row r="1323" spans="1:8" ht="13.2">
      <c r="A1323" s="65" t="str">
        <f>HYPERLINK("https://dunjudge.me/analysis/problems/1498/","NOI 06-genome")</f>
        <v>NOI 06-genome</v>
      </c>
      <c r="B1323" s="37" t="s">
        <v>7527</v>
      </c>
      <c r="C1323" s="24"/>
      <c r="D1323" s="69"/>
      <c r="E1323" s="31" t="s">
        <v>7525</v>
      </c>
      <c r="F1323" s="37"/>
      <c r="G1323" s="24"/>
      <c r="H1323" s="53"/>
    </row>
    <row r="1324" spans="1:8" ht="13.2">
      <c r="A1324" s="65" t="str">
        <f>HYPERLINK("https://dunjudge.me/analysis/problems/1500/","NOI 06-heng")</f>
        <v>NOI 06-heng</v>
      </c>
      <c r="B1324" s="37" t="s">
        <v>7527</v>
      </c>
      <c r="C1324" s="24"/>
      <c r="D1324" s="69"/>
      <c r="E1324" s="31" t="s">
        <v>7525</v>
      </c>
      <c r="F1324" s="37"/>
      <c r="G1324" s="24"/>
      <c r="H1324" s="53"/>
    </row>
    <row r="1325" spans="1:8" ht="13.2">
      <c r="A1325" s="65" t="str">
        <f>HYPERLINK("https://dunjudge.me/analysis/problems/238/","NOI 07-gift")</f>
        <v>NOI 07-gift</v>
      </c>
      <c r="B1325" s="20" t="s">
        <v>6646</v>
      </c>
      <c r="C1325" s="24">
        <v>1</v>
      </c>
      <c r="D1325" s="65" t="str">
        <f>HYPERLINK("https://github.com/mostafa-saad/MyCompetitiveProgramming/blob/master/Olympiad/NOI/official/2011.pptx","Editorial")</f>
        <v>Editorial</v>
      </c>
      <c r="E1325" s="31" t="s">
        <v>125</v>
      </c>
      <c r="F1325" s="37"/>
      <c r="G1325" s="24"/>
      <c r="H1325" s="53"/>
    </row>
    <row r="1326" spans="1:8" ht="13.2">
      <c r="A1326" s="65" t="str">
        <f>HYPERLINK("https://dunjudge.me/analysis/problems/146/","NOI 07-hole")</f>
        <v>NOI 07-hole</v>
      </c>
      <c r="B1326" s="37" t="s">
        <v>908</v>
      </c>
      <c r="C1326" s="24">
        <v>4.5</v>
      </c>
      <c r="D1326" s="65" t="str">
        <f>HYPERLINK("https://github.com/mostafa-saad/MyCompetitiveProgramming/blob/master/Olympiad/NOI/NOI-07-hole.txt","Sol")</f>
        <v>Sol</v>
      </c>
      <c r="E1326" s="31" t="s">
        <v>805</v>
      </c>
      <c r="F1326" s="37" t="s">
        <v>139</v>
      </c>
      <c r="G1326" s="24"/>
      <c r="H1326" s="53"/>
    </row>
    <row r="1327" spans="1:8" ht="13.2">
      <c r="A1327" s="65" t="str">
        <f>HYPERLINK("https://dunjudge.me/analysis/problems/144/","NOI 07-jawbreak")</f>
        <v>NOI 07-jawbreak</v>
      </c>
      <c r="B1327" s="37" t="s">
        <v>124</v>
      </c>
      <c r="C1327" s="24">
        <v>1</v>
      </c>
      <c r="D1327" s="65" t="str">
        <f t="shared" ref="D1327:D1338" si="39">HYPERLINK("https://github.com/mostafa-saad/MyCompetitiveProgramming/blob/master/Olympiad/NOI/official","Editorial")</f>
        <v>Editorial</v>
      </c>
      <c r="E1327" s="31" t="s">
        <v>125</v>
      </c>
      <c r="F1327" s="37"/>
      <c r="G1327" s="24"/>
      <c r="H1327" s="53"/>
    </row>
    <row r="1328" spans="1:8" ht="13.2">
      <c r="A1328" s="65" t="str">
        <f>HYPERLINK("https://dunjudge.me/analysis/problems/134/","NOI 07-street")</f>
        <v>NOI 07-street</v>
      </c>
      <c r="B1328" s="37" t="s">
        <v>1348</v>
      </c>
      <c r="C1328" s="24">
        <v>5</v>
      </c>
      <c r="D1328" s="65" t="str">
        <f t="shared" si="39"/>
        <v>Editorial</v>
      </c>
      <c r="E1328" s="31" t="s">
        <v>1337</v>
      </c>
      <c r="F1328" s="37"/>
      <c r="G1328" s="24"/>
      <c r="H1328" s="53"/>
    </row>
    <row r="1329" spans="1:8" ht="13.2">
      <c r="A1329" s="65" t="str">
        <f>HYPERLINK("https://dunjudge.me/analysis/problems/108/","NOI 08-4sum")</f>
        <v>NOI 08-4sum</v>
      </c>
      <c r="B1329" s="37" t="s">
        <v>124</v>
      </c>
      <c r="C1329" s="24">
        <v>2</v>
      </c>
      <c r="D1329" s="65" t="str">
        <f t="shared" si="39"/>
        <v>Editorial</v>
      </c>
      <c r="E1329" s="31" t="s">
        <v>125</v>
      </c>
      <c r="F1329" s="37"/>
      <c r="G1329" s="24"/>
      <c r="H1329" s="53"/>
    </row>
    <row r="1330" spans="1:8" ht="13.2">
      <c r="A1330" s="65" t="str">
        <f>HYPERLINK("https://dunjudge.me/analysis/problems/273/","NOI 08-gecko")</f>
        <v>NOI 08-gecko</v>
      </c>
      <c r="B1330" s="37" t="s">
        <v>124</v>
      </c>
      <c r="C1330" s="24">
        <v>4</v>
      </c>
      <c r="D1330" s="65" t="str">
        <f t="shared" si="39"/>
        <v>Editorial</v>
      </c>
      <c r="E1330" s="31" t="s">
        <v>125</v>
      </c>
      <c r="F1330" s="37" t="s">
        <v>201</v>
      </c>
      <c r="G1330" s="24"/>
      <c r="H1330" s="53"/>
    </row>
    <row r="1331" spans="1:8" ht="13.2">
      <c r="A1331" s="65" t="str">
        <f>HYPERLINK("https://dunjudge.me/analysis/problems/67/","NOI 08-housing")</f>
        <v>NOI 08-housing</v>
      </c>
      <c r="B1331" s="37" t="s">
        <v>1348</v>
      </c>
      <c r="C1331" s="24">
        <v>5</v>
      </c>
      <c r="D1331" s="65" t="str">
        <f t="shared" si="39"/>
        <v>Editorial</v>
      </c>
      <c r="E1331" s="31" t="s">
        <v>1337</v>
      </c>
      <c r="F1331" s="37"/>
      <c r="G1331" s="24"/>
      <c r="H1331" s="53"/>
    </row>
    <row r="1332" spans="1:8" ht="13.2">
      <c r="A1332" s="65" t="str">
        <f>HYPERLINK("https://dunjudge.me/analysis/problems/272/","NOI 08-lvm")</f>
        <v>NOI 08-lvm</v>
      </c>
      <c r="B1332" s="37" t="s">
        <v>6705</v>
      </c>
      <c r="C1332" s="24">
        <v>4</v>
      </c>
      <c r="D1332" s="65" t="str">
        <f t="shared" si="39"/>
        <v>Editorial</v>
      </c>
      <c r="E1332" s="31" t="s">
        <v>575</v>
      </c>
      <c r="F1332" s="37" t="s">
        <v>201</v>
      </c>
      <c r="G1332" s="24"/>
      <c r="H1332" s="53"/>
    </row>
    <row r="1333" spans="1:8" ht="13.2">
      <c r="A1333" s="65" t="str">
        <f>HYPERLINK("https://dunjudge.me/analysis/problems/271/","NOI 08-nprime")</f>
        <v>NOI 08-nprime</v>
      </c>
      <c r="B1333" s="37" t="s">
        <v>7330</v>
      </c>
      <c r="C1333" s="24">
        <v>4</v>
      </c>
      <c r="D1333" s="65" t="str">
        <f t="shared" si="39"/>
        <v>Editorial</v>
      </c>
      <c r="E1333" s="31" t="s">
        <v>4531</v>
      </c>
      <c r="F1333" s="37"/>
      <c r="G1333" s="24"/>
      <c r="H1333" s="53"/>
    </row>
    <row r="1334" spans="1:8" ht="13.2">
      <c r="A1334" s="65" t="str">
        <f>HYPERLINK("https://dunjudge.me/analysis/problems/274/","NOI 08-rank")</f>
        <v>NOI 08-rank</v>
      </c>
      <c r="B1334" s="37" t="s">
        <v>7441</v>
      </c>
      <c r="C1334" s="24">
        <v>4</v>
      </c>
      <c r="D1334" s="65" t="str">
        <f t="shared" si="39"/>
        <v>Editorial</v>
      </c>
      <c r="E1334" s="31" t="s">
        <v>6205</v>
      </c>
      <c r="F1334" s="37"/>
      <c r="G1334" s="24"/>
      <c r="H1334" s="53"/>
    </row>
    <row r="1335" spans="1:8" ht="13.2">
      <c r="A1335" s="65" t="str">
        <f>HYPERLINK("https://dunjudge.me/analysis/problems/270/","NOI 09-invest")</f>
        <v>NOI 09-invest</v>
      </c>
      <c r="B1335" s="37" t="s">
        <v>6934</v>
      </c>
      <c r="C1335" s="24">
        <v>4.75</v>
      </c>
      <c r="D1335" s="65" t="str">
        <f t="shared" si="39"/>
        <v>Editorial</v>
      </c>
      <c r="E1335" s="31" t="s">
        <v>1337</v>
      </c>
      <c r="F1335" s="37" t="s">
        <v>139</v>
      </c>
      <c r="G1335" s="24"/>
      <c r="H1335" s="53"/>
    </row>
    <row r="1336" spans="1:8" ht="13.2">
      <c r="A1336" s="65" t="str">
        <f>HYPERLINK("https://dunjudge.me/analysis/problems/150/","NOI 09-lazycat")</f>
        <v>NOI 09-lazycat</v>
      </c>
      <c r="B1336" s="37" t="s">
        <v>7179</v>
      </c>
      <c r="C1336" s="24">
        <v>5</v>
      </c>
      <c r="D1336" s="65" t="str">
        <f t="shared" si="39"/>
        <v>Editorial</v>
      </c>
      <c r="E1336" s="31" t="s">
        <v>3467</v>
      </c>
      <c r="F1336" s="37"/>
      <c r="G1336" s="24"/>
      <c r="H1336" s="53"/>
    </row>
    <row r="1337" spans="1:8" ht="13.2">
      <c r="A1337" s="65" t="str">
        <f>HYPERLINK("https://dunjudge.me/analysis/problems/237/","NOI 09-xmas")</f>
        <v>NOI 09-xmas</v>
      </c>
      <c r="B1337" s="37" t="s">
        <v>124</v>
      </c>
      <c r="C1337" s="24">
        <v>1</v>
      </c>
      <c r="D1337" s="65" t="str">
        <f t="shared" si="39"/>
        <v>Editorial</v>
      </c>
      <c r="E1337" s="31" t="s">
        <v>125</v>
      </c>
      <c r="F1337" s="37"/>
      <c r="G1337" s="24"/>
      <c r="H1337" s="53"/>
    </row>
    <row r="1338" spans="1:8" ht="13.2">
      <c r="A1338" s="65" t="str">
        <f>HYPERLINK("https://dunjudge.me/analysis/problems/115/","NOI 10-card")</f>
        <v>NOI 10-card</v>
      </c>
      <c r="B1338" s="37" t="s">
        <v>6705</v>
      </c>
      <c r="C1338" s="24">
        <v>4</v>
      </c>
      <c r="D1338" s="65" t="str">
        <f t="shared" si="39"/>
        <v>Editorial</v>
      </c>
      <c r="E1338" s="31" t="s">
        <v>575</v>
      </c>
      <c r="F1338" s="37" t="s">
        <v>201</v>
      </c>
      <c r="G1338" s="24"/>
      <c r="H1338" s="53"/>
    </row>
    <row r="1339" spans="1:8" ht="13.2">
      <c r="A1339" s="65" t="str">
        <f>HYPERLINK("https://dunjudge.me/analysis/problems/13/","NOI 10-landscape")</f>
        <v>NOI 10-landscape</v>
      </c>
      <c r="B1339" s="37" t="s">
        <v>1348</v>
      </c>
      <c r="C1339" s="24">
        <v>5</v>
      </c>
      <c r="D1339" s="69"/>
      <c r="E1339" s="31" t="s">
        <v>1337</v>
      </c>
      <c r="F1339" s="37"/>
      <c r="G1339" s="24"/>
      <c r="H1339" s="53"/>
    </row>
    <row r="1340" spans="1:8" ht="13.2">
      <c r="A1340" s="65" t="str">
        <f>HYPERLINK("https://dunjudge.me/analysis/problems/73/","NOI 10-poke_company")</f>
        <v>NOI 10-poke_company</v>
      </c>
      <c r="B1340" s="37" t="s">
        <v>1541</v>
      </c>
      <c r="C1340" s="24">
        <v>4</v>
      </c>
      <c r="D1340" s="65" t="str">
        <f t="shared" ref="D1340:D1342" si="40">HYPERLINK("https://github.com/mostafa-saad/MyCompetitiveProgramming/blob/master/Olympiad/NOI/official","Editorial")</f>
        <v>Editorial</v>
      </c>
      <c r="E1340" s="31" t="s">
        <v>1337</v>
      </c>
      <c r="F1340" s="37"/>
      <c r="G1340" s="24"/>
      <c r="H1340" s="53"/>
    </row>
    <row r="1341" spans="1:8" ht="13.2">
      <c r="A1341" s="65" t="str">
        <f>HYPERLINK("https://dunjudge.me/analysis/problems/265/","NOI 10-sail")</f>
        <v>NOI 10-sail</v>
      </c>
      <c r="B1341" s="37" t="s">
        <v>3791</v>
      </c>
      <c r="C1341" s="24">
        <v>3</v>
      </c>
      <c r="D1341" s="65" t="str">
        <f t="shared" si="40"/>
        <v>Editorial</v>
      </c>
      <c r="E1341" s="31" t="s">
        <v>3784</v>
      </c>
      <c r="F1341" s="37"/>
      <c r="G1341" s="24"/>
      <c r="H1341" s="53"/>
    </row>
    <row r="1342" spans="1:8" ht="13.2">
      <c r="A1342" s="65" t="str">
        <f>HYPERLINK("https://dunjudge.me/analysis/problems/266/","NOI 10-weather")</f>
        <v>NOI 10-weather</v>
      </c>
      <c r="B1342" s="37" t="s">
        <v>3256</v>
      </c>
      <c r="C1342" s="24">
        <v>2</v>
      </c>
      <c r="D1342" s="65" t="str">
        <f t="shared" si="40"/>
        <v>Editorial</v>
      </c>
      <c r="E1342" s="31" t="s">
        <v>3257</v>
      </c>
      <c r="F1342" s="37"/>
      <c r="G1342" s="24"/>
      <c r="H1342" s="53"/>
    </row>
    <row r="1343" spans="1:8" ht="13.2">
      <c r="A1343" s="65" t="str">
        <f>HYPERLINK("https://dunjudge.me/analysis/problems/18/","NOI 11-change")</f>
        <v>NOI 11-change</v>
      </c>
      <c r="B1343" s="37" t="s">
        <v>7047</v>
      </c>
      <c r="C1343" s="24">
        <v>3</v>
      </c>
      <c r="D1343" s="65" t="str">
        <f t="shared" ref="D1343:D1345" si="41">HYPERLINK("https://github.com/mostafa-saad/MyCompetitiveProgramming/blob/master/Olympiad/NOI/official/2011.pptx","Editorial")</f>
        <v>Editorial</v>
      </c>
      <c r="E1343" s="31" t="s">
        <v>2153</v>
      </c>
      <c r="F1343" s="37"/>
      <c r="G1343" s="24"/>
      <c r="H1343" s="53"/>
    </row>
    <row r="1344" spans="1:8" ht="13.2">
      <c r="A1344" s="65" t="str">
        <f>HYPERLINK("https://dunjudge.me/analysis/problems/215/","NOI 11-paint")</f>
        <v>NOI 11-paint</v>
      </c>
      <c r="B1344" s="20" t="s">
        <v>6646</v>
      </c>
      <c r="C1344" s="24">
        <v>1</v>
      </c>
      <c r="D1344" s="65" t="str">
        <f t="shared" si="41"/>
        <v>Editorial</v>
      </c>
      <c r="E1344" s="31" t="s">
        <v>125</v>
      </c>
      <c r="F1344" s="37"/>
      <c r="G1344" s="24"/>
      <c r="H1344" s="53"/>
    </row>
    <row r="1345" spans="1:8" ht="13.2">
      <c r="A1345" s="65" t="str">
        <f>HYPERLINK("https://dunjudge.me/analysis/problems/27/","NOI 11-sequence")</f>
        <v>NOI 11-sequence</v>
      </c>
      <c r="B1345" s="37" t="s">
        <v>7331</v>
      </c>
      <c r="C1345" s="24">
        <v>4</v>
      </c>
      <c r="D1345" s="65" t="str">
        <f t="shared" si="41"/>
        <v>Editorial</v>
      </c>
      <c r="E1345" s="31" t="s">
        <v>4531</v>
      </c>
      <c r="F1345" s="37"/>
      <c r="G1345" s="24"/>
      <c r="H1345" s="53"/>
    </row>
    <row r="1346" spans="1:8" ht="13.2">
      <c r="A1346" s="65" t="str">
        <f>HYPERLINK("https://dunjudge.me/analysis/problems/28/","NOI 11-tour")</f>
        <v>NOI 11-tour</v>
      </c>
      <c r="B1346" s="37" t="s">
        <v>6860</v>
      </c>
      <c r="C1346" s="24">
        <v>6.5</v>
      </c>
      <c r="D1346" s="65" t="str">
        <f>HYPERLINK("https://github.com/mostafa-saad/MyCompetitiveProgramming/blob/master/Olympiad/NOI/NOI-11-tour.txt","Sol")</f>
        <v>Sol</v>
      </c>
      <c r="E1346" s="31" t="s">
        <v>1337</v>
      </c>
      <c r="F1346" s="37"/>
      <c r="G1346" s="24"/>
      <c r="H1346" s="53"/>
    </row>
    <row r="1347" spans="1:8" ht="13.2">
      <c r="A1347" s="65" t="str">
        <f>HYPERLINK("https://dunjudge.me/analysis/problems/26/","NOI 11-tutor")</f>
        <v>NOI 11-tutor</v>
      </c>
      <c r="B1347" s="37" t="s">
        <v>6902</v>
      </c>
      <c r="C1347" s="21">
        <v>5.75</v>
      </c>
      <c r="D1347" s="65" t="str">
        <f t="shared" ref="D1347:D1348" si="42">HYPERLINK("https://github.com/mostafa-saad/MyCompetitiveProgramming/blob/master/Olympiad/NOI/official/2011.pptx","Editorial")</f>
        <v>Editorial</v>
      </c>
      <c r="E1347" s="31" t="s">
        <v>1337</v>
      </c>
      <c r="F1347" s="37"/>
      <c r="G1347" s="24"/>
      <c r="H1347" s="53"/>
    </row>
    <row r="1348" spans="1:8" ht="13.2">
      <c r="A1348" s="65" t="str">
        <f>HYPERLINK("https://oj.uz/problem/view/NOI12_forensic","NOI 12-forensic")</f>
        <v>NOI 12-forensic</v>
      </c>
      <c r="B1348" s="37" t="s">
        <v>7201</v>
      </c>
      <c r="C1348" s="24">
        <v>5</v>
      </c>
      <c r="D1348" s="65" t="str">
        <f t="shared" si="42"/>
        <v>Editorial</v>
      </c>
      <c r="E1348" s="31" t="s">
        <v>3650</v>
      </c>
      <c r="F1348" s="37"/>
      <c r="G1348" s="24"/>
      <c r="H1348" s="53"/>
    </row>
    <row r="1349" spans="1:8" ht="13.2">
      <c r="A1349" s="65" t="str">
        <f>HYPERLINK("https://oj.uz/problem/view/NOI12_modsum","NOI 12-modsum")</f>
        <v>NOI 12-modsum</v>
      </c>
      <c r="B1349" s="37" t="s">
        <v>7324</v>
      </c>
      <c r="C1349" s="24">
        <v>6</v>
      </c>
      <c r="D1349" s="65" t="str">
        <f>HYPERLINK("https://github.com/win11905/submission/blob/master/NOI/12/modsum.cpp","Sol")</f>
        <v>Sol</v>
      </c>
      <c r="E1349" s="31" t="s">
        <v>4531</v>
      </c>
      <c r="F1349" s="37"/>
      <c r="G1349" s="24"/>
      <c r="H1349" s="53"/>
    </row>
    <row r="1350" spans="1:8" ht="13.2">
      <c r="A1350" s="65" t="str">
        <f>HYPERLINK("https://oj.uz/problem/view/NOI12_pancake","NOI 12-pancake")</f>
        <v>NOI 12-pancake</v>
      </c>
      <c r="B1350" s="70" t="s">
        <v>7180</v>
      </c>
      <c r="C1350" s="66">
        <v>5</v>
      </c>
      <c r="D1350" s="65" t="str">
        <f t="shared" ref="D1350:D1351" si="43">HYPERLINK("https://www.comp.nus.edu.sg/~noi/2012/2012_soln.pdf","Editorial")</f>
        <v>Editorial</v>
      </c>
      <c r="E1350" s="31" t="s">
        <v>3467</v>
      </c>
      <c r="F1350" s="37"/>
      <c r="G1350" s="24"/>
      <c r="H1350" s="53"/>
    </row>
    <row r="1351" spans="1:8" ht="13.2">
      <c r="A1351" s="65" t="str">
        <f>HYPERLINK("https://oj.uz/problem/view/NOI12_walking","NOI 12-walking")</f>
        <v>NOI 12-walking</v>
      </c>
      <c r="B1351" s="37" t="s">
        <v>6940</v>
      </c>
      <c r="C1351" s="24">
        <v>4</v>
      </c>
      <c r="D1351" s="65" t="str">
        <f t="shared" si="43"/>
        <v>Editorial</v>
      </c>
      <c r="E1351" s="31" t="s">
        <v>1337</v>
      </c>
      <c r="F1351" s="37"/>
      <c r="G1351" s="24"/>
      <c r="H1351" s="53"/>
    </row>
    <row r="1352" spans="1:8" ht="13.2">
      <c r="A1352" s="65" t="str">
        <f>HYPERLINK("https://dunjudge.me/analysis/problems/281/","NOI 13-diesel")</f>
        <v>NOI 13-diesel</v>
      </c>
      <c r="B1352" s="37" t="s">
        <v>7164</v>
      </c>
      <c r="C1352" s="24">
        <v>4.5</v>
      </c>
      <c r="D1352" s="65" t="str">
        <f>HYPERLINK("https://github.com/mostafa-saad/MyCompetitiveProgramming/blob/master/Olympiad/NOI/official","Sol")</f>
        <v>Sol</v>
      </c>
      <c r="E1352" s="31" t="s">
        <v>3257</v>
      </c>
      <c r="F1352" s="37" t="s">
        <v>201</v>
      </c>
      <c r="G1352" s="24"/>
      <c r="H1352" s="53"/>
    </row>
    <row r="1353" spans="1:8" ht="13.2">
      <c r="A1353" s="65" t="str">
        <f>HYPERLINK("https://oj.uz/problem/view/NOI13_ferries","NOI 13-ferries")</f>
        <v>NOI 13-ferries</v>
      </c>
      <c r="B1353" s="20" t="s">
        <v>3791</v>
      </c>
      <c r="C1353" s="24">
        <v>5</v>
      </c>
      <c r="D1353" s="69"/>
      <c r="E1353" s="31" t="s">
        <v>3784</v>
      </c>
      <c r="F1353" s="37"/>
      <c r="G1353" s="24"/>
      <c r="H1353" s="53"/>
    </row>
    <row r="1354" spans="1:8" ht="13.2">
      <c r="A1354" s="65" t="str">
        <f>HYPERLINK("https://oj.uz/problem/view/NOI13_gw","NOI 13-gw")</f>
        <v>NOI 13-gw</v>
      </c>
      <c r="B1354" s="20" t="s">
        <v>6629</v>
      </c>
      <c r="C1354" s="24">
        <v>5</v>
      </c>
      <c r="D1354" s="65" t="str">
        <f>HYPERLINK("https://github.com/sjhuang26/competitive-programming/blob/master/noi/NOI%2013-gw.cpp","Sol")</f>
        <v>Sol</v>
      </c>
      <c r="E1354" s="31" t="s">
        <v>125</v>
      </c>
      <c r="F1354" s="37" t="s">
        <v>201</v>
      </c>
      <c r="G1354" s="24"/>
      <c r="H1354" s="53"/>
    </row>
    <row r="1355" spans="1:8" ht="13.2">
      <c r="A1355" s="65" t="str">
        <f>HYPERLINK("https://oj.uz/problem/view/NOI14_cats","NOI 14-cats")</f>
        <v>NOI 14-cats</v>
      </c>
      <c r="B1355" s="37" t="s">
        <v>7766</v>
      </c>
      <c r="C1355" s="24">
        <v>6.4</v>
      </c>
      <c r="D1355" s="65" t="str">
        <f>HYPERLINK("https://github.com/mostafa-saad/MyCompetitiveProgramming/blob/master/Olympiad/NOI/NOI-14-cats.txt","Sol")</f>
        <v>Sol</v>
      </c>
      <c r="E1355" s="31" t="s">
        <v>4778</v>
      </c>
      <c r="F1355" s="37" t="s">
        <v>154</v>
      </c>
      <c r="G1355" s="24"/>
      <c r="H1355" s="53"/>
    </row>
    <row r="1356" spans="1:8" ht="13.2">
      <c r="A1356" s="65" t="str">
        <f>HYPERLINK("https://oj.uz/problem/view/NOI14_obelisk","NOI 14-obelisk")</f>
        <v>NOI 14-obelisk</v>
      </c>
      <c r="B1356" s="37" t="s">
        <v>7251</v>
      </c>
      <c r="C1356" s="17">
        <v>6.7</v>
      </c>
      <c r="D1356" s="65" t="str">
        <f>HYPERLINK("https://github.com/mostafa-saad/MyCompetitiveProgramming/blob/master/Olympiad/NOI/NOI-14-obelisk.txt","Sol")</f>
        <v>Sol</v>
      </c>
      <c r="E1356" s="31" t="s">
        <v>3998</v>
      </c>
      <c r="F1356" s="37"/>
      <c r="G1356" s="24"/>
      <c r="H1356" s="53"/>
    </row>
    <row r="1357" spans="1:8" ht="13.2">
      <c r="A1357" s="65" t="str">
        <f>HYPERLINK("https://oj.uz/problem/view/NOI14_orchard","NOI 14-orchard")</f>
        <v>NOI 14-orchard</v>
      </c>
      <c r="B1357" s="37" t="s">
        <v>7406</v>
      </c>
      <c r="C1357" s="24">
        <v>5</v>
      </c>
      <c r="D1357" s="65" t="str">
        <f t="shared" ref="D1357:D1369" si="44">HYPERLINK("https://github.com/mostafa-saad/MyCompetitiveProgramming/blob/master/Olympiad/NOI/official","Editorial")</f>
        <v>Editorial</v>
      </c>
      <c r="E1357" s="31" t="s">
        <v>5958</v>
      </c>
      <c r="F1357" s="37" t="s">
        <v>201</v>
      </c>
      <c r="G1357" s="24"/>
      <c r="H1357" s="53"/>
    </row>
    <row r="1358" spans="1:8" ht="13.2">
      <c r="A1358" s="65" t="str">
        <f>HYPERLINK("https://oj.uz/problem/view/NOI14_sightseeing","NOI 14-sightseeing")</f>
        <v>NOI 14-sightseeing</v>
      </c>
      <c r="B1358" s="37" t="s">
        <v>4279</v>
      </c>
      <c r="C1358" s="24">
        <v>5.5</v>
      </c>
      <c r="D1358" s="65" t="str">
        <f t="shared" si="44"/>
        <v>Editorial</v>
      </c>
      <c r="E1358" s="31" t="s">
        <v>4275</v>
      </c>
      <c r="F1358" s="37"/>
      <c r="G1358" s="24"/>
      <c r="H1358" s="53"/>
    </row>
    <row r="1359" spans="1:8" ht="13.2">
      <c r="A1359" s="65" t="str">
        <f>HYPERLINK("https://dunjudge.me/analysis/problems/703/","NOI 15-askonegetonefree")</f>
        <v>NOI 15-askonegetonefree</v>
      </c>
      <c r="B1359" s="37" t="s">
        <v>1348</v>
      </c>
      <c r="C1359" s="24">
        <v>5</v>
      </c>
      <c r="D1359" s="65" t="str">
        <f t="shared" si="44"/>
        <v>Editorial</v>
      </c>
      <c r="E1359" s="31" t="s">
        <v>1337</v>
      </c>
      <c r="F1359" s="37"/>
      <c r="G1359" s="24"/>
      <c r="H1359" s="53"/>
    </row>
    <row r="1360" spans="1:8" ht="13.2">
      <c r="A1360" s="65" t="str">
        <f>HYPERLINK("https://dunjudge.me/analysis/problems/704/","NOI 15-banana_farm")</f>
        <v>NOI 15-banana_farm</v>
      </c>
      <c r="B1360" s="37" t="s">
        <v>6687</v>
      </c>
      <c r="C1360" s="24">
        <v>6.25</v>
      </c>
      <c r="D1360" s="65" t="str">
        <f t="shared" si="44"/>
        <v>Editorial</v>
      </c>
      <c r="E1360" s="31" t="s">
        <v>575</v>
      </c>
      <c r="F1360" s="37"/>
      <c r="G1360" s="24"/>
      <c r="H1360" s="53"/>
    </row>
    <row r="1361" spans="1:8" ht="13.2">
      <c r="A1361" s="65" t="str">
        <f>HYPERLINK("https://dunjudge.me/analysis/problems/705/","NOI 15-radioactive")</f>
        <v>NOI 15-radioactive</v>
      </c>
      <c r="B1361" s="37" t="s">
        <v>4530</v>
      </c>
      <c r="C1361" s="24">
        <v>5</v>
      </c>
      <c r="D1361" s="65" t="str">
        <f t="shared" si="44"/>
        <v>Editorial</v>
      </c>
      <c r="E1361" s="31" t="s">
        <v>4531</v>
      </c>
      <c r="F1361" s="37"/>
      <c r="G1361" s="24"/>
      <c r="H1361" s="53"/>
    </row>
    <row r="1362" spans="1:8" ht="13.2">
      <c r="A1362" s="65" t="str">
        <f>HYPERLINK("https://dunjudge.me/analysis/problems/706/","NOI 15-sudoku")</f>
        <v>NOI 15-sudoku</v>
      </c>
      <c r="B1362" s="37" t="s">
        <v>3791</v>
      </c>
      <c r="C1362" s="24">
        <v>7</v>
      </c>
      <c r="D1362" s="65" t="str">
        <f t="shared" si="44"/>
        <v>Editorial</v>
      </c>
      <c r="E1362" s="31" t="s">
        <v>3784</v>
      </c>
      <c r="F1362" s="37"/>
      <c r="G1362" s="24"/>
      <c r="H1362" s="53"/>
    </row>
    <row r="1363" spans="1:8" ht="13.2">
      <c r="A1363" s="65" t="str">
        <f>HYPERLINK("https://dunjudge.me/analysis/problems/955/","NOI 16-fabric")</f>
        <v>NOI 16-fabric</v>
      </c>
      <c r="B1363" s="37" t="s">
        <v>7325</v>
      </c>
      <c r="C1363" s="24">
        <v>5.75</v>
      </c>
      <c r="D1363" s="65" t="str">
        <f t="shared" si="44"/>
        <v>Editorial</v>
      </c>
      <c r="E1363" s="31" t="s">
        <v>4531</v>
      </c>
      <c r="F1363" s="37"/>
      <c r="G1363" s="24"/>
      <c r="H1363" s="53"/>
    </row>
    <row r="1364" spans="1:8" ht="13.2">
      <c r="A1364" s="65" t="str">
        <f>HYPERLINK("https://dunjudge.me/analysis/problems/954/","NOI 16-lunchbox")</f>
        <v>NOI 16-lunchbox</v>
      </c>
      <c r="B1364" s="37" t="s">
        <v>2248</v>
      </c>
      <c r="C1364" s="24">
        <v>1</v>
      </c>
      <c r="D1364" s="65" t="str">
        <f t="shared" si="44"/>
        <v>Editorial</v>
      </c>
      <c r="E1364" s="31" t="s">
        <v>2153</v>
      </c>
      <c r="F1364" s="37"/>
      <c r="G1364" s="24"/>
      <c r="H1364" s="53"/>
    </row>
    <row r="1365" spans="1:8" ht="13.2">
      <c r="A1365" s="65" t="str">
        <f>HYPERLINK("https://dunjudge.me/analysis/problems/957/","NOI 16-pandaski")</f>
        <v>NOI 16-pandaski</v>
      </c>
      <c r="B1365" s="37" t="s">
        <v>7527</v>
      </c>
      <c r="C1365" s="24">
        <v>5</v>
      </c>
      <c r="D1365" s="65" t="str">
        <f t="shared" si="44"/>
        <v>Editorial</v>
      </c>
      <c r="E1365" s="31" t="s">
        <v>7525</v>
      </c>
      <c r="F1365" s="37"/>
      <c r="G1365" s="24"/>
      <c r="H1365" s="53"/>
    </row>
    <row r="1366" spans="1:8" ht="13.2">
      <c r="A1366" s="65" t="str">
        <f>HYPERLINK("https://dunjudge.me/analysis/problems/956/","NOI 16-rock_climbing")</f>
        <v>NOI 16-rock_climbing</v>
      </c>
      <c r="B1366" s="37" t="s">
        <v>4149</v>
      </c>
      <c r="C1366" s="24">
        <v>5</v>
      </c>
      <c r="D1366" s="65" t="str">
        <f t="shared" si="44"/>
        <v>Editorial</v>
      </c>
      <c r="E1366" s="31" t="s">
        <v>4144</v>
      </c>
      <c r="F1366" s="37"/>
      <c r="G1366" s="24"/>
      <c r="H1366" s="53"/>
    </row>
    <row r="1367" spans="1:8" ht="13.2">
      <c r="A1367" s="65" t="str">
        <f>HYPERLINK("https://dunjudge.me/analysis/problems/958/","NOI 16-unlucky_floors")</f>
        <v>NOI 16-unlucky_floors</v>
      </c>
      <c r="B1367" s="37" t="s">
        <v>1348</v>
      </c>
      <c r="C1367" s="24">
        <v>5</v>
      </c>
      <c r="D1367" s="65" t="str">
        <f t="shared" si="44"/>
        <v>Editorial</v>
      </c>
      <c r="E1367" s="31" t="s">
        <v>1337</v>
      </c>
      <c r="F1367" s="37"/>
      <c r="G1367" s="24"/>
      <c r="H1367" s="53"/>
    </row>
    <row r="1368" spans="1:8" ht="13.2">
      <c r="A1368" s="65" t="str">
        <f>HYPERLINK("https://dunjudge.me/analysis/problems/1226/","NOI 17-best_place")</f>
        <v>NOI 17-best_place</v>
      </c>
      <c r="B1368" s="37" t="s">
        <v>285</v>
      </c>
      <c r="C1368" s="24">
        <v>5.25</v>
      </c>
      <c r="D1368" s="65" t="str">
        <f t="shared" si="44"/>
        <v>Editorial</v>
      </c>
      <c r="E1368" s="31" t="s">
        <v>125</v>
      </c>
      <c r="F1368" s="37"/>
      <c r="G1368" s="24"/>
      <c r="H1368" s="53"/>
    </row>
    <row r="1369" spans="1:8" ht="13.2">
      <c r="A1369" s="65" t="str">
        <f>HYPERLINK("https://dunjudge.me/analysis/problems/1228/","NOI 17-hotspot")</f>
        <v>NOI 17-hotspot</v>
      </c>
      <c r="B1369" s="37" t="s">
        <v>7222</v>
      </c>
      <c r="C1369" s="24">
        <v>5</v>
      </c>
      <c r="D1369" s="65" t="str">
        <f t="shared" si="44"/>
        <v>Editorial</v>
      </c>
      <c r="E1369" s="31" t="s">
        <v>3784</v>
      </c>
      <c r="F1369" s="37" t="s">
        <v>201</v>
      </c>
      <c r="G1369" s="24"/>
      <c r="H1369" s="53"/>
    </row>
    <row r="1370" spans="1:8" ht="13.2">
      <c r="A1370" s="65" t="str">
        <f>HYPERLINK("https://dunjudge.me/analysis/problems/1229/","NOI 17-rmq")</f>
        <v>NOI 17-rmq</v>
      </c>
      <c r="B1370" s="37" t="s">
        <v>2355</v>
      </c>
      <c r="C1370" s="24">
        <v>6</v>
      </c>
      <c r="D1370" s="65" t="str">
        <f>HYPERLINK("https://github.com/mostafa-saad/MyCompetitiveProgramming/blob/master/Olympiad/NOI/NOI-17-rmq.txt","Sol")</f>
        <v>Sol</v>
      </c>
      <c r="E1370" s="31" t="s">
        <v>2153</v>
      </c>
      <c r="F1370" s="37" t="s">
        <v>613</v>
      </c>
      <c r="G1370" s="24"/>
      <c r="H1370" s="53"/>
    </row>
    <row r="1371" spans="1:8" ht="13.2">
      <c r="A1371" s="65" t="str">
        <f>HYPERLINK("https://dunjudge.me/analysis/problems/1227/","NOI 17-roadside_adverts")</f>
        <v>NOI 17-roadside_adverts</v>
      </c>
      <c r="B1371" s="37" t="s">
        <v>7160</v>
      </c>
      <c r="C1371" s="24">
        <v>5</v>
      </c>
      <c r="D1371" s="65" t="str">
        <f>HYPERLINK("https://github.com/mostafa-saad/MyCompetitiveProgramming/blob/master/Olympiad/NOI/official","Editorial")</f>
        <v>Editorial</v>
      </c>
      <c r="E1371" s="31" t="s">
        <v>3257</v>
      </c>
      <c r="F1371" s="37" t="s">
        <v>201</v>
      </c>
      <c r="G1371" s="24"/>
      <c r="H1371" s="53"/>
    </row>
    <row r="1372" spans="1:8" ht="13.2">
      <c r="A1372" s="65" t="str">
        <f>HYPERLINK("https://dunjudge.me/analysis/problems/1230/","NOI 17-very_best_pokemon")</f>
        <v>NOI 17-very_best_pokemon</v>
      </c>
      <c r="B1372" s="37" t="s">
        <v>6793</v>
      </c>
      <c r="C1372" s="24">
        <v>5.5</v>
      </c>
      <c r="D1372" s="65" t="str">
        <f>HYPERLINK("https://github.com/mostafa-saad/MyCompetitiveProgramming/blob/master/Olympiad/NOI/NOI-17-very_best_pokemon.txt","Sol")</f>
        <v>Sol</v>
      </c>
      <c r="E1372" s="31" t="s">
        <v>1018</v>
      </c>
      <c r="F1372" s="37" t="s">
        <v>139</v>
      </c>
      <c r="G1372" s="24"/>
      <c r="H1372" s="53"/>
    </row>
    <row r="1373" spans="1:8" ht="13.2">
      <c r="A1373" s="65" t="str">
        <f>HYPERLINK("https://oj.uz/problem/view/NOI18_citymapping","NOI 18-citymapping")</f>
        <v>NOI 18-citymapping</v>
      </c>
      <c r="B1373" s="37" t="s">
        <v>7182</v>
      </c>
      <c r="C1373" s="24">
        <v>7</v>
      </c>
      <c r="D1373" s="65" t="str">
        <f>HYPERLINK("https://github.com/mostafa-saad/MyCompetitiveProgramming/blob/master/Olympiad/NOI/NOI-18-citymapping.txt","Sol")</f>
        <v>Sol</v>
      </c>
      <c r="E1373" s="31" t="s">
        <v>3633</v>
      </c>
      <c r="F1373" s="37" t="s">
        <v>139</v>
      </c>
      <c r="G1373" s="24"/>
      <c r="H1373" s="53"/>
    </row>
    <row r="1374" spans="1:8" ht="13.2">
      <c r="A1374" s="65" t="str">
        <f>HYPERLINK("https://oj.uz/problem/view/NOI18_collectmushrooms","NOI 18-collectmushrooms")</f>
        <v>NOI 18-collectmushrooms</v>
      </c>
      <c r="B1374" s="37" t="s">
        <v>245</v>
      </c>
      <c r="C1374" s="24">
        <v>3</v>
      </c>
      <c r="D1374" s="65" t="str">
        <f t="shared" ref="D1374:D1377" si="45">HYPERLINK("https://github.com/mostafa-saad/MyCompetitiveProgramming/blob/master/Olympiad/NOI/official","Editorial")</f>
        <v>Editorial</v>
      </c>
      <c r="E1374" s="31" t="s">
        <v>125</v>
      </c>
      <c r="F1374" s="37"/>
      <c r="G1374" s="24"/>
      <c r="H1374" s="53"/>
    </row>
    <row r="1375" spans="1:8" ht="13.2">
      <c r="A1375" s="65" t="str">
        <f>HYPERLINK("https://oj.uz/problem/view/NOI18_journey","NOI 18-journey")</f>
        <v>NOI 18-journey</v>
      </c>
      <c r="B1375" s="37" t="s">
        <v>1358</v>
      </c>
      <c r="C1375" s="24">
        <v>4</v>
      </c>
      <c r="D1375" s="65" t="str">
        <f t="shared" si="45"/>
        <v>Editorial</v>
      </c>
      <c r="E1375" s="31" t="s">
        <v>1337</v>
      </c>
      <c r="F1375" s="37"/>
      <c r="G1375" s="24"/>
      <c r="H1375" s="53"/>
    </row>
    <row r="1376" spans="1:8" ht="13.2">
      <c r="A1376" s="65" t="str">
        <f>HYPERLINK("https://oj.uz/problem/view/NOI18_lightningrod","NOI 18-lightningrod")</f>
        <v>NOI 18-lightningrod</v>
      </c>
      <c r="B1376" s="23" t="s">
        <v>2323</v>
      </c>
      <c r="C1376" s="24">
        <v>3.5</v>
      </c>
      <c r="D1376" s="65" t="str">
        <f t="shared" si="45"/>
        <v>Editorial</v>
      </c>
      <c r="E1376" s="31" t="s">
        <v>2153</v>
      </c>
      <c r="F1376" s="37" t="s">
        <v>201</v>
      </c>
      <c r="G1376" s="24"/>
      <c r="H1376" s="53"/>
    </row>
    <row r="1377" spans="1:8" ht="13.2">
      <c r="A1377" s="65" t="str">
        <f>HYPERLINK("https://oj.uz/problem/view/NOI18_safety","NOI 18-safety")</f>
        <v>NOI 18-safety</v>
      </c>
      <c r="B1377" s="37" t="s">
        <v>6979</v>
      </c>
      <c r="C1377" s="24">
        <v>7.25</v>
      </c>
      <c r="D1377" s="65" t="str">
        <f t="shared" si="45"/>
        <v>Editorial</v>
      </c>
      <c r="E1377" s="31" t="s">
        <v>2153</v>
      </c>
      <c r="F1377" s="37" t="s">
        <v>139</v>
      </c>
      <c r="G1377" s="24"/>
      <c r="H1377" s="53"/>
    </row>
    <row r="1378" spans="1:8" ht="13.2">
      <c r="A1378" s="65" t="str">
        <f>HYPERLINK("https://dunjudge.me/analysis/problems/1826/","NOI 19-feast")</f>
        <v>NOI 19-feast</v>
      </c>
      <c r="B1378" s="20" t="s">
        <v>7487</v>
      </c>
      <c r="C1378" s="17">
        <v>6.75</v>
      </c>
      <c r="D1378" s="65" t="str">
        <f>HYPERLINK("https://github.com/mostafa-saad/MyCompetitiveProgramming/blob/master/Olympiad/NOI/NOI-19-feast.txt","Sol")</f>
        <v>Sol</v>
      </c>
      <c r="E1378" s="31" t="s">
        <v>6417</v>
      </c>
      <c r="F1378" s="37" t="s">
        <v>139</v>
      </c>
      <c r="G1378" s="24"/>
      <c r="H1378" s="53"/>
    </row>
    <row r="1379" spans="1:8" ht="13.2">
      <c r="A1379" s="65" t="str">
        <f>HYPERLINK("https://dunjudge.me/analysis/problems/1825/","NOI 19-lasers")</f>
        <v>NOI 19-lasers</v>
      </c>
      <c r="B1379" s="20" t="s">
        <v>124</v>
      </c>
      <c r="C1379" s="17">
        <v>4</v>
      </c>
      <c r="D1379" s="69"/>
      <c r="E1379" s="31" t="s">
        <v>125</v>
      </c>
      <c r="F1379" s="37" t="s">
        <v>139</v>
      </c>
      <c r="G1379" s="24"/>
      <c r="H1379" s="53"/>
    </row>
    <row r="1380" spans="1:8" ht="13.2">
      <c r="A1380" s="65" t="str">
        <f>HYPERLINK("https://dunjudge.me/analysis/problems/1824/","NOI 19-pilot")</f>
        <v>NOI 19-pilot</v>
      </c>
      <c r="B1380" s="20" t="s">
        <v>7242</v>
      </c>
      <c r="C1380" s="17">
        <v>5.5</v>
      </c>
      <c r="D1380" s="65" t="str">
        <f>HYPERLINK("https://github.com/MohamedAhmed04/Competitive-programming/blob/master/SingaporeNOI/2019-Pilot.cpp", "AC")</f>
        <v>AC</v>
      </c>
      <c r="E1380" s="31" t="s">
        <v>3883</v>
      </c>
      <c r="F1380" s="37" t="s">
        <v>201</v>
      </c>
      <c r="G1380" s="24"/>
      <c r="H1380" s="53"/>
    </row>
    <row r="1381" spans="1:8" ht="13.2">
      <c r="A1381" s="65" t="str">
        <f>HYPERLINK("https://dunjudge.me/analysis/problems/1827/","NOI 19-riggedroads")</f>
        <v>NOI 19-riggedroads</v>
      </c>
      <c r="B1381" s="20" t="s">
        <v>7231</v>
      </c>
      <c r="C1381" s="17">
        <v>6.75</v>
      </c>
      <c r="D1381" s="65" t="str">
        <f>HYPERLINK("https://github.com/mostafa-saad/MyCompetitiveProgramming/blob/master/Olympiad/NOI/NOI-19-riggedroads.txt","Sol")</f>
        <v>Sol</v>
      </c>
      <c r="E1381" s="31" t="s">
        <v>3883</v>
      </c>
      <c r="F1381" s="37" t="s">
        <v>139</v>
      </c>
      <c r="G1381" s="24"/>
      <c r="H1381" s="53"/>
    </row>
    <row r="1382" spans="1:8" ht="13.2">
      <c r="A1382" s="65" t="str">
        <f>HYPERLINK("https://dunjudge.me/analysis/problems/1828/","NOI 19-shuffle")</f>
        <v>NOI 19-shuffle</v>
      </c>
      <c r="B1382" s="37" t="s">
        <v>7580</v>
      </c>
      <c r="C1382" s="24">
        <v>8</v>
      </c>
      <c r="D1382" s="69"/>
      <c r="E1382" s="31" t="s">
        <v>7525</v>
      </c>
      <c r="F1382" s="37"/>
      <c r="G1382" s="24"/>
      <c r="H1382" s="53"/>
    </row>
    <row r="1383" spans="1:8" ht="13.2">
      <c r="A1383" s="65" t="str">
        <f>HYPERLINK("https://dunjudge.me/analysis/problems/700/","NOIMOCK 15-battleship")</f>
        <v>NOIMOCK 15-battleship</v>
      </c>
      <c r="B1383" s="37" t="s">
        <v>1348</v>
      </c>
      <c r="C1383" s="24">
        <v>5</v>
      </c>
      <c r="D1383" s="69"/>
      <c r="E1383" s="31" t="s">
        <v>1337</v>
      </c>
      <c r="F1383" s="37"/>
      <c r="G1383" s="24"/>
      <c r="H1383" s="53"/>
    </row>
    <row r="1384" spans="1:8" ht="13.2">
      <c r="A1384" s="65" t="str">
        <f>HYPERLINK("https://dunjudge.me/analysis/problems/698/","NOIMOCK 15-chessboard")</f>
        <v>NOIMOCK 15-chessboard</v>
      </c>
      <c r="B1384" s="37" t="s">
        <v>6617</v>
      </c>
      <c r="C1384" s="24">
        <v>6</v>
      </c>
      <c r="D1384" s="69"/>
      <c r="E1384" s="31" t="s">
        <v>125</v>
      </c>
      <c r="F1384" s="37"/>
      <c r="G1384" s="24"/>
      <c r="H1384" s="53"/>
    </row>
    <row r="1385" spans="1:8" ht="13.2">
      <c r="A1385" s="65" t="str">
        <f>HYPERLINK("https://dunjudge.me/analysis/problems/701/","NOIMOCK 15-dynamite")</f>
        <v>NOIMOCK 15-dynamite</v>
      </c>
      <c r="B1385" s="37" t="s">
        <v>6640</v>
      </c>
      <c r="C1385" s="24">
        <v>5</v>
      </c>
      <c r="D1385" s="69"/>
      <c r="E1385" s="31" t="s">
        <v>125</v>
      </c>
      <c r="F1385" s="37"/>
      <c r="G1385" s="24"/>
      <c r="H1385" s="53"/>
    </row>
    <row r="1386" spans="1:8" ht="13.2">
      <c r="A1386" s="65" t="str">
        <f>HYPERLINK("https://dunjudge.me/analysis/problems/694/","NOIMOCK 15-lilypads")</f>
        <v>NOIMOCK 15-lilypads</v>
      </c>
      <c r="B1386" s="37" t="s">
        <v>6707</v>
      </c>
      <c r="C1386" s="24">
        <v>4</v>
      </c>
      <c r="D1386" s="69"/>
      <c r="E1386" s="31" t="s">
        <v>575</v>
      </c>
      <c r="F1386" s="37"/>
      <c r="G1386" s="24"/>
      <c r="H1386" s="53"/>
    </row>
    <row r="1387" spans="1:8" ht="13.2">
      <c r="A1387" s="65" t="str">
        <f>HYPERLINK("https://dunjudge.me/analysis/problems/693/","NOIMOCK 15-marbles")</f>
        <v>NOIMOCK 15-marbles</v>
      </c>
      <c r="B1387" s="37" t="s">
        <v>2163</v>
      </c>
      <c r="C1387" s="24">
        <v>4</v>
      </c>
      <c r="D1387" s="69"/>
      <c r="E1387" s="31" t="s">
        <v>2153</v>
      </c>
      <c r="F1387" s="37"/>
      <c r="G1387" s="24"/>
      <c r="H1387" s="53"/>
    </row>
    <row r="1388" spans="1:8" ht="13.2">
      <c r="A1388" s="65" t="str">
        <f>HYPERLINK("https://dunjudge.me/analysis/problems/699/","NOIMOCK 15-rooms")</f>
        <v>NOIMOCK 15-rooms</v>
      </c>
      <c r="B1388" s="37" t="s">
        <v>1358</v>
      </c>
      <c r="C1388" s="24">
        <v>5.25</v>
      </c>
      <c r="D1388" s="69"/>
      <c r="E1388" s="31" t="s">
        <v>1337</v>
      </c>
      <c r="F1388" s="37"/>
      <c r="G1388" s="24"/>
      <c r="H1388" s="53"/>
    </row>
    <row r="1389" spans="1:8" ht="13.2">
      <c r="A1389" s="65" t="str">
        <f>HYPERLINK("https://dunjudge.me/analysis/problems/695/","NOIMOCK 15-toblerone")</f>
        <v>NOIMOCK 15-toblerone</v>
      </c>
      <c r="B1389" s="37" t="s">
        <v>1348</v>
      </c>
      <c r="C1389" s="24">
        <v>4.5</v>
      </c>
      <c r="D1389" s="69"/>
      <c r="E1389" s="31" t="s">
        <v>1337</v>
      </c>
      <c r="F1389" s="37"/>
      <c r="G1389" s="24"/>
      <c r="H1389" s="53"/>
    </row>
    <row r="1390" spans="1:8" ht="13.2">
      <c r="A1390" s="65" t="str">
        <f>HYPERLINK("https://dunjudge.me/analysis/problems/697/","NOIMOCK 15-travel")</f>
        <v>NOIMOCK 15-travel</v>
      </c>
      <c r="B1390" s="37" t="s">
        <v>3256</v>
      </c>
      <c r="C1390" s="24">
        <v>8</v>
      </c>
      <c r="D1390" s="69"/>
      <c r="E1390" s="31" t="s">
        <v>3257</v>
      </c>
      <c r="F1390" s="37"/>
      <c r="G1390" s="24"/>
      <c r="H1390" s="53"/>
    </row>
    <row r="1391" spans="1:8" ht="13.2">
      <c r="A1391" s="65" t="str">
        <f>HYPERLINK("https://dunjudge.me/analysis/problems/1479/","NOIPrelim 18-island")</f>
        <v>NOIPrelim 18-island</v>
      </c>
      <c r="B1391" s="37" t="s">
        <v>3277</v>
      </c>
      <c r="C1391" s="24"/>
      <c r="D1391" s="69"/>
      <c r="E1391" s="31" t="s">
        <v>3257</v>
      </c>
      <c r="F1391" s="37"/>
      <c r="G1391" s="24"/>
      <c r="H1391" s="53"/>
    </row>
    <row r="1392" spans="1:8" ht="13.2">
      <c r="A1392" s="65" t="str">
        <f>HYPERLINK("https://dunjudge.me/analysis/problems/1480/","NOIPrelim 18-knapsack")</f>
        <v>NOIPrelim 18-knapsack</v>
      </c>
      <c r="B1392" s="37" t="s">
        <v>1348</v>
      </c>
      <c r="C1392" s="24"/>
      <c r="D1392" s="69"/>
      <c r="E1392" s="31" t="s">
        <v>1337</v>
      </c>
      <c r="F1392" s="37"/>
      <c r="G1392" s="24"/>
      <c r="H1392" s="53"/>
    </row>
    <row r="1393" spans="1:8" ht="13.2">
      <c r="A1393" s="65" t="str">
        <f>HYPERLINK("https://dunjudge.me/analysis/problems/1478/","NOIPrelim 18-snail")</f>
        <v>NOIPrelim 18-snail</v>
      </c>
      <c r="B1393" s="37" t="s">
        <v>124</v>
      </c>
      <c r="C1393" s="24"/>
      <c r="D1393" s="69"/>
      <c r="E1393" s="31" t="s">
        <v>125</v>
      </c>
      <c r="F1393" s="37"/>
      <c r="G1393" s="24"/>
      <c r="H1393" s="53"/>
    </row>
    <row r="1394" spans="1:8" ht="13.2">
      <c r="A1394" s="65" t="str">
        <f>HYPERLINK("https://dunjudge.me/analysis/problems/16/","NOISelection 10-chessislands")</f>
        <v>NOISelection 10-chessislands</v>
      </c>
      <c r="B1394" s="37" t="s">
        <v>3256</v>
      </c>
      <c r="C1394" s="24"/>
      <c r="D1394" s="69"/>
      <c r="E1394" s="31" t="s">
        <v>3257</v>
      </c>
      <c r="F1394" s="37"/>
      <c r="G1394" s="24"/>
      <c r="H1394" s="53"/>
    </row>
    <row r="1395" spans="1:8" ht="13.2">
      <c r="A1395" s="65" t="str">
        <f>HYPERLINK("https://dunjudge.me/analysis/problems/214/","NOISelection 10-crunchy")</f>
        <v>NOISelection 10-crunchy</v>
      </c>
      <c r="B1395" s="37" t="s">
        <v>2248</v>
      </c>
      <c r="C1395" s="72">
        <v>1</v>
      </c>
      <c r="D1395" s="69"/>
      <c r="E1395" s="31" t="s">
        <v>2153</v>
      </c>
      <c r="F1395" s="37"/>
      <c r="G1395" s="24"/>
      <c r="H1395" s="53"/>
    </row>
    <row r="1396" spans="1:8" ht="13.2">
      <c r="A1396" s="65" t="str">
        <f>HYPERLINK("https://dunjudge.me/analysis/problems/141/","NOISelection 10-jungle")</f>
        <v>NOISelection 10-jungle</v>
      </c>
      <c r="B1396" s="37" t="s">
        <v>7527</v>
      </c>
      <c r="C1396" s="24"/>
      <c r="D1396" s="69"/>
      <c r="E1396" s="31" t="s">
        <v>7525</v>
      </c>
      <c r="F1396" s="37"/>
      <c r="G1396" s="24"/>
      <c r="H1396" s="53"/>
    </row>
    <row r="1397" spans="1:8" ht="13.2">
      <c r="A1397" s="65" t="str">
        <f>HYPERLINK("https://dunjudge.me/analysis/problems/15/","NOISelection 10-trianglesum")</f>
        <v>NOISelection 10-trianglesum</v>
      </c>
      <c r="B1397" s="37" t="s">
        <v>7527</v>
      </c>
      <c r="C1397" s="24"/>
      <c r="D1397" s="69"/>
      <c r="E1397" s="31" t="s">
        <v>7525</v>
      </c>
      <c r="F1397" s="37"/>
      <c r="G1397" s="24"/>
      <c r="H1397" s="53"/>
    </row>
    <row r="1398" spans="1:8" ht="13.2">
      <c r="A1398" s="65" t="str">
        <f>HYPERLINK("https://dunjudge.me/analysis/problems/39/","NOISelection 11-bunnyhop")</f>
        <v>NOISelection 11-bunnyhop</v>
      </c>
      <c r="B1398" s="20" t="s">
        <v>6646</v>
      </c>
      <c r="C1398" s="24">
        <v>1</v>
      </c>
      <c r="D1398" s="69"/>
      <c r="E1398" s="31" t="s">
        <v>125</v>
      </c>
      <c r="F1398" s="37"/>
      <c r="G1398" s="24"/>
      <c r="H1398" s="53"/>
    </row>
    <row r="1399" spans="1:8" ht="13.2">
      <c r="A1399" s="65" t="str">
        <f>HYPERLINK("https://dunjudge.me/analysis/problems/88/","NOISelection 11-factortiles")</f>
        <v>NOISelection 11-factortiles</v>
      </c>
      <c r="B1399" s="37" t="s">
        <v>4564</v>
      </c>
      <c r="C1399" s="24"/>
      <c r="D1399" s="69"/>
      <c r="E1399" s="31" t="s">
        <v>4531</v>
      </c>
      <c r="F1399" s="37"/>
      <c r="G1399" s="24"/>
      <c r="H1399" s="53"/>
    </row>
    <row r="1400" spans="1:8" ht="13.2">
      <c r="A1400" s="65" t="str">
        <f>HYPERLINK("https://dunjudge.me/analysis/problems/45/","NOISelection 11-journey")</f>
        <v>NOISelection 11-journey</v>
      </c>
      <c r="B1400" s="37" t="s">
        <v>3256</v>
      </c>
      <c r="C1400" s="24"/>
      <c r="D1400" s="69"/>
      <c r="E1400" s="31" t="s">
        <v>3257</v>
      </c>
      <c r="F1400" s="37"/>
      <c r="G1400" s="24"/>
      <c r="H1400" s="53"/>
    </row>
    <row r="1401" spans="1:8" ht="13.2">
      <c r="A1401" s="65" t="str">
        <f>HYPERLINK("https://dunjudge.me/analysis/problems/86/","NOISelection 11-mantou")</f>
        <v>NOISelection 11-mantou</v>
      </c>
      <c r="B1401" s="37" t="s">
        <v>7527</v>
      </c>
      <c r="C1401" s="24"/>
      <c r="D1401" s="69"/>
      <c r="E1401" s="31" t="s">
        <v>7525</v>
      </c>
      <c r="F1401" s="37"/>
      <c r="G1401" s="24"/>
      <c r="H1401" s="53"/>
    </row>
    <row r="1402" spans="1:8" ht="13.2">
      <c r="A1402" s="65" t="str">
        <f>HYPERLINK("https://dunjudge.me/analysis/problems/42/","NOISelection 11-message")</f>
        <v>NOISelection 11-message</v>
      </c>
      <c r="B1402" s="37" t="s">
        <v>7527</v>
      </c>
      <c r="C1402" s="24"/>
      <c r="D1402" s="69"/>
      <c r="E1402" s="31" t="s">
        <v>7525</v>
      </c>
      <c r="F1402" s="37"/>
      <c r="G1402" s="24"/>
      <c r="H1402" s="53"/>
    </row>
    <row r="1403" spans="1:8" ht="13.2">
      <c r="A1403" s="65" t="str">
        <f>HYPERLINK("https://dunjudge.me/analysis/problems/43/","NOISelection 11-puzzle")</f>
        <v>NOISelection 11-puzzle</v>
      </c>
      <c r="B1403" s="37" t="s">
        <v>7527</v>
      </c>
      <c r="C1403" s="24"/>
      <c r="D1403" s="69"/>
      <c r="E1403" s="31" t="s">
        <v>7525</v>
      </c>
      <c r="F1403" s="37"/>
      <c r="G1403" s="24"/>
      <c r="H1403" s="53"/>
    </row>
    <row r="1404" spans="1:8" ht="13.2">
      <c r="A1404" s="65" t="str">
        <f>HYPERLINK("https://dunjudge.me/analysis/problems/46/","NOISelection 11-repair")</f>
        <v>NOISelection 11-repair</v>
      </c>
      <c r="B1404" s="37" t="s">
        <v>7527</v>
      </c>
      <c r="C1404" s="24"/>
      <c r="D1404" s="69"/>
      <c r="E1404" s="31" t="s">
        <v>7525</v>
      </c>
      <c r="F1404" s="37"/>
      <c r="G1404" s="24"/>
      <c r="H1404" s="53"/>
    </row>
    <row r="1405" spans="1:8" ht="13.2">
      <c r="A1405" s="65" t="str">
        <f>HYPERLINK("https://dunjudge.me/analysis/problems/87/","NOISelection 11-superlongnoodles")</f>
        <v>NOISelection 11-superlongnoodles</v>
      </c>
      <c r="B1405" s="37" t="s">
        <v>7226</v>
      </c>
      <c r="C1405" s="24"/>
      <c r="D1405" s="69"/>
      <c r="E1405" s="31" t="s">
        <v>3784</v>
      </c>
      <c r="F1405" s="37"/>
      <c r="G1405" s="24"/>
      <c r="H1405" s="53"/>
    </row>
    <row r="1406" spans="1:8" ht="13.2">
      <c r="A1406" s="65" t="str">
        <f>HYPERLINK("https://dunjudge.me/analysis/problems/187/","NOISelection 12-draw")</f>
        <v>NOISelection 12-draw</v>
      </c>
      <c r="B1406" s="37" t="s">
        <v>7527</v>
      </c>
      <c r="C1406" s="24"/>
      <c r="D1406" s="69"/>
      <c r="E1406" s="31" t="s">
        <v>7525</v>
      </c>
      <c r="F1406" s="37"/>
      <c r="G1406" s="24"/>
      <c r="H1406" s="53"/>
    </row>
    <row r="1407" spans="1:8" ht="13.2">
      <c r="A1407" s="65" t="str">
        <f>HYPERLINK("https://dunjudge.me/analysis/problems/189/","NOISelection 12-ice")</f>
        <v>NOISelection 12-ice</v>
      </c>
      <c r="B1407" s="37" t="s">
        <v>7527</v>
      </c>
      <c r="C1407" s="24"/>
      <c r="D1407" s="69"/>
      <c r="E1407" s="31" t="s">
        <v>7525</v>
      </c>
      <c r="F1407" s="37"/>
      <c r="G1407" s="24"/>
      <c r="H1407" s="53"/>
    </row>
    <row r="1408" spans="1:8" ht="13.2">
      <c r="A1408" s="65" t="str">
        <f>HYPERLINK("https://dunjudge.me/analysis/problems/185/","NOISelection 12-ramar")</f>
        <v>NOISelection 12-ramar</v>
      </c>
      <c r="B1408" s="37" t="s">
        <v>7527</v>
      </c>
      <c r="C1408" s="24"/>
      <c r="D1408" s="69"/>
      <c r="E1408" s="31" t="s">
        <v>7525</v>
      </c>
      <c r="F1408" s="37"/>
      <c r="G1408" s="24"/>
      <c r="H1408" s="53"/>
    </row>
    <row r="1409" spans="1:8" ht="13.2">
      <c r="A1409" s="65" t="str">
        <f>HYPERLINK("https://dunjudge.me/analysis/problems/188/","NOISelection 12-stones")</f>
        <v>NOISelection 12-stones</v>
      </c>
      <c r="B1409" s="37" t="s">
        <v>3649</v>
      </c>
      <c r="C1409" s="24"/>
      <c r="D1409" s="69"/>
      <c r="E1409" s="31" t="s">
        <v>3650</v>
      </c>
      <c r="F1409" s="37"/>
      <c r="G1409" s="24"/>
      <c r="H1409" s="53"/>
    </row>
    <row r="1410" spans="1:8" ht="13.2">
      <c r="A1410" s="65" t="str">
        <f>HYPERLINK("https://dunjudge.me/analysis/problems/186/","NOISelection 12-waddlehop")</f>
        <v>NOISelection 12-waddlehop</v>
      </c>
      <c r="B1410" s="37" t="s">
        <v>3791</v>
      </c>
      <c r="C1410" s="24"/>
      <c r="D1410" s="69"/>
      <c r="E1410" s="31" t="s">
        <v>3784</v>
      </c>
      <c r="F1410" s="37"/>
      <c r="G1410" s="24"/>
      <c r="H1410" s="53"/>
    </row>
    <row r="1411" spans="1:8" ht="13.2">
      <c r="A1411" s="65" t="str">
        <f>HYPERLINK("https://dunjudge.me/analysis/problems/421/","NOISelection 14-anglerfish")</f>
        <v>NOISelection 14-anglerfish</v>
      </c>
      <c r="B1411" s="37" t="s">
        <v>359</v>
      </c>
      <c r="C1411" s="24"/>
      <c r="D1411" s="69"/>
      <c r="E1411" s="31" t="s">
        <v>332</v>
      </c>
      <c r="F1411" s="37"/>
      <c r="G1411" s="24"/>
      <c r="H1411" s="53"/>
    </row>
    <row r="1412" spans="1:8" ht="13.2">
      <c r="A1412" s="65" t="str">
        <f>HYPERLINK("https://dunjudge.me/analysis/problems/420/","NOISelection 14-ikanbilis")</f>
        <v>NOISelection 14-ikanbilis</v>
      </c>
      <c r="B1412" s="37" t="s">
        <v>587</v>
      </c>
      <c r="C1412" s="24"/>
      <c r="D1412" s="69"/>
      <c r="E1412" s="31" t="s">
        <v>575</v>
      </c>
      <c r="F1412" s="37"/>
      <c r="G1412" s="24"/>
      <c r="H1412" s="53"/>
    </row>
    <row r="1413" spans="1:8" ht="13.2">
      <c r="A1413" s="65" t="str">
        <f>HYPERLINK("https://dunjudge.me/analysis/problems/418/","NOISelection 14-middlenumber")</f>
        <v>NOISelection 14-middlenumber</v>
      </c>
      <c r="B1413" s="37" t="s">
        <v>587</v>
      </c>
      <c r="C1413" s="24"/>
      <c r="D1413" s="69"/>
      <c r="E1413" s="31" t="s">
        <v>575</v>
      </c>
      <c r="F1413" s="37"/>
      <c r="G1413" s="24"/>
      <c r="H1413" s="53"/>
    </row>
    <row r="1414" spans="1:8" ht="13.2">
      <c r="A1414" s="65" t="str">
        <f>HYPERLINK("https://dunjudge.me/analysis/problems/422/","NOISelection 14-nemo")</f>
        <v>NOISelection 14-nemo</v>
      </c>
      <c r="B1414" s="37" t="s">
        <v>3886</v>
      </c>
      <c r="C1414" s="24"/>
      <c r="D1414" s="69"/>
      <c r="E1414" s="31" t="s">
        <v>3883</v>
      </c>
      <c r="F1414" s="37"/>
      <c r="G1414" s="24"/>
      <c r="H1414" s="53"/>
    </row>
    <row r="1415" spans="1:8" ht="13.2">
      <c r="A1415" s="65" t="str">
        <f>HYPERLINK("https://dunjudge.me/analysis/problems/419/","NOISelection 14-sardines")</f>
        <v>NOISelection 14-sardines</v>
      </c>
      <c r="B1415" s="37" t="s">
        <v>1348</v>
      </c>
      <c r="C1415" s="24"/>
      <c r="D1415" s="69"/>
      <c r="E1415" s="31" t="s">
        <v>1337</v>
      </c>
      <c r="F1415" s="37"/>
      <c r="G1415" s="24"/>
      <c r="H1415" s="53"/>
    </row>
    <row r="1416" spans="1:8" ht="13.2">
      <c r="A1416" s="65" t="str">
        <f>HYPERLINK("https://dunjudge.me/analysis/problems/414/","NOISelection 14-schedule")</f>
        <v>NOISelection 14-schedule</v>
      </c>
      <c r="B1416" s="37" t="s">
        <v>1348</v>
      </c>
      <c r="C1416" s="24"/>
      <c r="D1416" s="69"/>
      <c r="E1416" s="31" t="s">
        <v>1337</v>
      </c>
      <c r="F1416" s="37"/>
      <c r="G1416" s="24"/>
      <c r="H1416" s="53"/>
    </row>
    <row r="1417" spans="1:8" ht="13.2">
      <c r="A1417" s="65" t="str">
        <f>HYPERLINK("https://dunjudge.me/analysis/problems/423/","NOISelection 14-ship")</f>
        <v>NOISelection 14-ship</v>
      </c>
      <c r="B1417" s="37" t="s">
        <v>3256</v>
      </c>
      <c r="C1417" s="24"/>
      <c r="D1417" s="69"/>
      <c r="E1417" s="31" t="s">
        <v>3257</v>
      </c>
      <c r="F1417" s="37"/>
      <c r="G1417" s="24"/>
      <c r="H1417" s="53"/>
    </row>
    <row r="1418" spans="1:8" ht="13.2">
      <c r="A1418" s="65" t="str">
        <f>HYPERLINK("https://dunjudge.me/analysis/problems/680/","NOISelection 15-access_code")</f>
        <v>NOISelection 15-access_code</v>
      </c>
      <c r="B1418" s="37" t="s">
        <v>4530</v>
      </c>
      <c r="C1418" s="24"/>
      <c r="D1418" s="69"/>
      <c r="E1418" s="31" t="s">
        <v>4531</v>
      </c>
      <c r="F1418" s="37"/>
      <c r="G1418" s="24"/>
      <c r="H1418" s="53"/>
    </row>
    <row r="1419" spans="1:8" ht="13.2">
      <c r="A1419" s="65" t="str">
        <f>HYPERLINK("https://dunjudge.me/analysis/problems/681/","NOISelection 15-diversity")</f>
        <v>NOISelection 15-diversity</v>
      </c>
      <c r="B1419" s="37" t="s">
        <v>1348</v>
      </c>
      <c r="C1419" s="24"/>
      <c r="D1419" s="69"/>
      <c r="E1419" s="31" t="s">
        <v>1337</v>
      </c>
      <c r="F1419" s="37"/>
      <c r="G1419" s="24"/>
      <c r="H1419" s="53"/>
    </row>
    <row r="1420" spans="1:8" ht="13.2">
      <c r="A1420" s="65" t="str">
        <f>HYPERLINK("https://dunjudge.me/analysis/problems/677/","NOISelection 15-globalwarming2")</f>
        <v>NOISelection 15-globalwarming2</v>
      </c>
      <c r="B1420" s="37" t="s">
        <v>124</v>
      </c>
      <c r="C1420" s="24"/>
      <c r="D1420" s="69"/>
      <c r="E1420" s="31" t="s">
        <v>125</v>
      </c>
      <c r="F1420" s="37"/>
      <c r="G1420" s="24"/>
      <c r="H1420" s="53"/>
    </row>
    <row r="1421" spans="1:8" ht="13.2">
      <c r="A1421" s="65" t="str">
        <f>HYPERLINK("https://dunjudge.me/analysis/problems/678/","NOISelection 15-lazycat2")</f>
        <v>NOISelection 15-lazycat2</v>
      </c>
      <c r="B1421" s="37" t="s">
        <v>7527</v>
      </c>
      <c r="C1421" s="24"/>
      <c r="D1421" s="69"/>
      <c r="E1421" s="31" t="s">
        <v>7525</v>
      </c>
      <c r="F1421" s="37"/>
      <c r="G1421" s="24"/>
      <c r="H1421" s="53"/>
    </row>
    <row r="1422" spans="1:8" ht="13.2">
      <c r="A1422" s="65" t="str">
        <f>HYPERLINK("https://dunjudge.me/analysis/problems/675/","NOISelection 15-orchard2")</f>
        <v>NOISelection 15-orchard2</v>
      </c>
      <c r="B1422" s="37" t="s">
        <v>1348</v>
      </c>
      <c r="C1422" s="24"/>
      <c r="D1422" s="69"/>
      <c r="E1422" s="31" t="s">
        <v>1337</v>
      </c>
      <c r="F1422" s="37"/>
      <c r="G1422" s="24"/>
      <c r="H1422" s="53"/>
    </row>
    <row r="1423" spans="1:8" ht="13.2">
      <c r="A1423" s="65" t="str">
        <f>HYPERLINK("https://dunjudge.me/analysis/problems/679/","NOISelection 15-portal_st2015")</f>
        <v>NOISelection 15-portal_st2015</v>
      </c>
      <c r="B1423" s="37" t="s">
        <v>3466</v>
      </c>
      <c r="C1423" s="24"/>
      <c r="D1423" s="69"/>
      <c r="E1423" s="31" t="s">
        <v>3467</v>
      </c>
      <c r="F1423" s="37"/>
      <c r="G1423" s="24"/>
      <c r="H1423" s="53"/>
    </row>
    <row r="1424" spans="1:8" ht="13.2">
      <c r="A1424" s="65" t="str">
        <f>HYPERLINK("https://dunjudge.me/analysis/problems/682/","NOISelection 15-rotarylock")</f>
        <v>NOISelection 15-rotarylock</v>
      </c>
      <c r="B1424" s="37" t="s">
        <v>587</v>
      </c>
      <c r="C1424" s="24"/>
      <c r="D1424" s="69"/>
      <c r="E1424" s="31" t="s">
        <v>575</v>
      </c>
      <c r="F1424" s="37"/>
      <c r="G1424" s="24"/>
      <c r="H1424" s="53"/>
    </row>
    <row r="1425" spans="1:8" ht="13.2">
      <c r="A1425" s="65" t="str">
        <f>HYPERLINK("https://dunjudge.me/analysis/problems/676/","NOISelection 15-sightseeing2")</f>
        <v>NOISelection 15-sightseeing2</v>
      </c>
      <c r="B1425" s="37" t="s">
        <v>4279</v>
      </c>
      <c r="C1425" s="24"/>
      <c r="D1425" s="69"/>
      <c r="E1425" s="31" t="s">
        <v>4275</v>
      </c>
      <c r="F1425" s="37"/>
      <c r="G1425" s="24"/>
      <c r="H1425" s="53"/>
    </row>
    <row r="1426" spans="1:8" ht="13.2">
      <c r="A1426" s="65" t="str">
        <f>HYPERLINK("https://dunjudge.me/analysis/problems/953/","NOISelection 16-bananaflood")</f>
        <v>NOISelection 16-bananaflood</v>
      </c>
      <c r="B1426" s="37" t="s">
        <v>4530</v>
      </c>
      <c r="C1426" s="24"/>
      <c r="D1426" s="69"/>
      <c r="E1426" s="31" t="s">
        <v>4531</v>
      </c>
      <c r="F1426" s="37"/>
      <c r="G1426" s="24"/>
      <c r="H1426" s="53"/>
    </row>
    <row r="1427" spans="1:8" ht="13.2">
      <c r="A1427" s="65" t="str">
        <f>HYPERLINK("https://dunjudge.me/analysis/problems/931/","NOISelection 16-catgameshow")</f>
        <v>NOISelection 16-catgameshow</v>
      </c>
      <c r="B1427" s="37" t="s">
        <v>587</v>
      </c>
      <c r="C1427" s="24"/>
      <c r="D1427" s="69"/>
      <c r="E1427" s="31" t="s">
        <v>575</v>
      </c>
      <c r="F1427" s="37"/>
      <c r="G1427" s="24"/>
      <c r="H1427" s="53"/>
    </row>
    <row r="1428" spans="1:8" ht="13.2">
      <c r="A1428" s="65" t="str">
        <f>HYPERLINK("https://dunjudge.me/analysis/problems/932/","NOISelection 16-catlunch")</f>
        <v>NOISelection 16-catlunch</v>
      </c>
      <c r="B1428" s="37" t="s">
        <v>2169</v>
      </c>
      <c r="C1428" s="24"/>
      <c r="D1428" s="69"/>
      <c r="E1428" s="31" t="s">
        <v>2153</v>
      </c>
      <c r="F1428" s="37"/>
      <c r="G1428" s="24"/>
      <c r="H1428" s="53"/>
    </row>
    <row r="1429" spans="1:8" ht="13.2">
      <c r="A1429" s="65" t="str">
        <f>HYPERLINK("https://dunjudge.me/analysis/problems/933/","NOISelection 16-catnames")</f>
        <v>NOISelection 16-catnames</v>
      </c>
      <c r="B1429" s="37" t="s">
        <v>4530</v>
      </c>
      <c r="C1429" s="24"/>
      <c r="D1429" s="69"/>
      <c r="E1429" s="31" t="s">
        <v>4531</v>
      </c>
      <c r="F1429" s="37"/>
      <c r="G1429" s="24"/>
      <c r="H1429" s="53"/>
    </row>
    <row r="1430" spans="1:8" ht="13.2">
      <c r="A1430" s="65" t="str">
        <f>HYPERLINK("https://dunjudge.me/analysis/problems/934/","NOISelection 16-catteams")</f>
        <v>NOISelection 16-catteams</v>
      </c>
      <c r="B1430" s="37" t="s">
        <v>1561</v>
      </c>
      <c r="C1430" s="24"/>
      <c r="D1430" s="69"/>
      <c r="E1430" s="31" t="s">
        <v>1337</v>
      </c>
      <c r="F1430" s="37"/>
      <c r="G1430" s="24"/>
      <c r="H1430" s="53"/>
    </row>
    <row r="1431" spans="1:8" ht="13.2">
      <c r="A1431" s="65" t="str">
        <f>HYPERLINK("https://dunjudge.me/analysis/problems/935/","NOISelection 16-cattown")</f>
        <v>NOISelection 16-cattown</v>
      </c>
      <c r="B1431" s="37" t="s">
        <v>3256</v>
      </c>
      <c r="C1431" s="24"/>
      <c r="D1431" s="69"/>
      <c r="E1431" s="31" t="s">
        <v>3257</v>
      </c>
      <c r="F1431" s="37"/>
      <c r="G1431" s="24"/>
      <c r="H1431" s="53"/>
    </row>
    <row r="1432" spans="1:8" ht="13.2">
      <c r="A1432" s="65" t="str">
        <f>HYPERLINK("https://dunjudge.me/analysis/problems/951/","NOISelection 16-counting")</f>
        <v>NOISelection 16-counting</v>
      </c>
      <c r="B1432" s="37" t="s">
        <v>587</v>
      </c>
      <c r="C1432" s="24"/>
      <c r="D1432" s="69"/>
      <c r="E1432" s="31" t="s">
        <v>575</v>
      </c>
      <c r="F1432" s="37"/>
      <c r="G1432" s="24"/>
      <c r="H1432" s="53"/>
    </row>
    <row r="1433" spans="1:8" ht="13.2">
      <c r="A1433" s="65" t="str">
        <f>HYPERLINK("https://dunjudge.me/analysis/problems/952/","NOISelection 16-teleporters")</f>
        <v>NOISelection 16-teleporters</v>
      </c>
      <c r="B1433" s="37" t="s">
        <v>3256</v>
      </c>
      <c r="C1433" s="24"/>
      <c r="D1433" s="69"/>
      <c r="E1433" s="31" t="s">
        <v>3257</v>
      </c>
      <c r="F1433" s="37"/>
      <c r="G1433" s="24"/>
      <c r="H1433" s="53"/>
    </row>
    <row r="1434" spans="1:8" ht="13.2">
      <c r="A1434" s="65" t="str">
        <f>HYPERLINK("https://dunjudge.me/analysis/problems/1189/","NOISelection 17-builderswand")</f>
        <v>NOISelection 17-builderswand</v>
      </c>
      <c r="B1434" s="37" t="s">
        <v>7527</v>
      </c>
      <c r="C1434" s="24"/>
      <c r="D1434" s="69"/>
      <c r="E1434" s="31" t="s">
        <v>7525</v>
      </c>
      <c r="F1434" s="37"/>
      <c r="G1434" s="24"/>
      <c r="H1434" s="53"/>
    </row>
    <row r="1435" spans="1:8" ht="13.2">
      <c r="A1435" s="65" t="str">
        <f>HYPERLINK("https://dunjudge.me/analysis/problems/1171/","NOISelection 17-clipboard")</f>
        <v>NOISelection 17-clipboard</v>
      </c>
      <c r="B1435" s="37" t="s">
        <v>7527</v>
      </c>
      <c r="C1435" s="24"/>
      <c r="D1435" s="69"/>
      <c r="E1435" s="31" t="s">
        <v>7525</v>
      </c>
      <c r="F1435" s="37"/>
      <c r="G1435" s="24"/>
      <c r="H1435" s="53"/>
    </row>
    <row r="1436" spans="1:8" ht="13.2">
      <c r="A1436" s="65" t="str">
        <f>HYPERLINK("https://dunjudge.me/analysis/problems/1174/","NOISelection 17-dinnerbox")</f>
        <v>NOISelection 17-dinnerbox</v>
      </c>
      <c r="B1436" s="37" t="s">
        <v>7527</v>
      </c>
      <c r="C1436" s="24"/>
      <c r="D1436" s="69"/>
      <c r="E1436" s="31" t="s">
        <v>7525</v>
      </c>
      <c r="F1436" s="37"/>
      <c r="G1436" s="24"/>
      <c r="H1436" s="53"/>
    </row>
    <row r="1437" spans="1:8" ht="13.2">
      <c r="A1437" s="65" t="str">
        <f>HYPERLINK("https://dunjudge.me/analysis/problems/1170/","NOISelection 17-lost")</f>
        <v>NOISelection 17-lost</v>
      </c>
      <c r="B1437" s="37" t="s">
        <v>7527</v>
      </c>
      <c r="C1437" s="24"/>
      <c r="D1437" s="69"/>
      <c r="E1437" s="31" t="s">
        <v>7525</v>
      </c>
      <c r="F1437" s="37"/>
      <c r="G1437" s="24"/>
      <c r="H1437" s="53"/>
    </row>
    <row r="1438" spans="1:8" ht="13.2">
      <c r="A1438" s="65" t="str">
        <f>HYPERLINK("https://dunjudge.me/analysis/problems/1187/","NOISelection 17-mooshroomfarm")</f>
        <v>NOISelection 17-mooshroomfarm</v>
      </c>
      <c r="B1438" s="37" t="s">
        <v>7527</v>
      </c>
      <c r="C1438" s="24"/>
      <c r="D1438" s="69"/>
      <c r="E1438" s="31" t="s">
        <v>7525</v>
      </c>
      <c r="F1438" s="37"/>
      <c r="G1438" s="24"/>
      <c r="H1438" s="53"/>
    </row>
    <row r="1439" spans="1:8" ht="13.2">
      <c r="A1439" s="65" t="str">
        <f>HYPERLINK("https://dunjudge.me/analysis/problems/1175/","NOISelection 17-mushroomfarm")</f>
        <v>NOISelection 17-mushroomfarm</v>
      </c>
      <c r="B1439" s="37" t="s">
        <v>7527</v>
      </c>
      <c r="C1439" s="24"/>
      <c r="D1439" s="69"/>
      <c r="E1439" s="31" t="s">
        <v>7525</v>
      </c>
      <c r="F1439" s="37"/>
      <c r="G1439" s="24"/>
      <c r="H1439" s="53"/>
    </row>
    <row r="1440" spans="1:8" ht="13.2">
      <c r="A1440" s="65" t="str">
        <f>HYPERLINK("https://dunjudge.me/analysis/problems/1188/","NOISelection 17-redstonelamps")</f>
        <v>NOISelection 17-redstonelamps</v>
      </c>
      <c r="B1440" s="37" t="s">
        <v>7527</v>
      </c>
      <c r="C1440" s="24"/>
      <c r="D1440" s="69"/>
      <c r="E1440" s="31" t="s">
        <v>7525</v>
      </c>
      <c r="F1440" s="37"/>
      <c r="G1440" s="24"/>
      <c r="H1440" s="53"/>
    </row>
    <row r="1441" spans="1:8" ht="13.2">
      <c r="A1441" s="65" t="str">
        <f>HYPERLINK("https://dunjudge.me/analysis/problems/1173/","NOISelection 17-runway")</f>
        <v>NOISelection 17-runway</v>
      </c>
      <c r="B1441" s="37" t="s">
        <v>7527</v>
      </c>
      <c r="C1441" s="24"/>
      <c r="D1441" s="69"/>
      <c r="E1441" s="31" t="s">
        <v>7525</v>
      </c>
      <c r="F1441" s="37"/>
      <c r="G1441" s="24"/>
      <c r="H1441" s="53"/>
    </row>
    <row r="1442" spans="1:8" ht="13.2">
      <c r="A1442" s="65" t="str">
        <f>HYPERLINK("https://dunjudge.me/analysis/problems/1186/","NOISelection 17-trekking")</f>
        <v>NOISelection 17-trekking</v>
      </c>
      <c r="B1442" s="37" t="s">
        <v>7527</v>
      </c>
      <c r="C1442" s="24"/>
      <c r="D1442" s="69"/>
      <c r="E1442" s="31" t="s">
        <v>7525</v>
      </c>
      <c r="F1442" s="37"/>
      <c r="G1442" s="24"/>
      <c r="H1442" s="53"/>
    </row>
    <row r="1443" spans="1:8" ht="13.2">
      <c r="A1443" s="65" t="str">
        <f>HYPERLINK("https://dunjudge.me/analysis/problems/1190/","NOISelection 17-trianglecraft")</f>
        <v>NOISelection 17-trianglecraft</v>
      </c>
      <c r="B1443" s="37" t="s">
        <v>7527</v>
      </c>
      <c r="C1443" s="24"/>
      <c r="D1443" s="69"/>
      <c r="E1443" s="31" t="s">
        <v>7525</v>
      </c>
      <c r="F1443" s="37"/>
      <c r="G1443" s="24"/>
      <c r="H1443" s="53"/>
    </row>
    <row r="1444" spans="1:8" ht="13.2">
      <c r="A1444" s="65" t="str">
        <f>HYPERLINK("https://dunjudge.me/analysis/problems/1470/","NOISelection 18-crab")</f>
        <v>NOISelection 18-crab</v>
      </c>
      <c r="B1444" s="37" t="s">
        <v>7527</v>
      </c>
      <c r="C1444" s="24"/>
      <c r="D1444" s="69"/>
      <c r="E1444" s="31" t="s">
        <v>7525</v>
      </c>
      <c r="F1444" s="37"/>
      <c r="G1444" s="24"/>
      <c r="H1444" s="53"/>
    </row>
    <row r="1445" spans="1:8" ht="13.2">
      <c r="A1445" s="65" t="str">
        <f>HYPERLINK("https://dunjudge.me/analysis/problems/1471/","NOISelection 18-llis")</f>
        <v>NOISelection 18-llis</v>
      </c>
      <c r="B1445" s="37" t="s">
        <v>1348</v>
      </c>
      <c r="C1445" s="24"/>
      <c r="D1445" s="69"/>
      <c r="E1445" s="31" t="s">
        <v>1337</v>
      </c>
      <c r="F1445" s="37"/>
      <c r="G1445" s="24"/>
      <c r="H1445" s="53"/>
    </row>
    <row r="1446" spans="1:8" ht="13.2">
      <c r="A1446" s="65" t="str">
        <f>HYPERLINK("https://dunjudge.me/analysis/problems/1461/","NOISelection 18-modules")</f>
        <v>NOISelection 18-modules</v>
      </c>
      <c r="B1446" s="37" t="s">
        <v>1366</v>
      </c>
      <c r="C1446" s="24"/>
      <c r="D1446" s="69"/>
      <c r="E1446" s="31" t="s">
        <v>1337</v>
      </c>
      <c r="F1446" s="37"/>
      <c r="G1446" s="24"/>
      <c r="H1446" s="53"/>
    </row>
    <row r="1447" spans="1:8" ht="13.2">
      <c r="A1447" s="65" t="str">
        <f>HYPERLINK("https://dunjudge.me/analysis/problems/1462/","NOISelection 18-rookable")</f>
        <v>NOISelection 18-rookable</v>
      </c>
      <c r="B1447" s="37" t="s">
        <v>3256</v>
      </c>
      <c r="C1447" s="24"/>
      <c r="D1447" s="69"/>
      <c r="E1447" s="31" t="s">
        <v>3257</v>
      </c>
      <c r="F1447" s="37"/>
      <c r="G1447" s="24"/>
      <c r="H1447" s="53"/>
    </row>
    <row r="1448" spans="1:8" ht="13.2">
      <c r="A1448" s="65" t="str">
        <f>HYPERLINK("https://dunjudge.me/analysis/problems/1477/","NOISelection 18-spiraldance")</f>
        <v>NOISelection 18-spiraldance</v>
      </c>
      <c r="B1448" s="37" t="s">
        <v>4530</v>
      </c>
      <c r="C1448" s="24"/>
      <c r="D1448" s="69"/>
      <c r="E1448" s="31" t="s">
        <v>4531</v>
      </c>
      <c r="F1448" s="37"/>
      <c r="G1448" s="24"/>
      <c r="H1448" s="53"/>
    </row>
    <row r="1449" spans="1:8" ht="13.2">
      <c r="A1449" s="65" t="str">
        <f>HYPERLINK("https://dunjudge.me/analysis/problems/1475/","NOISelection 18-spotlights")</f>
        <v>NOISelection 18-spotlights</v>
      </c>
      <c r="B1449" s="37" t="s">
        <v>124</v>
      </c>
      <c r="C1449" s="24"/>
      <c r="D1449" s="69"/>
      <c r="E1449" s="31" t="s">
        <v>125</v>
      </c>
      <c r="F1449" s="37"/>
      <c r="G1449" s="24"/>
      <c r="H1449" s="53"/>
    </row>
    <row r="1450" spans="1:8" ht="13.2">
      <c r="A1450" s="65" t="str">
        <f>HYPERLINK("https://dunjudge.me/analysis/problems/1474/","NOISelection 18-stagegames")</f>
        <v>NOISelection 18-stagegames</v>
      </c>
      <c r="B1450" s="37" t="s">
        <v>124</v>
      </c>
      <c r="C1450" s="24"/>
      <c r="D1450" s="69"/>
      <c r="E1450" s="31" t="s">
        <v>125</v>
      </c>
      <c r="F1450" s="37"/>
      <c r="G1450" s="24"/>
      <c r="H1450" s="53"/>
    </row>
    <row r="1451" spans="1:8" ht="13.2">
      <c r="A1451" s="65" t="str">
        <f>HYPERLINK("https://dunjudge.me/analysis/problems/1476/","NOISelection 18-superfanclub")</f>
        <v>NOISelection 18-superfanclub</v>
      </c>
      <c r="B1451" s="37" t="s">
        <v>3256</v>
      </c>
      <c r="C1451" s="24"/>
      <c r="D1451" s="69"/>
      <c r="E1451" s="31" t="s">
        <v>3257</v>
      </c>
      <c r="F1451" s="37"/>
      <c r="G1451" s="24"/>
      <c r="H1451" s="53"/>
    </row>
    <row r="1452" spans="1:8" ht="13.2">
      <c r="A1452" s="65" t="str">
        <f>HYPERLINK("https://dunjudge.me/analysis/problems/1473/","NOISelection 18-supperbox")</f>
        <v>NOISelection 18-supperbox</v>
      </c>
      <c r="B1452" s="37" t="s">
        <v>1561</v>
      </c>
      <c r="C1452" s="24"/>
      <c r="D1452" s="69"/>
      <c r="E1452" s="31" t="s">
        <v>1337</v>
      </c>
      <c r="F1452" s="37"/>
      <c r="G1452" s="24"/>
      <c r="H1452" s="53"/>
    </row>
    <row r="1453" spans="1:8" ht="13.2">
      <c r="A1453" s="65" t="str">
        <f>HYPERLINK("https://training.olinfo.it/contests/oii2018/tasks/cena/description","OII 18-cena")</f>
        <v>OII 18-cena</v>
      </c>
      <c r="B1453" s="23" t="s">
        <v>6868</v>
      </c>
      <c r="C1453" s="24">
        <v>6.25</v>
      </c>
      <c r="D1453" s="65" t="str">
        <f>HYPERLINK("https://github.com/mostafa-saad/MyCompetitiveProgramming/blob/master/Olympiad/OII/OII-18-cena.txt","Sol")</f>
        <v>Sol</v>
      </c>
      <c r="E1453" s="31" t="s">
        <v>1337</v>
      </c>
      <c r="F1453" s="37" t="s">
        <v>139</v>
      </c>
      <c r="G1453" s="24"/>
      <c r="H1453" s="53"/>
    </row>
    <row r="1454" spans="1:8" ht="13.2">
      <c r="A1454" s="65" t="str">
        <f>HYPERLINK("https://training.ia-toki.org/problemsets/2/problems/6/","OSN 15-1C")</f>
        <v>OSN 15-1C</v>
      </c>
      <c r="B1454" s="20" t="s">
        <v>210</v>
      </c>
      <c r="C1454" s="17">
        <v>6</v>
      </c>
      <c r="D1454" s="65" t="str">
        <f>HYPERLINK("https://github.com/mostafa-saad/MyCompetitiveProgramming/blob/master/Olympiad/OSN/OSN_15-1C.txt","Sol")</f>
        <v>Sol</v>
      </c>
      <c r="E1454" s="31" t="s">
        <v>125</v>
      </c>
      <c r="F1454" s="37" t="s">
        <v>201</v>
      </c>
      <c r="G1454" s="24"/>
      <c r="H1454" s="53"/>
    </row>
    <row r="1455" spans="1:8" ht="13.2">
      <c r="A1455" s="65" t="str">
        <f>HYPERLINK("https://training.ia-toki.org/problemsets/3/problems/9/","OSN 15-2C")</f>
        <v>OSN 15-2C</v>
      </c>
      <c r="B1455" s="20" t="s">
        <v>814</v>
      </c>
      <c r="C1455" s="17">
        <v>5</v>
      </c>
      <c r="D1455" s="65" t="str">
        <f>HYPERLINK("https://github.com/win11905/submission/blob/master/OCN/15/2C.cpp","Sol")</f>
        <v>Sol</v>
      </c>
      <c r="E1455" s="31" t="s">
        <v>805</v>
      </c>
      <c r="F1455" s="37" t="s">
        <v>201</v>
      </c>
      <c r="G1455" s="24"/>
      <c r="H1455" s="53"/>
    </row>
    <row r="1456" spans="1:8" ht="13.2">
      <c r="A1456" s="65" t="str">
        <f>HYPERLINK("https://training.ia-toki.org/problemsets/53/problems/255/","OSN 16-1B")</f>
        <v>OSN 16-1B</v>
      </c>
      <c r="B1456" s="37" t="s">
        <v>6594</v>
      </c>
      <c r="C1456" s="24">
        <v>6.5</v>
      </c>
      <c r="D1456" s="65" t="str">
        <f>HYPERLINK("https://github.com/mostafa-saad/MyCompetitiveProgramming/blob/master/Olympiad/OSN/OSN_16-1B.txt","Sol")</f>
        <v>Sol</v>
      </c>
      <c r="E1456" s="31" t="s">
        <v>125</v>
      </c>
      <c r="F1456" s="37" t="s">
        <v>139</v>
      </c>
      <c r="G1456" s="24"/>
      <c r="H1456" s="53"/>
    </row>
    <row r="1457" spans="1:8" ht="13.2">
      <c r="A1457" s="65" t="str">
        <f>HYPERLINK("https://po.kattis.com/problems/kattis/no","PO Kattis")</f>
        <v>PO Kattis</v>
      </c>
      <c r="B1457" s="20" t="s">
        <v>7071</v>
      </c>
      <c r="C1457" s="24">
        <v>6.4</v>
      </c>
      <c r="D1457" s="65" t="str">
        <f>HYPERLINK("https://github.com/guskal01/CompetitiveProgramming/blob/master/Kattis/PO-Kattis.cpp","Sol")</f>
        <v>Sol</v>
      </c>
      <c r="E1457" s="31" t="s">
        <v>2510</v>
      </c>
      <c r="F1457" s="37" t="s">
        <v>139</v>
      </c>
      <c r="G1457" s="24"/>
      <c r="H1457" s="53"/>
    </row>
    <row r="1458" spans="1:8" ht="13.2">
      <c r="A1458" s="65" t="str">
        <f>HYPERLINK("https://szkopul.edu.pl/problemset/problem/1ACC1pIG2nDGZefi1v5BVSmw/site/?key=statement","POI 01-SPO")</f>
        <v>POI 01-SPO</v>
      </c>
      <c r="B1458" s="20" t="s">
        <v>4385</v>
      </c>
      <c r="C1458" s="17">
        <v>6</v>
      </c>
      <c r="D1458" s="65" t="str">
        <f>HYPERLINK("https://github.com/HeartBlue/CompetitiveProgramming/blob/master/POI/POI%2000-SPO%20Peaceful%20Commission.cpp","Sol")</f>
        <v>Sol</v>
      </c>
      <c r="E1458" s="31" t="s">
        <v>4379</v>
      </c>
      <c r="F1458" s="37"/>
      <c r="G1458" s="24"/>
      <c r="H1458" s="53"/>
    </row>
    <row r="1459" spans="1:8" ht="13.2">
      <c r="A1459" s="65" t="str">
        <f>HYPERLINK("https://szkopul.edu.pl/problemset/problem/cKsx92et8fGp6MOzI2HTNmQY/site/", "POI 04-Calgae")</f>
        <v>POI 04-Calgae</v>
      </c>
      <c r="B1459" s="37" t="s">
        <v>7126</v>
      </c>
      <c r="C1459" s="21">
        <v>7</v>
      </c>
      <c r="D1459" s="65" t="str">
        <f>HYPERLINK("https://github.com/mostafa-saad/MyCompetitiveProgramming/blob/master/Olympiad/POI/official/find_editorial_sols_guidelines.txt","Editorial")</f>
        <v>Editorial</v>
      </c>
      <c r="E1459" s="31" t="s">
        <v>3257</v>
      </c>
      <c r="F1459" s="37"/>
      <c r="G1459" s="24"/>
      <c r="H1459" s="53"/>
    </row>
    <row r="1460" spans="1:8" ht="13.2">
      <c r="A1460" s="65" t="str">
        <f>HYPERLINK("https://szkopul.edu.pl/problemset/problem/5Z9PRRPP-R90WhmbSY_qHd-1/site/", "POI 04-Cave")</f>
        <v>POI 04-Cave</v>
      </c>
      <c r="B1460" s="37" t="s">
        <v>6458</v>
      </c>
      <c r="C1460" s="24">
        <v>7</v>
      </c>
      <c r="D1460" s="65" t="str">
        <f>HYPERLINK("https://github.com/mostafa-saad/MyCompetitiveProgramming/blob/master/Olympiad/POI/POI-04-Cave.txt","Sol")</f>
        <v>Sol</v>
      </c>
      <c r="E1460" s="31" t="s">
        <v>6459</v>
      </c>
      <c r="F1460" s="37" t="s">
        <v>139</v>
      </c>
      <c r="G1460" s="24"/>
      <c r="H1460" s="53"/>
    </row>
    <row r="1461" spans="1:8" ht="13.2">
      <c r="A1461" s="65" t="str">
        <f>HYPERLINK("https://szkopul.edu.pl/problemset/problem/Jnq0pGf9q3nVm-b1h6Bg23G9/site/", "POI 04-Competition")</f>
        <v>POI 04-Competition</v>
      </c>
      <c r="B1461" s="37" t="s">
        <v>7224</v>
      </c>
      <c r="C1461" s="24">
        <v>5</v>
      </c>
      <c r="D1461" s="65" t="str">
        <f>HYPERLINK("https://github.com/mostafa-saad/MyCompetitiveProgramming/blob/master/Olympiad/POI/official/find_editorial_sols_guidelines.txt","Editorial")</f>
        <v>Editorial</v>
      </c>
      <c r="E1461" s="31" t="s">
        <v>3784</v>
      </c>
      <c r="F1461" s="37"/>
      <c r="G1461" s="24"/>
      <c r="H1461" s="53"/>
    </row>
    <row r="1462" spans="1:8" ht="13.2">
      <c r="A1462" s="65" t="str">
        <f>HYPERLINK("https://szkopul.edu.pl/problemset/problem/KiL8P3oSgImWGI5GT4QMCQpO/site/", "POI 04-East_West")</f>
        <v>POI 04-East_West</v>
      </c>
      <c r="B1462" s="37" t="s">
        <v>7140</v>
      </c>
      <c r="C1462" s="24">
        <v>6.3</v>
      </c>
      <c r="D1462" s="65" t="str">
        <f>HYPERLINK("https://github.com/mostafa-saad/MyCompetitiveProgramming/blob/master/Olympiad/POI/POI-04-East_West.txt","Sol")</f>
        <v>Sol</v>
      </c>
      <c r="E1462" s="31" t="s">
        <v>3257</v>
      </c>
      <c r="F1462" s="37" t="s">
        <v>139</v>
      </c>
      <c r="G1462" s="24"/>
      <c r="H1462" s="53"/>
    </row>
    <row r="1463" spans="1:8" ht="13.2">
      <c r="A1463" s="65" t="str">
        <f>HYPERLINK("https://szkopul.edu.pl/problemset/problem/JIRgi7mvHIkqfldzgqILaMqr/site/", "POI 04-Game")</f>
        <v>POI 04-Game</v>
      </c>
      <c r="B1463" s="28" t="s">
        <v>2452</v>
      </c>
      <c r="C1463" s="24">
        <v>6.5</v>
      </c>
      <c r="D1463" s="65" t="str">
        <f>HYPERLINK("https://github.com/mostafa-saad/MyCompetitiveProgramming/blob/master/Olympiad/POI/POI-04-Game.txt","Sol")</f>
        <v>Sol</v>
      </c>
      <c r="E1463" s="31" t="s">
        <v>2442</v>
      </c>
      <c r="F1463" s="37" t="s">
        <v>139</v>
      </c>
      <c r="G1463" s="24"/>
      <c r="H1463" s="53"/>
    </row>
    <row r="1464" spans="1:8" ht="13.2">
      <c r="A1464" s="65" t="str">
        <f>HYPERLINK("https://szkopul.edu.pl/problemset/problem/L_1w_HVIsvm4fBksvCo7fYJT/site/", "POI 04-Gates")</f>
        <v>POI 04-Gates</v>
      </c>
      <c r="B1464" s="37" t="s">
        <v>6990</v>
      </c>
      <c r="C1464" s="24">
        <v>6.6</v>
      </c>
      <c r="D1464" s="65" t="str">
        <f>HYPERLINK("https://github.com/mostafa-saad/MyCompetitiveProgramming/blob/master/Olympiad/POI/POI-04-Gates.txt","Sol")</f>
        <v>Sol</v>
      </c>
      <c r="E1464" s="31" t="s">
        <v>2153</v>
      </c>
      <c r="F1464" s="37" t="s">
        <v>154</v>
      </c>
      <c r="G1464" s="24"/>
      <c r="H1464" s="53"/>
    </row>
    <row r="1465" spans="1:8" ht="13.2">
      <c r="A1465" s="65" t="str">
        <f>HYPERLINK("https://szkopul.edu.pl/problemset/problem/o09s2TblWuB1BP9isQT7VIkG/site/", "POI 04-Islands")</f>
        <v>POI 04-Islands</v>
      </c>
      <c r="B1465" s="37" t="s">
        <v>7108</v>
      </c>
      <c r="C1465" s="24">
        <v>6.5</v>
      </c>
      <c r="D1465" s="65" t="str">
        <f>HYPERLINK("https://github.com/mostafa-saad/MyCompetitiveProgramming/blob/master/Olympiad/POI/POI-04-Islands.txt","Sol")</f>
        <v>Sol</v>
      </c>
      <c r="E1465" s="31" t="s">
        <v>3140</v>
      </c>
      <c r="F1465" s="37" t="s">
        <v>139</v>
      </c>
      <c r="G1465" s="24"/>
      <c r="H1465" s="53"/>
    </row>
    <row r="1466" spans="1:8" ht="13.2">
      <c r="A1466" s="65" t="str">
        <f>HYPERLINK("https://szkopul.edu.pl/problemset/problem/lGqKS9urITMjTXhpdaHqyoEL/site/", "POI 04-Maximal")</f>
        <v>POI 04-Maximal</v>
      </c>
      <c r="B1466" s="37" t="s">
        <v>6849</v>
      </c>
      <c r="C1466" s="24">
        <v>6.7</v>
      </c>
      <c r="D1466" s="65" t="str">
        <f>HYPERLINK("https://github.com/mostafa-saad/MyCompetitiveProgramming/blob/master/Olympiad/POI/POI-04-Maximal.txt","Sol")</f>
        <v>Sol</v>
      </c>
      <c r="E1466" s="31" t="s">
        <v>1337</v>
      </c>
      <c r="F1466" s="37" t="s">
        <v>139</v>
      </c>
      <c r="G1466" s="24"/>
      <c r="H1466" s="53"/>
    </row>
    <row r="1467" spans="1:8" ht="13.2">
      <c r="A1467" s="65" t="str">
        <f>HYPERLINK("https://szkopul.edu.pl/problemset/problem/uE3dNVOWuXj4SSOrCrNoFSgF/site/", "POI 04-Passage")</f>
        <v>POI 04-Passage</v>
      </c>
      <c r="B1467" s="70" t="s">
        <v>6961</v>
      </c>
      <c r="C1467" s="66">
        <v>6</v>
      </c>
      <c r="D1467" s="65" t="str">
        <f>HYPERLINK("https://github.com/mostafa-saad/MyCompetitiveProgramming/blob/master/Olympiad/POI/POI-04-Passage.txt","Sol")</f>
        <v>Sol</v>
      </c>
      <c r="E1467" s="31" t="s">
        <v>1819</v>
      </c>
      <c r="F1467" s="37"/>
      <c r="G1467" s="24"/>
      <c r="H1467" s="53"/>
    </row>
    <row r="1468" spans="1:8" ht="13.2">
      <c r="A1468" s="65" t="str">
        <f>HYPERLINK("https://szkopul.edu.pl/problemset/problem/r6tMTfvQFPAEfQioYMCQndQe/site/", "POI 04-Spies")</f>
        <v>POI 04-Spies</v>
      </c>
      <c r="B1468" s="37" t="s">
        <v>2181</v>
      </c>
      <c r="C1468" s="24">
        <v>4</v>
      </c>
      <c r="D1468" s="65" t="str">
        <f t="shared" ref="D1468:D1469" si="46">HYPERLINK("https://github.com/mostafa-saad/MyCompetitiveProgramming/blob/master/Olympiad/POI/official/find_editorial_sols_guidelines.txt","Editorial")</f>
        <v>Editorial</v>
      </c>
      <c r="E1468" s="31" t="s">
        <v>2153</v>
      </c>
      <c r="F1468" s="37"/>
      <c r="G1468" s="24"/>
      <c r="H1468" s="53"/>
    </row>
    <row r="1469" spans="1:8" ht="13.2">
      <c r="A1469" s="65" t="str">
        <f>HYPERLINK("https://szkopul.edu.pl/problemset/problem/JyanwtKuk_ER10eZ7Yv0q72d/site/", "POI 04-Strings")</f>
        <v>POI 04-Strings</v>
      </c>
      <c r="B1469" s="37" t="s">
        <v>3340</v>
      </c>
      <c r="C1469" s="24">
        <v>5.75</v>
      </c>
      <c r="D1469" s="65" t="str">
        <f t="shared" si="46"/>
        <v>Editorial</v>
      </c>
      <c r="E1469" s="31" t="s">
        <v>3257</v>
      </c>
      <c r="F1469" s="37"/>
      <c r="G1469" s="24"/>
      <c r="H1469" s="53"/>
    </row>
    <row r="1470" spans="1:8" ht="13.2">
      <c r="A1470" s="65" t="str">
        <f>HYPERLINK("https://szkopul.edu.pl/problemset/problem/dq_rM2gOy4-8jYIsE7xgo-9l/site/", "POI 04-Tournament")</f>
        <v>POI 04-Tournament</v>
      </c>
      <c r="B1470" s="37" t="s">
        <v>6584</v>
      </c>
      <c r="C1470" s="24">
        <v>6.9</v>
      </c>
      <c r="D1470" s="65" t="str">
        <f>HYPERLINK("https://github.com/mostafa-saad/MyCompetitiveProgramming/blob/master/Olympiad/POI/POI-04-Tournament.txt","Sol")</f>
        <v>Sol</v>
      </c>
      <c r="E1470" s="31" t="s">
        <v>125</v>
      </c>
      <c r="F1470" s="37" t="s">
        <v>154</v>
      </c>
      <c r="G1470" s="24"/>
      <c r="H1470" s="53"/>
    </row>
    <row r="1471" spans="1:8" ht="13.2">
      <c r="A1471" s="65" t="str">
        <f>HYPERLINK("https://szkopul.edu.pl/problemset/problem/klvaggzD-q4Acz_WLtkn0JXJ/site/", "POI 05-Banknote")</f>
        <v>POI 05-Banknote</v>
      </c>
      <c r="B1471" s="37" t="s">
        <v>6865</v>
      </c>
      <c r="C1471" s="24">
        <v>6.25</v>
      </c>
      <c r="D1471" s="65" t="str">
        <f>HYPERLINK("https://github.com/mostafa-saad/MyCompetitiveProgramming/blob/master/Olympiad/POI/POI-05-Banknote.txt","Sol")</f>
        <v>Sol</v>
      </c>
      <c r="E1471" s="31" t="s">
        <v>1337</v>
      </c>
      <c r="F1471" s="37" t="s">
        <v>173</v>
      </c>
      <c r="G1471" s="24"/>
      <c r="H1471" s="53"/>
    </row>
    <row r="1472" spans="1:8" ht="13.2">
      <c r="A1472" s="65" t="str">
        <f>HYPERLINK("https://szkopul.edu.pl/problemset/problem/VENspsedQ1oO5IorYs8Ergdn/site/", "POI 05-Banks")</f>
        <v>POI 05-Banks</v>
      </c>
      <c r="B1472" s="37" t="s">
        <v>3886</v>
      </c>
      <c r="C1472" s="24">
        <v>3</v>
      </c>
      <c r="D1472" s="65" t="str">
        <f>HYPERLINK("https://github.com/mostafa-saad/MyCompetitiveProgramming/blob/master/Olympiad/POI/official/find_editorial_sols_guidelines.txt","Editorial")</f>
        <v>Editorial</v>
      </c>
      <c r="E1472" s="31" t="s">
        <v>3883</v>
      </c>
      <c r="F1472" s="37" t="s">
        <v>139</v>
      </c>
      <c r="G1472" s="24"/>
      <c r="H1472" s="53"/>
    </row>
    <row r="1473" spans="1:8" ht="13.2">
      <c r="A1473" s="65" t="str">
        <f>HYPERLINK("https://szkopul.edu.pl/problemset/problem/Syg2bcb2gzeOcCBXcL4ap80b/site/", "POI 05-Bus")</f>
        <v>POI 05-Bus</v>
      </c>
      <c r="B1473" s="37" t="s">
        <v>6623</v>
      </c>
      <c r="C1473" s="24">
        <v>5.5</v>
      </c>
      <c r="D1473" s="65" t="str">
        <f>HYPERLINK("https://github.com/mostafa-saad/MyCompetitiveProgramming/blob/master/Olympiad/POI/POI-05-Bus.txt","Sol")</f>
        <v>Sol</v>
      </c>
      <c r="E1473" s="31" t="s">
        <v>125</v>
      </c>
      <c r="F1473" s="37"/>
      <c r="G1473" s="24"/>
      <c r="H1473" s="53"/>
    </row>
    <row r="1474" spans="1:8" ht="13.2">
      <c r="A1474" s="65" t="str">
        <f>HYPERLINK("https://szkopul.edu.pl/problemset/problem/kxK8IowlpnNmHqkDDoK-hIeZ/site/", "POI 05-Camel")</f>
        <v>POI 05-Camel</v>
      </c>
      <c r="B1474" s="37" t="s">
        <v>2763</v>
      </c>
      <c r="C1474" s="24">
        <v>6.75</v>
      </c>
      <c r="D1474" s="65" t="str">
        <f>HYPERLINK("https://github.com/mostafa-saad/MyCompetitiveProgramming/blob/master/Olympiad/POI/official/find_editorial_sols_guidelines.txt","Editorial")</f>
        <v>Editorial</v>
      </c>
      <c r="E1474" s="31" t="s">
        <v>2510</v>
      </c>
      <c r="F1474" s="37"/>
      <c r="G1474" s="24"/>
      <c r="H1474" s="53"/>
    </row>
    <row r="1475" spans="1:8" ht="13.2">
      <c r="A1475" s="65" t="str">
        <f>HYPERLINK("https://szkopul.edu.pl/problemset/problem/p5XIDH2wrPz6KrUOJCv2RjGq/site/", "POI 05-Cash")</f>
        <v>POI 05-Cash</v>
      </c>
      <c r="B1475" s="37" t="s">
        <v>814</v>
      </c>
      <c r="C1475" s="24">
        <v>4.5</v>
      </c>
      <c r="D1475" s="65" t="str">
        <f>HYPERLINK("https://github.com/sofhiasouza/CompetitiveProgramming/blob/master/POI/cash.cpp","Sol")</f>
        <v>Sol</v>
      </c>
      <c r="E1475" s="31" t="s">
        <v>805</v>
      </c>
      <c r="F1475" s="37" t="s">
        <v>201</v>
      </c>
      <c r="G1475" s="24"/>
      <c r="H1475" s="53"/>
    </row>
    <row r="1476" spans="1:8" ht="13.2">
      <c r="A1476" s="65" t="str">
        <f>HYPERLINK("https://szkopul.edu.pl/problemset/problem/cB5m-M5ddsFOWLds2CwcYKge/site/", "POI 05-Double_Row")</f>
        <v>POI 05-Double_Row</v>
      </c>
      <c r="B1476" s="23" t="s">
        <v>7156</v>
      </c>
      <c r="C1476" s="24">
        <v>5.5</v>
      </c>
      <c r="D1476" s="65" t="str">
        <f>HYPERLINK("https://github.com/mostafa-saad/MyCompetitiveProgramming/blob/master/Olympiad/POI/POI-05-Double_Row.txt","Sol")</f>
        <v>Sol</v>
      </c>
      <c r="E1476" s="31" t="s">
        <v>3257</v>
      </c>
      <c r="F1476" s="37" t="s">
        <v>139</v>
      </c>
      <c r="G1476" s="24"/>
      <c r="H1476" s="53"/>
    </row>
    <row r="1477" spans="1:8" ht="13.2">
      <c r="A1477" s="65" t="str">
        <f>HYPERLINK("https://szkopul.edu.pl/problemset/problem/98e_K-Vvcg5TnMG4-hXTNsFG/site/", "POI 05-Fibonacci")</f>
        <v>POI 05-Fibonacci</v>
      </c>
      <c r="B1477" s="37" t="s">
        <v>6991</v>
      </c>
      <c r="C1477" s="24">
        <v>6.6</v>
      </c>
      <c r="D1477" s="65" t="str">
        <f>HYPERLINK("https://github.com/mostafa-saad/MyCompetitiveProgramming/blob/master/Olympiad/POI/POI-05-Fibonacci.txt","Sol")</f>
        <v>Sol</v>
      </c>
      <c r="E1477" s="31" t="s">
        <v>2153</v>
      </c>
      <c r="F1477" s="37" t="s">
        <v>1164</v>
      </c>
      <c r="G1477" s="24"/>
      <c r="H1477" s="53"/>
    </row>
    <row r="1478" spans="1:8" ht="13.2">
      <c r="A1478" s="65" t="str">
        <f>HYPERLINK("https://szkopul.edu.pl/problemset/problem/oTpPdueVv1-3g247_-ejjcR_/site/", "POI 05-Knights")</f>
        <v>POI 05-Knights</v>
      </c>
      <c r="B1478" s="37" t="s">
        <v>7337</v>
      </c>
      <c r="C1478" s="24">
        <v>4</v>
      </c>
      <c r="D1478" s="65" t="str">
        <f t="shared" ref="D1478:D1480" si="47">HYPERLINK("https://github.com/mostafa-saad/MyCompetitiveProgramming/blob/master/Olympiad/POI/official/find_editorial_sols_guidelines.txt","Editorial")</f>
        <v>Editorial</v>
      </c>
      <c r="E1478" s="31" t="s">
        <v>4809</v>
      </c>
      <c r="F1478" s="37"/>
      <c r="G1478" s="24"/>
      <c r="H1478" s="53"/>
    </row>
    <row r="1479" spans="1:8" ht="13.2">
      <c r="A1479" s="65" t="str">
        <f>HYPERLINK("https://szkopul.edu.pl/problemset/problem/mjJWZowf-KgF_KX1Hi0bUDZN/site/", "POI 05-Manoeuvres")</f>
        <v>POI 05-Manoeuvres</v>
      </c>
      <c r="B1479" s="37" t="s">
        <v>2509</v>
      </c>
      <c r="C1479" s="24">
        <v>6.5</v>
      </c>
      <c r="D1479" s="65" t="str">
        <f t="shared" si="47"/>
        <v>Editorial</v>
      </c>
      <c r="E1479" s="31" t="s">
        <v>2510</v>
      </c>
      <c r="F1479" s="37"/>
      <c r="G1479" s="24"/>
      <c r="H1479" s="53"/>
    </row>
    <row r="1480" spans="1:8" ht="13.2">
      <c r="A1480" s="65" t="str">
        <f>HYPERLINK("https://szkopul.edu.pl/problemset/problem/DKfNUFPEex9M2RZxld6pPcxT/site/", "POI 05-Mirror")</f>
        <v>POI 05-Mirror</v>
      </c>
      <c r="B1480" s="37" t="s">
        <v>7307</v>
      </c>
      <c r="C1480" s="24">
        <v>7.25</v>
      </c>
      <c r="D1480" s="65" t="str">
        <f t="shared" si="47"/>
        <v>Editorial</v>
      </c>
      <c r="E1480" s="31" t="s">
        <v>4531</v>
      </c>
      <c r="F1480" s="37"/>
      <c r="G1480" s="24"/>
      <c r="H1480" s="53"/>
    </row>
    <row r="1481" spans="1:8" ht="13.2">
      <c r="A1481" s="65" t="str">
        <f>HYPERLINK("https://szkopul.edu.pl/problemset/problem/eC-cABL-jWd4JdZDmfWufeeQ/site/", "POI 05-Parties")</f>
        <v>POI 05-Parties</v>
      </c>
      <c r="B1481" s="37" t="s">
        <v>7123</v>
      </c>
      <c r="C1481" s="24">
        <v>7</v>
      </c>
      <c r="D1481" s="65" t="str">
        <f>HYPERLINK("https://github.com/mostafa-saad/MyCompetitiveProgramming/blob/master/Olympiad/POI/POI-05-Parties.txt","Sol")</f>
        <v>Sol</v>
      </c>
      <c r="E1481" s="31" t="s">
        <v>3257</v>
      </c>
      <c r="F1481" s="37" t="s">
        <v>154</v>
      </c>
      <c r="G1481" s="24"/>
      <c r="H1481" s="53"/>
    </row>
    <row r="1482" spans="1:8" ht="13.2">
      <c r="A1482" s="65" t="str">
        <f>HYPERLINK("https://szkopul.edu.pl/problemset/problem/w_-1ZgA1RSQ0IpPqx_1BXb6M/site/", "POI 05-Points")</f>
        <v>POI 05-Points</v>
      </c>
      <c r="B1482" s="37" t="s">
        <v>6597</v>
      </c>
      <c r="C1482" s="24">
        <v>6.5</v>
      </c>
      <c r="D1482" s="65" t="str">
        <f>HYPERLINK("https://github.com/mostafa-saad/MyCompetitiveProgramming/blob/master/Olympiad/POI/POI-05-Points.txt","Sol")</f>
        <v>Sol</v>
      </c>
      <c r="E1482" s="31" t="s">
        <v>125</v>
      </c>
      <c r="F1482" s="37" t="s">
        <v>139</v>
      </c>
      <c r="G1482" s="24"/>
      <c r="H1482" s="53"/>
    </row>
    <row r="1483" spans="1:8" ht="13.2">
      <c r="A1483" s="65" t="str">
        <f>HYPERLINK("https://szkopul.edu.pl/problemset/problem/PT4yHRX9Mmz85ndhNPGCi_WB/site/", "POI 05-Template")</f>
        <v>POI 05-Template</v>
      </c>
      <c r="B1483" s="37" t="s">
        <v>7379</v>
      </c>
      <c r="C1483" s="24">
        <v>6.5</v>
      </c>
      <c r="D1483" s="65" t="str">
        <f>HYPERLINK("https://github.com/mostafa-saad/MyCompetitiveProgramming/blob/master/Olympiad/POI/POI-05-Template.txt","Sol")</f>
        <v>Sol</v>
      </c>
      <c r="E1483" s="31" t="s">
        <v>5702</v>
      </c>
      <c r="F1483" s="37" t="s">
        <v>154</v>
      </c>
      <c r="G1483" s="24"/>
      <c r="H1483" s="53"/>
    </row>
    <row r="1484" spans="1:8" ht="13.2">
      <c r="A1484" s="65" t="str">
        <f>HYPERLINK("https://szkopul.edu.pl/problemset/problem/TPo3Eb_q2NKymvHo6kNvd5yx/site/", "POI 05-ToyCars")</f>
        <v>POI 05-ToyCars</v>
      </c>
      <c r="B1484" s="37" t="s">
        <v>7037</v>
      </c>
      <c r="C1484" s="24">
        <v>5</v>
      </c>
      <c r="D1484" s="65" t="str">
        <f>HYPERLINK("https://github.com/mostafa-saad/MyCompetitiveProgramming/blob/master/Olympiad/POI/official/find_editorial_sols_guidelines.txt","Editorial")</f>
        <v>Editorial</v>
      </c>
      <c r="E1484" s="31" t="s">
        <v>2153</v>
      </c>
      <c r="F1484" s="37"/>
      <c r="G1484" s="24"/>
      <c r="H1484" s="53"/>
    </row>
    <row r="1485" spans="1:8" ht="13.2">
      <c r="A1485" s="65" t="str">
        <f>HYPERLINK("https://szkopul.edu.pl/problemset/problem/RLQLNV4gL3Y22K9B2GgEMQIj/site/", "POI 06-Aesthetics")</f>
        <v>POI 06-Aesthetics</v>
      </c>
      <c r="B1485" s="37" t="s">
        <v>6846</v>
      </c>
      <c r="C1485" s="24">
        <v>6.7</v>
      </c>
      <c r="D1485" s="65" t="str">
        <f>HYPERLINK("https://github.com/mostafa-saad/MyCompetitiveProgramming/blob/master/Olympiad/POI/POI-06-Aesthetics.txt","Sol")</f>
        <v>Sol</v>
      </c>
      <c r="E1485" s="31" t="s">
        <v>1337</v>
      </c>
      <c r="F1485" s="37" t="s">
        <v>154</v>
      </c>
      <c r="G1485" s="24"/>
      <c r="H1485" s="53"/>
    </row>
    <row r="1486" spans="1:8" ht="13.2">
      <c r="A1486" s="65" t="str">
        <f>HYPERLINK("https://szkopul.edu.pl/problemset/problem/YbQn6MpKAzvIhTNUXtp_ypXQ/site/", "POI 06-Crystals")</f>
        <v>POI 06-Crystals</v>
      </c>
      <c r="B1486" s="37" t="s">
        <v>124</v>
      </c>
      <c r="C1486" s="24">
        <v>7</v>
      </c>
      <c r="D1486" s="65" t="str">
        <f t="shared" ref="D1486:D1487" si="48">HYPERLINK("https://github.com/mostafa-saad/MyCompetitiveProgramming/blob/master/Olympiad/POI/official/find_editorial_sols_guidelines.txt","Editorial")</f>
        <v>Editorial</v>
      </c>
      <c r="E1486" s="31" t="s">
        <v>125</v>
      </c>
      <c r="F1486" s="37"/>
      <c r="G1486" s="24"/>
      <c r="H1486" s="53"/>
    </row>
    <row r="1487" spans="1:8" ht="13.2">
      <c r="A1487" s="65" t="str">
        <f>HYPERLINK("https://szkopul.edu.pl/problemset/problem/d5W4-JZbz1vSmQCLIJ91__9N/site/", "POI 06-Disks")</f>
        <v>POI 06-Disks</v>
      </c>
      <c r="B1487" s="37" t="s">
        <v>124</v>
      </c>
      <c r="C1487" s="24">
        <v>3</v>
      </c>
      <c r="D1487" s="65" t="str">
        <f t="shared" si="48"/>
        <v>Editorial</v>
      </c>
      <c r="E1487" s="31" t="s">
        <v>125</v>
      </c>
      <c r="F1487" s="37"/>
      <c r="G1487" s="24"/>
      <c r="H1487" s="53"/>
    </row>
    <row r="1488" spans="1:8" ht="13.2">
      <c r="A1488" s="65" t="str">
        <f>HYPERLINK("https://szkopul.edu.pl/problemset/problem/HH7LQVRVHom1g8YRe9423d1P/site/", "POI 06-Frogs")</f>
        <v>POI 06-Frogs</v>
      </c>
      <c r="B1488" s="37" t="s">
        <v>7208</v>
      </c>
      <c r="C1488" s="24">
        <v>6.75</v>
      </c>
      <c r="D1488" s="65" t="str">
        <f>HYPERLINK("https://github.com/mostafa-saad/MyCompetitiveProgramming/blob/master/Olympiad/POI/POI-06-Frogs.txt","Sol")</f>
        <v>Sol</v>
      </c>
      <c r="E1488" s="31" t="s">
        <v>3784</v>
      </c>
      <c r="F1488" s="37" t="s">
        <v>154</v>
      </c>
      <c r="G1488" s="24"/>
      <c r="H1488" s="53"/>
    </row>
    <row r="1489" spans="1:8" ht="13.2">
      <c r="A1489" s="65" t="str">
        <f>HYPERLINK("https://szkopul.edu.pl/problemset/problem/4yTtNIf4H61mJrquuAIhoSh_/site/", "POI 06-Invasion")</f>
        <v>POI 06-Invasion</v>
      </c>
      <c r="B1489" s="37" t="s">
        <v>6613</v>
      </c>
      <c r="C1489" s="24">
        <v>6</v>
      </c>
      <c r="D1489" s="65" t="str">
        <f>HYPERLINK("https://github.com/mostafa-saad/MyCompetitiveProgramming/blob/master/Olympiad/POI/POI-06-Invasion.txt","Sol")</f>
        <v>Sol</v>
      </c>
      <c r="E1489" s="31" t="s">
        <v>125</v>
      </c>
      <c r="F1489" s="37" t="s">
        <v>139</v>
      </c>
      <c r="G1489" s="24"/>
      <c r="H1489" s="53"/>
    </row>
    <row r="1490" spans="1:8" ht="13.2">
      <c r="A1490" s="65" t="str">
        <f>HYPERLINK("https://szkopul.edu.pl/problemset/problem/k9UKIj11V6iPRc3LaiYQYHyi/site/", "POI 06-Periods")</f>
        <v>POI 06-Periods</v>
      </c>
      <c r="B1490" s="37" t="s">
        <v>124</v>
      </c>
      <c r="C1490" s="24">
        <v>5</v>
      </c>
      <c r="D1490" s="65" t="str">
        <f>HYPERLINK("https://github.com/mostafa-saad/MyCompetitiveProgramming/blob/master/Olympiad/POI/official/find_editorial_sols_guidelines.txt","Editorial")</f>
        <v>Editorial</v>
      </c>
      <c r="E1490" s="31" t="s">
        <v>125</v>
      </c>
      <c r="F1490" s="37"/>
      <c r="G1490" s="24"/>
      <c r="H1490" s="53"/>
    </row>
    <row r="1491" spans="1:8" ht="13.2">
      <c r="A1491" s="65" t="str">
        <f>HYPERLINK("https://szkopul.edu.pl/problemset/problem/6YiP6JA5U15hY94pLwuHoYPg/site/", "POI 06-Ploughing")</f>
        <v>POI 06-Ploughing</v>
      </c>
      <c r="B1491" s="37" t="s">
        <v>6985</v>
      </c>
      <c r="C1491" s="24">
        <v>6.75</v>
      </c>
      <c r="D1491" s="65" t="str">
        <f>HYPERLINK("https://github.com/mostafa-saad/MyCompetitiveProgramming/blob/master/Olympiad/POI/POI-06-Ploughing.txt","Sol")</f>
        <v>Sol</v>
      </c>
      <c r="E1491" s="31" t="s">
        <v>2153</v>
      </c>
      <c r="F1491" s="37" t="s">
        <v>154</v>
      </c>
      <c r="G1491" s="24"/>
      <c r="H1491" s="53"/>
    </row>
    <row r="1492" spans="1:8" ht="13.2">
      <c r="A1492" s="65" t="str">
        <f>HYPERLINK("https://szkopul.edu.pl/problemset/problem/EijIYL4qkxxGJGHaVVnvdmgY/site/", "POI 06-Professor")</f>
        <v>POI 06-Professor</v>
      </c>
      <c r="B1492" s="37" t="s">
        <v>3488</v>
      </c>
      <c r="C1492" s="24">
        <v>5.5</v>
      </c>
      <c r="D1492" s="65" t="str">
        <f>HYPERLINK("https://github.com/mostafa-saad/MyCompetitiveProgramming/blob/master/Olympiad/POI/official/find_editorial_sols_guidelines.txt","Editorial")</f>
        <v>Editorial</v>
      </c>
      <c r="E1492" s="31" t="s">
        <v>3467</v>
      </c>
      <c r="F1492" s="37"/>
      <c r="G1492" s="24"/>
      <c r="H1492" s="53"/>
    </row>
    <row r="1493" spans="1:8" ht="13.2">
      <c r="A1493" s="65" t="str">
        <f>HYPERLINK("https://szkopul.edu.pl/problemset/problem/7Tut6VBMo0evZZ34EhdNuuOm/site/", "POI 06-Sophie")</f>
        <v>POI 06-Sophie</v>
      </c>
      <c r="B1493" s="37" t="s">
        <v>7131</v>
      </c>
      <c r="C1493" s="24">
        <v>6.75</v>
      </c>
      <c r="D1493" s="65" t="str">
        <f>HYPERLINK("https://github.com/mostafa-saad/MyCompetitiveProgramming/blob/master/Olympiad/POI/POI-06-Sophie.txt","Sol")</f>
        <v>Sol</v>
      </c>
      <c r="E1493" s="31" t="s">
        <v>3257</v>
      </c>
      <c r="F1493" s="37" t="s">
        <v>201</v>
      </c>
      <c r="G1493" s="24"/>
      <c r="H1493" s="53"/>
    </row>
    <row r="1494" spans="1:8" ht="13.2">
      <c r="A1494" s="65" t="str">
        <f>HYPERLINK("https://szkopul.edu.pl/problemset/problem/xFjhysZvLsUxEXMI-nHXao74/site/", "POI 06-Teddies")</f>
        <v>POI 06-Teddies</v>
      </c>
      <c r="B1494" s="37" t="s">
        <v>6950</v>
      </c>
      <c r="C1494" s="24">
        <v>6</v>
      </c>
      <c r="D1494" s="65" t="str">
        <f>HYPERLINK("https://github.com/mostafa-saad/MyCompetitiveProgramming/blob/master/Olympiad/POI/POI-06-Teddies.txt","Sol")</f>
        <v>Sol</v>
      </c>
      <c r="E1494" s="31" t="s">
        <v>1793</v>
      </c>
      <c r="F1494" s="37"/>
      <c r="G1494" s="24"/>
      <c r="H1494" s="53"/>
    </row>
    <row r="1495" spans="1:8" ht="13.2">
      <c r="A1495" s="65" t="str">
        <f>HYPERLINK("https://szkopul.edu.pl/problemset/problem/OQjANSOOD_-c38gh8p6g3Gxp/site/", "POI 06-Tetris_3D")</f>
        <v>POI 06-Tetris_3D</v>
      </c>
      <c r="B1495" s="37" t="s">
        <v>6764</v>
      </c>
      <c r="C1495" s="24">
        <v>6.75</v>
      </c>
      <c r="D1495" s="65" t="str">
        <f>HYPERLINK("https://github.com/mostafa-saad/MyCompetitiveProgramming/blob/master/Olympiad/POI/POI-06-Tetris_3D.txt","Sol")</f>
        <v>Sol</v>
      </c>
      <c r="E1495" s="31" t="s">
        <v>1018</v>
      </c>
      <c r="F1495" s="37" t="s">
        <v>173</v>
      </c>
      <c r="G1495" s="24"/>
      <c r="H1495" s="53"/>
    </row>
    <row r="1496" spans="1:8" ht="13.2">
      <c r="A1496" s="65" t="str">
        <f>HYPERLINK("https://szkopul.edu.pl/problemset/problem/VutzcR1iPvGuYRGZgvNksmV1/site/", "POI 07-Flood")</f>
        <v>POI 07-Flood</v>
      </c>
      <c r="B1496" s="37" t="s">
        <v>2181</v>
      </c>
      <c r="C1496" s="24">
        <v>6</v>
      </c>
      <c r="D1496" s="65" t="str">
        <f>HYPERLINK("https://github.com/mostafa-saad/MyCompetitiveProgramming/blob/master/Olympiad/POI/POI-07-Flood.txt","Sol")</f>
        <v>Sol</v>
      </c>
      <c r="E1496" s="31" t="s">
        <v>2153</v>
      </c>
      <c r="F1496" s="37" t="s">
        <v>201</v>
      </c>
      <c r="G1496" s="24"/>
      <c r="H1496" s="53"/>
    </row>
    <row r="1497" spans="1:8" ht="13.2">
      <c r="A1497" s="65" t="str">
        <f>HYPERLINK("https://szkopul.edu.pl/problemset/problem/big2NUEzhdCqgGj0wGBjbw14/site/", "POI 07-Megalopolis")</f>
        <v>POI 07-Megalopolis</v>
      </c>
      <c r="B1497" s="37" t="s">
        <v>7159</v>
      </c>
      <c r="C1497" s="24">
        <v>5</v>
      </c>
      <c r="D1497" s="65" t="str">
        <f>HYPERLINK("https://github.com/mostafa-saad/MyCompetitiveProgramming/blob/master/Olympiad/POI/POI-07-Megalopolis.txt","Sol")</f>
        <v>Sol</v>
      </c>
      <c r="E1497" s="31" t="s">
        <v>3257</v>
      </c>
      <c r="F1497" s="37" t="s">
        <v>139</v>
      </c>
      <c r="G1497" s="24"/>
      <c r="H1497" s="53"/>
    </row>
    <row r="1498" spans="1:8" ht="13.2">
      <c r="A1498" s="65" t="str">
        <f>HYPERLINK("https://szkopul.edu.pl/problemset/problem/G-ZVHDa7y3xWk2PQM27uNq3n/site/", "POI 07-Offices")</f>
        <v>POI 07-Offices</v>
      </c>
      <c r="B1498" s="37" t="s">
        <v>3886</v>
      </c>
      <c r="C1498" s="24">
        <v>5</v>
      </c>
      <c r="D1498" s="65" t="str">
        <f>HYPERLINK("https://github.com/mostafa-saad/MyCompetitiveProgramming/blob/master/Olympiad/POI/official/find_editorial_sols_guidelines.txt","Editorial")</f>
        <v>Editorial</v>
      </c>
      <c r="E1498" s="31" t="s">
        <v>3883</v>
      </c>
      <c r="F1498" s="37"/>
      <c r="G1498" s="24"/>
      <c r="H1498" s="53"/>
    </row>
    <row r="1499" spans="1:8" ht="13.2">
      <c r="A1499" s="65" t="str">
        <f>HYPERLINK("https://szkopul.edu.pl/problemset/problem/zWn2E-v-nn-bozeXQrykmCgD/site/", "POI 07-Pipelines")</f>
        <v>POI 07-Pipelines</v>
      </c>
      <c r="B1499" s="37" t="s">
        <v>7008</v>
      </c>
      <c r="C1499" s="24">
        <v>6</v>
      </c>
      <c r="D1499" s="65" t="str">
        <f>HYPERLINK("https://github.com/mostafa-saad/MyCompetitiveProgramming/blob/master/Olympiad/POI/POI-07-Pipelines.txt","Sol")</f>
        <v>Sol</v>
      </c>
      <c r="E1499" s="31" t="s">
        <v>2153</v>
      </c>
      <c r="F1499" s="37" t="s">
        <v>196</v>
      </c>
      <c r="G1499" s="24"/>
      <c r="H1499" s="53"/>
    </row>
    <row r="1500" spans="1:8" ht="13.2">
      <c r="A1500" s="65" t="str">
        <f>HYPERLINK("https://szkopul.edu.pl/problemset/problem/5UgslCU-C5vsermqgJGm_C5A/site/", "POI 07-Quaternary")</f>
        <v>POI 07-Quaternary</v>
      </c>
      <c r="B1500" s="37" t="s">
        <v>6843</v>
      </c>
      <c r="C1500" s="24">
        <v>6.75</v>
      </c>
      <c r="D1500" s="65" t="str">
        <f>HYPERLINK("https://github.com/mostafa-saad/MyCompetitiveProgramming/blob/master/Olympiad/POI/POI-07-Quaternary.txt","Sol")</f>
        <v>Sol</v>
      </c>
      <c r="E1500" s="31" t="s">
        <v>1337</v>
      </c>
      <c r="F1500" s="37"/>
      <c r="G1500" s="24"/>
      <c r="H1500" s="53"/>
    </row>
    <row r="1501" spans="1:8" ht="13.2">
      <c r="A1501" s="65" t="str">
        <f>HYPERLINK("https://szkopul.edu.pl/problemset/problem/MVjuhH4JZu17rusHweyEdyJx/site/", "POI 07-Queries")</f>
        <v>POI 07-Queries</v>
      </c>
      <c r="B1501" s="37" t="s">
        <v>7360</v>
      </c>
      <c r="C1501" s="24">
        <v>5</v>
      </c>
      <c r="D1501" s="65" t="str">
        <f t="shared" ref="D1501:D1502" si="49">HYPERLINK("https://github.com/mostafa-saad/MyCompetitiveProgramming/blob/master/Olympiad/POI/official/find_editorial_sols_guidelines.txt","Editorial")</f>
        <v>Editorial</v>
      </c>
      <c r="E1501" s="31" t="s">
        <v>5414</v>
      </c>
      <c r="F1501" s="37"/>
      <c r="G1501" s="24"/>
      <c r="H1501" s="53"/>
    </row>
    <row r="1502" spans="1:8" ht="13.2">
      <c r="A1502" s="65" t="str">
        <f>HYPERLINK("https://szkopul.edu.pl/problemset/problem/ETArorvqQVqRUJRa4kx02f8D/site/", "POI 07-Symmetry")</f>
        <v>POI 07-Symmetry</v>
      </c>
      <c r="B1502" s="37" t="s">
        <v>7095</v>
      </c>
      <c r="C1502" s="24">
        <v>3</v>
      </c>
      <c r="D1502" s="65" t="str">
        <f t="shared" si="49"/>
        <v>Editorial</v>
      </c>
      <c r="E1502" s="31" t="s">
        <v>2948</v>
      </c>
      <c r="F1502" s="37"/>
      <c r="G1502" s="24"/>
      <c r="H1502" s="53"/>
    </row>
    <row r="1503" spans="1:8" ht="13.2">
      <c r="A1503" s="65" t="str">
        <f>HYPERLINK("https://szkopul.edu.pl/problemset/problem/U6ajLqOdhbPOfK02zqN8MmZf/site/", "POI 07-Tetris")</f>
        <v>POI 07-Tetris</v>
      </c>
      <c r="B1503" s="37" t="s">
        <v>2323</v>
      </c>
      <c r="C1503" s="24">
        <v>6</v>
      </c>
      <c r="D1503" s="65" t="str">
        <f>HYPERLINK("https://github.com/mostafa-saad/MyCompetitiveProgramming/blob/master/Olympiad/POI/POI-07-Tetris.txt","Sol")</f>
        <v>Sol</v>
      </c>
      <c r="E1503" s="31" t="s">
        <v>2153</v>
      </c>
      <c r="F1503" s="37" t="s">
        <v>196</v>
      </c>
      <c r="G1503" s="24"/>
      <c r="H1503" s="53"/>
    </row>
    <row r="1504" spans="1:8" ht="13.2">
      <c r="A1504" s="65" t="str">
        <f>HYPERLINK("https://szkopul.edu.pl/problemset/problem/_L_YGzT5VYJO9zHTfVRwPjwh/site/", "POI 07-Tourist")</f>
        <v>POI 07-Tourist</v>
      </c>
      <c r="B1504" s="37" t="s">
        <v>7767</v>
      </c>
      <c r="C1504" s="24">
        <v>6</v>
      </c>
      <c r="D1504" s="65" t="str">
        <f>HYPERLINK("https://github.com/mostafa-saad/MyCompetitiveProgramming/blob/master/Olympiad/POI/POI-07-Tourist.txt","Sol")</f>
        <v>Sol</v>
      </c>
      <c r="E1504" s="31" t="s">
        <v>3784</v>
      </c>
      <c r="F1504" s="37" t="s">
        <v>139</v>
      </c>
      <c r="G1504" s="24"/>
      <c r="H1504" s="53"/>
    </row>
    <row r="1505" spans="1:8" ht="13.2">
      <c r="A1505" s="65" t="str">
        <f>HYPERLINK("https://szkopul.edu.pl/problemset/problem/y7tXjqVq0gPZjc8kPrscs2CJ/site/", "POI 07-Weights")</f>
        <v>POI 07-Weights</v>
      </c>
      <c r="B1505" s="37" t="s">
        <v>7768</v>
      </c>
      <c r="C1505" s="21">
        <v>6</v>
      </c>
      <c r="D1505" s="65" t="str">
        <f>HYPERLINK("https://github.com/peon-pasado/CompetitiveProgramming/blob/master/szkoput/POI_07-Weights.cpp","sol")</f>
        <v>sol</v>
      </c>
      <c r="E1505" s="31" t="s">
        <v>4531</v>
      </c>
      <c r="F1505" s="37" t="s">
        <v>139</v>
      </c>
      <c r="G1505" s="24"/>
      <c r="H1505" s="53"/>
    </row>
    <row r="1506" spans="1:8" ht="13.2">
      <c r="A1506" s="65" t="str">
        <f>HYPERLINK("https://szkopul.edu.pl/problemset/problem/Fej8rGpqWzXEi_qjK2Cmfe4Y/site/", "POI 08-BBB")</f>
        <v>POI 08-BBB</v>
      </c>
      <c r="B1506" s="37" t="s">
        <v>7013</v>
      </c>
      <c r="C1506" s="24">
        <v>5.75</v>
      </c>
      <c r="D1506" s="65" t="str">
        <f>HYPERLINK("https://github.com/mostafa-saad/MyCompetitiveProgramming/blob/master/Olympiad/POI/POI-08-BBB.txt","Sol")</f>
        <v>Sol</v>
      </c>
      <c r="E1506" s="31" t="s">
        <v>2153</v>
      </c>
      <c r="F1506" s="37" t="s">
        <v>154</v>
      </c>
      <c r="G1506" s="24"/>
      <c r="H1506" s="53"/>
    </row>
    <row r="1507" spans="1:8" ht="13.2">
      <c r="A1507" s="65" t="str">
        <f>HYPERLINK("https://szkopul.edu.pl/problemset/problem/KC7c6nYfAXCbCGszqhIeOGxP/site/", "POI 08-Blocks")</f>
        <v>POI 08-Blocks</v>
      </c>
      <c r="B1507" s="37" t="s">
        <v>7168</v>
      </c>
      <c r="C1507" s="24">
        <v>4</v>
      </c>
      <c r="D1507" s="65" t="str">
        <f>HYPERLINK("https://github.com/mostafa-saad/MyCompetitiveProgramming/blob/master/Olympiad/POI/official/find_editorial_sols_guidelines.txt","Editorial")</f>
        <v>Editorial</v>
      </c>
      <c r="E1507" s="31" t="s">
        <v>3257</v>
      </c>
      <c r="F1507" s="37"/>
      <c r="G1507" s="24"/>
      <c r="H1507" s="53"/>
    </row>
    <row r="1508" spans="1:8" ht="13.2">
      <c r="A1508" s="65" t="str">
        <f>HYPERLINK("https://szkopul.edu.pl/problemset/problem/XNaC6RSk8o9MIJkuaL6O4t0u/site/", "POI 08-Escape")</f>
        <v>POI 08-Escape</v>
      </c>
      <c r="B1508" s="37" t="s">
        <v>6944</v>
      </c>
      <c r="C1508" s="24">
        <v>7.1</v>
      </c>
      <c r="D1508" s="65" t="str">
        <f>HYPERLINK("https://github.com/mostafa-saad/MyCompetitiveProgramming/blob/master/Olympiad/POI/POI-08-Escape.txt","Sol")</f>
        <v>Sol</v>
      </c>
      <c r="E1508" s="31" t="s">
        <v>1734</v>
      </c>
      <c r="F1508" s="37" t="s">
        <v>201</v>
      </c>
      <c r="G1508" s="24"/>
      <c r="H1508" s="53"/>
    </row>
    <row r="1509" spans="1:8" ht="13.2">
      <c r="A1509" s="65" t="str">
        <f>HYPERLINK("https://szkopul.edu.pl/problemset/problem/0EGjXu64CRLc5S2-EQOZ0eR1/site/", "POI 08-Kingdom")</f>
        <v>POI 08-Kingdom</v>
      </c>
      <c r="B1509" s="37" t="s">
        <v>7769</v>
      </c>
      <c r="C1509" s="24">
        <v>6.8</v>
      </c>
      <c r="D1509" s="65" t="str">
        <f>HYPERLINK("https://github.com/mostafa-saad/MyCompetitiveProgramming/blob/master/Olympiad/POI/official/find_editorial_sols_guidelines.txt","Editorial")</f>
        <v>Editorial</v>
      </c>
      <c r="E1509" s="31" t="s">
        <v>332</v>
      </c>
      <c r="F1509" s="37" t="s">
        <v>201</v>
      </c>
      <c r="G1509" s="24"/>
      <c r="H1509" s="53"/>
    </row>
    <row r="1510" spans="1:8" ht="13.2">
      <c r="A1510" s="65" t="str">
        <f>HYPERLINK("https://szkopul.edu.pl/problemset/problem/w3YAoAT3ej27YeiaNWjK57_G/site/", "POI 08-Mafia")</f>
        <v>POI 08-Mafia</v>
      </c>
      <c r="B1510" s="37" t="s">
        <v>3660</v>
      </c>
      <c r="C1510" s="24">
        <v>5.25</v>
      </c>
      <c r="D1510" s="65" t="str">
        <f>HYPERLINK("https://github.com/mostafa-saad/MyCompetitiveProgramming/blob/master/Olympiad/POI/POI-08-Mafia.txt","Sol")</f>
        <v>Sol</v>
      </c>
      <c r="E1510" s="31" t="s">
        <v>3650</v>
      </c>
      <c r="F1510" s="37" t="s">
        <v>139</v>
      </c>
      <c r="G1510" s="24"/>
      <c r="H1510" s="53"/>
    </row>
    <row r="1511" spans="1:8" ht="13.2">
      <c r="A1511" s="65" t="str">
        <f>HYPERLINK("https://szkopul.edu.pl/problemset/problem/XcJ1RDGPzzspbYBm4xHCVpWM/site/", "POI 08-Mirror")</f>
        <v>POI 08-Mirror</v>
      </c>
      <c r="B1511" s="37" t="s">
        <v>2509</v>
      </c>
      <c r="C1511" s="24">
        <v>5</v>
      </c>
      <c r="D1511" s="65" t="str">
        <f>HYPERLINK("https://github.com/mostafa-saad/MyCompetitiveProgramming/blob/master/Olympiad/POI/official/find_editorial_sols_guidelines.txt","Editorial")</f>
        <v>Editorial</v>
      </c>
      <c r="E1511" s="31" t="s">
        <v>2510</v>
      </c>
      <c r="F1511" s="37"/>
      <c r="G1511" s="24"/>
      <c r="H1511" s="53"/>
    </row>
    <row r="1512" spans="1:8" ht="13.2">
      <c r="A1512" s="65" t="str">
        <f>HYPERLINK("https://szkopul.edu.pl/problemset/problem/etwe8b5zlM4uVn4dpxr32ua8/site/", "POI 08-Permutation")</f>
        <v>POI 08-Permutation</v>
      </c>
      <c r="B1512" s="37" t="s">
        <v>7366</v>
      </c>
      <c r="C1512" s="24">
        <v>6.5</v>
      </c>
      <c r="D1512" s="65" t="str">
        <f>HYPERLINK("https://github.com/mostafa-saad/MyCompetitiveProgramming/blob/master/Olympiad/POI/POI-08-Permutation.txt","Sol")</f>
        <v>Sol</v>
      </c>
      <c r="E1512" s="31" t="s">
        <v>5524</v>
      </c>
      <c r="F1512" s="37" t="s">
        <v>139</v>
      </c>
      <c r="G1512" s="24"/>
      <c r="H1512" s="53"/>
    </row>
    <row r="1513" spans="1:8" ht="13.2">
      <c r="A1513" s="65" t="str">
        <f>HYPERLINK("https://szkopul.edu.pl/problemset/problem/hwbyoUkNFPXQLOPcw3x5huTR/site/", "POI 08-Plot")</f>
        <v>POI 08-Plot</v>
      </c>
      <c r="B1513" s="37" t="s">
        <v>2509</v>
      </c>
      <c r="C1513" s="24">
        <v>6.75</v>
      </c>
      <c r="D1513" s="65" t="str">
        <f t="shared" ref="D1513:D1514" si="50">HYPERLINK("https://github.com/mostafa-saad/MyCompetitiveProgramming/blob/master/Olympiad/POI/official/find_editorial_sols_guidelines.txt","Editorial")</f>
        <v>Editorial</v>
      </c>
      <c r="E1513" s="31" t="s">
        <v>2510</v>
      </c>
      <c r="F1513" s="37"/>
      <c r="G1513" s="24"/>
      <c r="H1513" s="53"/>
    </row>
    <row r="1514" spans="1:8" ht="13.2">
      <c r="A1514" s="65" t="str">
        <f>HYPERLINK("https://szkopul.edu.pl/problemset/problem/NZhJzNZct1iBas2bPCvlvls5/site/", "POI 08-Postering")</f>
        <v>POI 08-Postering</v>
      </c>
      <c r="B1514" s="37" t="s">
        <v>124</v>
      </c>
      <c r="C1514" s="24">
        <v>3</v>
      </c>
      <c r="D1514" s="65" t="str">
        <f t="shared" si="50"/>
        <v>Editorial</v>
      </c>
      <c r="E1514" s="31" t="s">
        <v>125</v>
      </c>
      <c r="F1514" s="37"/>
      <c r="G1514" s="24"/>
      <c r="H1514" s="53"/>
    </row>
    <row r="1515" spans="1:8" ht="13.2">
      <c r="A1515" s="65" t="str">
        <f>HYPERLINK("https://szkopul.edu.pl/problemset/problem/oSpFEpvAxKNk0Il-nOe5L9El/site/", "POI 08-Robinson")</f>
        <v>POI 08-Robinson</v>
      </c>
      <c r="B1515" s="37" t="s">
        <v>7457</v>
      </c>
      <c r="C1515" s="24">
        <v>7.1</v>
      </c>
      <c r="D1515" s="65" t="str">
        <f>HYPERLINK("https://github.com/mostafa-saad/MyCompetitiveProgramming/blob/master/Olympiad/POI/POI-08-Robinson.txt","Sol")</f>
        <v>Sol</v>
      </c>
      <c r="E1515" s="31" t="s">
        <v>6362</v>
      </c>
      <c r="F1515" s="37" t="s">
        <v>154</v>
      </c>
      <c r="G1515" s="24"/>
      <c r="H1515" s="53"/>
    </row>
    <row r="1516" spans="1:8" ht="13.2">
      <c r="A1516" s="65" t="str">
        <f>HYPERLINK("https://szkopul.edu.pl/problemset/problem/xDISetKx9cPPrOT_t2ZqgEyr/site/", "POI 08-Toll")</f>
        <v>POI 08-Toll</v>
      </c>
      <c r="B1516" s="37" t="s">
        <v>3466</v>
      </c>
      <c r="C1516" s="24">
        <v>4</v>
      </c>
      <c r="D1516" s="65" t="str">
        <f t="shared" ref="D1516:D1517" si="51">HYPERLINK("https://github.com/mostafa-saad/MyCompetitiveProgramming/blob/master/Olympiad/POI/official/find_editorial_sols_guidelines.txt","Editorial")</f>
        <v>Editorial</v>
      </c>
      <c r="E1516" s="31" t="s">
        <v>3467</v>
      </c>
      <c r="F1516" s="37"/>
      <c r="G1516" s="24"/>
      <c r="H1516" s="53"/>
    </row>
    <row r="1517" spans="1:8" ht="13.2">
      <c r="A1517" s="65" t="str">
        <f>HYPERLINK("https://szkopul.edu.pl/problemset/problem/zQvxlGgoPvqRrAK0TuLeWIRD/site/", "POI 08-Trains")</f>
        <v>POI 08-Trains</v>
      </c>
      <c r="B1517" s="37" t="s">
        <v>7581</v>
      </c>
      <c r="C1517" s="24">
        <v>7</v>
      </c>
      <c r="D1517" s="65" t="str">
        <f t="shared" si="51"/>
        <v>Editorial</v>
      </c>
      <c r="E1517" s="31" t="s">
        <v>7525</v>
      </c>
      <c r="F1517" s="37"/>
      <c r="G1517" s="24"/>
      <c r="H1517" s="53"/>
    </row>
    <row r="1518" spans="1:8" ht="13.2">
      <c r="A1518" s="65" t="str">
        <f>HYPERLINK("https://szkopul.edu.pl/problemset/problem/ci05UTAWBFeYYWnidnK1zzQl/site/", "POI 08-Triangles")</f>
        <v>POI 08-Triangles</v>
      </c>
      <c r="B1518" s="37" t="s">
        <v>2533</v>
      </c>
      <c r="C1518" s="24">
        <v>6.8</v>
      </c>
      <c r="D1518" s="65" t="str">
        <f>HYPERLINK("https://github.com/mostafa-saad/MyCompetitiveProgramming/blob/master/Olympiad/POI/POI-08-Triangles.txt","Sol")</f>
        <v>Sol</v>
      </c>
      <c r="E1518" s="31" t="s">
        <v>2510</v>
      </c>
      <c r="F1518" s="37" t="s">
        <v>201</v>
      </c>
      <c r="G1518" s="24"/>
      <c r="H1518" s="53"/>
    </row>
    <row r="1519" spans="1:8" ht="13.2">
      <c r="A1519" s="65" t="str">
        <f>HYPERLINK("https://szkopul.edu.pl/problemset/problem/-MwFkVBU5fdldohfNl-xSjHa/site/", "POI 09-Algorithm_Speedup")</f>
        <v>POI 09-Algorithm_Speedup</v>
      </c>
      <c r="B1519" s="37" t="s">
        <v>6822</v>
      </c>
      <c r="C1519" s="24">
        <v>8</v>
      </c>
      <c r="D1519" s="65" t="str">
        <f t="shared" ref="D1519:D1520" si="52">HYPERLINK("https://github.com/mostafa-saad/MyCompetitiveProgramming/blob/master/Olympiad/POI/official/find_editorial_sols_guidelines.txt","Editorial")</f>
        <v>Editorial</v>
      </c>
      <c r="E1519" s="31" t="s">
        <v>1337</v>
      </c>
      <c r="F1519" s="37"/>
      <c r="G1519" s="24"/>
      <c r="H1519" s="53"/>
    </row>
    <row r="1520" spans="1:8" ht="13.2">
      <c r="A1520" s="65" t="str">
        <f>HYPERLINK("https://szkopul.edu.pl/problemset/problem/NuGiXg5BO8iuLFU7vmhCmNWK/site/", "POI 09-Brigade")</f>
        <v>POI 09-Brigade</v>
      </c>
      <c r="B1520" s="37" t="s">
        <v>5961</v>
      </c>
      <c r="C1520" s="24">
        <v>5</v>
      </c>
      <c r="D1520" s="65" t="str">
        <f t="shared" si="52"/>
        <v>Editorial</v>
      </c>
      <c r="E1520" s="31" t="s">
        <v>5958</v>
      </c>
      <c r="F1520" s="37"/>
      <c r="G1520" s="24"/>
      <c r="H1520" s="53"/>
    </row>
    <row r="1521" spans="1:8" ht="13.2">
      <c r="A1521" s="65" t="str">
        <f>HYPERLINK("https://szkopul.edu.pl/problemset/problem/pBkLSmvYN2S1-4G9s8UqOB7s/site/", "POI 09-Code")</f>
        <v>POI 09-Code</v>
      </c>
      <c r="B1521" s="37" t="s">
        <v>3725</v>
      </c>
      <c r="C1521" s="24">
        <v>6.8</v>
      </c>
      <c r="D1521" s="65" t="str">
        <f>HYPERLINK("https://github.com/mostafa-saad/MyCompetitiveProgramming/blob/master/Olympiad/POI/POI-09-Code.txt","Sol")</f>
        <v>Sol</v>
      </c>
      <c r="E1521" s="31" t="s">
        <v>3650</v>
      </c>
      <c r="F1521" s="37" t="s">
        <v>139</v>
      </c>
      <c r="G1521" s="24"/>
      <c r="H1521" s="53"/>
    </row>
    <row r="1522" spans="1:8" ht="13.2">
      <c r="A1522" s="65" t="str">
        <f>HYPERLINK("https://szkopul.edu.pl/problemset/problem/Z8dyWFvoZuAJMjzLhqu4IH2o/site/", "POI 09-Elephants")</f>
        <v>POI 09-Elephants</v>
      </c>
      <c r="B1522" s="37" t="s">
        <v>124</v>
      </c>
      <c r="C1522" s="24">
        <v>3</v>
      </c>
      <c r="D1522" s="65" t="str">
        <f>HYPERLINK("https://github.com/mostafa-saad/MyCompetitiveProgramming/blob/master/Olympiad/POI/official/find_editorial_sols_guidelines.txt","Editorial")</f>
        <v>Editorial</v>
      </c>
      <c r="E1522" s="31" t="s">
        <v>125</v>
      </c>
      <c r="F1522" s="37"/>
      <c r="G1522" s="24"/>
      <c r="H1522" s="53"/>
    </row>
    <row r="1523" spans="1:8" ht="13.2">
      <c r="A1523" s="65" t="str">
        <f>HYPERLINK("https://szkopul.edu.pl/problemset/problem/kZ-a2gIkpjJEOzq6pJ5jUW7f/site/", "POI 09-Fire")</f>
        <v>POI 09-Fire</v>
      </c>
      <c r="B1523" s="37" t="s">
        <v>3726</v>
      </c>
      <c r="C1523" s="21">
        <v>5.5</v>
      </c>
      <c r="D1523" s="65" t="str">
        <f>HYPERLINK("https://github.com/mostafa-saad/MyCompetitiveProgramming/blob/master/Olympiad/POI/POI-09-Fire.txt","Sol")</f>
        <v>Sol</v>
      </c>
      <c r="E1523" s="31" t="s">
        <v>3650</v>
      </c>
      <c r="F1523" s="37" t="s">
        <v>154</v>
      </c>
      <c r="G1523" s="24"/>
      <c r="H1523" s="53"/>
    </row>
    <row r="1524" spans="1:8" ht="13.2">
      <c r="A1524" s="65" t="str">
        <f>HYPERLINK("https://szkopul.edu.pl/problemset/problem/EwpbJWZPly_zZ5i4ytg_8fDE/site/", "POI 09-Ice_Skates")</f>
        <v>POI 09-Ice_Skates</v>
      </c>
      <c r="B1524" s="37" t="s">
        <v>6771</v>
      </c>
      <c r="C1524" s="24">
        <v>6.5</v>
      </c>
      <c r="D1524" s="65" t="str">
        <f>HYPERLINK("https://github.com/mostafa-saad/MyCompetitiveProgramming/blob/master/Olympiad/POI/POI-09-Ice_Skates.txt","Sol")</f>
        <v>Sol</v>
      </c>
      <c r="E1524" s="31" t="s">
        <v>1018</v>
      </c>
      <c r="F1524" s="37" t="s">
        <v>139</v>
      </c>
      <c r="G1524" s="24"/>
      <c r="H1524" s="53"/>
    </row>
    <row r="1525" spans="1:8" ht="13.2">
      <c r="A1525" s="65" t="str">
        <f>HYPERLINK("https://szkopul.edu.pl/problemset/problem/uABxo7lIMMVDn0-HB1wCE02w/site/", "POI 09-Inspector")</f>
        <v>POI 09-Inspector</v>
      </c>
      <c r="B1525" s="37" t="s">
        <v>1348</v>
      </c>
      <c r="C1525" s="24">
        <v>5</v>
      </c>
      <c r="D1525" s="65" t="str">
        <f>HYPERLINK("https://github.com/mostafa-saad/MyCompetitiveProgramming/blob/master/Olympiad/POI/official/find_editorial_sols_guidelines.txt","Editorial")</f>
        <v>Editorial</v>
      </c>
      <c r="E1525" s="31" t="s">
        <v>1337</v>
      </c>
      <c r="F1525" s="37"/>
      <c r="G1525" s="24"/>
      <c r="H1525" s="53"/>
    </row>
    <row r="1526" spans="1:8" ht="13.2">
      <c r="A1526" s="65" t="str">
        <f>HYPERLINK("https://szkopul.edu.pl/problemset/problem/X_XFcxCm1xIAk2alKtQLN79O/site/", "POI 09-Island")</f>
        <v>POI 09-Island</v>
      </c>
      <c r="B1526" s="37" t="s">
        <v>7459</v>
      </c>
      <c r="C1526" s="24">
        <v>6.8</v>
      </c>
      <c r="D1526" s="65" t="str">
        <f>HYPERLINK("https://github.com/mostafa-saad/MyCompetitiveProgramming/blob/master/Olympiad/POI/POI-09-Island.txt","Sol")</f>
        <v>Sol</v>
      </c>
      <c r="E1526" s="31" t="s">
        <v>6362</v>
      </c>
      <c r="F1526" s="37" t="s">
        <v>139</v>
      </c>
      <c r="G1526" s="24"/>
      <c r="H1526" s="53"/>
    </row>
    <row r="1527" spans="1:8" ht="13.2">
      <c r="A1527" s="65" t="str">
        <f>HYPERLINK("https://szkopul.edu.pl/problemset/problem/E4CCHJSbYzxeGWXMnBZHkPnm/site/", "POI 09-Pebbles")</f>
        <v>POI 09-Pebbles</v>
      </c>
      <c r="B1527" s="37" t="s">
        <v>124</v>
      </c>
      <c r="C1527" s="24">
        <v>3</v>
      </c>
      <c r="D1527" s="65" t="str">
        <f>HYPERLINK("https://github.com/mostafa-saad/MyCompetitiveProgramming/blob/master/Olympiad/POI/official/find_editorial_sols_guidelines.txt","Editorial")</f>
        <v>Editorial</v>
      </c>
      <c r="E1527" s="31" t="s">
        <v>125</v>
      </c>
      <c r="F1527" s="37"/>
      <c r="G1527" s="24"/>
      <c r="H1527" s="53"/>
    </row>
    <row r="1528" spans="1:8" ht="13.2">
      <c r="A1528" s="65" t="str">
        <f>HYPERLINK("https://szkopul.edu.pl/problemset/problem/F_PC7j8VzjiPwlNqg9Jr_tFg/site/", "POI 09-Walk")</f>
        <v>POI 09-Walk</v>
      </c>
      <c r="B1528" s="37" t="s">
        <v>7172</v>
      </c>
      <c r="C1528" s="24">
        <v>6.8</v>
      </c>
      <c r="D1528" s="65" t="str">
        <f>HYPERLINK("https://github.com/mostafa-saad/MyCompetitiveProgramming/blob/master/Olympiad/POI/POI-09-Walk.txt","Sol")</f>
        <v>Sol</v>
      </c>
      <c r="E1528" s="31" t="s">
        <v>3467</v>
      </c>
      <c r="F1528" s="37" t="s">
        <v>154</v>
      </c>
      <c r="G1528" s="24"/>
      <c r="H1528" s="53"/>
    </row>
    <row r="1529" spans="1:8" ht="13.2">
      <c r="A1529" s="65" t="str">
        <f>HYPERLINK("https://szkopul.edu.pl/problemset/problem/CP4mQc-h-Vkg--I1g49xovQj/site/", "POI 09-Words")</f>
        <v>POI 09-Words</v>
      </c>
      <c r="B1529" s="37" t="s">
        <v>4776</v>
      </c>
      <c r="C1529" s="24">
        <v>7.5</v>
      </c>
      <c r="D1529" s="65" t="str">
        <f>HYPERLINK("https://github.com/mostafa-saad/MyCompetitiveProgramming/blob/master/Olympiad/POI/POI-09-Words.txt","Sol")</f>
        <v>Sol</v>
      </c>
      <c r="E1529" s="31" t="s">
        <v>4767</v>
      </c>
      <c r="F1529" s="37" t="s">
        <v>139</v>
      </c>
      <c r="G1529" s="24"/>
      <c r="H1529" s="53"/>
    </row>
    <row r="1530" spans="1:8" ht="13.2">
      <c r="A1530" s="65" t="str">
        <f>HYPERLINK("https://szkopul.edu.pl/problemset/problem/iiSZmNzhLW2p6YVBDu0gIf4G/site/", "POI 10-Beads")</f>
        <v>POI 10-Beads</v>
      </c>
      <c r="B1530" s="37" t="s">
        <v>6633</v>
      </c>
      <c r="C1530" s="24">
        <v>5</v>
      </c>
      <c r="D1530" s="65" t="str">
        <f>HYPERLINK("https://github.com/peon-pasado/CompetitiveProgramming/blob/master/szkoput/POI-10-Beads.cpp","Sol")</f>
        <v>Sol</v>
      </c>
      <c r="E1530" s="31" t="s">
        <v>125</v>
      </c>
      <c r="F1530" s="37"/>
      <c r="G1530" s="24"/>
      <c r="H1530" s="53"/>
    </row>
    <row r="1531" spans="1:8" ht="13.2">
      <c r="A1531" s="65" t="str">
        <f>HYPERLINK("https://szkopul.edu.pl/problemset/problem/4BL9eUWjrvT7ecMUJcmSuJI3/site/", "POI 10-Blocks")</f>
        <v>POI 10-Blocks</v>
      </c>
      <c r="B1531" s="37" t="s">
        <v>7417</v>
      </c>
      <c r="C1531" s="24">
        <v>5.5</v>
      </c>
      <c r="D1531" s="65" t="str">
        <f>HYPERLINK("https://ideone.com/iOUxs7","Sol")</f>
        <v>Sol</v>
      </c>
      <c r="E1531" s="31" t="s">
        <v>6040</v>
      </c>
      <c r="F1531" s="37" t="s">
        <v>139</v>
      </c>
      <c r="G1531" s="24"/>
      <c r="H1531" s="53"/>
    </row>
    <row r="1532" spans="1:8" ht="13.2">
      <c r="A1532" s="65" t="str">
        <f>HYPERLINK("https://szkopul.edu.pl/problemset/problem/gh2Yj6Ckrt4Lo_RojONuljuC/site/", "POI 10-Bridges")</f>
        <v>POI 10-Bridges</v>
      </c>
      <c r="B1532" s="37" t="s">
        <v>7255</v>
      </c>
      <c r="C1532" s="24">
        <v>7</v>
      </c>
      <c r="D1532" s="65" t="str">
        <f>HYPERLINK("https://github.com/mostafa-saad/MyCompetitiveProgramming/blob/master/Olympiad/POI/POI-10-Bridges.txt","Sol")</f>
        <v>Sol</v>
      </c>
      <c r="E1532" s="31" t="s">
        <v>4060</v>
      </c>
      <c r="F1532" s="37" t="s">
        <v>154</v>
      </c>
      <c r="G1532" s="24"/>
      <c r="H1532" s="53"/>
    </row>
    <row r="1533" spans="1:8" ht="13.2">
      <c r="A1533" s="65" t="str">
        <f>HYPERLINK("https://szkopul.edu.pl/problemset/problem/hOwg83Xw_OnTpfQ9SroS0OJA/site/", "POI 10-Divisor")</f>
        <v>POI 10-Divisor</v>
      </c>
      <c r="B1533" s="37" t="s">
        <v>7361</v>
      </c>
      <c r="C1533" s="24">
        <v>5</v>
      </c>
      <c r="D1533" s="65" t="str">
        <f t="shared" ref="D1533:D1539" si="53">HYPERLINK("https://github.com/mostafa-saad/MyCompetitiveProgramming/blob/master/Olympiad/POI/official/find_editorial_sols_guidelines.txt","Editorial")</f>
        <v>Editorial</v>
      </c>
      <c r="E1533" s="31" t="s">
        <v>5414</v>
      </c>
      <c r="F1533" s="37"/>
      <c r="G1533" s="24"/>
      <c r="H1533" s="53"/>
    </row>
    <row r="1534" spans="1:8" ht="13.2">
      <c r="A1534" s="65" t="str">
        <f>HYPERLINK("https://szkopul.edu.pl/problemset/problem/qDH9CkBHZKHY4vbKRBlXPrA7/site/", "POI 10-Frog")</f>
        <v>POI 10-Frog</v>
      </c>
      <c r="B1534" s="37" t="s">
        <v>7527</v>
      </c>
      <c r="C1534" s="24">
        <v>5.5</v>
      </c>
      <c r="D1534" s="65" t="str">
        <f t="shared" si="53"/>
        <v>Editorial</v>
      </c>
      <c r="E1534" s="31" t="s">
        <v>7525</v>
      </c>
      <c r="F1534" s="37"/>
      <c r="G1534" s="24"/>
      <c r="H1534" s="53"/>
    </row>
    <row r="1535" spans="1:8" ht="13.2">
      <c r="A1535" s="65" t="str">
        <f>HYPERLINK("https://szkopul.edu.pl/problemset/problem/3buviDQZWLE83AxVhvJJurgU/site/", "POI 10-Game")</f>
        <v>POI 10-Game</v>
      </c>
      <c r="B1535" s="37" t="s">
        <v>212</v>
      </c>
      <c r="C1535" s="24">
        <v>5.5</v>
      </c>
      <c r="D1535" s="65" t="str">
        <f t="shared" si="53"/>
        <v>Editorial</v>
      </c>
      <c r="E1535" s="31" t="s">
        <v>125</v>
      </c>
      <c r="F1535" s="37" t="s">
        <v>139</v>
      </c>
      <c r="G1535" s="24"/>
      <c r="H1535" s="53"/>
    </row>
    <row r="1536" spans="1:8" ht="13.2">
      <c r="A1536" s="65" t="str">
        <f>HYPERLINK("https://szkopul.edu.pl/problemset/problem/oTsXNiT3SD45VgVS2zqQWj7F/site/", "POI 10-Guilds")</f>
        <v>POI 10-Guilds</v>
      </c>
      <c r="B1536" s="37" t="s">
        <v>124</v>
      </c>
      <c r="C1536" s="24">
        <v>3</v>
      </c>
      <c r="D1536" s="65" t="str">
        <f t="shared" si="53"/>
        <v>Editorial</v>
      </c>
      <c r="E1536" s="31" t="s">
        <v>125</v>
      </c>
      <c r="F1536" s="37"/>
      <c r="G1536" s="24"/>
      <c r="H1536" s="53"/>
    </row>
    <row r="1537" spans="1:8" ht="13.2">
      <c r="A1537" s="65" t="str">
        <f>HYPERLINK("https://szkopul.edu.pl/problemset/problem/qQGtOc61vnHgCrs01ORC7iD1/site/", "POI 10-Hamsters")</f>
        <v>POI 10-Hamsters</v>
      </c>
      <c r="B1537" s="37" t="s">
        <v>6576</v>
      </c>
      <c r="C1537" s="21">
        <v>7</v>
      </c>
      <c r="D1537" s="65" t="str">
        <f t="shared" si="53"/>
        <v>Editorial</v>
      </c>
      <c r="E1537" s="31" t="s">
        <v>125</v>
      </c>
      <c r="F1537" s="37"/>
      <c r="G1537" s="24"/>
      <c r="H1537" s="53"/>
    </row>
    <row r="1538" spans="1:8" ht="13.2">
      <c r="A1538" s="65" t="str">
        <f>HYPERLINK("https://szkopul.edu.pl/problemset/problem/WXVRycanis3d1h5p63YZqYKs/site/", "POI 10-Lamp")</f>
        <v>POI 10-Lamp</v>
      </c>
      <c r="B1538" s="37" t="s">
        <v>7067</v>
      </c>
      <c r="C1538" s="24">
        <v>6.75</v>
      </c>
      <c r="D1538" s="65" t="str">
        <f t="shared" si="53"/>
        <v>Editorial</v>
      </c>
      <c r="E1538" s="31" t="s">
        <v>2510</v>
      </c>
      <c r="F1538" s="37"/>
      <c r="G1538" s="24"/>
      <c r="H1538" s="53"/>
    </row>
    <row r="1539" spans="1:8" ht="13.2">
      <c r="A1539" s="65" t="str">
        <f>HYPERLINK("https://szkopul.edu.pl/problemset/problem/ttMOxHYN1BPMG8oXYiIzIXB9/site/", "POI 10-Ones")</f>
        <v>POI 10-Ones</v>
      </c>
      <c r="B1539" s="70" t="s">
        <v>6589</v>
      </c>
      <c r="C1539" s="66">
        <v>6.75</v>
      </c>
      <c r="D1539" s="65" t="str">
        <f t="shared" si="53"/>
        <v>Editorial</v>
      </c>
      <c r="E1539" s="31" t="s">
        <v>125</v>
      </c>
      <c r="F1539" s="37"/>
      <c r="G1539" s="24"/>
      <c r="H1539" s="53"/>
    </row>
    <row r="1540" spans="1:8" ht="13.2">
      <c r="A1540" s="65" t="str">
        <f>HYPERLINK("https://szkopul.edu.pl/problemset/problem/lcU5m2RAICwNHsdzydb8JTQw/site/", "POI 10-Pilots")</f>
        <v>POI 10-Pilots</v>
      </c>
      <c r="B1540" s="20" t="s">
        <v>7415</v>
      </c>
      <c r="C1540" s="21">
        <v>5.75</v>
      </c>
      <c r="D1540" s="65" t="str">
        <f>HYPERLINK("https://github.com/mostafa-saad/MyCompetitiveProgramming/blob/master/Olympiad/POI/POI-10-Pilots.txt","Sol")</f>
        <v>Sol</v>
      </c>
      <c r="E1540" s="31" t="s">
        <v>6040</v>
      </c>
      <c r="F1540" s="37" t="s">
        <v>242</v>
      </c>
      <c r="G1540" s="24"/>
      <c r="H1540" s="53"/>
    </row>
    <row r="1541" spans="1:8" ht="13.2">
      <c r="A1541" s="65" t="str">
        <f>HYPERLINK("https://szkopul.edu.pl/problemset/problem/TJVrS_hRC8W5Q6ZBW6mETAIm/site/", "POI 10-Railway")</f>
        <v>POI 10-Railway</v>
      </c>
      <c r="B1541" s="37" t="s">
        <v>3340</v>
      </c>
      <c r="C1541" s="24">
        <v>5</v>
      </c>
      <c r="D1541" s="65" t="str">
        <f>HYPERLINK("https://github.com/mostafa-saad/MyCompetitiveProgramming/blob/master/Olympiad/POI/official/find_editorial_sols_guidelines.txt","Editorial")</f>
        <v>Editorial</v>
      </c>
      <c r="E1541" s="31" t="s">
        <v>3257</v>
      </c>
      <c r="F1541" s="37" t="s">
        <v>154</v>
      </c>
      <c r="G1541" s="24"/>
      <c r="H1541" s="53"/>
    </row>
    <row r="1542" spans="1:8" ht="13.2">
      <c r="A1542" s="65" t="str">
        <f>HYPERLINK("https://szkopul.edu.pl/problemset/problem/YjtAwdQrSiGcE_RLiEJpGiYE/site/", "POI 10-Sheep")</f>
        <v>POI 10-Sheep</v>
      </c>
      <c r="B1542" s="37" t="s">
        <v>6874</v>
      </c>
      <c r="C1542" s="24">
        <v>6.25</v>
      </c>
      <c r="D1542" s="65" t="str">
        <f>HYPERLINK("https://github.com/mostafa-saad/MyCompetitiveProgramming/blob/master/Olympiad/POI/POI-10-Sheep.txt","Sol")</f>
        <v>Sol</v>
      </c>
      <c r="E1542" s="31" t="s">
        <v>1337</v>
      </c>
      <c r="F1542" s="37" t="s">
        <v>139</v>
      </c>
      <c r="G1542" s="24"/>
      <c r="H1542" s="53"/>
    </row>
    <row r="1543" spans="1:8" ht="13.2">
      <c r="A1543" s="65" t="str">
        <f>HYPERLINK("https://szkopul.edu.pl/problemset/problem/fKO3YZL0f_UM1nHQNDvw7mku/site/", "POI 10-Teleport")</f>
        <v>POI 10-Teleport</v>
      </c>
      <c r="B1543" s="37" t="s">
        <v>3466</v>
      </c>
      <c r="C1543" s="24">
        <v>5.75</v>
      </c>
      <c r="D1543" s="65" t="str">
        <f t="shared" ref="D1543:D1544" si="54">HYPERLINK("https://github.com/mostafa-saad/MyCompetitiveProgramming/blob/master/Olympiad/POI/official/find_editorial_sols_guidelines.txt","Editorial")</f>
        <v>Editorial</v>
      </c>
      <c r="E1543" s="31" t="s">
        <v>3467</v>
      </c>
      <c r="F1543" s="37" t="s">
        <v>154</v>
      </c>
      <c r="G1543" s="24"/>
      <c r="H1543" s="53"/>
    </row>
    <row r="1544" spans="1:8" ht="13.2">
      <c r="A1544" s="65" t="str">
        <f>HYPERLINK("https://szkopul.edu.pl/problemset/problem/Arkza0f7GKKb-m1YZJulnlMk/site/", "POI 10-Test")</f>
        <v>POI 10-Test</v>
      </c>
      <c r="B1544" s="37" t="s">
        <v>124</v>
      </c>
      <c r="C1544" s="24">
        <v>4</v>
      </c>
      <c r="D1544" s="65" t="str">
        <f t="shared" si="54"/>
        <v>Editorial</v>
      </c>
      <c r="E1544" s="31" t="s">
        <v>125</v>
      </c>
      <c r="F1544" s="37"/>
      <c r="G1544" s="24"/>
      <c r="H1544" s="53"/>
    </row>
    <row r="1545" spans="1:8" ht="13.2">
      <c r="A1545" s="65" t="str">
        <f>HYPERLINK("https://oj.uz/problem/view/POI11_pio","POI 11-Conductor")</f>
        <v>POI 11-Conductor</v>
      </c>
      <c r="B1545" s="25" t="s">
        <v>7460</v>
      </c>
      <c r="C1545" s="17">
        <v>6.25</v>
      </c>
      <c r="D1545" s="65" t="str">
        <f>HYPERLINK("https://github.com/mostafa-saad/MyCompetitiveProgramming/blob/master/Olympiad/POI/POI-11-Conductor.txt","Sol")</f>
        <v>Sol</v>
      </c>
      <c r="E1545" s="31" t="s">
        <v>6362</v>
      </c>
      <c r="F1545" s="37" t="s">
        <v>154</v>
      </c>
      <c r="G1545" s="24"/>
      <c r="H1545" s="53"/>
    </row>
    <row r="1546" spans="1:8" ht="13.2">
      <c r="A1546" s="65" t="str">
        <f>HYPERLINK("https://oj.uz/problem/view/POI11_pro","POI 11-Contest")</f>
        <v>POI 11-Contest</v>
      </c>
      <c r="B1546" s="25" t="s">
        <v>7257</v>
      </c>
      <c r="C1546" s="24">
        <v>6.6</v>
      </c>
      <c r="D1546" s="65" t="str">
        <f>HYPERLINK("https://github.com/mostafa-saad/MyCompetitiveProgramming/blob/master/Olympiad/POI/POI-11-Contest.txt","Sol")</f>
        <v>Sol</v>
      </c>
      <c r="E1546" s="31" t="s">
        <v>4144</v>
      </c>
      <c r="F1546" s="37" t="s">
        <v>139</v>
      </c>
      <c r="G1546" s="24"/>
      <c r="H1546" s="53"/>
    </row>
    <row r="1547" spans="1:8" ht="13.2">
      <c r="A1547" s="65" t="str">
        <f>HYPERLINK("https://szkopul.edu.pl/problemset/problem/xmyBMI5AsEiW30_RyePNSXiG/site/", "POI 11-Difference")</f>
        <v>POI 11-Difference</v>
      </c>
      <c r="B1547" s="25" t="s">
        <v>6932</v>
      </c>
      <c r="C1547" s="17">
        <v>5</v>
      </c>
      <c r="D1547" s="65" t="str">
        <f t="shared" ref="D1547:D1548" si="55">HYPERLINK("https://github.com/mostafa-saad/MyCompetitiveProgramming/blob/master/Olympiad/POI/official/find_editorial_sols_guidelines.txt","Editorial")</f>
        <v>Editorial</v>
      </c>
      <c r="E1547" s="31" t="s">
        <v>1337</v>
      </c>
      <c r="F1547" s="37"/>
      <c r="G1547" s="24"/>
      <c r="H1547" s="53"/>
    </row>
    <row r="1548" spans="1:8" ht="13.2">
      <c r="A1548" s="65" t="str">
        <f>HYPERLINK("https://oj.uz/problem/view/POI11_dyn","POI 11-dyn")</f>
        <v>POI 11-dyn</v>
      </c>
      <c r="B1548" s="20" t="s">
        <v>7527</v>
      </c>
      <c r="C1548" s="17"/>
      <c r="D1548" s="65" t="str">
        <f t="shared" si="55"/>
        <v>Editorial</v>
      </c>
      <c r="E1548" s="31" t="s">
        <v>7525</v>
      </c>
      <c r="F1548" s="37"/>
      <c r="G1548" s="24"/>
      <c r="H1548" s="53"/>
    </row>
    <row r="1549" spans="1:8" ht="13.2">
      <c r="A1549" s="65" t="str">
        <f>HYPERLINK("https://oj.uz/problem/view/POI11_smi","POI 11-Garbage")</f>
        <v>POI 11-Garbage</v>
      </c>
      <c r="B1549" s="25" t="s">
        <v>7249</v>
      </c>
      <c r="C1549" s="24">
        <v>6.5</v>
      </c>
      <c r="D1549" s="65" t="str">
        <f>HYPERLINK("https://github.com/nikolapesic2802/Programming-Practice/blob/master/Garbage/main.cpp","Sol")</f>
        <v>Sol</v>
      </c>
      <c r="E1549" s="31" t="s">
        <v>3955</v>
      </c>
      <c r="F1549" s="37"/>
      <c r="G1549" s="24"/>
      <c r="H1549" s="53"/>
    </row>
    <row r="1550" spans="1:8" ht="13.2">
      <c r="A1550" s="65" t="str">
        <f>HYPERLINK("https://oj.uz/problem/view/POI11_imp","POI 11-imp")</f>
        <v>POI 11-imp</v>
      </c>
      <c r="B1550" s="20" t="s">
        <v>7051</v>
      </c>
      <c r="C1550" s="17"/>
      <c r="D1550" s="65" t="str">
        <f>HYPERLINK("https://github.com/mostafa-saad/MyCompetitiveProgramming/blob/master/Olympiad/POI/official/find_editorial_sols_guidelines.txt","Editorial")</f>
        <v>Editorial</v>
      </c>
      <c r="E1550" s="31" t="s">
        <v>2153</v>
      </c>
      <c r="F1550" s="37"/>
      <c r="G1550" s="24"/>
      <c r="H1550" s="53"/>
    </row>
    <row r="1551" spans="1:8" ht="13.2">
      <c r="A1551" s="65" t="str">
        <f>HYPERLINK("https://oj.uz/problem/view/POI11_ins","POI 11-ins")</f>
        <v>POI 11-ins</v>
      </c>
      <c r="B1551" s="20" t="s">
        <v>7199</v>
      </c>
      <c r="C1551" s="17">
        <v>5</v>
      </c>
      <c r="D1551" s="65" t="str">
        <f>HYPERLINK("https://github.com/mostafa-saad/MyCompetitiveProgramming/blob/master/Olympiad/POI/POI-11-ins.txt","Sol")</f>
        <v>Sol</v>
      </c>
      <c r="E1551" s="31" t="s">
        <v>3650</v>
      </c>
      <c r="F1551" s="37"/>
      <c r="G1551" s="24"/>
      <c r="H1551" s="53"/>
    </row>
    <row r="1552" spans="1:8" ht="13.2">
      <c r="A1552" s="65" t="str">
        <f>HYPERLINK("https://szkopul.edu.pl/problemset/problem/YPme8cPuC1zbS3oA0euLxywx/site/", "POI 11-Lollipop")</f>
        <v>POI 11-Lollipop</v>
      </c>
      <c r="B1552" s="25" t="s">
        <v>7000</v>
      </c>
      <c r="C1552" s="24">
        <v>6.3</v>
      </c>
      <c r="D1552" s="65" t="str">
        <f>HYPERLINK("https://github.com/dolphingarlic/CompetitiveProgramming/blob/master/POI/POI-11-Lollipop.txt","Sol")</f>
        <v>Sol</v>
      </c>
      <c r="E1552" s="31" t="s">
        <v>2153</v>
      </c>
      <c r="F1552" s="37" t="s">
        <v>154</v>
      </c>
      <c r="G1552" s="24"/>
      <c r="H1552" s="53"/>
    </row>
    <row r="1553" spans="1:8" ht="13.2">
      <c r="A1553" s="65" t="str">
        <f>HYPERLINK("https://oj.uz/problem/view/POI11_okr","POI 11-okr")</f>
        <v>POI 11-okr</v>
      </c>
      <c r="B1553" s="25" t="s">
        <v>7378</v>
      </c>
      <c r="C1553" s="24">
        <v>6.75</v>
      </c>
      <c r="D1553" s="65" t="str">
        <f>HYPERLINK("https://github.com/mostafa-saad/MyCompetitiveProgramming/blob/master/Olympiad/POI/POI-11-okr.txt","Sol")</f>
        <v>Sol</v>
      </c>
      <c r="E1553" s="31" t="s">
        <v>5702</v>
      </c>
      <c r="F1553" s="37"/>
      <c r="G1553" s="24"/>
      <c r="H1553" s="53"/>
    </row>
    <row r="1554" spans="1:8" ht="13.2">
      <c r="A1554" s="65" t="str">
        <f>HYPERLINK("https://oj.uz/problem/view/POI11_prz","POI 11-prz")</f>
        <v>POI 11-prz</v>
      </c>
      <c r="B1554" s="20" t="s">
        <v>212</v>
      </c>
      <c r="C1554" s="17"/>
      <c r="D1554" s="65" t="str">
        <f>HYPERLINK("https://github.com/mostafa-saad/MyCompetitiveProgramming/blob/master/Olympiad/POI/official/find_editorial_sols_guidelines.txt","Editorial")</f>
        <v>Editorial</v>
      </c>
      <c r="E1554" s="31" t="s">
        <v>125</v>
      </c>
      <c r="F1554" s="37"/>
      <c r="G1554" s="24"/>
      <c r="H1554" s="53"/>
    </row>
    <row r="1555" spans="1:8" ht="13.2">
      <c r="A1555" s="65" t="str">
        <f>HYPERLINK("https://szkopul.edu.pl/problemset/problem/b0BM0al2crQBt6zovEtJfOc6/site/?key=statement","POI 11-rod")</f>
        <v>POI 11-rod</v>
      </c>
      <c r="B1555" s="25" t="s">
        <v>7470</v>
      </c>
      <c r="C1555" s="24">
        <v>5.5</v>
      </c>
      <c r="D1555" s="65" t="str">
        <f>HYPERLINK("https://github.com/Szawinis/CompetitiveProgramming/blob/master/Olympiad/POI/POI11-Rotation2.cpp","Sol - see editorials of rot for easier constraints")</f>
        <v>Sol - see editorials of rot for easier constraints</v>
      </c>
      <c r="E1555" s="31" t="s">
        <v>6390</v>
      </c>
      <c r="F1555" s="37"/>
      <c r="G1555" s="24"/>
      <c r="H1555" s="53"/>
    </row>
    <row r="1556" spans="1:8" ht="13.2">
      <c r="A1556" s="65" t="str">
        <f>HYPERLINK("https://oj.uz/problem/view/POI11_rot","POI 11-Rotation")</f>
        <v>POI 11-Rotation</v>
      </c>
      <c r="B1556" s="25" t="s">
        <v>7471</v>
      </c>
      <c r="C1556" s="24">
        <v>5</v>
      </c>
      <c r="D1556" s="65" t="str">
        <f>HYPERLINK("https://github.com/mostafa-saad/MyCompetitiveProgramming/blob/master/Olympiad/POI/official/find_editorial_sols_guidelines.txt","Editorial")</f>
        <v>Editorial</v>
      </c>
      <c r="E1556" s="31" t="s">
        <v>6390</v>
      </c>
      <c r="F1556" s="37" t="s">
        <v>201</v>
      </c>
      <c r="G1556" s="24"/>
      <c r="H1556" s="53"/>
    </row>
    <row r="1557" spans="1:8" ht="13.2">
      <c r="A1557" s="65" t="str">
        <f>HYPERLINK("https://oj.uz/problem/view/POI11_sej","POI 11-sej")</f>
        <v>POI 11-sej</v>
      </c>
      <c r="B1557" s="20" t="s">
        <v>7346</v>
      </c>
      <c r="C1557" s="17">
        <v>6.75</v>
      </c>
      <c r="D1557" s="65" t="str">
        <f>HYPERLINK("https://github.com/mostafa-saad/MyCompetitiveProgramming/blob/master/Olympiad/POI/POI-11-sej.txt","Sol")</f>
        <v>Sol</v>
      </c>
      <c r="E1557" s="31" t="s">
        <v>5075</v>
      </c>
      <c r="F1557" s="37" t="s">
        <v>139</v>
      </c>
      <c r="G1557" s="24"/>
      <c r="H1557" s="53"/>
    </row>
    <row r="1558" spans="1:8" ht="13.2">
      <c r="A1558" s="65" t="str">
        <f>HYPERLINK("https://oj.uz/problem/view/POI11_pat","POI 11-Sticks")</f>
        <v>POI 11-Sticks</v>
      </c>
      <c r="B1558" s="25" t="s">
        <v>7021</v>
      </c>
      <c r="C1558" s="24">
        <v>5.5</v>
      </c>
      <c r="D1558" s="65" t="str">
        <f>HYPERLINK("https://github.com/mostafa-saad/MyCompetitiveProgramming/blob/master/Olympiad/POI/POI-11-Sticks.txt","Sol")</f>
        <v>Sol</v>
      </c>
      <c r="E1558" s="31" t="s">
        <v>2153</v>
      </c>
      <c r="F1558" s="37" t="s">
        <v>201</v>
      </c>
      <c r="G1558" s="24"/>
      <c r="H1558" s="53"/>
    </row>
    <row r="1559" spans="1:8" ht="13.2">
      <c r="A1559" s="65" t="str">
        <f>HYPERLINK("https://oj.uz/problem/view/POI11_tem","POI 11-Temp")</f>
        <v>POI 11-Temp</v>
      </c>
      <c r="B1559" s="25" t="s">
        <v>6704</v>
      </c>
      <c r="C1559" s="24">
        <v>4</v>
      </c>
      <c r="D1559" s="65" t="str">
        <f>HYPERLINK("https://github.com/nikolapesic2802/Programming-Practice/blob/master/Temperature/main.cpp","Sol")</f>
        <v>Sol</v>
      </c>
      <c r="E1559" s="31" t="s">
        <v>575</v>
      </c>
      <c r="F1559" s="37" t="s">
        <v>139</v>
      </c>
      <c r="G1559" s="24"/>
      <c r="H1559" s="53"/>
    </row>
    <row r="1560" spans="1:8" ht="13.2">
      <c r="A1560" s="65" t="str">
        <f>HYPERLINK("https://oj.uz/problem/view/POI11_wyk","POI 11-wyk")</f>
        <v>POI 11-wyk</v>
      </c>
      <c r="B1560" s="25" t="s">
        <v>7066</v>
      </c>
      <c r="C1560" s="24">
        <v>7</v>
      </c>
      <c r="D1560" s="65" t="str">
        <f t="shared" ref="D1560:D1564" si="56">HYPERLINK("https://github.com/mostafa-saad/MyCompetitiveProgramming/blob/master/Olympiad/POI/official/find_editorial_sols_guidelines.txt","Editorial")</f>
        <v>Editorial</v>
      </c>
      <c r="E1560" s="31" t="s">
        <v>2510</v>
      </c>
      <c r="F1560" s="37"/>
      <c r="G1560" s="24"/>
      <c r="H1560" s="53"/>
    </row>
    <row r="1561" spans="1:8" ht="13.2">
      <c r="A1561" s="65" t="str">
        <f>HYPERLINK("https://szkopul.edu.pl/problemset/problem/Phel_x2Ny30OUh7z1RhCtzEG/site/", "POI 12-Distance")</f>
        <v>POI 12-Distance</v>
      </c>
      <c r="B1561" s="37" t="s">
        <v>3256</v>
      </c>
      <c r="C1561" s="24">
        <v>5</v>
      </c>
      <c r="D1561" s="65" t="str">
        <f t="shared" si="56"/>
        <v>Editorial</v>
      </c>
      <c r="E1561" s="31" t="s">
        <v>3257</v>
      </c>
      <c r="F1561" s="37"/>
      <c r="G1561" s="24"/>
      <c r="H1561" s="53"/>
    </row>
    <row r="1562" spans="1:8" ht="13.2">
      <c r="A1562" s="65" t="str">
        <f>HYPERLINK("https://szkopul.edu.pl/problemset/problem/p9uJo01RR9ouMLLAYroFuQ-7/site/", "POI 12-Festival")</f>
        <v>POI 12-Festival</v>
      </c>
      <c r="B1562" s="37" t="s">
        <v>4346</v>
      </c>
      <c r="C1562" s="24">
        <v>6</v>
      </c>
      <c r="D1562" s="65" t="str">
        <f t="shared" si="56"/>
        <v>Editorial</v>
      </c>
      <c r="E1562" s="31" t="s">
        <v>4344</v>
      </c>
      <c r="F1562" s="37"/>
      <c r="G1562" s="24"/>
      <c r="H1562" s="53"/>
    </row>
    <row r="1563" spans="1:8" ht="13.2">
      <c r="A1563" s="65" t="str">
        <f>HYPERLINK("https://szkopul.edu.pl/problemset/problem/7u_14yXL3mR3mO0seZLusF5U/site/", "POI 12-Letter")</f>
        <v>POI 12-Letter</v>
      </c>
      <c r="B1563" s="37" t="s">
        <v>7527</v>
      </c>
      <c r="C1563" s="24">
        <v>3</v>
      </c>
      <c r="D1563" s="65" t="str">
        <f t="shared" si="56"/>
        <v>Editorial</v>
      </c>
      <c r="E1563" s="31" t="s">
        <v>7525</v>
      </c>
      <c r="F1563" s="37"/>
      <c r="G1563" s="24"/>
      <c r="H1563" s="53"/>
    </row>
    <row r="1564" spans="1:8" ht="13.2">
      <c r="A1564" s="65" t="str">
        <f>HYPERLINK("https://szkopul.edu.pl/problemset/problem/W54iZIwStF1TYWRxa1bdVPQo/site/", "POI 12-Leveling")</f>
        <v>POI 12-Leveling</v>
      </c>
      <c r="B1564" s="37" t="s">
        <v>5500</v>
      </c>
      <c r="C1564" s="24">
        <v>7.25</v>
      </c>
      <c r="D1564" s="65" t="str">
        <f t="shared" si="56"/>
        <v>Editorial</v>
      </c>
      <c r="E1564" s="31" t="s">
        <v>5501</v>
      </c>
      <c r="F1564" s="37" t="s">
        <v>139</v>
      </c>
      <c r="G1564" s="24"/>
      <c r="H1564" s="53"/>
    </row>
    <row r="1565" spans="1:8" ht="13.2">
      <c r="A1565" s="65" t="str">
        <f>HYPERLINK("https://szkopul.edu.pl/problemset/problem/DkPj-ES6glaEwxppbuaxbOO6/site/", "POI 12-Prefixuffix")</f>
        <v>POI 12-Prefixuffix</v>
      </c>
      <c r="B1565" s="37" t="s">
        <v>7376</v>
      </c>
      <c r="C1565" s="24">
        <v>7.25</v>
      </c>
      <c r="D1565" s="65" t="str">
        <f>HYPERLINK("https://github.com/mostafa-saad/MyCompetitiveProgramming/blob/master/Olympiad/POI/POI-12-Prefixuffix.txt","Sol")</f>
        <v>Sol</v>
      </c>
      <c r="E1565" s="31" t="s">
        <v>5702</v>
      </c>
      <c r="F1565" s="37" t="s">
        <v>154</v>
      </c>
      <c r="G1565" s="24"/>
      <c r="H1565" s="53"/>
    </row>
    <row r="1566" spans="1:8" ht="13.2">
      <c r="A1566" s="65" t="str">
        <f>HYPERLINK("https://szkopul.edu.pl/problemset/problem/MZTXfOVnJmac175TTH5Lr9Q3/site/", "POI 12-Rendezvous")</f>
        <v>POI 12-Rendezvous</v>
      </c>
      <c r="B1566" s="37" t="s">
        <v>7527</v>
      </c>
      <c r="C1566" s="24">
        <v>4</v>
      </c>
      <c r="D1566" s="65" t="str">
        <f>HYPERLINK("https://github.com/mostafa-saad/MyCompetitiveProgramming/blob/master/Olympiad/POI/official/find_editorial_sols_guidelines.txt","Editorial")</f>
        <v>Editorial</v>
      </c>
      <c r="E1566" s="31" t="s">
        <v>7525</v>
      </c>
      <c r="F1566" s="37"/>
      <c r="G1566" s="24"/>
      <c r="H1566" s="53"/>
    </row>
    <row r="1567" spans="1:8" ht="13.2">
      <c r="A1567" s="65" t="str">
        <f>HYPERLINK("https://szkopul.edu.pl/problemset/problem/_qn633f6DVAHRkv0OX3LQaph/site/", "POI 12-Salaries")</f>
        <v>POI 12-Salaries</v>
      </c>
      <c r="B1567" s="37" t="s">
        <v>3284</v>
      </c>
      <c r="C1567" s="24">
        <v>6.75</v>
      </c>
      <c r="D1567" s="65" t="str">
        <f>HYPERLINK("https://github.com/mostafa-saad/MyCompetitiveProgramming/blob/master/Olympiad/POI/POI-12-Salaries.txt","Sol")</f>
        <v>Sol</v>
      </c>
      <c r="E1567" s="31" t="s">
        <v>3257</v>
      </c>
      <c r="F1567" s="37" t="s">
        <v>154</v>
      </c>
      <c r="G1567" s="24"/>
      <c r="H1567" s="53"/>
    </row>
    <row r="1568" spans="1:8" ht="13.2">
      <c r="A1568" s="65" t="str">
        <f>HYPERLINK("https://szkopul.edu.pl/problemset/problem/lo_jOsVfQ4ajCSHxFGZS27W-/site/?key=statement","POI 12-Squarks")</f>
        <v>POI 12-Squarks</v>
      </c>
      <c r="B1568" s="20" t="s">
        <v>7001</v>
      </c>
      <c r="C1568" s="21">
        <v>6.3</v>
      </c>
      <c r="D1568" s="65" t="str">
        <f>HYPERLINK("https://github.com/mostafa-saad/MyCompetitiveProgramming/blob/master/Olympiad/POI/POI-12-Squarks.txt","Sol")</f>
        <v>Sol</v>
      </c>
      <c r="E1568" s="31" t="s">
        <v>2153</v>
      </c>
      <c r="F1568" s="37" t="s">
        <v>139</v>
      </c>
      <c r="G1568" s="24"/>
      <c r="H1568" s="53"/>
    </row>
    <row r="1569" spans="1:8" ht="13.2">
      <c r="A1569" s="65" t="str">
        <f>HYPERLINK("https://szkopul.edu.pl/problemset/problem/xfTByTABS18uZ1lmg4wQkVf2/site/", "POI 12-Vouchers")</f>
        <v>POI 12-Vouchers</v>
      </c>
      <c r="B1569" s="37" t="s">
        <v>7527</v>
      </c>
      <c r="C1569" s="24">
        <v>5</v>
      </c>
      <c r="D1569" s="65" t="str">
        <f>HYPERLINK("https://github.com/mostafa-saad/MyCompetitiveProgramming/blob/master/Olympiad/POI/official/find_editorial_sols_guidelines.txt","Editorial")</f>
        <v>Editorial</v>
      </c>
      <c r="E1569" s="31" t="s">
        <v>7525</v>
      </c>
      <c r="F1569" s="37"/>
      <c r="G1569" s="24"/>
      <c r="H1569" s="53"/>
    </row>
    <row r="1570" spans="1:8" ht="13.2">
      <c r="A1570" s="65" t="str">
        <f>HYPERLINK("https://szkopul.edu.pl/problemset/problem/70gcrAV-ccXlJa6gMBpOqV1u/site/", "POI 12-Warehouse")</f>
        <v>POI 12-Warehouse</v>
      </c>
      <c r="B1570" s="20" t="s">
        <v>7027</v>
      </c>
      <c r="C1570" s="21">
        <v>5</v>
      </c>
      <c r="D1570" s="65" t="str">
        <f>HYPERLINK("https://github.com/mostafa-saad/MyCompetitiveProgramming/blob/master/Olympiad/POI/POI-12-WarehouseStore.txt","Sol")</f>
        <v>Sol</v>
      </c>
      <c r="E1570" s="31" t="s">
        <v>2153</v>
      </c>
      <c r="F1570" s="37" t="s">
        <v>1112</v>
      </c>
      <c r="G1570" s="24"/>
      <c r="H1570" s="53"/>
    </row>
    <row r="1571" spans="1:8" ht="13.2">
      <c r="A1571" s="65" t="str">
        <f>HYPERLINK("https://szkopul.edu.pl/problemset/problem/S-cyTRH8ScRh-XfLPAsXCQ0e/site/", "POI 12-Well")</f>
        <v>POI 12-Well</v>
      </c>
      <c r="B1571" s="37" t="s">
        <v>147</v>
      </c>
      <c r="C1571" s="24">
        <v>5</v>
      </c>
      <c r="D1571" s="65" t="str">
        <f>HYPERLINK("https://github.com/mostafa-saad/MyCompetitiveProgramming/blob/master/Olympiad/POI/official/find_editorial_sols_guidelines.txt","Editorial")</f>
        <v>Editorial</v>
      </c>
      <c r="E1571" s="31" t="s">
        <v>125</v>
      </c>
      <c r="F1571" s="37"/>
      <c r="G1571" s="24"/>
      <c r="H1571" s="53"/>
    </row>
    <row r="1572" spans="1:8" ht="13.2">
      <c r="A1572" s="65" t="str">
        <f>HYPERLINK("https://szkopul.edu.pl/problemset/problem/i3cF1qQtiXwmwOc_5qRB0ufC/site/", "POI 13-Bytecom")</f>
        <v>POI 13-Bytecom</v>
      </c>
      <c r="B1572" s="20" t="s">
        <v>1348</v>
      </c>
      <c r="C1572" s="17">
        <v>5.5</v>
      </c>
      <c r="D1572" s="65" t="str">
        <f>HYPERLINK("https://www.dropbox.com/s/smryqdsty3vu5br/Bytecomputer.cpp?dl=0","Sol")</f>
        <v>Sol</v>
      </c>
      <c r="E1572" s="31" t="s">
        <v>1337</v>
      </c>
      <c r="F1572" s="37" t="s">
        <v>139</v>
      </c>
      <c r="G1572" s="24"/>
      <c r="H1572" s="53"/>
    </row>
    <row r="1573" spans="1:8" ht="13.2">
      <c r="A1573" s="65" t="str">
        <f>HYPERLINK("https://szkopul.edu.pl/problemset/problem/SXtZ8jxPUjMD5cLWqCI1EZLT/site/", "POI 13-Colorful")</f>
        <v>POI 13-Colorful</v>
      </c>
      <c r="B1573" s="20" t="s">
        <v>6054</v>
      </c>
      <c r="C1573" s="17">
        <v>5</v>
      </c>
      <c r="D1573" s="65" t="str">
        <f t="shared" ref="D1573:D1575" si="57">HYPERLINK("https://github.com/mostafa-saad/MyCompetitiveProgramming/blob/master/Olympiad/POI/official/find_editorial_sols_guidelines.txt","Editorial")</f>
        <v>Editorial</v>
      </c>
      <c r="E1573" s="31" t="s">
        <v>6040</v>
      </c>
      <c r="F1573" s="37"/>
      <c r="G1573" s="24"/>
      <c r="H1573" s="53"/>
    </row>
    <row r="1574" spans="1:8" ht="13.2">
      <c r="A1574" s="65" t="str">
        <f>HYPERLINK("https://oj.uz/problem/view/POI13_gob","POI 13-gob")</f>
        <v>POI 13-gob</v>
      </c>
      <c r="B1574" s="37" t="s">
        <v>7582</v>
      </c>
      <c r="C1574" s="24"/>
      <c r="D1574" s="65" t="str">
        <f t="shared" si="57"/>
        <v>Editorial</v>
      </c>
      <c r="E1574" s="31" t="s">
        <v>7525</v>
      </c>
      <c r="F1574" s="37"/>
      <c r="G1574" s="24"/>
      <c r="H1574" s="53"/>
    </row>
    <row r="1575" spans="1:8" ht="13.2">
      <c r="A1575" s="65" t="str">
        <f>HYPERLINK("https://oj.uz/problem/view/POI13_ins","POI 13-ins")</f>
        <v>POI 13-ins</v>
      </c>
      <c r="B1575" s="37" t="s">
        <v>147</v>
      </c>
      <c r="C1575" s="24"/>
      <c r="D1575" s="65" t="str">
        <f t="shared" si="57"/>
        <v>Editorial</v>
      </c>
      <c r="E1575" s="31" t="s">
        <v>125</v>
      </c>
      <c r="F1575" s="37"/>
      <c r="G1575" s="24"/>
      <c r="H1575" s="53"/>
    </row>
    <row r="1576" spans="1:8" ht="13.2">
      <c r="A1576" s="65" t="str">
        <f>HYPERLINK("https://oj.uz/problem/view/POI13_kon","POI 13-kon")</f>
        <v>POI 13-kon</v>
      </c>
      <c r="B1576" s="20" t="s">
        <v>6790</v>
      </c>
      <c r="C1576" s="17">
        <v>6</v>
      </c>
      <c r="D1576" s="65" t="str">
        <f>HYPERLINK("https://github.com/mostafa-saad/MyCompetitiveProgramming/blob/master/Olympiad/POI/POI-13-kon.txt","Sol")</f>
        <v>Sol</v>
      </c>
      <c r="E1576" s="31" t="s">
        <v>1018</v>
      </c>
      <c r="F1576" s="37"/>
      <c r="G1576" s="24"/>
      <c r="H1576" s="53"/>
    </row>
    <row r="1577" spans="1:8" ht="13.2">
      <c r="A1577" s="65" t="str">
        <f>HYPERLINK("https://oj.uz/problem/view/POI13_luk","POI 13-luk")</f>
        <v>POI 13-luk</v>
      </c>
      <c r="B1577" s="37" t="s">
        <v>1346</v>
      </c>
      <c r="C1577" s="24">
        <v>5</v>
      </c>
      <c r="D1577" s="65" t="str">
        <f t="shared" ref="D1577:D1579" si="58">HYPERLINK("https://github.com/mostafa-saad/MyCompetitiveProgramming/blob/master/Olympiad/POI/official/find_editorial_sols_guidelines.txt","Editorial")</f>
        <v>Editorial</v>
      </c>
      <c r="E1577" s="31" t="s">
        <v>1337</v>
      </c>
      <c r="F1577" s="37"/>
      <c r="G1577" s="24"/>
      <c r="H1577" s="53"/>
    </row>
    <row r="1578" spans="1:8" ht="13.2">
      <c r="A1578" s="65" t="str">
        <f>HYPERLINK("https://szkopul.edu.pl/problemset/problem/TE77UNYEUxsFcrRxYRPc99na/site/", "POI 13-Maze")</f>
        <v>POI 13-Maze</v>
      </c>
      <c r="B1578" s="37" t="s">
        <v>7081</v>
      </c>
      <c r="C1578" s="24"/>
      <c r="D1578" s="65" t="str">
        <f t="shared" si="58"/>
        <v>Editorial</v>
      </c>
      <c r="E1578" s="31" t="s">
        <v>2510</v>
      </c>
      <c r="F1578" s="37"/>
      <c r="G1578" s="24"/>
      <c r="H1578" s="53"/>
    </row>
    <row r="1579" spans="1:8" ht="13.2">
      <c r="A1579" s="65" t="str">
        <f>HYPERLINK("https://oj.uz/problem/view/POI13_mor","POI 13-mor")</f>
        <v>POI 13-mor</v>
      </c>
      <c r="B1579" s="37" t="s">
        <v>1348</v>
      </c>
      <c r="C1579" s="24">
        <v>5</v>
      </c>
      <c r="D1579" s="65" t="str">
        <f t="shared" si="58"/>
        <v>Editorial</v>
      </c>
      <c r="E1579" s="31" t="s">
        <v>1337</v>
      </c>
      <c r="F1579" s="37"/>
      <c r="G1579" s="24"/>
      <c r="H1579" s="53"/>
    </row>
    <row r="1580" spans="1:8" ht="13.2">
      <c r="A1580" s="65" t="str">
        <f>HYPERLINK("https://oj.uz/problem/view/POI13_mul","POI 13-mul")</f>
        <v>POI 13-mul</v>
      </c>
      <c r="B1580" s="37" t="s">
        <v>7583</v>
      </c>
      <c r="C1580" s="24">
        <v>6.5</v>
      </c>
      <c r="D1580" s="69"/>
      <c r="E1580" s="31" t="s">
        <v>7525</v>
      </c>
      <c r="F1580" s="37"/>
      <c r="G1580" s="24"/>
      <c r="H1580" s="53"/>
    </row>
    <row r="1581" spans="1:8" ht="13.2">
      <c r="A1581" s="65" t="str">
        <f>HYPERLINK("https://szkopul.edu.pl/problemset/problem/3bBT-3VuSu78UsxTQSwaJzVo/site/", "POI 13-Polarization")</f>
        <v>POI 13-Polarization</v>
      </c>
      <c r="B1581" s="37" t="s">
        <v>6855</v>
      </c>
      <c r="C1581" s="24">
        <v>6.5</v>
      </c>
      <c r="D1581" s="65" t="str">
        <f>HYPERLINK("https://github.com/mostafa-saad/MyCompetitiveProgramming/blob/master/Olympiad/POI/POI-13-Polarization.txt","Sol")</f>
        <v>Sol</v>
      </c>
      <c r="E1581" s="31" t="s">
        <v>1337</v>
      </c>
      <c r="F1581" s="37" t="s">
        <v>139</v>
      </c>
      <c r="G1581" s="24"/>
      <c r="H1581" s="53"/>
    </row>
    <row r="1582" spans="1:8" ht="13.2">
      <c r="A1582" s="65" t="str">
        <f>HYPERLINK("https://szkopul.edu.pl/problemset/problem/FHsx0TDoMNHN-XrWzXtUzzpi/site/", "POI 13-Price")</f>
        <v>POI 13-Price</v>
      </c>
      <c r="B1582" s="37" t="s">
        <v>7475</v>
      </c>
      <c r="C1582" s="24">
        <v>7.25</v>
      </c>
      <c r="D1582" s="65" t="str">
        <f>HYPERLINK("https://github.com/mostafa-saad/MyCompetitiveProgramming/blob/master/Olympiad/POI/POI-13-Price.txt","Sol")</f>
        <v>Sol</v>
      </c>
      <c r="E1582" s="31" t="s">
        <v>6397</v>
      </c>
      <c r="F1582" s="37" t="s">
        <v>154</v>
      </c>
      <c r="G1582" s="24"/>
      <c r="H1582" s="53"/>
    </row>
    <row r="1583" spans="1:8" ht="13.2">
      <c r="A1583" s="65" t="str">
        <f>HYPERLINK("https://oj.uz/problem/view/POI13_spa","POI 13-spa")</f>
        <v>POI 13-spa</v>
      </c>
      <c r="B1583" s="20" t="s">
        <v>3391</v>
      </c>
      <c r="C1583" s="17"/>
      <c r="D1583" s="65" t="str">
        <f>HYPERLINK("https://github.com/mostafa-saad/MyCompetitiveProgramming/blob/master/Olympiad/POI/official/find_editorial_sols_guidelines.txt","Editorial")</f>
        <v>Editorial</v>
      </c>
      <c r="E1583" s="31" t="s">
        <v>3257</v>
      </c>
      <c r="F1583" s="37"/>
      <c r="G1583" s="24"/>
      <c r="H1583" s="53"/>
    </row>
    <row r="1584" spans="1:8" ht="13.2">
      <c r="A1584" s="65" t="str">
        <f>HYPERLINK("https://oj.uz/problem/view/POI13_usu","POI 13-Takeout")</f>
        <v>POI 13-Takeout</v>
      </c>
      <c r="B1584" s="37" t="s">
        <v>7018</v>
      </c>
      <c r="C1584" s="24">
        <v>5.5</v>
      </c>
      <c r="D1584" s="65" t="str">
        <f>HYPERLINK("https://github.com/mostafa-saad/MyCompetitiveProgramming/blob/master/Olympiad/POI/POI-13-Takeout.txt","Sol")</f>
        <v>Sol</v>
      </c>
      <c r="E1584" s="31" t="s">
        <v>2153</v>
      </c>
      <c r="F1584" s="37" t="s">
        <v>201</v>
      </c>
      <c r="G1584" s="24"/>
      <c r="H1584" s="53"/>
    </row>
    <row r="1585" spans="1:8" ht="13.2">
      <c r="A1585" s="65" t="str">
        <f>HYPERLINK("https://oj.uz/problem/view/POI13_tak","POI 13-Taxis")</f>
        <v>POI 13-Taxis</v>
      </c>
      <c r="B1585" s="37" t="s">
        <v>7584</v>
      </c>
      <c r="C1585" s="17">
        <v>6.25</v>
      </c>
      <c r="D1585" s="69"/>
      <c r="E1585" s="31" t="s">
        <v>7525</v>
      </c>
      <c r="F1585" s="37"/>
      <c r="G1585" s="24"/>
      <c r="H1585" s="53"/>
    </row>
    <row r="1586" spans="1:8" ht="13.2">
      <c r="A1586" s="65" t="str">
        <f>HYPERLINK("https://szkopul.edu.pl/problemset/problem/YXgT8J1eHCc3h8z5RW69thmy/site/?key=statement","POI 13-Tower_Defense_Game")</f>
        <v>POI 13-Tower_Defense_Game</v>
      </c>
      <c r="B1586" s="20" t="s">
        <v>3256</v>
      </c>
      <c r="C1586" s="17">
        <v>6.5</v>
      </c>
      <c r="D1586" s="65" t="str">
        <f>HYPERLINK("https://github.com/mostafa-saad/MyCompetitiveProgramming/blob/master/Olympiad/POI/official/find_editorial_sols_guidelines.txt","Editorial")</f>
        <v>Editorial</v>
      </c>
      <c r="E1586" s="31" t="s">
        <v>3257</v>
      </c>
      <c r="F1586" s="37"/>
      <c r="G1586" s="24"/>
      <c r="H1586" s="53"/>
    </row>
    <row r="1587" spans="1:8" ht="13.2">
      <c r="A1587" s="65" t="str">
        <f>HYPERLINK("https://szkopul.edu.pl/problemset/problem/J5f8YHtUsaMdtOdfx0QoHKe0/site/?key=statement","POI 14-AntColony_Mro")</f>
        <v>POI 14-AntColony_Mro</v>
      </c>
      <c r="B1587" s="76" t="s">
        <v>7132</v>
      </c>
      <c r="C1587" s="77">
        <v>6.75</v>
      </c>
      <c r="D1587" s="69"/>
      <c r="E1587" s="31" t="s">
        <v>3257</v>
      </c>
      <c r="F1587" s="37"/>
      <c r="G1587" s="24"/>
      <c r="H1587" s="53"/>
    </row>
    <row r="1588" spans="1:8" ht="13.2">
      <c r="A1588" s="65" t="str">
        <f>HYPERLINK("https://szkopul.edu.pl/problemset/problem/ghEjb6qGVGsGk_KgYqdXZNna/site/", "POI 14-Around")</f>
        <v>POI 14-Around</v>
      </c>
      <c r="B1588" s="20" t="s">
        <v>2163</v>
      </c>
      <c r="C1588" s="24">
        <v>7.1</v>
      </c>
      <c r="D1588" s="69"/>
      <c r="E1588" s="31" t="s">
        <v>2153</v>
      </c>
      <c r="F1588" s="37"/>
      <c r="G1588" s="24"/>
      <c r="H1588" s="53"/>
    </row>
    <row r="1589" spans="1:8" ht="13.2">
      <c r="A1589" s="65" t="str">
        <f>HYPERLINK("https://szkopul.edu.pl/problemset/problem/hepq5oWcHLsMo3oOy-dp3OZC/site/", "POI 14-Bricks")</f>
        <v>POI 14-Bricks</v>
      </c>
      <c r="B1589" s="37" t="s">
        <v>2248</v>
      </c>
      <c r="C1589" s="24">
        <v>5</v>
      </c>
      <c r="D1589" s="65" t="str">
        <f>HYPERLINK("https://github.com/peon-pasado/CompetitiveProgramming/blob/master/szkoput/POI-14-Bricks.cpp","Sl")</f>
        <v>Sl</v>
      </c>
      <c r="E1589" s="31" t="s">
        <v>2153</v>
      </c>
      <c r="F1589" s="37"/>
      <c r="G1589" s="24"/>
      <c r="H1589" s="53"/>
    </row>
    <row r="1590" spans="1:8" ht="13.2">
      <c r="A1590" s="65" t="str">
        <f>HYPERLINK("https://szkopul.edu.pl/problemset/problem/Cs38m8lWFnOfDskXf43HR3lN/site/", "POI 14-Couriers")</f>
        <v>POI 14-Couriers</v>
      </c>
      <c r="B1590" s="37" t="s">
        <v>6731</v>
      </c>
      <c r="C1590" s="24">
        <v>5.5</v>
      </c>
      <c r="D1590" s="65" t="str">
        <f>HYPERLINK("https://github.com/mostafa-saad/MyCompetitiveProgramming/blob/master/Olympiad/POI/POI-14-Couriers.txt","Sol")</f>
        <v>Sol</v>
      </c>
      <c r="E1590" s="31" t="s">
        <v>805</v>
      </c>
      <c r="F1590" s="37" t="s">
        <v>139</v>
      </c>
      <c r="G1590" s="24"/>
      <c r="H1590" s="53"/>
    </row>
    <row r="1591" spans="1:8" ht="13.2">
      <c r="A1591" s="65" t="str">
        <f>HYPERLINK("https://szkopul.edu.pl/problemset/problem/APWi6y6XTt5ujve8ynI_FNJ1/site/", "POI 14-Criminals")</f>
        <v>POI 14-Criminals</v>
      </c>
      <c r="B1591" s="37" t="s">
        <v>3139</v>
      </c>
      <c r="C1591" s="17">
        <v>6.1</v>
      </c>
      <c r="D1591" s="65" t="str">
        <f>HYPERLINK("https://github.com/mostafa-saad/MyCompetitiveProgramming/blob/master/Olympiad/POI/POI-14-Criminals.txt","Sol")</f>
        <v>Sol</v>
      </c>
      <c r="E1591" s="31" t="s">
        <v>3140</v>
      </c>
      <c r="F1591" s="37" t="s">
        <v>242</v>
      </c>
      <c r="G1591" s="24"/>
      <c r="H1591" s="53"/>
    </row>
    <row r="1592" spans="1:8" ht="13.2">
      <c r="A1592" s="65" t="str">
        <f>HYPERLINK("https://szkopul.edu.pl/portal/problemset_eng/oi/21","POI 14-FarmCraft")</f>
        <v>POI 14-FarmCraft</v>
      </c>
      <c r="B1592" s="20" t="s">
        <v>7151</v>
      </c>
      <c r="C1592" s="17">
        <v>6</v>
      </c>
      <c r="D1592" s="65" t="str">
        <f>HYPERLINK("https://github.com/mostafa-saad/MyCompetitiveProgramming/blob/master/Olympiad/POI/POI-14-FarmCraft.txt","Sol")</f>
        <v>Sol</v>
      </c>
      <c r="E1592" s="31" t="s">
        <v>3257</v>
      </c>
      <c r="F1592" s="37" t="s">
        <v>613</v>
      </c>
      <c r="G1592" s="24"/>
      <c r="H1592" s="53"/>
    </row>
    <row r="1593" spans="1:8" ht="13.2">
      <c r="A1593" s="65" t="str">
        <f>HYPERLINK("https://szkopul.edu.pl/problemset/problem/i5L29vV7ud8D_VU-PXyaA_2L/site/", "POI 14-Freight")</f>
        <v>POI 14-Freight</v>
      </c>
      <c r="B1593" s="37" t="s">
        <v>7527</v>
      </c>
      <c r="C1593" s="24">
        <v>6</v>
      </c>
      <c r="D1593" s="69"/>
      <c r="E1593" s="31" t="s">
        <v>7525</v>
      </c>
      <c r="F1593" s="37"/>
      <c r="G1593" s="24"/>
      <c r="H1593" s="53"/>
    </row>
    <row r="1594" spans="1:8" ht="13.2">
      <c r="A1594" s="65" t="str">
        <f>HYPERLINK("https://szkopul.edu.pl/problemset/problem/gDw3iFkeVm7ZA3j_16-XR7jI/site/", "POI 14-Hotels")</f>
        <v>POI 14-Hotels</v>
      </c>
      <c r="B1594" s="37" t="s">
        <v>3466</v>
      </c>
      <c r="C1594" s="24">
        <v>5.5</v>
      </c>
      <c r="D1594" s="65" t="str">
        <f>HYPERLINK("https://github.com/mostafa-saad/MyCompetitiveProgramming/blob/master/Olympiad/POI/official/find_editorial_sols_guidelines.txt","Editorial")</f>
        <v>Editorial</v>
      </c>
      <c r="E1594" s="31" t="s">
        <v>3467</v>
      </c>
      <c r="F1594" s="37"/>
      <c r="G1594" s="24"/>
      <c r="H1594" s="53"/>
    </row>
    <row r="1595" spans="1:8" ht="13.2">
      <c r="A1595" s="65" t="str">
        <f>HYPERLINK("https://szkopul.edu.pl/problemset/problem/2yK6zUTXvAjhxSDfbjE4Zx7k/site/", "POI 14-Lamps")</f>
        <v>POI 14-Lamps</v>
      </c>
      <c r="B1595" s="37" t="s">
        <v>7527</v>
      </c>
      <c r="C1595" s="24">
        <v>6.75</v>
      </c>
      <c r="D1595" s="69"/>
      <c r="E1595" s="31" t="s">
        <v>7525</v>
      </c>
      <c r="F1595" s="37"/>
      <c r="G1595" s="24"/>
      <c r="H1595" s="53"/>
    </row>
    <row r="1596" spans="1:8" ht="13.2">
      <c r="A1596" s="65" t="str">
        <f>HYPERLINK("https://szkopul.edu.pl/problemset/problem/xfpVU8vFP2RzZ0hrqWq9kTZM/site/", "POI 14-Little_Bird")</f>
        <v>POI 14-Little_Bird</v>
      </c>
      <c r="B1596" s="37" t="s">
        <v>7002</v>
      </c>
      <c r="C1596" s="17">
        <v>6.3</v>
      </c>
      <c r="D1596" s="65" t="str">
        <f>HYPERLINK("https://github.com/mostafa-saad/MyCompetitiveProgramming/blob/master/Olympiad/POI/POI-14-Little_Bird.txt","Sol")</f>
        <v>Sol</v>
      </c>
      <c r="E1596" s="31" t="s">
        <v>2153</v>
      </c>
      <c r="F1596" s="37" t="s">
        <v>139</v>
      </c>
      <c r="G1596" s="24"/>
      <c r="H1596" s="53"/>
    </row>
    <row r="1597" spans="1:8" ht="13.2">
      <c r="A1597" s="65" t="str">
        <f>HYPERLINK("https://szkopul.edu.pl/problemset/problem/rfG3gSJfUHoOk3t6379xduHr/site/", "POI 14-Panels")</f>
        <v>POI 14-Panels</v>
      </c>
      <c r="B1597" s="20" t="s">
        <v>7311</v>
      </c>
      <c r="C1597" s="17">
        <v>6.3</v>
      </c>
      <c r="D1597" s="65" t="str">
        <f>HYPERLINK("https://github.com/mostafa-saad/MyCompetitiveProgramming/blob/master/Olympiad/POI/POI-14-Panels.txt","Sol")</f>
        <v>Sol</v>
      </c>
      <c r="E1597" s="31" t="s">
        <v>4531</v>
      </c>
      <c r="F1597" s="37" t="s">
        <v>196</v>
      </c>
      <c r="G1597" s="24"/>
      <c r="H1597" s="53"/>
    </row>
    <row r="1598" spans="1:8" ht="13.2">
      <c r="A1598" s="65" t="str">
        <f>HYPERLINK("https://szkopul.edu.pl/problemset/problem/BnzEADCfeJFjjev1Y9iHQANg/site/", "POI 14-Rally")</f>
        <v>POI 14-Rally</v>
      </c>
      <c r="B1598" s="23" t="s">
        <v>6791</v>
      </c>
      <c r="C1598" s="24">
        <v>6</v>
      </c>
      <c r="D1598" s="69"/>
      <c r="E1598" s="31" t="s">
        <v>1018</v>
      </c>
      <c r="F1598" s="37"/>
      <c r="G1598" s="24"/>
      <c r="H1598" s="53"/>
    </row>
    <row r="1599" spans="1:8" ht="13.2">
      <c r="A1599" s="65" t="str">
        <f>HYPERLINK("https://szkopul.edu.pl/problemset/problem/d30xri2XGeuQ45CDrB7DWijK/site/", "POI 14-Salad")</f>
        <v>POI 14-Salad</v>
      </c>
      <c r="B1599" s="37" t="s">
        <v>7527</v>
      </c>
      <c r="C1599" s="24">
        <v>5.5</v>
      </c>
      <c r="D1599" s="65" t="str">
        <f>HYPERLINK("https://github.com/mostafa-saad/MyCompetitiveProgramming/blob/master/Olympiad/POI/official/find_editorial_sols_guidelines.txt","Editorial")</f>
        <v>Editorial</v>
      </c>
      <c r="E1599" s="31" t="s">
        <v>7525</v>
      </c>
      <c r="F1599" s="37"/>
      <c r="G1599" s="24"/>
      <c r="H1599" s="53"/>
    </row>
    <row r="1600" spans="1:8" ht="13.2">
      <c r="A1600" s="65" t="str">
        <f>HYPERLINK("https://szkopul.edu.pl/problemset/problem/3zwfwt3ZGc2f6NndNgzS3Dfu/site/", "POI 14-Snake")</f>
        <v>POI 14-Snake</v>
      </c>
      <c r="B1600" s="37" t="s">
        <v>7527</v>
      </c>
      <c r="C1600" s="24"/>
      <c r="D1600" s="69"/>
      <c r="E1600" s="31" t="s">
        <v>7525</v>
      </c>
      <c r="F1600" s="37"/>
      <c r="G1600" s="24"/>
      <c r="H1600" s="53"/>
    </row>
    <row r="1601" spans="1:8" ht="13.2">
      <c r="A1601" s="65" t="str">
        <f>HYPERLINK("https://szkopul.edu.pl/problemset/problem/e9ycK_efBDBt4aPs-QeqYpwR/site/", "POI 14-Supercomputer")</f>
        <v>POI 14-Supercomputer</v>
      </c>
      <c r="B1601" s="37" t="s">
        <v>7121</v>
      </c>
      <c r="C1601" s="24">
        <v>7.1</v>
      </c>
      <c r="D1601" s="65" t="str">
        <f>HYPERLINK("https://github.com/mostafa-saad/MyCompetitiveProgramming/blob/master/Olympiad/POI/POI-14-Supercomputer.txt","Sol")</f>
        <v>Sol</v>
      </c>
      <c r="E1601" s="31" t="s">
        <v>3257</v>
      </c>
      <c r="F1601" s="37" t="s">
        <v>139</v>
      </c>
      <c r="G1601" s="24"/>
      <c r="H1601" s="53"/>
    </row>
    <row r="1602" spans="1:8" ht="13.2">
      <c r="A1602" s="65" t="str">
        <f>HYPERLINK("https://szkopul.edu.pl/problemset/problem/kYVp05sX8lzHWNwn93xjcYwH/site/", "POI 15-Car")</f>
        <v>POI 15-Car</v>
      </c>
      <c r="B1602" s="37" t="s">
        <v>1348</v>
      </c>
      <c r="C1602" s="24">
        <v>7.5</v>
      </c>
      <c r="D1602" s="65" t="str">
        <f t="shared" ref="D1602:D1604" si="59">HYPERLINK("https://github.com/mostafa-saad/MyCompetitiveProgramming/blob/master/Olympiad/POI/official/find_editorial_sols_guidelines.txt","Editorial")</f>
        <v>Editorial</v>
      </c>
      <c r="E1602" s="31" t="s">
        <v>1337</v>
      </c>
      <c r="F1602" s="37"/>
      <c r="G1602" s="24"/>
      <c r="H1602" s="53"/>
    </row>
    <row r="1603" spans="1:8" ht="13.2">
      <c r="A1603" s="65" t="str">
        <f>HYPERLINK("https://szkopul.edu.pl/problemset/problem/_PLjXEFyR0XMBQ-kZ1k_GgHE/site/", "POI 15-Desert")</f>
        <v>POI 15-Desert</v>
      </c>
      <c r="B1603" s="37" t="s">
        <v>7394</v>
      </c>
      <c r="C1603" s="24">
        <v>7.5</v>
      </c>
      <c r="D1603" s="65" t="str">
        <f t="shared" si="59"/>
        <v>Editorial</v>
      </c>
      <c r="E1603" s="31" t="s">
        <v>5958</v>
      </c>
      <c r="F1603" s="37"/>
      <c r="G1603" s="24"/>
      <c r="H1603" s="53"/>
    </row>
    <row r="1604" spans="1:8" ht="13.2">
      <c r="A1604" s="65" t="str">
        <f>HYPERLINK("https://szkopul.edu.pl/problemset/problem/4roJ2TqCXhLN6ftK2jiWKlO9/site/", "POI 15-Direction")</f>
        <v>POI 15-Direction</v>
      </c>
      <c r="B1604" s="37" t="s">
        <v>7395</v>
      </c>
      <c r="C1604" s="24">
        <v>7.25</v>
      </c>
      <c r="D1604" s="65" t="str">
        <f t="shared" si="59"/>
        <v>Editorial</v>
      </c>
      <c r="E1604" s="31" t="s">
        <v>5958</v>
      </c>
      <c r="F1604" s="37"/>
      <c r="G1604" s="24"/>
      <c r="H1604" s="53"/>
    </row>
    <row r="1605" spans="1:8" ht="13.2">
      <c r="A1605" s="65" t="str">
        <f>HYPERLINK("https://szkopul.edu.pl/problemset/problem/Hj7Ko64-xPs_FrzJ4WucMde9/site/", "POI 15-Gluttons")</f>
        <v>POI 15-Gluttons</v>
      </c>
      <c r="B1605" s="37" t="s">
        <v>6958</v>
      </c>
      <c r="C1605" s="24">
        <v>6.1</v>
      </c>
      <c r="D1605" s="65" t="str">
        <f>HYPERLINK("https://github.com/mostafa-saad/MyCompetitiveProgramming/blob/master/Olympiad/POI/POI-15-Gluttons.txt","Sol")</f>
        <v>Sol</v>
      </c>
      <c r="E1605" s="31" t="s">
        <v>1819</v>
      </c>
      <c r="F1605" s="37"/>
      <c r="G1605" s="24"/>
      <c r="H1605" s="53"/>
    </row>
    <row r="1606" spans="1:8" ht="13.2">
      <c r="A1606" s="65" t="str">
        <f>HYPERLINK("https://szkopul.edu.pl/problemset/problem/z0rincXf7fi157ycO_Sl0bCb/site/", "POI 15-Highway")</f>
        <v>POI 15-Highway</v>
      </c>
      <c r="B1606" s="37" t="s">
        <v>3682</v>
      </c>
      <c r="C1606" s="24">
        <v>7</v>
      </c>
      <c r="D1606" s="65" t="str">
        <f t="shared" ref="D1606:D1608" si="60">HYPERLINK("https://github.com/mostafa-saad/MyCompetitiveProgramming/blob/master/Olympiad/POI/official/find_editorial_sols_guidelines.txt","Editorial")</f>
        <v>Editorial</v>
      </c>
      <c r="E1606" s="31" t="s">
        <v>3650</v>
      </c>
      <c r="F1606" s="37"/>
      <c r="G1606" s="24"/>
      <c r="H1606" s="53"/>
    </row>
    <row r="1607" spans="1:8" ht="13.2">
      <c r="A1607" s="65" t="str">
        <f>HYPERLINK("https://szkopul.edu.pl/problemset/problem/k-RYEjhwNTo_XdaCidXQUGMU/site/", "POI 15-Movie")</f>
        <v>POI 15-Movie</v>
      </c>
      <c r="B1607" s="37" t="s">
        <v>1017</v>
      </c>
      <c r="C1607" s="24">
        <v>6.25</v>
      </c>
      <c r="D1607" s="65" t="str">
        <f t="shared" si="60"/>
        <v>Editorial</v>
      </c>
      <c r="E1607" s="31" t="s">
        <v>1018</v>
      </c>
      <c r="F1607" s="37"/>
      <c r="G1607" s="24"/>
      <c r="H1607" s="53"/>
    </row>
    <row r="1608" spans="1:8" ht="13.2">
      <c r="A1608" s="65" t="str">
        <f>HYPERLINK("https://szkopul.edu.pl/problemset/problem/SbvfueoDtZe2DQFHrywTIakc/site/", "POI 15-Necklace")</f>
        <v>POI 15-Necklace</v>
      </c>
      <c r="B1608" s="37" t="s">
        <v>7396</v>
      </c>
      <c r="C1608" s="24">
        <v>7</v>
      </c>
      <c r="D1608" s="65" t="str">
        <f t="shared" si="60"/>
        <v>Editorial</v>
      </c>
      <c r="E1608" s="31" t="s">
        <v>5958</v>
      </c>
      <c r="F1608" s="37"/>
      <c r="G1608" s="24"/>
      <c r="H1608" s="53"/>
    </row>
    <row r="1609" spans="1:8" ht="13.2">
      <c r="A1609" s="65" t="str">
        <f>HYPERLINK("https://github.com/mostafa-saad/MyCompetitiveProgramming/blob/master/Olympiad/POI/POI-15-Seals-desc.txt","POI 15-Seals")</f>
        <v>POI 15-Seals</v>
      </c>
      <c r="B1609" s="37" t="s">
        <v>2225</v>
      </c>
      <c r="C1609" s="24">
        <v>5.5</v>
      </c>
      <c r="D1609" s="65" t="str">
        <f>HYPERLINK("https://github.com/mostafa-saad/MyCompetitiveProgramming/blob/master/Olympiad/POI/POI-15-Seals.txt","Sol")</f>
        <v>Sol</v>
      </c>
      <c r="E1609" s="31" t="s">
        <v>2153</v>
      </c>
      <c r="F1609" s="37"/>
      <c r="G1609" s="24"/>
      <c r="H1609" s="53"/>
    </row>
    <row r="1610" spans="1:8" ht="13.2">
      <c r="A1610" s="65" t="str">
        <f>HYPERLINK("https://szkopul.edu.pl/problemset/problem/fuTBSUcQ2U9sVPYJUDI4JwIe/site/", "POI 15-Sorcerer")</f>
        <v>POI 15-Sorcerer</v>
      </c>
      <c r="B1610" s="70" t="s">
        <v>7390</v>
      </c>
      <c r="C1610" s="66">
        <v>8</v>
      </c>
      <c r="D1610" s="65" t="str">
        <f t="shared" ref="D1610:D1611" si="61">HYPERLINK("https://github.com/mostafa-saad/MyCompetitiveProgramming/blob/master/Olympiad/POI/official/find_editorial_sols_guidelines.txt","Editorial")</f>
        <v>Editorial</v>
      </c>
      <c r="E1610" s="31" t="s">
        <v>5958</v>
      </c>
      <c r="F1610" s="37"/>
      <c r="G1610" s="24"/>
      <c r="H1610" s="53"/>
    </row>
    <row r="1611" spans="1:8" ht="13.2">
      <c r="A1611" s="65" t="str">
        <f>HYPERLINK("https://szkopul.edu.pl/problemset/problem/vX48bEW0i5IRszoCOP_f78Dc/site/", "POI 15-Speed")</f>
        <v>POI 15-Speed</v>
      </c>
      <c r="B1611" s="37" t="s">
        <v>3139</v>
      </c>
      <c r="C1611" s="24">
        <v>7</v>
      </c>
      <c r="D1611" s="65" t="str">
        <f t="shared" si="61"/>
        <v>Editorial</v>
      </c>
      <c r="E1611" s="31" t="s">
        <v>3140</v>
      </c>
      <c r="F1611" s="37"/>
      <c r="G1611" s="24"/>
      <c r="H1611" s="53"/>
    </row>
    <row r="1612" spans="1:8" ht="13.2">
      <c r="A1612" s="65" t="str">
        <f>HYPERLINK("https://szkopul.edu.pl/problemset/problem/VeQ6A1Xb8DUSlbUb8eQncsFX/site/", "POI 15-Squares")</f>
        <v>POI 15-Squares</v>
      </c>
      <c r="B1612" s="37" t="s">
        <v>6878</v>
      </c>
      <c r="C1612" s="24">
        <v>6.25</v>
      </c>
      <c r="D1612" s="65" t="str">
        <f>HYPERLINK("https://github.com/mostafa-saad/MyCompetitiveProgramming/blob/master/Olympiad/POI/POI-15-Squares.txt","Sol")</f>
        <v>Sol</v>
      </c>
      <c r="E1612" s="31" t="s">
        <v>1337</v>
      </c>
      <c r="F1612" s="37"/>
      <c r="G1612" s="24"/>
      <c r="H1612" s="53"/>
    </row>
    <row r="1613" spans="1:8" ht="13.2">
      <c r="A1613" s="65" t="str">
        <f>HYPERLINK("https://szkopul.edu.pl/problemset/problem/Grfouq9u3g_TYktFXO2sNjCU/site/", "POI 15-Three")</f>
        <v>POI 15-Three</v>
      </c>
      <c r="B1613" s="37" t="s">
        <v>6591</v>
      </c>
      <c r="C1613" s="24">
        <v>6.7</v>
      </c>
      <c r="D1613" s="65" t="str">
        <f>HYPERLINK("https://github.com/mostafa-saad/MyCompetitiveProgramming/blob/master/Olympiad/POI/POI-15-Three.txt","Sol")</f>
        <v>Sol</v>
      </c>
      <c r="E1613" s="31" t="s">
        <v>125</v>
      </c>
      <c r="F1613" s="37" t="s">
        <v>201</v>
      </c>
      <c r="G1613" s="24"/>
      <c r="H1613" s="53"/>
    </row>
    <row r="1614" spans="1:8" ht="13.2">
      <c r="A1614" s="65" t="str">
        <f>HYPERLINK("https://szkopul.edu.pl/problemset/problem/zKf5Ua8okcS0jngsrTgKVM9L/site/", "POI 15-Trips")</f>
        <v>POI 15-Trips</v>
      </c>
      <c r="B1614" s="37" t="s">
        <v>7354</v>
      </c>
      <c r="C1614" s="24"/>
      <c r="D1614" s="65" t="str">
        <f>HYPERLINK("https://github.com/mostafa-saad/MyCompetitiveProgramming/blob/master/Olympiad/POI/POI-15-Trips.txt","Sol")</f>
        <v>Sol</v>
      </c>
      <c r="E1614" s="31" t="s">
        <v>5246</v>
      </c>
      <c r="F1614" s="37" t="s">
        <v>139</v>
      </c>
      <c r="G1614" s="24"/>
      <c r="H1614" s="53"/>
    </row>
    <row r="1615" spans="1:8" ht="13.2">
      <c r="A1615" s="65" t="str">
        <f>HYPERLINK("https://szkopul.edu.pl/problemset/problem/07Q0fFk7fU2TmGr6wpPeDCZj/site/", "POI 15-Trous")</f>
        <v>POI 15-Trous</v>
      </c>
      <c r="B1615" s="37" t="s">
        <v>6729</v>
      </c>
      <c r="C1615" s="24">
        <v>5.5</v>
      </c>
      <c r="D1615" s="65" t="str">
        <f>HYPERLINK("https://github.com/mostafa-saad/MyCompetitiveProgramming/blob/master/Olympiad/POI/POI-15-Trous.txt","Sol")</f>
        <v>Sol</v>
      </c>
      <c r="E1615" s="31" t="s">
        <v>805</v>
      </c>
      <c r="F1615" s="37" t="s">
        <v>154</v>
      </c>
      <c r="G1615" s="24"/>
      <c r="H1615" s="53"/>
    </row>
    <row r="1616" spans="1:8" ht="13.2">
      <c r="A1616" s="65" t="str">
        <f>HYPERLINK("https://szkopul.edu.pl/problemset/problem/O730xgZEVynTWBmscBinhMbD/site/", "POI 16-Arkanoid")</f>
        <v>POI 16-Arkanoid</v>
      </c>
      <c r="B1616" s="23" t="s">
        <v>7308</v>
      </c>
      <c r="C1616" s="24">
        <v>7</v>
      </c>
      <c r="D1616" s="65" t="str">
        <f>HYPERLINK("https://github.com/mostafa-saad/MyCompetitiveProgramming/blob/master/Olympiad/POI/POI-16-Arkanoid.txt","Sol")</f>
        <v>Sol</v>
      </c>
      <c r="E1616" s="31" t="s">
        <v>4531</v>
      </c>
      <c r="F1616" s="37" t="s">
        <v>139</v>
      </c>
      <c r="G1616" s="24"/>
      <c r="H1616" s="53"/>
    </row>
    <row r="1617" spans="1:8" ht="13.2">
      <c r="A1617" s="65" t="str">
        <f>HYPERLINK("https://szkopul.edu.pl/problemset/problem/cSa80AKpjHR8FlWE4BCpLGT3/site/?key=statement","POI 16-Christmas")</f>
        <v>POI 16-Christmas</v>
      </c>
      <c r="B1617" s="37" t="s">
        <v>7478</v>
      </c>
      <c r="C1617" s="24">
        <v>6.75</v>
      </c>
      <c r="D1617" s="65" t="str">
        <f>HYPERLINK("https://github.com/mostafa-saad/MyCompetitiveProgramming/blob/master/Olympiad/POI/POI-16-Christmas.txt","Sol")</f>
        <v>Sol</v>
      </c>
      <c r="E1617" s="31" t="s">
        <v>6397</v>
      </c>
      <c r="F1617" s="37" t="s">
        <v>139</v>
      </c>
      <c r="G1617" s="24"/>
      <c r="H1617" s="53"/>
    </row>
    <row r="1618" spans="1:8" ht="13.2">
      <c r="A1618" s="65" t="str">
        <f>HYPERLINK("https://szkopul.edu.pl/problemset/problem/3Kqkgeapr-W-MBprNjUDGICL/site/", "POI 16-Club")</f>
        <v>POI 16-Club</v>
      </c>
      <c r="B1618" s="37" t="s">
        <v>7585</v>
      </c>
      <c r="C1618" s="24">
        <v>7.5</v>
      </c>
      <c r="D1618" s="65" t="str">
        <f>HYPERLINK("https://github.com/mostafa-saad/MyCompetitiveProgramming/blob/master/Olympiad/POI/official/find_editorial_sols_guidelines.txt","Editorial")</f>
        <v>Editorial</v>
      </c>
      <c r="E1618" s="31" t="s">
        <v>7525</v>
      </c>
      <c r="F1618" s="37"/>
      <c r="G1618" s="24"/>
      <c r="H1618" s="53"/>
    </row>
    <row r="1619" spans="1:8" ht="13.2">
      <c r="A1619" s="65" t="str">
        <f>HYPERLINK("https://szkopul.edu.pl/problemset/problem/dABzva_j1-BvzKMsyxkuRoue/site/", "POI 16-Hedge")</f>
        <v>POI 16-Hedge</v>
      </c>
      <c r="B1619" s="37" t="s">
        <v>7270</v>
      </c>
      <c r="C1619" s="24">
        <v>5</v>
      </c>
      <c r="D1619" s="65" t="str">
        <f>HYPERLINK("https://github.com/mostafa-saad/MyCompetitiveProgramming/blob/master/Olympiad/POI/POI-16-Hedge.txt","Sol")</f>
        <v>Sol</v>
      </c>
      <c r="E1619" s="31" t="s">
        <v>4275</v>
      </c>
      <c r="F1619" s="37" t="s">
        <v>139</v>
      </c>
      <c r="G1619" s="24"/>
      <c r="H1619" s="53"/>
    </row>
    <row r="1620" spans="1:8" ht="13.2">
      <c r="A1620" s="65" t="str">
        <f>HYPERLINK("https://szkopul.edu.pl/problemset/problem/y9HM1ctDU8V8xLMRUYACDIRs/site/", "POI 16-Hydro")</f>
        <v>POI 16-Hydro</v>
      </c>
      <c r="B1620" s="37" t="s">
        <v>7285</v>
      </c>
      <c r="C1620" s="24">
        <v>7.25</v>
      </c>
      <c r="D1620" s="65" t="str">
        <f>HYPERLINK("https://github.com/mostafa-saad/MyCompetitiveProgramming/blob/master/Olympiad/POI/POI-16-Hydro.txt","Sol")</f>
        <v>Sol</v>
      </c>
      <c r="E1620" s="31" t="s">
        <v>4423</v>
      </c>
      <c r="F1620" s="37" t="s">
        <v>201</v>
      </c>
      <c r="G1620" s="24"/>
      <c r="H1620" s="53"/>
    </row>
    <row r="1621" spans="1:8" ht="13.2">
      <c r="A1621" s="65" t="str">
        <f>HYPERLINK("https://szkopul.edu.pl/problemset/problem/_cVmDXXn2TjF0dF1rW6eazA0/site/", "POI 16-Johny")</f>
        <v>POI 16-Johny</v>
      </c>
      <c r="B1621" s="37" t="s">
        <v>6904</v>
      </c>
      <c r="C1621" s="24">
        <v>5.5</v>
      </c>
      <c r="D1621" s="65" t="str">
        <f>HYPERLINK("https://github.com/mostafa-saad/MyCompetitiveProgramming/blob/master/Olympiad/POI/POI-05-Banknote.txt","Sol")</f>
        <v>Sol</v>
      </c>
      <c r="E1621" s="31" t="s">
        <v>1337</v>
      </c>
      <c r="F1621" s="37" t="s">
        <v>139</v>
      </c>
      <c r="G1621" s="24"/>
      <c r="H1621" s="53"/>
    </row>
    <row r="1622" spans="1:8" ht="13.2">
      <c r="A1622" s="65" t="str">
        <f>HYPERLINK("https://szkopul.edu.pl/problemset/problem/YY6-3ua-C1rt7q-97laWc0UP/site/", "POI 16-Journey")</f>
        <v>POI 16-Journey</v>
      </c>
      <c r="B1622" s="37" t="s">
        <v>7286</v>
      </c>
      <c r="C1622" s="24">
        <v>7.1</v>
      </c>
      <c r="D1622" s="65" t="str">
        <f>HYPERLINK("https://github.com/mostafa-saad/MyCompetitiveProgramming/blob/master/Olympiad/POI/POI-16-Journey.txt","Sol")</f>
        <v>Sol</v>
      </c>
      <c r="E1622" s="31" t="s">
        <v>4423</v>
      </c>
      <c r="F1622" s="37" t="s">
        <v>154</v>
      </c>
      <c r="G1622" s="24"/>
      <c r="H1622" s="53"/>
    </row>
    <row r="1623" spans="1:8" ht="13.2">
      <c r="A1623" s="65" t="str">
        <f>HYPERLINK("https://szkopul.edu.pl/problemset/problem/Mk-9GNDtSal6h_8T4n9Ezq9M/site/", "POI 16-Messenger")</f>
        <v>POI 16-Messenger</v>
      </c>
      <c r="B1623" s="37" t="s">
        <v>6854</v>
      </c>
      <c r="C1623" s="24">
        <v>6.5</v>
      </c>
      <c r="D1623" s="65" t="str">
        <f>HYPERLINK("https://github.com/mostafa-saad/MyCompetitiveProgramming/blob/master/Olympiad/POI/POI-16-Messenger.txt","Sol")</f>
        <v>Sol</v>
      </c>
      <c r="E1623" s="31" t="s">
        <v>1337</v>
      </c>
      <c r="F1623" s="37" t="s">
        <v>139</v>
      </c>
      <c r="G1623" s="24"/>
      <c r="H1623" s="53"/>
    </row>
    <row r="1624" spans="1:8" ht="13.2">
      <c r="A1624" s="65" t="str">
        <f>HYPERLINK("https://szkopul.edu.pl/problemset/problem/z8Vva6nazo2Cy3CF67kT6IWe/site/", "POI 16-Necklace")</f>
        <v>POI 16-Necklace</v>
      </c>
      <c r="B1624" s="37" t="s">
        <v>6997</v>
      </c>
      <c r="C1624" s="24">
        <v>6.5</v>
      </c>
      <c r="D1624" s="65" t="str">
        <f>HYPERLINK("https://github.com/mostafa-saad/MyCompetitiveProgramming/blob/master/Olympiad/POI/POI-16-Necklace.txt","Sol")</f>
        <v>Sol</v>
      </c>
      <c r="E1624" s="31" t="s">
        <v>2153</v>
      </c>
      <c r="F1624" s="37"/>
      <c r="G1624" s="24"/>
      <c r="H1624" s="53"/>
    </row>
    <row r="1625" spans="1:8" ht="13.2">
      <c r="A1625" s="65" t="str">
        <f>HYPERLINK("https://szkopul.edu.pl/problemset/problem/X6IwPa2H9FSd3Ly6bYp5t8Vu/site/", "POI 16-Nim")</f>
        <v>POI 16-Nim</v>
      </c>
      <c r="B1625" s="37" t="s">
        <v>6965</v>
      </c>
      <c r="C1625" s="24">
        <v>6.8</v>
      </c>
      <c r="D1625" s="65" t="str">
        <f>HYPERLINK("https://github.com/mostafa-saad/MyCompetitiveProgramming/blob/master/Olympiad/POI/POI-16-Nim.txt","Sol")</f>
        <v>Sol</v>
      </c>
      <c r="E1625" s="31" t="s">
        <v>1909</v>
      </c>
      <c r="F1625" s="37" t="s">
        <v>139</v>
      </c>
      <c r="G1625" s="24"/>
      <c r="H1625" s="53"/>
    </row>
    <row r="1626" spans="1:8" ht="13.2">
      <c r="A1626" s="65" t="str">
        <f>HYPERLINK("https://szkopul.edu.pl/problemset/problem/M5CruI5eCu8elnNFHuiXBrvV/site/", "POI 16-Not_Nim")</f>
        <v>POI 16-Not_Nim</v>
      </c>
      <c r="B1626" s="37" t="s">
        <v>7054</v>
      </c>
      <c r="C1626" s="24">
        <v>6.8</v>
      </c>
      <c r="D1626" s="65" t="str">
        <f>HYPERLINK("https://github.com/mostafa-saad/MyCompetitiveProgramming/blob/master/Olympiad/POI/POI-16-Not_Nim.txt","Sol")</f>
        <v>Sol</v>
      </c>
      <c r="E1626" s="31" t="s">
        <v>2394</v>
      </c>
      <c r="F1626" s="37" t="s">
        <v>154</v>
      </c>
      <c r="G1626" s="24"/>
      <c r="H1626" s="53"/>
    </row>
    <row r="1627" spans="1:8" ht="13.2">
      <c r="A1627" s="65" t="str">
        <f>HYPERLINK("https://szkopul.edu.pl/problemset/problem/1QaUWE_ePAmitZjgAszOVD1U/site/", "POI 16-Parade")</f>
        <v>POI 16-Parade</v>
      </c>
      <c r="B1627" s="25" t="s">
        <v>7514</v>
      </c>
      <c r="C1627" s="24">
        <v>5</v>
      </c>
      <c r="D1627" s="65" t="str">
        <f>HYPERLINK("https://github.com/win11905/submission/blob/master/POI/parade.cpp","Sol")</f>
        <v>Sol</v>
      </c>
      <c r="E1627" s="31" t="s">
        <v>6459</v>
      </c>
      <c r="F1627" s="37"/>
      <c r="G1627" s="24"/>
      <c r="H1627" s="53"/>
    </row>
    <row r="1628" spans="1:8" ht="13.2">
      <c r="A1628" s="65" t="str">
        <f>HYPERLINK("https://szkopul.edu.pl/problemset/problem/9TaxfuNdAv2FPpQ6PeB-vlti/site/", "POI 16-Streets")</f>
        <v>POI 16-Streets</v>
      </c>
      <c r="B1628" s="37" t="s">
        <v>7276</v>
      </c>
      <c r="C1628" s="24">
        <v>6.4</v>
      </c>
      <c r="D1628" s="65" t="str">
        <f>HYPERLINK("https://github.com/mostafa-saad/MyCompetitiveProgramming/blob/master/Olympiad/POI/POI-16-Streets.txt","Sol")</f>
        <v>Sol</v>
      </c>
      <c r="E1628" s="31" t="s">
        <v>4344</v>
      </c>
      <c r="F1628" s="37" t="s">
        <v>139</v>
      </c>
      <c r="G1628" s="24"/>
      <c r="H1628" s="53"/>
    </row>
    <row r="1629" spans="1:8" ht="13.2">
      <c r="A1629" s="65" t="str">
        <f>HYPERLINK("https://szkopul.edu.pl/problemset/problem/Orc2Z7ti1xLaUUQDT1a6RGR5/site/", "POI 16-Stutter")</f>
        <v>POI 16-Stutter</v>
      </c>
      <c r="B1629" s="37" t="s">
        <v>6948</v>
      </c>
      <c r="C1629" s="24">
        <v>6.25</v>
      </c>
      <c r="D1629" s="65" t="str">
        <f>HYPERLINK("https://github.com/mostafa-saad/MyCompetitiveProgramming/blob/master/Olympiad/POI/POI-16-Stutter.txt","Sol")</f>
        <v>Sol</v>
      </c>
      <c r="E1629" s="31" t="s">
        <v>1793</v>
      </c>
      <c r="F1629" s="37"/>
      <c r="G1629" s="24"/>
      <c r="H1629" s="53"/>
    </row>
    <row r="1630" spans="1:8" ht="13.2">
      <c r="A1630" s="65" t="str">
        <f>HYPERLINK("https://szkopul.edu.pl/problemset/problem/sKmyIHBMNi9EV3WO6GQ4xoFt/site/", "POI 16-Transmit")</f>
        <v>POI 16-Transmit</v>
      </c>
      <c r="B1630" s="37" t="s">
        <v>3682</v>
      </c>
      <c r="C1630" s="24">
        <v>5</v>
      </c>
      <c r="D1630" s="65" t="str">
        <f t="shared" ref="D1630:D1631" si="62">HYPERLINK("https://github.com/mostafa-saad/MyCompetitiveProgramming/blob/master/Olympiad/POI/official/find_editorial_sols_guidelines.txt","Editorial")</f>
        <v>Editorial</v>
      </c>
      <c r="E1630" s="31" t="s">
        <v>3650</v>
      </c>
      <c r="F1630" s="37"/>
      <c r="G1630" s="24"/>
      <c r="H1630" s="53"/>
    </row>
    <row r="1631" spans="1:8" ht="13.2">
      <c r="A1631" s="65" t="str">
        <f>HYPERLINK("https://szkopul.edu.pl/problemset/problem/70I-ks8dXjgq3xwzRzLV1w4p/site/", "POI 16-Water_Park")</f>
        <v>POI 16-Water_Park</v>
      </c>
      <c r="B1631" s="37" t="s">
        <v>5961</v>
      </c>
      <c r="C1631" s="24">
        <v>5</v>
      </c>
      <c r="D1631" s="65" t="str">
        <f t="shared" si="62"/>
        <v>Editorial</v>
      </c>
      <c r="E1631" s="31" t="s">
        <v>5958</v>
      </c>
      <c r="F1631" s="37"/>
      <c r="G1631" s="24"/>
      <c r="H1631" s="53"/>
    </row>
    <row r="1632" spans="1:8" ht="13.2">
      <c r="A1632" s="65" t="str">
        <f>HYPERLINK("https://szkopul.edu.pl/problemset/problem/oNnWY6ZuzzhvG-jCmijiXkIk/site/", "POI 17-Containers")</f>
        <v>POI 17-Containers</v>
      </c>
      <c r="B1632" s="37" t="s">
        <v>7527</v>
      </c>
      <c r="C1632" s="24"/>
      <c r="D1632" s="69"/>
      <c r="E1632" s="31" t="s">
        <v>7525</v>
      </c>
      <c r="F1632" s="37"/>
      <c r="G1632" s="24"/>
      <c r="H1632" s="53"/>
    </row>
    <row r="1633" spans="1:8" ht="13.2">
      <c r="A1633" s="65" t="str">
        <f>HYPERLINK("https://szkopul.edu.pl/problemset/problem/9NFtPM59qGWa7wdn570ifuP0/site/", "POI 17-Cook")</f>
        <v>POI 17-Cook</v>
      </c>
      <c r="B1633" s="37" t="s">
        <v>7527</v>
      </c>
      <c r="C1633" s="24"/>
      <c r="D1633" s="69"/>
      <c r="E1633" s="31" t="s">
        <v>7525</v>
      </c>
      <c r="F1633" s="37"/>
      <c r="G1633" s="24"/>
      <c r="H1633" s="53"/>
    </row>
    <row r="1634" spans="1:8" ht="13.2">
      <c r="A1634" s="65" t="str">
        <f>HYPERLINK("https://szkopul.edu.pl/problemset/problem/-7cqC3RrH4e-Ar7DWy4GKzLv/site/", "POI 17-Crossroads")</f>
        <v>POI 17-Crossroads</v>
      </c>
      <c r="B1634" s="37" t="s">
        <v>7527</v>
      </c>
      <c r="C1634" s="24"/>
      <c r="D1634" s="69"/>
      <c r="E1634" s="31" t="s">
        <v>7525</v>
      </c>
      <c r="F1634" s="37"/>
      <c r="G1634" s="24"/>
      <c r="H1634" s="53"/>
    </row>
    <row r="1635" spans="1:8" ht="13.2">
      <c r="A1635" s="65" t="str">
        <f>HYPERLINK("https://szkopul.edu.pl/problemset/problem/WLKPphrG7df9acKBOlEMEKY3/site/", "POI 17-Difference")</f>
        <v>POI 17-Difference</v>
      </c>
      <c r="B1635" s="37" t="s">
        <v>7527</v>
      </c>
      <c r="C1635" s="24"/>
      <c r="D1635" s="69"/>
      <c r="E1635" s="31" t="s">
        <v>7525</v>
      </c>
      <c r="F1635" s="37"/>
      <c r="G1635" s="24"/>
      <c r="H1635" s="53"/>
    </row>
    <row r="1636" spans="1:8" ht="13.2">
      <c r="A1636" s="65" t="str">
        <f>HYPERLINK("https://szkopul.edu.pl/problemset/problem/cSnlafnvkbirhnQrS9CQ9MEw/site/", "POI 17-Divisibility")</f>
        <v>POI 17-Divisibility</v>
      </c>
      <c r="B1636" s="37" t="s">
        <v>7527</v>
      </c>
      <c r="C1636" s="24"/>
      <c r="D1636" s="69"/>
      <c r="E1636" s="31" t="s">
        <v>7525</v>
      </c>
      <c r="F1636" s="37"/>
      <c r="G1636" s="24"/>
      <c r="H1636" s="53"/>
    </row>
    <row r="1637" spans="1:8" ht="13.2">
      <c r="A1637" s="65" t="str">
        <f>HYPERLINK("https://szkopul.edu.pl/problemset/problem/eLy9p2a1VStZ4y9y-LdeB-8f/site/", "POI 17-Flappy_Bird")</f>
        <v>POI 17-Flappy_Bird</v>
      </c>
      <c r="B1637" s="37" t="s">
        <v>7527</v>
      </c>
      <c r="C1637" s="24"/>
      <c r="D1637" s="69"/>
      <c r="E1637" s="31" t="s">
        <v>7525</v>
      </c>
      <c r="F1637" s="37"/>
      <c r="G1637" s="24"/>
      <c r="H1637" s="53"/>
    </row>
    <row r="1638" spans="1:8" ht="13.2">
      <c r="A1638" s="65" t="str">
        <f>HYPERLINK("https://szkopul.edu.pl/problemset/problem/0KG8REkSLNnY5sVkm7Aei_R7/site/", "POI 17-Grades")</f>
        <v>POI 17-Grades</v>
      </c>
      <c r="B1638" s="37" t="s">
        <v>7527</v>
      </c>
      <c r="C1638" s="24"/>
      <c r="D1638" s="69"/>
      <c r="E1638" s="31" t="s">
        <v>7525</v>
      </c>
      <c r="F1638" s="37"/>
      <c r="G1638" s="24"/>
      <c r="H1638" s="53"/>
    </row>
    <row r="1639" spans="1:8" ht="13.2">
      <c r="A1639" s="65" t="str">
        <f>HYPERLINK("https://szkopul.edu.pl/problemset/problem/wrTmzO9-dzEbLtsRUCdMV2_W/site/", "POI 17-Midas")</f>
        <v>POI 17-Midas</v>
      </c>
      <c r="B1639" s="37" t="s">
        <v>7527</v>
      </c>
      <c r="C1639" s="24"/>
      <c r="D1639" s="69"/>
      <c r="E1639" s="31" t="s">
        <v>7525</v>
      </c>
      <c r="F1639" s="37"/>
      <c r="G1639" s="24"/>
      <c r="H1639" s="53"/>
    </row>
    <row r="1640" spans="1:8" ht="13.2">
      <c r="A1640" s="65" t="str">
        <f>HYPERLINK("https://szkopul.edu.pl/problemset/problem/w-dbshXVyRol4LIT9jeP-bNn/site/", "POI 17-Panini")</f>
        <v>POI 17-Panini</v>
      </c>
      <c r="B1640" s="37" t="s">
        <v>7527</v>
      </c>
      <c r="C1640" s="24"/>
      <c r="D1640" s="69"/>
      <c r="E1640" s="31" t="s">
        <v>7525</v>
      </c>
      <c r="F1640" s="37"/>
      <c r="G1640" s="24"/>
      <c r="H1640" s="53"/>
    </row>
    <row r="1641" spans="1:8" ht="13.2">
      <c r="A1641" s="65" t="str">
        <f>HYPERLINK("https://szkopul.edu.pl/problemset/problem/CUjJDGGSEZmO7HvdZU4FKrL6/site/", "POI 17-Sabotage")</f>
        <v>POI 17-Sabotage</v>
      </c>
      <c r="B1641" s="37" t="s">
        <v>7527</v>
      </c>
      <c r="C1641" s="24"/>
      <c r="D1641" s="69"/>
      <c r="E1641" s="31" t="s">
        <v>7525</v>
      </c>
      <c r="F1641" s="37"/>
      <c r="G1641" s="24"/>
      <c r="H1641" s="53"/>
    </row>
    <row r="1642" spans="1:8" ht="13.2">
      <c r="A1642" s="65" t="str">
        <f>HYPERLINK("https://szkopul.edu.pl/problemset/problem/kqBM3UKWL-qlFiXIOxPXL35m/site/","POI 17-Sports")</f>
        <v>POI 17-Sports</v>
      </c>
      <c r="B1642" s="37" t="s">
        <v>7153</v>
      </c>
      <c r="C1642" s="24">
        <v>6</v>
      </c>
      <c r="D1642" s="65" t="str">
        <f>HYPERLINK("https://github.com/Shash-Wat/competitive-programming/blob/master/POI/poi_sport.cpp","Sol (no editorial)")</f>
        <v>Sol (no editorial)</v>
      </c>
      <c r="E1642" s="31" t="s">
        <v>3257</v>
      </c>
      <c r="F1642" s="37" t="s">
        <v>201</v>
      </c>
      <c r="G1642" s="24"/>
      <c r="H1642" s="53"/>
    </row>
    <row r="1643" spans="1:8" ht="13.2">
      <c r="A1643" s="65" t="str">
        <f>HYPERLINK("https://szkopul.edu.pl/problemset/problem/lR_LabSUC2n7EMmDHpw-wk_b/site/", "POI 17-Strikes")</f>
        <v>POI 17-Strikes</v>
      </c>
      <c r="B1643" s="37" t="s">
        <v>6796</v>
      </c>
      <c r="C1643" s="24">
        <v>5</v>
      </c>
      <c r="D1643" s="65" t="str">
        <f>HYPERLINK("https://github.com/Shash-Wat/competitive-programming/blob/master/POI/poi_strike.cpp","Sol (no editorial)")</f>
        <v>Sol (no editorial)</v>
      </c>
      <c r="E1643" s="31" t="s">
        <v>1018</v>
      </c>
      <c r="F1643" s="37" t="s">
        <v>201</v>
      </c>
      <c r="G1643" s="24"/>
      <c r="H1643" s="53"/>
    </row>
    <row r="1644" spans="1:8" ht="13.2">
      <c r="A1644" s="65" t="str">
        <f>HYPERLINK("https://szkopul.edu.pl/problemset/problem/Ng815bt4Fko9lj2-l7eVl3Aw/site/", "POI 17-Sum")</f>
        <v>POI 17-Sum</v>
      </c>
      <c r="B1644" s="37" t="s">
        <v>7527</v>
      </c>
      <c r="C1644" s="24"/>
      <c r="D1644" s="69"/>
      <c r="E1644" s="31" t="s">
        <v>7525</v>
      </c>
      <c r="F1644" s="37"/>
      <c r="G1644" s="24"/>
      <c r="H1644" s="53"/>
    </row>
    <row r="1645" spans="1:8" ht="13.2">
      <c r="A1645" s="65" t="str">
        <f>HYPERLINK("https://szkopul.edu.pl/problemset/problem/kqBM3UKWL-qlFiXIOxPXL35m/site/", "POI 17-Tourist")</f>
        <v>POI 17-Tourist</v>
      </c>
      <c r="B1645" s="37" t="s">
        <v>7527</v>
      </c>
      <c r="C1645" s="24"/>
      <c r="D1645" s="69"/>
      <c r="E1645" s="31" t="s">
        <v>7525</v>
      </c>
      <c r="F1645" s="37"/>
      <c r="G1645" s="24"/>
      <c r="H1645" s="53"/>
    </row>
    <row r="1646" spans="1:8" ht="13.2">
      <c r="A1646" s="65" t="str">
        <f>HYPERLINK("https://szkopul.edu.pl/problemset/problem/aKKSmtjWTtDOEHDqnmQ3-eAA/site/", "POI 18-Bike")</f>
        <v>POI 18-Bike</v>
      </c>
      <c r="B1646" s="37" t="s">
        <v>7527</v>
      </c>
      <c r="C1646" s="24"/>
      <c r="D1646" s="69"/>
      <c r="E1646" s="31" t="s">
        <v>7525</v>
      </c>
      <c r="F1646" s="37"/>
      <c r="G1646" s="24"/>
      <c r="H1646" s="53"/>
    </row>
    <row r="1647" spans="1:8" ht="13.2">
      <c r="A1647" s="65" t="str">
        <f>HYPERLINK("https://szkopul.edu.pl/problemset/problem/Kmofhbw9cTx06gSZg-C5MiBU/site/", "POI 18-Candy")</f>
        <v>POI 18-Candy</v>
      </c>
      <c r="B1647" s="37" t="s">
        <v>7527</v>
      </c>
      <c r="C1647" s="24"/>
      <c r="D1647" s="69"/>
      <c r="E1647" s="31" t="s">
        <v>7525</v>
      </c>
      <c r="F1647" s="37"/>
      <c r="G1647" s="24"/>
      <c r="H1647" s="53"/>
    </row>
    <row r="1648" spans="1:8" ht="13.2">
      <c r="A1648" s="65" t="str">
        <f>HYPERLINK("https://szkopul.edu.pl/problemset/problem/lbADmW7d353d0F0iw4kXTjsl/site/", "POI 18-Conductor")</f>
        <v>POI 18-Conductor</v>
      </c>
      <c r="B1648" s="37" t="s">
        <v>7527</v>
      </c>
      <c r="C1648" s="24"/>
      <c r="D1648" s="69"/>
      <c r="E1648" s="31" t="s">
        <v>7525</v>
      </c>
      <c r="F1648" s="37"/>
      <c r="G1648" s="24"/>
      <c r="H1648" s="53"/>
    </row>
    <row r="1649" spans="1:8" ht="13.2">
      <c r="A1649" s="65" t="str">
        <f>HYPERLINK("https://szkopul.edu.pl/problemset/problem/eHGwrk9xShVF-z_2f7K4Yyb_/site/", "POI 18-Diversity")</f>
        <v>POI 18-Diversity</v>
      </c>
      <c r="B1649" s="37" t="s">
        <v>7527</v>
      </c>
      <c r="C1649" s="24"/>
      <c r="D1649" s="69"/>
      <c r="E1649" s="31" t="s">
        <v>7525</v>
      </c>
      <c r="F1649" s="37"/>
      <c r="G1649" s="24"/>
      <c r="H1649" s="53"/>
    </row>
    <row r="1650" spans="1:8" ht="13.2">
      <c r="A1650" s="65" t="str">
        <f>HYPERLINK("https://szkopul.edu.pl/problemset/problem/guoc36QCEe4q47qruYB7HBV-/site/", "POI 18-Fence")</f>
        <v>POI 18-Fence</v>
      </c>
      <c r="B1650" s="37" t="s">
        <v>7527</v>
      </c>
      <c r="C1650" s="24"/>
      <c r="D1650" s="69"/>
      <c r="E1650" s="31" t="s">
        <v>7525</v>
      </c>
      <c r="F1650" s="37"/>
      <c r="G1650" s="24"/>
      <c r="H1650" s="53"/>
    </row>
    <row r="1651" spans="1:8" ht="13.2">
      <c r="A1651" s="65" t="str">
        <f>HYPERLINK("https://szkopul.edu.pl/problemset/problem/xCiDtZ0ZX70fyac1Sav8d37J/site/", "POI 18-Flood")</f>
        <v>POI 18-Flood</v>
      </c>
      <c r="B1651" s="37" t="s">
        <v>7527</v>
      </c>
      <c r="C1651" s="24"/>
      <c r="D1651" s="69"/>
      <c r="E1651" s="31" t="s">
        <v>7525</v>
      </c>
      <c r="F1651" s="37"/>
      <c r="G1651" s="24"/>
      <c r="H1651" s="53"/>
    </row>
    <row r="1652" spans="1:8" ht="13.2">
      <c r="A1652" s="65" t="str">
        <f>HYPERLINK("https://szkopul.edu.pl/problemset/problem/KkN5UonnNGIG3AuMqoI6xr62/site/", "POI 18-Lawyers")</f>
        <v>POI 18-Lawyers</v>
      </c>
      <c r="B1652" s="37" t="s">
        <v>7527</v>
      </c>
      <c r="C1652" s="24"/>
      <c r="D1652" s="69"/>
      <c r="E1652" s="31" t="s">
        <v>7525</v>
      </c>
      <c r="F1652" s="37"/>
      <c r="G1652" s="24"/>
      <c r="H1652" s="53"/>
    </row>
    <row r="1653" spans="1:8" ht="13.2">
      <c r="A1653" s="65" t="str">
        <f>HYPERLINK("https://szkopul.edu.pl/problemset/problem/GfNdWdsmfgHxoByl0ETuZW9c/site/", "POI 18-Numbers")</f>
        <v>POI 18-Numbers</v>
      </c>
      <c r="B1653" s="37" t="s">
        <v>7527</v>
      </c>
      <c r="C1653" s="24"/>
      <c r="D1653" s="69"/>
      <c r="E1653" s="31" t="s">
        <v>7525</v>
      </c>
      <c r="F1653" s="37"/>
      <c r="G1653" s="24"/>
      <c r="H1653" s="53"/>
    </row>
    <row r="1654" spans="1:8" ht="13.2">
      <c r="A1654" s="65" t="str">
        <f>HYPERLINK("https://szkopul.edu.pl/problemset/problem/vvd6w7n7EXFVEg3nkqGxEirV/site/?key=statement","POI 18-Plan_Metra")</f>
        <v>POI 18-Plan_Metra</v>
      </c>
      <c r="B1654" s="20" t="s">
        <v>3282</v>
      </c>
      <c r="C1654" s="17">
        <v>6.4</v>
      </c>
      <c r="D1654" s="65" t="str">
        <f>HYPERLINK("https://github.com/mostafa-saad/MyCompetitiveProgramming/blob/master/Olympiad/POI/POI-18-Plan_Metra.txt","Sol")</f>
        <v>Sol</v>
      </c>
      <c r="E1654" s="31" t="s">
        <v>3257</v>
      </c>
      <c r="F1654" s="37" t="s">
        <v>139</v>
      </c>
      <c r="G1654" s="24"/>
      <c r="H1654" s="53"/>
    </row>
    <row r="1655" spans="1:8" ht="13.2">
      <c r="A1655" s="65" t="str">
        <f>HYPERLINK("https://szkopul.edu.pl/problemset/problem/Hhip15j-8Ro2dOb_4oB98C-G/site/", "POI 18-Poetry")</f>
        <v>POI 18-Poetry</v>
      </c>
      <c r="B1655" s="37" t="s">
        <v>7527</v>
      </c>
      <c r="C1655" s="24"/>
      <c r="D1655" s="69"/>
      <c r="E1655" s="31" t="s">
        <v>7525</v>
      </c>
      <c r="F1655" s="37"/>
      <c r="G1655" s="24"/>
      <c r="H1655" s="53"/>
    </row>
    <row r="1656" spans="1:8" ht="13.2">
      <c r="A1656" s="65" t="str">
        <f>HYPERLINK("https://szkopul.edu.pl/problemset/problem/9JvSAnyf5d1FlPAEXEdUAtCz/site/", "POI 18-Polynomial")</f>
        <v>POI 18-Polynomial</v>
      </c>
      <c r="B1656" s="37" t="s">
        <v>6515</v>
      </c>
      <c r="C1656" s="24">
        <v>6.25</v>
      </c>
      <c r="D1656" s="65" t="str">
        <f>HYPERLINK("https://github.com/tmwilliamlin168/CompetitiveProgramming/blob/master/POI/25-Polynomial.cpp", "Sol")</f>
        <v>Sol</v>
      </c>
      <c r="E1656" s="31" t="s">
        <v>6511</v>
      </c>
      <c r="F1656" s="37"/>
      <c r="G1656" s="24"/>
      <c r="H1656" s="53"/>
    </row>
    <row r="1657" spans="1:8" ht="13.2">
      <c r="A1657" s="65" t="str">
        <f>HYPERLINK("https://szkopul.edu.pl/problemset/problem/NZSCUwz2ACePsBKuVCIVzrRt/site/", "POI 18-Stone")</f>
        <v>POI 18-Stone</v>
      </c>
      <c r="B1657" s="37" t="s">
        <v>7527</v>
      </c>
      <c r="C1657" s="24"/>
      <c r="D1657" s="69"/>
      <c r="E1657" s="31" t="s">
        <v>7525</v>
      </c>
      <c r="F1657" s="37"/>
      <c r="G1657" s="24"/>
      <c r="H1657" s="53"/>
    </row>
    <row r="1658" spans="1:8" ht="13.2">
      <c r="A1658" s="65" t="str">
        <f>HYPERLINK("https://szkopul.edu.pl/problemset/problem/vvd6w7n7EXFVEg3nkqGxEirV/site/", "POI 18-Subway")</f>
        <v>POI 18-Subway</v>
      </c>
      <c r="B1658" s="37" t="s">
        <v>7527</v>
      </c>
      <c r="C1658" s="24"/>
      <c r="D1658" s="69"/>
      <c r="E1658" s="31" t="s">
        <v>7525</v>
      </c>
      <c r="F1658" s="37"/>
      <c r="G1658" s="24"/>
      <c r="H1658" s="53"/>
    </row>
    <row r="1659" spans="1:8" ht="13.2">
      <c r="A1659" s="65" t="str">
        <f>HYPERLINK("https://szkopul.edu.pl/problemset/problem/pxbqUTPy3IuPDul9FdT2_Sth/site/", "POI 18-Taxis")</f>
        <v>POI 18-Taxis</v>
      </c>
      <c r="B1659" s="37" t="s">
        <v>7527</v>
      </c>
      <c r="C1659" s="24"/>
      <c r="D1659" s="69"/>
      <c r="E1659" s="31" t="s">
        <v>7525</v>
      </c>
      <c r="F1659" s="37"/>
      <c r="G1659" s="24"/>
      <c r="H1659" s="53"/>
    </row>
    <row r="1660" spans="1:8" ht="13.2">
      <c r="A1660" s="65" t="str">
        <f>HYPERLINK("https://szkopul.edu.pl/problemset/problem/GmAagCBetbskP0qiKlgVd-6A/site/", "POI 18-Transceivers")</f>
        <v>POI 18-Transceivers</v>
      </c>
      <c r="B1660" s="37" t="s">
        <v>7527</v>
      </c>
      <c r="C1660" s="24"/>
      <c r="D1660" s="69"/>
      <c r="E1660" s="31" t="s">
        <v>7525</v>
      </c>
      <c r="F1660" s="37"/>
      <c r="G1660" s="24"/>
      <c r="H1660" s="53"/>
    </row>
    <row r="1661" spans="1:8" ht="13.2">
      <c r="A1661" s="65" t="str">
        <f>HYPERLINK("https://szkopul.edu.pl/problemset/problem/URPMk7vthz60i1J3MT3XbIIO/site/", "POI 18-Triinformathlon")</f>
        <v>POI 18-Triinformathlon</v>
      </c>
      <c r="B1661" s="37" t="s">
        <v>7527</v>
      </c>
      <c r="C1661" s="24"/>
      <c r="D1661" s="69"/>
      <c r="E1661" s="31" t="s">
        <v>7525</v>
      </c>
      <c r="F1661" s="37"/>
      <c r="G1661" s="24"/>
      <c r="H1661" s="53"/>
    </row>
    <row r="1662" spans="1:8" ht="13.2">
      <c r="A1662" s="65" t="str">
        <f>HYPERLINK("https://szkopul.edu.pl/problemset/problem/GqRTa-xd7d9cGS5RL5Os-qTV/site/?key=statement","POI 96-kod")</f>
        <v>POI 96-kod</v>
      </c>
      <c r="B1662" s="20" t="s">
        <v>5952</v>
      </c>
      <c r="C1662" s="21">
        <v>5.5</v>
      </c>
      <c r="D1662" s="65" t="str">
        <f>HYPERLINK("https://github.com/SpeedOfMagic/CompetitiveProgramming/blob/master/POI/96-kod.cpp","Sol")</f>
        <v>Sol</v>
      </c>
      <c r="E1662" s="31" t="s">
        <v>5947</v>
      </c>
      <c r="F1662" s="37" t="s">
        <v>201</v>
      </c>
      <c r="G1662" s="24"/>
      <c r="H1662" s="53"/>
    </row>
    <row r="1663" spans="1:8" ht="13.2">
      <c r="A1663" s="65" t="str">
        <f>HYPERLINK("https://szkopul.edu.pl/problemset/problem/dIejmvqlAbsoU1hkjNbd4KtF/site/?key=statement","POI 96-wie")</f>
        <v>POI 96-wie</v>
      </c>
      <c r="B1663" s="20" t="s">
        <v>2248</v>
      </c>
      <c r="C1663" s="17">
        <v>5.5</v>
      </c>
      <c r="D1663" s="65" t="str">
        <f>HYPERLINK("https://github.com/mostafa-saad/MyCompetitiveProgramming/blob/master/Olympiad/POI/POI-96-wie.txt","Sol")</f>
        <v>Sol</v>
      </c>
      <c r="E1663" s="31" t="s">
        <v>2153</v>
      </c>
      <c r="F1663" s="37" t="s">
        <v>139</v>
      </c>
      <c r="G1663" s="24"/>
      <c r="H1663" s="53"/>
    </row>
    <row r="1664" spans="1:8" ht="13.2">
      <c r="A1664" s="65" t="str">
        <f>HYPERLINK("https://szkopul.edu.pl/problemset/problem/4CirgBfxbj9tIAS2C7DWCCd7/site/?key=statement","POI10 sums")</f>
        <v>POI10 sums</v>
      </c>
      <c r="B1664" s="69" t="s">
        <v>7770</v>
      </c>
      <c r="C1664" s="17">
        <v>6.25</v>
      </c>
      <c r="D1664" s="65" t="str">
        <f>HYPERLINK("https://github.com/mostafa-saad/MyCompetitiveProgramming/blob/master/Olympiad/POI/POI-03-sums.txt","Sol")</f>
        <v>Sol</v>
      </c>
      <c r="E1664" s="31" t="s">
        <v>3784</v>
      </c>
      <c r="F1664" s="37" t="s">
        <v>2843</v>
      </c>
      <c r="G1664" s="24"/>
      <c r="H1664" s="53"/>
    </row>
    <row r="1665" spans="1:8" ht="13.2">
      <c r="A1665" s="65" t="str">
        <f>HYPERLINK("https://csacademy.com/contest/rmi-2017-day-1/task/hangman2/","RMI 17-D1-Hangman 2")</f>
        <v>RMI 17-D1-Hangman 2</v>
      </c>
      <c r="B1665" s="20" t="s">
        <v>7384</v>
      </c>
      <c r="C1665" s="21">
        <v>6</v>
      </c>
      <c r="D1665" s="65" t="str">
        <f>HYPERLINK("https://github.com/mostafa-saad/MyCompetitiveProgramming/blob/master/Olympiad/RMI/RMI-17-D1-Hangman-2.txt","Sol")</f>
        <v>Sol</v>
      </c>
      <c r="E1665" s="31" t="s">
        <v>5857</v>
      </c>
      <c r="F1665" s="37" t="s">
        <v>154</v>
      </c>
      <c r="G1665" s="24"/>
      <c r="H1665" s="53"/>
    </row>
    <row r="1666" spans="1:8" ht="13.2">
      <c r="A1666" s="65" t="str">
        <f>HYPERLINK("https://csacademy.com/contest/archive/task/borland","ROJS 17-borland")</f>
        <v>ROJS 17-borland</v>
      </c>
      <c r="B1666" s="37" t="s">
        <v>6606</v>
      </c>
      <c r="C1666" s="17">
        <v>6.3</v>
      </c>
      <c r="D1666" s="65" t="str">
        <f>HYPERLINK("https://github.com/MetalBall887/Competitive-Programming/blob/master/CSAcademy/ROJS%2017-borland.cpp","sol")</f>
        <v>sol</v>
      </c>
      <c r="E1666" s="31" t="s">
        <v>125</v>
      </c>
      <c r="F1666" s="37"/>
      <c r="G1666" s="24"/>
      <c r="H1666" s="53"/>
    </row>
    <row r="1667" spans="1:8" ht="13.2">
      <c r="A1667" s="65" t="str">
        <f>HYPERLINK("https://csacademy.com/contest/junior-challenge-2017-day-1/task/chromatic-number/","ROJS 17-chromatic_number")</f>
        <v>ROJS 17-chromatic_number</v>
      </c>
      <c r="B1667" s="37" t="s">
        <v>6832</v>
      </c>
      <c r="C1667" s="24">
        <v>7.1</v>
      </c>
      <c r="D1667" s="69"/>
      <c r="E1667" s="31" t="s">
        <v>1337</v>
      </c>
      <c r="F1667" s="37"/>
      <c r="G1667" s="24"/>
      <c r="H1667" s="53"/>
    </row>
    <row r="1668" spans="1:8" ht="13.2">
      <c r="A1668" s="65" t="str">
        <f>HYPERLINK("https://csacademy.com/contest/junior-challenge-2017-day-2/task/cntgigelmat","ROJS 17-cntgigelmat")</f>
        <v>ROJS 17-cntgigelmat</v>
      </c>
      <c r="B1668" s="37" t="s">
        <v>6786</v>
      </c>
      <c r="C1668" s="24">
        <v>6</v>
      </c>
      <c r="D1668" s="65" t="str">
        <f>HYPERLINK("https://github.com/MetalBall887/Competitive-Programming/blob/master/CSAcademy/ROJS%2017-cntgigelmat.cpp","Sol")</f>
        <v>Sol</v>
      </c>
      <c r="E1668" s="31" t="s">
        <v>1018</v>
      </c>
      <c r="F1668" s="37" t="s">
        <v>201</v>
      </c>
      <c r="G1668" s="24"/>
      <c r="H1668" s="53"/>
    </row>
    <row r="1669" spans="1:8" ht="13.2">
      <c r="A1669" s="65" t="str">
        <f>HYPERLINK("https://csacademy.com/contest/junior-challenge-2017-day-2/task/combinatorix","ROJS 17-combinatorix")</f>
        <v>ROJS 17-combinatorix</v>
      </c>
      <c r="B1669" s="37" t="s">
        <v>6963</v>
      </c>
      <c r="C1669" s="24">
        <v>8</v>
      </c>
      <c r="D1669" s="69"/>
      <c r="E1669" s="31" t="s">
        <v>1909</v>
      </c>
      <c r="F1669" s="37"/>
      <c r="G1669" s="24"/>
      <c r="H1669" s="53"/>
    </row>
    <row r="1670" spans="1:8" ht="13.2">
      <c r="A1670" s="65" t="str">
        <f>HYPERLINK("https://csacademy.com/contest/junior-challenge-2017-day-1/task/palindromic-tree/","ROJS 17-palindromic_tree")</f>
        <v>ROJS 17-palindromic_tree</v>
      </c>
      <c r="B1670" s="37" t="s">
        <v>6998</v>
      </c>
      <c r="C1670" s="24">
        <v>6.5</v>
      </c>
      <c r="D1670" s="69"/>
      <c r="E1670" s="31" t="s">
        <v>2153</v>
      </c>
      <c r="F1670" s="37"/>
      <c r="G1670" s="24"/>
      <c r="H1670" s="53"/>
    </row>
    <row r="1671" spans="1:8" ht="13.2">
      <c r="A1671" s="65" t="str">
        <f>HYPERLINK("https://csacademy.com/contest/junior-challenge-2017-day-1/task/remove-update","ROJS 17-remove_update")</f>
        <v>ROJS 17-remove_update</v>
      </c>
      <c r="B1671" s="37" t="s">
        <v>6799</v>
      </c>
      <c r="C1671" s="24">
        <v>5</v>
      </c>
      <c r="D1671" s="65" t="str">
        <f>HYPERLINK("https://github.com/nikolapesic2802/Programming-Practice/blob/master/Remove%20Update/main.cpp","Sol")</f>
        <v>Sol</v>
      </c>
      <c r="E1671" s="31" t="s">
        <v>1018</v>
      </c>
      <c r="F1671" s="37"/>
      <c r="G1671" s="24"/>
      <c r="H1671" s="53"/>
    </row>
    <row r="1672" spans="1:8" ht="13.2">
      <c r="A1672" s="65" t="str">
        <f>HYPERLINK("https://csacademy.com/contest/junior-challenge-2017-day-2/task/set-subtraction","ROJS 17-set_subtraction")</f>
        <v>ROJS 17-set_subtraction</v>
      </c>
      <c r="B1672" s="37" t="s">
        <v>2163</v>
      </c>
      <c r="C1672" s="24">
        <v>4.5</v>
      </c>
      <c r="D1672" s="69"/>
      <c r="E1672" s="31" t="s">
        <v>2153</v>
      </c>
      <c r="F1672" s="37" t="s">
        <v>201</v>
      </c>
      <c r="G1672" s="24"/>
      <c r="H1672" s="53"/>
    </row>
    <row r="1673" spans="1:8" ht="13.2">
      <c r="A1673" s="65" t="str">
        <f>HYPERLINK("https://csacademy.com/contest/junior-challenge-2017-day-2/task/ultimateorbs","ROJS 17-ultimateorbs")</f>
        <v>ROJS 17-ultimateorbs</v>
      </c>
      <c r="B1673" s="37" t="s">
        <v>6695</v>
      </c>
      <c r="C1673" s="21">
        <v>5.5</v>
      </c>
      <c r="D1673" s="65" t="str">
        <f>HYPERLINK("https://github.com/mostafa-saad/MyCompetitiveProgramming/blob/master/Olympiad/ROS/ROJS-17-ultimateorbs.txt","Sol")</f>
        <v>Sol</v>
      </c>
      <c r="E1673" s="31" t="s">
        <v>575</v>
      </c>
      <c r="F1673" s="37" t="s">
        <v>196</v>
      </c>
      <c r="G1673" s="24"/>
      <c r="H1673" s="53"/>
    </row>
    <row r="1674" spans="1:8" ht="13.2">
      <c r="A1674" s="65" t="str">
        <f>HYPERLINK("https://csacademy.com/contest/romanian-ioi-2017-selection-1/task/rooms/","ROUSelection 17-1-rooms")</f>
        <v>ROUSelection 17-1-rooms</v>
      </c>
      <c r="B1674" s="37" t="s">
        <v>7771</v>
      </c>
      <c r="C1674" s="24">
        <v>6.75</v>
      </c>
      <c r="D1674" s="65" t="str">
        <f>HYPERLINK("https://github.com/dolphingarlic/CompetitiveProgramming/blob/master/infoarena/ROUSelection%2017-rooms.cpp", "Sol")</f>
        <v>Sol</v>
      </c>
      <c r="E1674" s="31" t="s">
        <v>2153</v>
      </c>
      <c r="F1674" s="37" t="s">
        <v>154</v>
      </c>
      <c r="G1674" s="24"/>
      <c r="H1674" s="53"/>
    </row>
    <row r="1675" spans="1:8" ht="13.2">
      <c r="A1675" s="65" t="str">
        <f>HYPERLINK("https://csacademy.com/contest/round-80/task/anagram-sort","ROUSelection 18-anagram_sort")</f>
        <v>ROUSelection 18-anagram_sort</v>
      </c>
      <c r="B1675" s="37" t="s">
        <v>6580</v>
      </c>
      <c r="C1675" s="24">
        <v>7</v>
      </c>
      <c r="D1675" s="69"/>
      <c r="E1675" s="31" t="s">
        <v>125</v>
      </c>
      <c r="F1675" s="37"/>
      <c r="G1675" s="24"/>
      <c r="H1675" s="53"/>
    </row>
    <row r="1676" spans="1:8" ht="13.2">
      <c r="A1676" s="65" t="str">
        <f>HYPERLINK("https://csacademy.com/contest/round-78/task/count-bst/","ROUSelection 18-count_bst")</f>
        <v>ROUSelection 18-count_bst</v>
      </c>
      <c r="B1676" s="37" t="s">
        <v>7389</v>
      </c>
      <c r="C1676" s="24">
        <v>6.5</v>
      </c>
      <c r="D1676" s="69"/>
      <c r="E1676" s="31" t="s">
        <v>5947</v>
      </c>
      <c r="F1676" s="37"/>
      <c r="G1676" s="24"/>
      <c r="H1676" s="53"/>
    </row>
    <row r="1677" spans="1:8" ht="13.2">
      <c r="A1677" s="65" t="str">
        <f>HYPERLINK("https://csacademy.com/contest/round-78/task/generating-set/","ROUSelection 18-generating_set")</f>
        <v>ROUSelection 18-generating_set</v>
      </c>
      <c r="B1677" s="37" t="s">
        <v>7302</v>
      </c>
      <c r="C1677" s="24">
        <v>9</v>
      </c>
      <c r="D1677" s="69"/>
      <c r="E1677" s="31" t="s">
        <v>4531</v>
      </c>
      <c r="F1677" s="37"/>
      <c r="G1677" s="24"/>
      <c r="H1677" s="53"/>
    </row>
    <row r="1678" spans="1:8" ht="13.2">
      <c r="A1678" s="65" t="str">
        <f>HYPERLINK("https://csacademy.com/contest/round-80/task/shampoo-exchange/","ROUSelection 18-shampoo_exchange")</f>
        <v>ROUSelection 18-shampoo_exchange</v>
      </c>
      <c r="B1678" s="37" t="s">
        <v>2163</v>
      </c>
      <c r="C1678" s="24">
        <v>5</v>
      </c>
      <c r="D1678" s="69"/>
      <c r="E1678" s="31" t="s">
        <v>2153</v>
      </c>
      <c r="F1678" s="37"/>
      <c r="G1678" s="24"/>
      <c r="H1678" s="53"/>
    </row>
    <row r="1679" spans="1:8" ht="13.2">
      <c r="A1679" s="65" t="str">
        <f>HYPERLINK("https://csacademy.com/contest/round-80/task/sortall/","ROUSelection 18-sortall")</f>
        <v>ROUSelection 18-sortall</v>
      </c>
      <c r="B1679" s="37" t="s">
        <v>6801</v>
      </c>
      <c r="C1679" s="24">
        <v>8.5</v>
      </c>
      <c r="D1679" s="69"/>
      <c r="E1679" s="31" t="s">
        <v>1223</v>
      </c>
      <c r="F1679" s="37"/>
      <c r="G1679" s="24"/>
      <c r="H1679" s="53"/>
    </row>
    <row r="1680" spans="1:8" ht="13.2">
      <c r="A1680" s="65" t="str">
        <f>HYPERLINK("https://csacademy.com/contest/round-80/task/tournament/","ROUSelection 18-tournament")</f>
        <v>ROUSelection 18-tournament</v>
      </c>
      <c r="B1680" s="37" t="s">
        <v>7586</v>
      </c>
      <c r="C1680" s="24">
        <v>8.5</v>
      </c>
      <c r="D1680" s="69"/>
      <c r="E1680" s="31" t="s">
        <v>7525</v>
      </c>
      <c r="F1680" s="37"/>
      <c r="G1680" s="24"/>
      <c r="H1680" s="53"/>
    </row>
    <row r="1681" spans="1:8" ht="13.2">
      <c r="A1681" s="65" t="str">
        <f>HYPERLINK("https://csacademy.com/contest/round-80/task/towns/","ROUSelection 18-towns")</f>
        <v>ROUSelection 18-towns</v>
      </c>
      <c r="B1681" s="37" t="s">
        <v>7587</v>
      </c>
      <c r="C1681" s="24">
        <v>6.5</v>
      </c>
      <c r="D1681" s="69"/>
      <c r="E1681" s="31" t="s">
        <v>7525</v>
      </c>
      <c r="F1681" s="37"/>
      <c r="G1681" s="24"/>
      <c r="H1681" s="53"/>
    </row>
    <row r="1682" spans="1:8" ht="13.2">
      <c r="A1682" s="65" t="str">
        <f>HYPERLINK("https://csacademy.com/contest/round-78/task/xor-transform/","ROUSelection 18-xor_transform")</f>
        <v>ROUSelection 18-xor_transform</v>
      </c>
      <c r="B1682" s="37" t="s">
        <v>7495</v>
      </c>
      <c r="C1682" s="24">
        <v>7</v>
      </c>
      <c r="D1682" s="69"/>
      <c r="E1682" s="31" t="s">
        <v>6441</v>
      </c>
      <c r="F1682" s="37"/>
      <c r="G1682" s="24"/>
      <c r="H1682" s="53"/>
    </row>
    <row r="1683" spans="1:8" ht="13.2">
      <c r="A1683" s="65" t="str">
        <f>HYPERLINK("https://contest.yandex.ru/roiarchive/contest/3926/problems/8/","RusOI-reg 13-capitals")</f>
        <v>RusOI-reg 13-capitals</v>
      </c>
      <c r="B1683" s="20" t="s">
        <v>7449</v>
      </c>
      <c r="C1683" s="21">
        <v>6.75</v>
      </c>
      <c r="D1683" s="65" t="str">
        <f>HYPERLINK("https://github.com/SpeedOfMagic/CompetitiveProgramming/blob/master/RusOI-reg/13-capitals.cpp","Sol")</f>
        <v>Sol</v>
      </c>
      <c r="E1683" s="31" t="s">
        <v>6345</v>
      </c>
      <c r="F1683" s="37" t="s">
        <v>139</v>
      </c>
      <c r="G1683" s="24"/>
      <c r="H1683" s="53"/>
    </row>
    <row r="1684" spans="1:8" ht="13.2">
      <c r="A1684" s="65" t="str">
        <f>HYPERLINK("https://contest.yandex.com/roiarchive/contest/2012/problems/D","RusOI-reg 15-search")</f>
        <v>RusOI-reg 15-search</v>
      </c>
      <c r="B1684" s="37" t="s">
        <v>7374</v>
      </c>
      <c r="C1684" s="21">
        <v>5.75</v>
      </c>
      <c r="D1684" s="69"/>
      <c r="E1684" s="31" t="s">
        <v>5643</v>
      </c>
      <c r="F1684" s="37"/>
      <c r="G1684" s="24"/>
      <c r="H1684" s="53"/>
    </row>
    <row r="1685" spans="1:8" ht="13.2">
      <c r="A1685" s="65" t="str">
        <f>HYPERLINK("https://contest.yandex.ru/roiarchive/contest/2170/problems/8","RusOI-reg 16-sequence")</f>
        <v>RusOI-reg 16-sequence</v>
      </c>
      <c r="B1685" s="23" t="s">
        <v>7334</v>
      </c>
      <c r="C1685" s="24">
        <v>6.25</v>
      </c>
      <c r="D1685" s="69"/>
      <c r="E1685" s="31" t="s">
        <v>4778</v>
      </c>
      <c r="F1685" s="37"/>
      <c r="G1685" s="24"/>
      <c r="H1685" s="53"/>
    </row>
    <row r="1686" spans="1:8" ht="13.2">
      <c r="A1686" s="65" t="str">
        <f>HYPERLINK("https://contest.yandex.ru/contest/8699/problems/A","SNSS 18-R1-A")</f>
        <v>SNSS 18-R1-A</v>
      </c>
      <c r="B1686" s="20" t="s">
        <v>7327</v>
      </c>
      <c r="C1686" s="21">
        <v>5</v>
      </c>
      <c r="D1686" s="65" t="str">
        <f>HYPERLINK("https://github.com/SpeedOfMagic/CompetitiveProgramming/blob/master/SNSS/18-R1-A.cpp","Sol")</f>
        <v>Sol</v>
      </c>
      <c r="E1686" s="31" t="s">
        <v>4531</v>
      </c>
      <c r="F1686" s="37" t="s">
        <v>201</v>
      </c>
      <c r="G1686" s="24"/>
      <c r="H1686" s="53"/>
    </row>
    <row r="1687" spans="1:8" ht="13.2">
      <c r="A1687" s="65" t="str">
        <f>HYPERLINK("https://contest.yandex.ru/snss2018/contest/8760/problems/B","SNSS 18-R2-B")</f>
        <v>SNSS 18-R2-B</v>
      </c>
      <c r="B1687" s="20" t="s">
        <v>6658</v>
      </c>
      <c r="C1687" s="21">
        <v>5.25</v>
      </c>
      <c r="D1687" s="69" t="s">
        <v>7810</v>
      </c>
      <c r="E1687" s="31" t="s">
        <v>332</v>
      </c>
      <c r="F1687" s="37" t="s">
        <v>139</v>
      </c>
      <c r="G1687" s="24"/>
      <c r="H1687" s="53"/>
    </row>
    <row r="1688" spans="1:8" ht="13.2">
      <c r="A1688" s="65" t="str">
        <f>HYPERLINK("https://contest.yandex.ru/snss2018/contest/8703/problems/A","SNSS 18-R5-A")</f>
        <v>SNSS 18-R5-A</v>
      </c>
      <c r="B1688" s="20" t="s">
        <v>1348</v>
      </c>
      <c r="C1688" s="21">
        <v>4.5</v>
      </c>
      <c r="D1688" s="65" t="str">
        <f>HYPERLINK("https://github.com/SpeedOfMagic/CompetitiveProgramming/blob/master/SNSS/18-R5-A.cpp","Sol")</f>
        <v>Sol</v>
      </c>
      <c r="E1688" s="31" t="s">
        <v>1337</v>
      </c>
      <c r="F1688" s="37" t="s">
        <v>201</v>
      </c>
      <c r="G1688" s="24"/>
      <c r="H1688" s="53"/>
    </row>
    <row r="1689" spans="1:8" ht="13.2">
      <c r="A1689" s="65" t="str">
        <f>HYPERLINK("https://training.ia-toki.org/problemsets/87/problems/445/","TOKIOpen 17-Beauty")</f>
        <v>TOKIOpen 17-Beauty</v>
      </c>
      <c r="B1689" s="20" t="s">
        <v>7289</v>
      </c>
      <c r="C1689" s="24">
        <v>5.5</v>
      </c>
      <c r="D1689" s="65" t="str">
        <f>HYPERLINK("https://github.com/win11905/submission/blob/master/TOKI/17/beauty/beauty.cpp","Sol")</f>
        <v>Sol</v>
      </c>
      <c r="E1689" s="31" t="s">
        <v>4423</v>
      </c>
      <c r="F1689" s="37"/>
      <c r="G1689" s="24"/>
      <c r="H1689" s="53"/>
    </row>
    <row r="1690" spans="1:8" ht="13.2">
      <c r="A1690" s="65" t="str">
        <f>HYPERLINK("https://training.ia-toki.org/problemsets/87/problems/447/","TOKIOpen 17-Magic")</f>
        <v>TOKIOpen 17-Magic</v>
      </c>
      <c r="B1690" s="37" t="s">
        <v>7024</v>
      </c>
      <c r="C1690" s="24">
        <v>5.5</v>
      </c>
      <c r="D1690" s="65" t="str">
        <f>HYPERLINK("https://github.com/win11905/submission/tree/master/TOKI/17/magic","Sol")</f>
        <v>Sol</v>
      </c>
      <c r="E1690" s="31" t="s">
        <v>2153</v>
      </c>
      <c r="F1690" s="37"/>
      <c r="G1690" s="24"/>
      <c r="H1690" s="53"/>
    </row>
    <row r="1691" spans="1:8" ht="13.2">
      <c r="A1691" s="65" t="str">
        <f>HYPERLINK("https://training.ia-toki.org/problemsets/87/problems/445/","TOKIOpen 17-Radius")</f>
        <v>TOKIOpen 17-Radius</v>
      </c>
      <c r="B1691" s="20" t="s">
        <v>587</v>
      </c>
      <c r="C1691" s="24">
        <v>6</v>
      </c>
      <c r="D1691" s="65" t="str">
        <f>HYPERLINK("https://github.com/win11905/submission/blob/master/TOKI/17/radius/radius.cpp","Sol")</f>
        <v>Sol</v>
      </c>
      <c r="E1691" s="31" t="s">
        <v>575</v>
      </c>
      <c r="F1691" s="37"/>
      <c r="G1691" s="24"/>
      <c r="H1691" s="53"/>
    </row>
    <row r="1692" spans="1:8" ht="13.2">
      <c r="A1692" s="65" t="str">
        <f>HYPERLINK("https://training.ia-toki.org/problemsets/113/problems/632/","TOKIOpen 18-CellsTour")</f>
        <v>TOKIOpen 18-CellsTour</v>
      </c>
      <c r="B1692" s="20" t="s">
        <v>7259</v>
      </c>
      <c r="C1692" s="21">
        <v>5</v>
      </c>
      <c r="D1692" s="65" t="str">
        <f>HYPERLINK("https://github.com/timpostuvan/CompetitiveProgramming/blob/master/Olympiad/TOKI/CellsTour2018.cpp","Sol")</f>
        <v>Sol</v>
      </c>
      <c r="E1692" s="31" t="s">
        <v>4144</v>
      </c>
      <c r="F1692" s="37" t="s">
        <v>139</v>
      </c>
      <c r="G1692" s="24"/>
      <c r="H1692" s="53"/>
    </row>
    <row r="1693" spans="1:8" ht="13.2">
      <c r="A1693" s="65" t="str">
        <f>HYPERLINK("https://training.ia-toki.org/problemsets/113/problems/629/","TOKIOpen 18-GroupChat")</f>
        <v>TOKIOpen 18-GroupChat</v>
      </c>
      <c r="B1693" s="20" t="s">
        <v>6722</v>
      </c>
      <c r="C1693" s="24">
        <v>6.25</v>
      </c>
      <c r="D1693" s="65" t="str">
        <f>HYPERLINK("https://github.com/mostafa-saad/MyCompetitiveProgramming/blob/master/Olympiad/TOKI/TOKIOpen-18-GroupChat.txt","Sol")</f>
        <v>Sol</v>
      </c>
      <c r="E1693" s="31" t="s">
        <v>805</v>
      </c>
      <c r="F1693" s="37" t="s">
        <v>173</v>
      </c>
      <c r="G1693" s="24"/>
      <c r="H1693" s="53"/>
    </row>
    <row r="1694" spans="1:8" ht="13.2">
      <c r="A1694" s="65" t="str">
        <f>HYPERLINK("https://training.ia-toki.org/problemsets/113/problems","TOKIOpen 18-TileCovering")</f>
        <v>TOKIOpen 18-TileCovering</v>
      </c>
      <c r="B1694" s="20" t="s">
        <v>7299</v>
      </c>
      <c r="C1694" s="21">
        <v>6</v>
      </c>
      <c r="D1694" s="65" t="str">
        <f>HYPERLINK("https://github.com/mostafa-saad/MyCompetitiveProgramming/blob/master/Olympiad/TOKI/TOKIOpen-18-TileCovering.txt","Sol")</f>
        <v>Sol</v>
      </c>
      <c r="E1694" s="31" t="s">
        <v>4454</v>
      </c>
      <c r="F1694" s="37" t="s">
        <v>139</v>
      </c>
      <c r="G1694" s="24"/>
      <c r="H1694" s="53"/>
    </row>
    <row r="1695" spans="1:8" ht="13.2">
      <c r="A1695" s="65" t="str">
        <f>HYPERLINK("http://usaco.org/index.php?page=viewproblem2&amp;cpid=102", "USACO 11dec-grassplant-gold")</f>
        <v>USACO 11dec-grassplant-gold</v>
      </c>
      <c r="B1695" s="20" t="s">
        <v>6821</v>
      </c>
      <c r="C1695" s="21">
        <v>5</v>
      </c>
      <c r="D1695" s="69"/>
      <c r="E1695" s="31" t="s">
        <v>1223</v>
      </c>
      <c r="F1695" s="37"/>
      <c r="G1695" s="24"/>
      <c r="H1695" s="53"/>
    </row>
    <row r="1696" spans="1:8" ht="13.2">
      <c r="A1696" s="65" t="str">
        <f>HYPERLINK("http://usaco.org/index.php?page=viewproblem2&amp;cpid=100", "USACO 11dec-photo-gold")</f>
        <v>USACO 11dec-photo-gold</v>
      </c>
      <c r="B1696" s="20" t="s">
        <v>6627</v>
      </c>
      <c r="C1696" s="21">
        <v>5</v>
      </c>
      <c r="D1696" s="69"/>
      <c r="E1696" s="31" t="s">
        <v>125</v>
      </c>
      <c r="F1696" s="37" t="s">
        <v>139</v>
      </c>
      <c r="G1696" s="24"/>
      <c r="H1696" s="53"/>
    </row>
    <row r="1697" spans="1:8" ht="13.2">
      <c r="A1697" s="65" t="str">
        <f>HYPERLINK("http://usaco.org/index.php?page=viewproblem2&amp;cpid=101", "USACO 11dec-simplify-gold")</f>
        <v>USACO 11dec-simplify-gold</v>
      </c>
      <c r="B1697" s="20" t="s">
        <v>7269</v>
      </c>
      <c r="C1697" s="21">
        <v>6</v>
      </c>
      <c r="D1697" s="69"/>
      <c r="E1697" s="31" t="s">
        <v>4275</v>
      </c>
      <c r="F1697" s="37"/>
      <c r="G1697" s="24"/>
      <c r="H1697" s="53"/>
    </row>
    <row r="1698" spans="1:8" ht="13.2">
      <c r="A1698" s="65" t="str">
        <f>HYPERLINK("http://usaco.org/index.php?page=viewproblem2&amp;cpid=92", "USACO 11nov-bsudoku-gold")</f>
        <v>USACO 11nov-bsudoku-gold</v>
      </c>
      <c r="B1698" s="20" t="s">
        <v>1818</v>
      </c>
      <c r="C1698" s="21">
        <v>6</v>
      </c>
      <c r="D1698" s="69"/>
      <c r="E1698" s="31" t="s">
        <v>1819</v>
      </c>
      <c r="F1698" s="37" t="s">
        <v>201</v>
      </c>
      <c r="G1698" s="24"/>
      <c r="H1698" s="53"/>
    </row>
    <row r="1699" spans="1:8" ht="13.2">
      <c r="A1699" s="65" t="str">
        <f>HYPERLINK("http://usaco.org/index.php?page=viewproblem2&amp;cpid=91", "USACO 11nov-median-gold")</f>
        <v>USACO 11nov-median-gold</v>
      </c>
      <c r="B1699" s="20" t="s">
        <v>1222</v>
      </c>
      <c r="C1699" s="21">
        <v>5.5</v>
      </c>
      <c r="D1699" s="69"/>
      <c r="E1699" s="31" t="s">
        <v>1223</v>
      </c>
      <c r="F1699" s="37"/>
      <c r="G1699" s="24"/>
      <c r="H1699" s="53"/>
    </row>
    <row r="1700" spans="1:8" ht="13.2">
      <c r="A1700" s="65" t="str">
        <f>HYPERLINK("http://usaco.org/index.php?page=viewproblem2&amp;cpid=93", "USACO 11nov-steeple-gold")</f>
        <v>USACO 11nov-steeple-gold</v>
      </c>
      <c r="B1700" s="20" t="s">
        <v>7258</v>
      </c>
      <c r="C1700" s="21">
        <v>6</v>
      </c>
      <c r="D1700" s="69"/>
      <c r="E1700" s="31" t="s">
        <v>4144</v>
      </c>
      <c r="F1700" s="37"/>
      <c r="G1700" s="24"/>
      <c r="H1700" s="53"/>
    </row>
    <row r="1701" spans="1:8" ht="13.2">
      <c r="A1701" s="65" t="str">
        <f>HYPERLINK("http://usaco.org/index.php?page=viewproblem2&amp;cpid=211","USACO 12dec-gangs")</f>
        <v>USACO 12dec-gangs</v>
      </c>
      <c r="B1701" s="20" t="s">
        <v>6656</v>
      </c>
      <c r="C1701" s="17">
        <v>6.5</v>
      </c>
      <c r="D1701" s="65" t="str">
        <f>HYPERLINK("https://github.com/updown2/OI-Practice/blob/master/USACO/2012-2013/December/Gold/Gangs.cpp","Sol")</f>
        <v>Sol</v>
      </c>
      <c r="E1701" s="31" t="s">
        <v>332</v>
      </c>
      <c r="F1701" s="37" t="s">
        <v>139</v>
      </c>
      <c r="G1701" s="24"/>
      <c r="H1701" s="53"/>
    </row>
    <row r="1702" spans="1:8" ht="13.2">
      <c r="A1702" s="65" t="str">
        <f>HYPERLINK("http://usaco.org/index.php?page=viewproblem2&amp;cpid=213","USACO 12dec-runaway")</f>
        <v>USACO 12dec-runaway</v>
      </c>
      <c r="B1702" s="20" t="s">
        <v>7512</v>
      </c>
      <c r="C1702" s="21">
        <v>6</v>
      </c>
      <c r="D1702" s="65" t="str">
        <f>HYPERLINK("https://github.com/mostafa-saad/MyCompetitiveProgramming/blob/master/Olympiad/USACO/USACO-12dec-runaway.txt","Sol")</f>
        <v>Sol</v>
      </c>
      <c r="E1702" s="31" t="s">
        <v>6459</v>
      </c>
      <c r="F1702" s="37"/>
      <c r="G1702" s="24"/>
      <c r="H1702" s="53"/>
    </row>
    <row r="1703" spans="1:8" ht="13.2">
      <c r="A1703" s="65" t="str">
        <f>HYPERLINK("http://usaco.org/index.php?page=viewproblem2&amp;cpid=193", "USACO 12nov-bbreeds-gold")</f>
        <v>USACO 12nov-bbreeds-gold</v>
      </c>
      <c r="B1703" s="20" t="s">
        <v>1348</v>
      </c>
      <c r="C1703" s="21">
        <v>4.5</v>
      </c>
      <c r="D1703" s="69"/>
      <c r="E1703" s="31" t="s">
        <v>1337</v>
      </c>
      <c r="F1703" s="37"/>
      <c r="G1703" s="24"/>
      <c r="H1703" s="53"/>
    </row>
    <row r="1704" spans="1:8" ht="13.2">
      <c r="A1704" s="65" t="str">
        <f>HYPERLINK("http://usaco.org/index.php?page=viewproblem2&amp;cpid=195", "USACO 12nov-btree-gold")</f>
        <v>USACO 12nov-btree-gold</v>
      </c>
      <c r="B1704" s="20" t="s">
        <v>6458</v>
      </c>
      <c r="C1704" s="21">
        <v>5.5</v>
      </c>
      <c r="D1704" s="69"/>
      <c r="E1704" s="31" t="s">
        <v>6459</v>
      </c>
      <c r="F1704" s="37"/>
      <c r="G1704" s="24"/>
      <c r="H1704" s="53"/>
    </row>
    <row r="1705" spans="1:8" ht="13.2">
      <c r="A1705" s="65" t="str">
        <f>HYPERLINK("http://usaco.org/index.php?page=viewproblem2&amp;cpid=194", "USACO 12nov-cbs-gold")</f>
        <v>USACO 12nov-cbs-gold</v>
      </c>
      <c r="B1705" s="20" t="s">
        <v>6681</v>
      </c>
      <c r="C1705" s="21">
        <v>6.5</v>
      </c>
      <c r="D1705" s="69"/>
      <c r="E1705" s="31" t="s">
        <v>575</v>
      </c>
      <c r="F1705" s="37" t="s">
        <v>154</v>
      </c>
      <c r="G1705" s="24"/>
      <c r="H1705" s="53"/>
    </row>
    <row r="1706" spans="1:8" ht="13.2">
      <c r="A1706" s="65" t="str">
        <f>HYPERLINK("http://usaco.org/index.php?page=viewproblem2&amp;cpid=230","USACO 13jan-island")</f>
        <v>USACO 13jan-island</v>
      </c>
      <c r="B1706" s="37" t="s">
        <v>7252</v>
      </c>
      <c r="C1706" s="24">
        <v>5.5</v>
      </c>
      <c r="D1706" s="69"/>
      <c r="E1706" s="31" t="s">
        <v>3998</v>
      </c>
      <c r="F1706" s="37" t="s">
        <v>139</v>
      </c>
      <c r="G1706" s="24"/>
      <c r="H1706" s="53"/>
    </row>
    <row r="1707" spans="1:8" ht="13.2">
      <c r="A1707" s="65" t="str">
        <f>HYPERLINK("http://usaco.org/index.php?page=viewproblem2&amp;cpid=229","USACO 13jan-lineup")</f>
        <v>USACO 13jan-lineup</v>
      </c>
      <c r="B1707" s="20" t="s">
        <v>6054</v>
      </c>
      <c r="C1707" s="21">
        <v>5</v>
      </c>
      <c r="D1707" s="65" t="str">
        <f>HYPERLINK("https://github.com/mostafa-saad/MyCompetitiveProgramming/blob/master/Olympiad/USACO/USACO-13jan-lineup.txt","Sol")</f>
        <v>Sol</v>
      </c>
      <c r="E1707" s="31" t="s">
        <v>6040</v>
      </c>
      <c r="F1707" s="37"/>
      <c r="G1707" s="24"/>
      <c r="H1707" s="53"/>
    </row>
    <row r="1708" spans="1:8" ht="13.2">
      <c r="A1708" s="65" t="str">
        <f>HYPERLINK("http://usaco.org/index.php?page=viewproblem2&amp;cpid=285","USACO 13open-photo")</f>
        <v>USACO 13open-photo</v>
      </c>
      <c r="B1708" s="20" t="s">
        <v>1348</v>
      </c>
      <c r="C1708" s="21">
        <v>5.5</v>
      </c>
      <c r="D1708" s="69"/>
      <c r="E1708" s="31" t="s">
        <v>1337</v>
      </c>
      <c r="F1708" s="37"/>
      <c r="G1708" s="24"/>
      <c r="H1708" s="53"/>
    </row>
    <row r="1709" spans="1:8" ht="13.2">
      <c r="A1709" s="65" t="str">
        <f>HYPERLINK("http://usaco.org/index.php?page=viewproblem2&amp;cpid=496","USACO 14dec-cowjog")</f>
        <v>USACO 14dec-cowjog</v>
      </c>
      <c r="B1709" s="20" t="s">
        <v>2163</v>
      </c>
      <c r="C1709" s="21">
        <v>5</v>
      </c>
      <c r="D1709" s="69"/>
      <c r="E1709" s="31" t="s">
        <v>2153</v>
      </c>
      <c r="F1709" s="37" t="s">
        <v>201</v>
      </c>
      <c r="G1709" s="24"/>
      <c r="H1709" s="53"/>
    </row>
    <row r="1710" spans="1:8" ht="13.2">
      <c r="A1710" s="65" t="str">
        <f>HYPERLINK("http://usaco.org/index.php?page=viewproblem2&amp;cpid=494","USACO 14dec-guard")</f>
        <v>USACO 14dec-guard</v>
      </c>
      <c r="B1710" s="20" t="s">
        <v>6926</v>
      </c>
      <c r="C1710" s="21">
        <v>5</v>
      </c>
      <c r="D1710" s="65" t="str">
        <f>HYPERLINK("https://github.com/goar5670/CompetitiveProgramming/blob/master/USACO%2014dec-guard.cpp","Sol")</f>
        <v>Sol</v>
      </c>
      <c r="E1710" s="31" t="s">
        <v>1337</v>
      </c>
      <c r="F1710" s="37"/>
      <c r="G1710" s="24"/>
      <c r="H1710" s="53"/>
    </row>
    <row r="1711" spans="1:8" ht="13.2">
      <c r="A1711" s="65" t="str">
        <f>HYPERLINK("http://usaco.org/index.php?page=viewproblem2&amp;cpid=495","USACO 14dec-marathon")</f>
        <v>USACO 14dec-marathon</v>
      </c>
      <c r="B1711" s="20" t="s">
        <v>6698</v>
      </c>
      <c r="C1711" s="21">
        <v>5.5</v>
      </c>
      <c r="D1711" s="65" t="str">
        <f>HYPERLINK("https://github.com/SpeedOfMagic/CompetitiveProgramming/blob/master/USACO/USACO%2014dec-marathon.cpp","Sol")</f>
        <v>Sol</v>
      </c>
      <c r="E1711" s="31" t="s">
        <v>575</v>
      </c>
      <c r="F1711" s="37"/>
      <c r="G1711" s="24"/>
      <c r="H1711" s="53"/>
    </row>
    <row r="1712" spans="1:8" ht="13.2">
      <c r="A1712" s="65" t="str">
        <f>HYPERLINK("http://usaco.org/index.php?page=viewproblem2&amp;cpid=577", "USACO 15dec-cardgame-plat")</f>
        <v>USACO 15dec-cardgame-plat</v>
      </c>
      <c r="B1712" s="20" t="s">
        <v>7019</v>
      </c>
      <c r="C1712" s="21">
        <v>5.5</v>
      </c>
      <c r="D1712" s="69"/>
      <c r="E1712" s="31" t="s">
        <v>2153</v>
      </c>
      <c r="F1712" s="37" t="s">
        <v>201</v>
      </c>
      <c r="G1712" s="24"/>
      <c r="H1712" s="53"/>
    </row>
    <row r="1713" spans="1:8" ht="13.2">
      <c r="A1713" s="65" t="str">
        <f>HYPERLINK("http://usaco.org/index.php?page=viewproblem2&amp;cpid=578", "USACO 15dec-haybales-plat")</f>
        <v>USACO 15dec-haybales-plat</v>
      </c>
      <c r="B1713" s="20" t="s">
        <v>1017</v>
      </c>
      <c r="C1713" s="21">
        <v>5</v>
      </c>
      <c r="D1713" s="69"/>
      <c r="E1713" s="31" t="s">
        <v>1018</v>
      </c>
      <c r="F1713" s="37"/>
      <c r="G1713" s="24"/>
      <c r="H1713" s="53"/>
    </row>
    <row r="1714" spans="1:8" ht="13.2">
      <c r="A1714" s="65" t="str">
        <f>HYPERLINK("http://usaco.org/index.php?page=viewproblem2&amp;cpid=576", "USACO 15dec-maxflow-plat")</f>
        <v>USACO 15dec-maxflow-plat</v>
      </c>
      <c r="B1714" s="20" t="s">
        <v>7300</v>
      </c>
      <c r="C1714" s="21">
        <v>5.5</v>
      </c>
      <c r="D1714" s="69"/>
      <c r="E1714" s="31" t="s">
        <v>4454</v>
      </c>
      <c r="F1714" s="37"/>
      <c r="G1714" s="24"/>
      <c r="H1714" s="53"/>
    </row>
    <row r="1715" spans="1:8" ht="13.2">
      <c r="A1715" s="65" t="str">
        <f>HYPERLINK("http://usaco.org/index.php?page=viewproblem2&amp;cpid=533","USACO 15feb-censor")</f>
        <v>USACO 15feb-censor</v>
      </c>
      <c r="B1715" s="20" t="s">
        <v>6615</v>
      </c>
      <c r="C1715" s="17">
        <v>6</v>
      </c>
      <c r="D1715" s="65" t="str">
        <f>HYPERLINK("https://github.com/updown2/OI-Practice/blob/master/USACO/2014-2015/February/Gold/Censoring.cpp","Sol")</f>
        <v>Sol</v>
      </c>
      <c r="E1715" s="31" t="s">
        <v>125</v>
      </c>
      <c r="F1715" s="37"/>
      <c r="G1715" s="24"/>
      <c r="H1715" s="53"/>
    </row>
    <row r="1716" spans="1:8" ht="13.2">
      <c r="A1716" s="65" t="str">
        <f>HYPERLINK("http://usaco.org/index.php?page=viewproblem2&amp;cpid=533","USACO 15feb-gold_censor")</f>
        <v>USACO 15feb-gold_censor</v>
      </c>
      <c r="B1716" s="20" t="s">
        <v>6607</v>
      </c>
      <c r="C1716" s="21">
        <v>6.25</v>
      </c>
      <c r="D1716" s="69"/>
      <c r="E1716" s="31" t="s">
        <v>125</v>
      </c>
      <c r="F1716" s="37" t="s">
        <v>154</v>
      </c>
      <c r="G1716" s="24"/>
      <c r="H1716" s="53"/>
    </row>
    <row r="1717" spans="1:8" ht="13.2">
      <c r="A1717" s="65" t="str">
        <f>HYPERLINK("http://usaco.org/index.php?page=viewproblem2&amp;cpid=532","USACO 15feb-gold_hopscotch")</f>
        <v>USACO 15feb-gold_hopscotch</v>
      </c>
      <c r="B1717" s="20" t="s">
        <v>6813</v>
      </c>
      <c r="C1717" s="21">
        <v>6.25</v>
      </c>
      <c r="D1717" s="69"/>
      <c r="E1717" s="31" t="s">
        <v>1223</v>
      </c>
      <c r="F1717" s="37" t="s">
        <v>139</v>
      </c>
      <c r="G1717" s="24"/>
      <c r="H1717" s="53"/>
    </row>
    <row r="1718" spans="1:8" ht="13.2">
      <c r="A1718" s="65" t="str">
        <f>HYPERLINK("http://usaco.org/index.php?page=viewproblem2&amp;cpid=514","USACO 15jan-gold_cowrect")</f>
        <v>USACO 15jan-gold_cowrect</v>
      </c>
      <c r="B1718" s="37" t="s">
        <v>7070</v>
      </c>
      <c r="C1718" s="24">
        <v>6.5</v>
      </c>
      <c r="D1718" s="69"/>
      <c r="E1718" s="31" t="s">
        <v>2510</v>
      </c>
      <c r="F1718" s="37"/>
      <c r="G1718" s="24"/>
      <c r="H1718" s="53"/>
    </row>
    <row r="1719" spans="1:8" ht="13.2">
      <c r="A1719" s="65" t="str">
        <f>HYPERLINK("http://usaco.org/index.php?page=viewproblem2&amp;cpid=515","USACO 15jan-gold_movie")</f>
        <v>USACO 15jan-gold_movie</v>
      </c>
      <c r="B1719" s="20" t="s">
        <v>6444</v>
      </c>
      <c r="C1719" s="21">
        <v>5.5</v>
      </c>
      <c r="D1719" s="69"/>
      <c r="E1719" s="31" t="s">
        <v>6441</v>
      </c>
      <c r="F1719" s="37" t="s">
        <v>139</v>
      </c>
      <c r="G1719" s="24"/>
      <c r="H1719" s="53"/>
    </row>
    <row r="1720" spans="1:8" ht="13.2">
      <c r="A1720" s="65" t="str">
        <f>HYPERLINK("http://usaco.org/index.php?page=viewproblem2&amp;cpid=516","USACO 15jan-grass")</f>
        <v>USACO 15jan-grass</v>
      </c>
      <c r="B1720" s="20" t="s">
        <v>4346</v>
      </c>
      <c r="C1720" s="17">
        <v>5.5</v>
      </c>
      <c r="D1720" s="65" t="str">
        <f>HYPERLINK("https://github.com/updown2/OI-Practice/blob/master/USACO/2014-2015/January/Problem%203%20grass.cpp","Sol")</f>
        <v>Sol</v>
      </c>
      <c r="E1720" s="31" t="s">
        <v>4344</v>
      </c>
      <c r="F1720" s="37" t="s">
        <v>201</v>
      </c>
      <c r="G1720" s="24"/>
      <c r="H1720" s="53"/>
    </row>
    <row r="1721" spans="1:8" ht="13.2">
      <c r="A1721" s="65" t="str">
        <f>HYPERLINK("http://www.usaco.org/index.php?page=viewproblem2&amp;cpid=645","USACO 16-usopen-split-gold")</f>
        <v>USACO 16-usopen-split-gold</v>
      </c>
      <c r="B1721" s="20" t="s">
        <v>3139</v>
      </c>
      <c r="C1721" s="17">
        <v>5.5</v>
      </c>
      <c r="D1721" s="69"/>
      <c r="E1721" s="31" t="s">
        <v>3140</v>
      </c>
      <c r="F1721" s="37" t="s">
        <v>201</v>
      </c>
      <c r="G1721" s="24"/>
      <c r="H1721" s="53"/>
    </row>
    <row r="1722" spans="1:8" ht="13.2">
      <c r="A1722" s="65" t="str">
        <f>HYPERLINK("http://usaco.org/index.php?page=viewproblem2&amp;cpid=674", "USACO 16dec-roboherd-plat")</f>
        <v>USACO 16dec-roboherd-plat</v>
      </c>
      <c r="B1722" s="20" t="s">
        <v>811</v>
      </c>
      <c r="C1722" s="21">
        <v>6.7</v>
      </c>
      <c r="D1722" s="69"/>
      <c r="E1722" s="31" t="s">
        <v>805</v>
      </c>
      <c r="F1722" s="37" t="s">
        <v>154</v>
      </c>
      <c r="G1722" s="24"/>
      <c r="H1722" s="53"/>
    </row>
    <row r="1723" spans="1:8" ht="13.2">
      <c r="A1723" s="65" t="str">
        <f>HYPERLINK("http://usaco.org/index.php?page=viewproblem2&amp;cpid=673", "USACO 16dec-team-plat")</f>
        <v>USACO 16dec-team-plat</v>
      </c>
      <c r="B1723" s="20" t="s">
        <v>1348</v>
      </c>
      <c r="C1723" s="21">
        <v>5</v>
      </c>
      <c r="D1723" s="69"/>
      <c r="E1723" s="31" t="s">
        <v>1337</v>
      </c>
      <c r="F1723" s="37" t="s">
        <v>201</v>
      </c>
      <c r="G1723" s="24"/>
      <c r="H1723" s="53"/>
    </row>
    <row r="1724" spans="1:8" ht="13.2">
      <c r="A1724" s="65" t="str">
        <f>HYPERLINK("http://usaco.org/index.php?page=viewproblem2&amp;cpid=672", "USACO 16dec-triangles-plat")</f>
        <v>USACO 16dec-triangles-plat</v>
      </c>
      <c r="B1724" s="20" t="s">
        <v>2509</v>
      </c>
      <c r="C1724" s="21">
        <v>6.5</v>
      </c>
      <c r="D1724" s="69"/>
      <c r="E1724" s="31" t="s">
        <v>2510</v>
      </c>
      <c r="F1724" s="37" t="s">
        <v>139</v>
      </c>
      <c r="G1724" s="24"/>
      <c r="H1724" s="53"/>
    </row>
    <row r="1725" spans="1:8" ht="13.2">
      <c r="A1725" s="65" t="str">
        <f>HYPERLINK("http://usaco.org/index.php?page=viewproblem2&amp;cpid=624","USACO 16feb-balancing-plat")</f>
        <v>USACO 16feb-balancing-plat</v>
      </c>
      <c r="B1725" s="20" t="s">
        <v>6814</v>
      </c>
      <c r="C1725" s="24">
        <v>6.25</v>
      </c>
      <c r="D1725" s="69"/>
      <c r="E1725" s="31" t="s">
        <v>1223</v>
      </c>
      <c r="F1725" s="37" t="s">
        <v>139</v>
      </c>
      <c r="G1725" s="24"/>
      <c r="H1725" s="53"/>
    </row>
    <row r="1726" spans="1:8" ht="13.2">
      <c r="A1726" s="65" t="str">
        <f>HYPERLINK("http://usaco.org/index.php?page=viewproblem2&amp;cpid=626","USACO 16feb-cbarn-plat")</f>
        <v>USACO 16feb-cbarn-plat</v>
      </c>
      <c r="B1726" s="20" t="s">
        <v>7429</v>
      </c>
      <c r="C1726" s="24">
        <v>6.5</v>
      </c>
      <c r="D1726" s="65" t="str">
        <f>HYPERLINK("https://github.com/thecodingwizard/competitive-programming/blob/master/USACO/2016feb/plat/cbarn.cpp","Sol")</f>
        <v>Sol</v>
      </c>
      <c r="E1726" s="31" t="s">
        <v>6098</v>
      </c>
      <c r="F1726" s="37" t="s">
        <v>201</v>
      </c>
      <c r="G1726" s="24"/>
      <c r="H1726" s="53"/>
    </row>
    <row r="1727" spans="1:8" ht="13.2">
      <c r="A1727" s="65" t="str">
        <f>HYPERLINK("http://usaco.org/index.php?page=viewproblem2&amp;cpid=625","USACO 16feb-fencedin-plat")</f>
        <v>USACO 16feb-fencedin-plat</v>
      </c>
      <c r="B1727" s="20" t="s">
        <v>7266</v>
      </c>
      <c r="C1727" s="24">
        <v>6.25</v>
      </c>
      <c r="D1727" s="69"/>
      <c r="E1727" s="31" t="s">
        <v>4275</v>
      </c>
      <c r="F1727" s="37" t="s">
        <v>139</v>
      </c>
      <c r="G1727" s="24"/>
      <c r="H1727" s="53"/>
    </row>
    <row r="1728" spans="1:8" ht="13.2">
      <c r="A1728" s="65" t="str">
        <f>HYPERLINK("http://usaco.org/index.php?page=viewproblem2&amp;cpid=648","USACO 16mar-262144-plat")</f>
        <v>USACO 16mar-262144-plat</v>
      </c>
      <c r="B1728" s="37" t="s">
        <v>1541</v>
      </c>
      <c r="C1728" s="24">
        <v>5.5</v>
      </c>
      <c r="D1728" s="69"/>
      <c r="E1728" s="31" t="s">
        <v>1337</v>
      </c>
      <c r="F1728" s="37" t="s">
        <v>139</v>
      </c>
      <c r="G1728" s="24"/>
      <c r="H1728" s="53"/>
    </row>
    <row r="1729" spans="1:8" ht="13.2">
      <c r="A1729" s="65" t="str">
        <f>HYPERLINK("http://usaco.org/index.php?page=viewproblem2&amp;cpid=770", "USACO 17dec-greedy-plat")</f>
        <v>USACO 17dec-greedy-plat</v>
      </c>
      <c r="B1729" s="20" t="s">
        <v>611</v>
      </c>
      <c r="C1729" s="21">
        <v>6</v>
      </c>
      <c r="D1729" s="69"/>
      <c r="E1729" s="31" t="s">
        <v>575</v>
      </c>
      <c r="F1729" s="37" t="s">
        <v>201</v>
      </c>
      <c r="G1729" s="24"/>
      <c r="H1729" s="53"/>
    </row>
    <row r="1730" spans="1:8" ht="13.2">
      <c r="A1730" s="65" t="str">
        <f>HYPERLINK("http://usaco.org/index.php?page=viewproblem2&amp;cpid=769", "USACO 17dec-pushabox-plat")</f>
        <v>USACO 17dec-pushabox-plat</v>
      </c>
      <c r="B1730" s="20" t="s">
        <v>7288</v>
      </c>
      <c r="C1730" s="21">
        <v>6.5</v>
      </c>
      <c r="D1730" s="69"/>
      <c r="E1730" s="31" t="s">
        <v>4423</v>
      </c>
      <c r="F1730" s="37"/>
      <c r="G1730" s="24"/>
      <c r="H1730" s="53"/>
    </row>
    <row r="1731" spans="1:8" ht="13.2">
      <c r="A1731" s="65" t="str">
        <f>HYPERLINK("http://usaco.org/index.php?page=viewproblem2&amp;cpid=768", "USACO 17dec-standingout-plat")</f>
        <v>USACO 17dec-standingout-plat</v>
      </c>
      <c r="B1731" s="20" t="s">
        <v>5796</v>
      </c>
      <c r="C1731" s="21">
        <v>6.25</v>
      </c>
      <c r="D1731" s="69"/>
      <c r="E1731" s="31" t="s">
        <v>5794</v>
      </c>
      <c r="F1731" s="37" t="s">
        <v>154</v>
      </c>
      <c r="G1731" s="24"/>
      <c r="H1731" s="53"/>
    </row>
    <row r="1732" spans="1:8" ht="13.2">
      <c r="A1732" s="65" t="str">
        <f>HYPERLINK("http://usaco.org/index.php?page=viewproblem2&amp;cpid=722","USACO 17feb-friendcross")</f>
        <v>USACO 17feb-friendcross</v>
      </c>
      <c r="B1732" s="20" t="s">
        <v>587</v>
      </c>
      <c r="C1732" s="21">
        <v>6.5</v>
      </c>
      <c r="D1732" s="69"/>
      <c r="E1732" s="31" t="s">
        <v>575</v>
      </c>
      <c r="F1732" s="37"/>
      <c r="G1732" s="24"/>
      <c r="H1732" s="53"/>
    </row>
    <row r="1733" spans="1:8" ht="13.2">
      <c r="A1733" s="65" t="str">
        <f>HYPERLINK("http://usaco.org/index.php?page=viewproblem2&amp;cpid=722", "USACO 17feb-friendcross-plat")</f>
        <v>USACO 17feb-friendcross-plat</v>
      </c>
      <c r="B1733" s="20" t="s">
        <v>6816</v>
      </c>
      <c r="C1733" s="21">
        <v>6</v>
      </c>
      <c r="D1733" s="65" t="str">
        <f>HYPERLINK("https://github.com/MohamedAhmed04/Competitive-programming/blob/master/USACO/17-February-Platinum-WhyDidTheCowCrossTheRoadIII.cpp","Sol")</f>
        <v>Sol</v>
      </c>
      <c r="E1733" s="31" t="s">
        <v>1223</v>
      </c>
      <c r="F1733" s="37" t="s">
        <v>139</v>
      </c>
      <c r="G1733" s="24"/>
      <c r="H1733" s="53"/>
    </row>
    <row r="1734" spans="1:8" ht="13.2">
      <c r="A1734" s="65" t="str">
        <f>HYPERLINK("http://usaco.org/index.php?page=viewproblem2&amp;cpid=720", "USACO 17feb-mincross-plat")</f>
        <v>USACO 17feb-mincross-plat</v>
      </c>
      <c r="B1734" s="20" t="s">
        <v>124</v>
      </c>
      <c r="C1734" s="21">
        <v>5.5</v>
      </c>
      <c r="D1734" s="69"/>
      <c r="E1734" s="31" t="s">
        <v>125</v>
      </c>
      <c r="F1734" s="37" t="s">
        <v>242</v>
      </c>
      <c r="G1734" s="24"/>
      <c r="H1734" s="53"/>
    </row>
    <row r="1735" spans="1:8" ht="13.2">
      <c r="A1735" s="65" t="str">
        <f>HYPERLINK("http://usaco.org/index.php?page=viewproblem2&amp;cpid=721", "USACO 17feb-nocross-plat")</f>
        <v>USACO 17feb-nocross-plat</v>
      </c>
      <c r="B1735" s="20" t="s">
        <v>6900</v>
      </c>
      <c r="C1735" s="21">
        <v>5.75</v>
      </c>
      <c r="D1735" s="69"/>
      <c r="E1735" s="31" t="s">
        <v>1337</v>
      </c>
      <c r="F1735" s="37" t="s">
        <v>201</v>
      </c>
      <c r="G1735" s="24"/>
      <c r="H1735" s="53"/>
    </row>
    <row r="1736" spans="1:8" ht="13.2">
      <c r="A1736" s="65" t="str">
        <f>HYPERLINK("http://usaco.org/index.php?page=viewproblem2&amp;cpid=696", "USACO 17jan-promote-plat")</f>
        <v>USACO 17jan-promote-plat</v>
      </c>
      <c r="B1736" s="20" t="s">
        <v>6817</v>
      </c>
      <c r="C1736" s="21">
        <v>5.5</v>
      </c>
      <c r="D1736" s="69"/>
      <c r="E1736" s="31" t="s">
        <v>1223</v>
      </c>
      <c r="F1736" s="37"/>
      <c r="G1736" s="24"/>
      <c r="H1736" s="53"/>
    </row>
    <row r="1737" spans="1:8" ht="13.2">
      <c r="A1737" s="65" t="str">
        <f>HYPERLINK("http://usaco.org/index.php?page=viewproblem2&amp;cpid=698", "USACO 17jan-subrev-plat")</f>
        <v>USACO 17jan-subrev-plat</v>
      </c>
      <c r="B1737" s="20" t="s">
        <v>1348</v>
      </c>
      <c r="C1737" s="21">
        <v>5.75</v>
      </c>
      <c r="D1737" s="69"/>
      <c r="E1737" s="31" t="s">
        <v>1337</v>
      </c>
      <c r="F1737" s="37" t="s">
        <v>139</v>
      </c>
      <c r="G1737" s="24"/>
      <c r="H1737" s="53"/>
    </row>
    <row r="1738" spans="1:8" ht="13.2">
      <c r="A1738" s="65" t="str">
        <f>HYPERLINK("http://usaco.org/index.php?page=viewproblem2&amp;cpid=697", "USACO 17jan-tallbarn-plat")</f>
        <v>USACO 17jan-tallbarn-plat</v>
      </c>
      <c r="B1738" s="20" t="s">
        <v>7007</v>
      </c>
      <c r="C1738" s="21">
        <v>6</v>
      </c>
      <c r="D1738" s="65" t="str">
        <f>HYPERLINK("https://github.com/zoooma13/Competitive-Programming/blob/master/tallbarn.cpp","Sol")</f>
        <v>Sol</v>
      </c>
      <c r="E1738" s="31" t="s">
        <v>2153</v>
      </c>
      <c r="F1738" s="37" t="s">
        <v>154</v>
      </c>
      <c r="G1738" s="24"/>
      <c r="H1738" s="53"/>
    </row>
    <row r="1739" spans="1:8" ht="13.2">
      <c r="A1739" s="65" t="str">
        <f>HYPERLINK("http://usaco.org/index.php?page=viewproblem2&amp;cpid=744", "USACO 17mar-art")</f>
        <v>USACO 17mar-art</v>
      </c>
      <c r="B1739" s="37" t="s">
        <v>245</v>
      </c>
      <c r="C1739" s="24">
        <v>6</v>
      </c>
      <c r="D1739" s="69"/>
      <c r="E1739" s="31" t="s">
        <v>125</v>
      </c>
      <c r="F1739" s="37" t="s">
        <v>242</v>
      </c>
      <c r="G1739" s="24"/>
      <c r="H1739" s="53"/>
    </row>
    <row r="1740" spans="1:8" ht="13.2">
      <c r="A1740" s="65" t="str">
        <f>HYPERLINK("http://usaco.org/index.php?page=viewproblem2&amp;cpid=745", "USACO 17mar-grass")</f>
        <v>USACO 17mar-grass</v>
      </c>
      <c r="B1740" s="37" t="s">
        <v>7260</v>
      </c>
      <c r="C1740" s="24">
        <v>7.5</v>
      </c>
      <c r="D1740" s="65" t="str">
        <f>HYPERLINK("https://github.com/tmwilliamlin168/CompetitiveProgramming/blob/master/USACO/Contests/1617_4P/grass.cpp", "Sol")</f>
        <v>Sol</v>
      </c>
      <c r="E1740" s="31" t="s">
        <v>4275</v>
      </c>
      <c r="F1740" s="37" t="s">
        <v>139</v>
      </c>
      <c r="G1740" s="24"/>
      <c r="H1740" s="53"/>
    </row>
    <row r="1741" spans="1:8" ht="13.2">
      <c r="A1741" s="65" t="str">
        <f>HYPERLINK("http://usaco.org/index.php?page=viewproblem2&amp;cpid=864", "USACO 18dec-balanceplat")</f>
        <v>USACO 18dec-balanceplat</v>
      </c>
      <c r="B1741" s="20" t="s">
        <v>7099</v>
      </c>
      <c r="C1741" s="21">
        <v>6.5</v>
      </c>
      <c r="D1741" s="65" t="str">
        <f>HYPERLINK("https://github.com/updown2/OI-Practice/blob/master/USACO/2018-2019/1.%20December%20%5BDONE%5D/Balance%20Beam.cpp","Sol")</f>
        <v>Sol</v>
      </c>
      <c r="E1741" s="31" t="s">
        <v>3065</v>
      </c>
      <c r="F1741" s="37" t="s">
        <v>139</v>
      </c>
      <c r="G1741" s="24"/>
      <c r="H1741" s="53"/>
    </row>
    <row r="1742" spans="1:8" ht="13.2">
      <c r="A1742" s="65" t="str">
        <f>HYPERLINK("http://usaco.org/index.php?page=viewproblem2&amp;cpid=862","USACO 18dec-cowpatibility")</f>
        <v>USACO 18dec-cowpatibility</v>
      </c>
      <c r="B1742" s="20" t="s">
        <v>7350</v>
      </c>
      <c r="C1742" s="21">
        <v>5.5</v>
      </c>
      <c r="D1742" s="69"/>
      <c r="E1742" s="31" t="s">
        <v>5134</v>
      </c>
      <c r="F1742" s="37" t="s">
        <v>201</v>
      </c>
      <c r="G1742" s="24"/>
      <c r="H1742" s="53"/>
    </row>
    <row r="1743" spans="1:8" ht="13.2">
      <c r="A1743" s="65" t="str">
        <f>HYPERLINK("http://usaco.org/index.php?page=viewproblem2&amp;cpid=861","USACO 18dec-dining")</f>
        <v>USACO 18dec-dining</v>
      </c>
      <c r="B1743" s="20" t="s">
        <v>3791</v>
      </c>
      <c r="C1743" s="21">
        <v>5.75</v>
      </c>
      <c r="D1743" s="69"/>
      <c r="E1743" s="31" t="s">
        <v>3784</v>
      </c>
      <c r="F1743" s="37" t="s">
        <v>201</v>
      </c>
      <c r="G1743" s="24"/>
      <c r="H1743" s="53"/>
    </row>
    <row r="1744" spans="1:8" ht="13.2">
      <c r="A1744" s="65" t="str">
        <f>HYPERLINK("http://usaco.org/index.php?page=viewproblem2&amp;cpid=866","USACO 18dec-gathering")</f>
        <v>USACO 18dec-gathering</v>
      </c>
      <c r="B1744" s="20" t="s">
        <v>7248</v>
      </c>
      <c r="C1744" s="21">
        <v>6.5</v>
      </c>
      <c r="D1744" s="69"/>
      <c r="E1744" s="31" t="s">
        <v>3955</v>
      </c>
      <c r="F1744" s="37" t="s">
        <v>201</v>
      </c>
      <c r="G1744" s="24"/>
      <c r="H1744" s="53"/>
    </row>
    <row r="1745" spans="1:8" ht="13.2">
      <c r="A1745" s="65" t="str">
        <f>HYPERLINK("http://usaco.org/index.php?page=viewproblem2&amp;cpid=865", "USACO 18dec-itoutplat")</f>
        <v>USACO 18dec-itoutplat</v>
      </c>
      <c r="B1745" s="20" t="s">
        <v>6803</v>
      </c>
      <c r="C1745" s="21">
        <v>7.25</v>
      </c>
      <c r="D1745" s="65" t="str">
        <f>HYPERLINK("https://github.com/tmwilliamlin168/CompetitiveProgramming/blob/master/USACO/Contests/1819_1P/Itout.cpp", "Sol")</f>
        <v>Sol</v>
      </c>
      <c r="E1745" s="31" t="s">
        <v>1223</v>
      </c>
      <c r="F1745" s="37" t="s">
        <v>154</v>
      </c>
      <c r="G1745" s="24"/>
      <c r="H1745" s="53"/>
    </row>
    <row r="1746" spans="1:8" ht="13.2">
      <c r="A1746" s="65" t="str">
        <f>HYPERLINK("http://usaco.org/index.php?page=viewproblem2&amp;cpid=814","USACO 18feb-dirtraverse-gold")</f>
        <v>USACO 18feb-dirtraverse-gold</v>
      </c>
      <c r="B1746" s="37" t="s">
        <v>7515</v>
      </c>
      <c r="C1746" s="24">
        <v>5</v>
      </c>
      <c r="D1746" s="69"/>
      <c r="E1746" s="31" t="s">
        <v>6459</v>
      </c>
      <c r="F1746" s="37"/>
      <c r="G1746" s="24"/>
      <c r="H1746" s="53"/>
    </row>
    <row r="1747" spans="1:8" ht="13.2">
      <c r="A1747" s="65" t="str">
        <f>HYPERLINK("http://usaco.org/index.php?page=viewproblem2&amp;cpid=818", "USACO 18feb-gymnasts-plat")</f>
        <v>USACO 18feb-gymnasts-plat</v>
      </c>
      <c r="B1747" s="20" t="s">
        <v>4960</v>
      </c>
      <c r="C1747" s="21">
        <v>7.25</v>
      </c>
      <c r="D1747" s="69"/>
      <c r="E1747" s="31" t="s">
        <v>4958</v>
      </c>
      <c r="F1747" s="37" t="s">
        <v>139</v>
      </c>
      <c r="G1747" s="24"/>
      <c r="H1747" s="53"/>
    </row>
    <row r="1748" spans="1:8" ht="13.2">
      <c r="A1748" s="65" t="str">
        <f>HYPERLINK("http://usaco.org/index.php?page=viewproblem2&amp;cpid=817", "USACO 18feb-newbarn-plat")</f>
        <v>USACO 18feb-newbarn-plat</v>
      </c>
      <c r="B1748" s="20" t="s">
        <v>7452</v>
      </c>
      <c r="C1748" s="21">
        <v>6.25</v>
      </c>
      <c r="D1748" s="69"/>
      <c r="E1748" s="31" t="s">
        <v>6345</v>
      </c>
      <c r="F1748" s="37" t="s">
        <v>201</v>
      </c>
      <c r="G1748" s="24"/>
      <c r="H1748" s="53"/>
    </row>
    <row r="1749" spans="1:8" ht="13.2">
      <c r="A1749" s="65" t="str">
        <f>HYPERLINK("http://usaco.org/index.php?page=viewproblem2&amp;cpid=816","USACO 18feb-slingshot-plat")</f>
        <v>USACO 18feb-slingshot-plat</v>
      </c>
      <c r="B1749" s="20" t="s">
        <v>3153</v>
      </c>
      <c r="C1749" s="21">
        <v>6</v>
      </c>
      <c r="D1749" s="69"/>
      <c r="E1749" s="31" t="s">
        <v>3140</v>
      </c>
      <c r="F1749" s="37" t="s">
        <v>201</v>
      </c>
      <c r="G1749" s="24"/>
      <c r="H1749" s="53"/>
    </row>
    <row r="1750" spans="1:8" ht="13.2">
      <c r="A1750" s="65" t="str">
        <f>HYPERLINK("http://usaco.org/index.php?page=viewproblem2&amp;cpid=793", "USACO 18jan-atlarge-plat")</f>
        <v>USACO 18jan-atlarge-plat</v>
      </c>
      <c r="B1750" s="20" t="s">
        <v>7473</v>
      </c>
      <c r="C1750" s="21">
        <v>7.5</v>
      </c>
      <c r="D1750" s="65" t="str">
        <f>HYPERLINK("https://github.com/gametothepower8/Solutions-to-OI-problems/blob/master/USACO18Janplat-atlarge.cpp","Sol")</f>
        <v>Sol</v>
      </c>
      <c r="E1750" s="31" t="s">
        <v>6397</v>
      </c>
      <c r="F1750" s="37" t="s">
        <v>173</v>
      </c>
      <c r="G1750" s="24"/>
      <c r="H1750" s="53"/>
    </row>
    <row r="1751" spans="1:8" ht="13.2">
      <c r="A1751" s="65" t="str">
        <f>HYPERLINK("http://usaco.org/index.php?page=viewproblem2&amp;cpid=792", "USACO 18jan-lifeguards-plat")</f>
        <v>USACO 18jan-lifeguards-plat</v>
      </c>
      <c r="B1751" s="20" t="s">
        <v>6871</v>
      </c>
      <c r="C1751" s="21">
        <v>6.25</v>
      </c>
      <c r="D1751" s="65" t="str">
        <f>HYPERLINK("https://github.com/thecodingwizard/competitive-programming/blob/master/USACO/2018jan/plat/lifeguards%20(legit%20solution).cpp","Sol")</f>
        <v>Sol</v>
      </c>
      <c r="E1751" s="31" t="s">
        <v>1337</v>
      </c>
      <c r="F1751" s="37" t="s">
        <v>139</v>
      </c>
      <c r="G1751" s="24"/>
      <c r="H1751" s="53"/>
    </row>
    <row r="1752" spans="1:8" ht="13.2">
      <c r="A1752" s="65" t="str">
        <f>HYPERLINK("http://usaco.org/index.php?page=viewproblem2&amp;cpid=794", "USACO 18jan-sprinklers-plat")</f>
        <v>USACO 18jan-sprinklers-plat</v>
      </c>
      <c r="B1752" s="20" t="s">
        <v>7341</v>
      </c>
      <c r="C1752" s="21">
        <v>6.5</v>
      </c>
      <c r="D1752" s="65" t="str">
        <f>HYPERLINK("https://github.com/stefdasca/CompetitiveProgramming/blob/master/USACO/USACO%2018jan-sprinklers-plat.cpp","Sol")</f>
        <v>Sol</v>
      </c>
      <c r="E1752" s="31" t="s">
        <v>4958</v>
      </c>
      <c r="F1752" s="37" t="s">
        <v>139</v>
      </c>
      <c r="G1752" s="24"/>
      <c r="H1752" s="53"/>
    </row>
    <row r="1753" spans="1:8" ht="13.2">
      <c r="A1753" s="65" t="str">
        <f>HYPERLINK("http://usaco.org/index.php?page=viewproblem2&amp;cpid=842", "USACO 18mar-disrupt-plat")</f>
        <v>USACO 18mar-disrupt-plat</v>
      </c>
      <c r="B1753" s="20" t="s">
        <v>7189</v>
      </c>
      <c r="C1753" s="21">
        <v>6.4</v>
      </c>
      <c r="D1753" s="65" t="str">
        <f>HYPERLINK("https://github.com/luciocf/OI-Problems/blob/master/USACO/USACO%202017-2018/Plat/US%20Open/disrupt.cpp","Sol")</f>
        <v>Sol</v>
      </c>
      <c r="E1753" s="31" t="s">
        <v>3650</v>
      </c>
      <c r="F1753" s="37" t="s">
        <v>139</v>
      </c>
      <c r="G1753" s="24"/>
      <c r="H1753" s="53"/>
    </row>
    <row r="1754" spans="1:8" ht="13.2">
      <c r="A1754" s="65" t="str">
        <f>HYPERLINK("http://usaco.org/index.php?page=viewproblem2&amp;cpid=837", "USACO 18mar-sortgold")</f>
        <v>USACO 18mar-sortgold</v>
      </c>
      <c r="B1754" s="20" t="s">
        <v>6680</v>
      </c>
      <c r="C1754" s="24">
        <v>6.5</v>
      </c>
      <c r="D1754" s="65" t="str">
        <f>HYPERLINK("https://github.com/dolphingarlic/CompetitiveProgramming/blob/master/USACO/USACO%2018-out_of_sorts_gold.cpp","Sol")</f>
        <v>Sol</v>
      </c>
      <c r="E1754" s="31" t="s">
        <v>575</v>
      </c>
      <c r="F1754" s="37" t="s">
        <v>1053</v>
      </c>
      <c r="G1754" s="24"/>
      <c r="H1754" s="53"/>
    </row>
    <row r="1755" spans="1:8" ht="13.2">
      <c r="A1755" s="65" t="str">
        <f>HYPERLINK("http://usaco.org/index.php?page=viewproblem2&amp;cpid=840", "USACO 18mar-sortplat")</f>
        <v>USACO 18mar-sortplat</v>
      </c>
      <c r="B1755" s="20" t="s">
        <v>6808</v>
      </c>
      <c r="C1755" s="24">
        <v>6.8</v>
      </c>
      <c r="D1755" s="69"/>
      <c r="E1755" s="31" t="s">
        <v>1223</v>
      </c>
      <c r="F1755" s="37" t="s">
        <v>139</v>
      </c>
      <c r="G1755" s="24"/>
      <c r="H1755" s="53"/>
    </row>
    <row r="1756" spans="1:8" ht="13.2">
      <c r="A1756" s="65" t="str">
        <f>HYPERLINK("http://usaco.org/index.php?page=viewproblem2&amp;cpid=841", "USACO 18mar-trainplat")</f>
        <v>USACO 18mar-trainplat</v>
      </c>
      <c r="B1756" s="20" t="s">
        <v>6398</v>
      </c>
      <c r="C1756" s="24">
        <v>7.5</v>
      </c>
      <c r="D1756" s="69"/>
      <c r="E1756" s="31" t="s">
        <v>6397</v>
      </c>
      <c r="F1756" s="37" t="s">
        <v>139</v>
      </c>
      <c r="G1756" s="24"/>
      <c r="H1756" s="53"/>
    </row>
    <row r="1757" spans="1:8" ht="13.2">
      <c r="A1757" s="65" t="str">
        <f>HYPERLINK("http://www.usaco.org/index.php?page=viewproblem2&amp;cpid=972","USACO 19dec-plat-pieaters")</f>
        <v>USACO 19dec-plat-pieaters</v>
      </c>
      <c r="B1757" s="20" t="s">
        <v>2112</v>
      </c>
      <c r="C1757" s="17">
        <v>6.5</v>
      </c>
      <c r="D1757" s="65" t="str">
        <f>HYPERLINK("https://github.com/thecodingwizard/competitive-programming/blob/master/USACO/2019dec/pieaters.cpp","Sol")</f>
        <v>Sol</v>
      </c>
      <c r="E1757" s="31" t="s">
        <v>2113</v>
      </c>
      <c r="F1757" s="37" t="s">
        <v>436</v>
      </c>
      <c r="G1757" s="24"/>
      <c r="H1757" s="53"/>
    </row>
    <row r="1758" spans="1:8" ht="13.2">
      <c r="A1758" s="65" t="str">
        <f>HYPERLINK("http://www.usaco.org/index.php?page=viewproblem2&amp;cpid=973","USACO 19dec-plat-snowcow")</f>
        <v>USACO 19dec-plat-snowcow</v>
      </c>
      <c r="B1758" s="20" t="s">
        <v>6788</v>
      </c>
      <c r="C1758" s="17">
        <v>6</v>
      </c>
      <c r="D1758" s="69"/>
      <c r="E1758" s="31" t="s">
        <v>1018</v>
      </c>
      <c r="F1758" s="37" t="s">
        <v>242</v>
      </c>
      <c r="G1758" s="24"/>
      <c r="H1758" s="53"/>
    </row>
    <row r="1759" spans="1:8" ht="13.2">
      <c r="A1759" s="65" t="str">
        <f>HYPERLINK("http://www.usaco.org/index.php?page=viewproblem2&amp;cpid=974","USACO 19dec-plat-treedepth")</f>
        <v>USACO 19dec-plat-treedepth</v>
      </c>
      <c r="B1759" s="20" t="s">
        <v>6964</v>
      </c>
      <c r="C1759" s="17">
        <v>7.5</v>
      </c>
      <c r="D1759" s="69"/>
      <c r="E1759" s="31" t="s">
        <v>1909</v>
      </c>
      <c r="F1759" s="37" t="s">
        <v>139</v>
      </c>
      <c r="G1759" s="24"/>
      <c r="H1759" s="53"/>
    </row>
    <row r="1760" spans="1:8" ht="13.2">
      <c r="A1760" s="65" t="str">
        <f>HYPERLINK("http://usaco.org/index.php?page=viewproblem2&amp;cpid=924","USACO 19feb-cowdate-plat")</f>
        <v>USACO 19feb-cowdate-plat</v>
      </c>
      <c r="B1760" s="23" t="s">
        <v>7421</v>
      </c>
      <c r="C1760" s="24">
        <v>5</v>
      </c>
      <c r="D1760" s="69"/>
      <c r="E1760" s="31" t="s">
        <v>6040</v>
      </c>
      <c r="F1760" s="37" t="s">
        <v>201</v>
      </c>
      <c r="G1760" s="24"/>
      <c r="H1760" s="53"/>
    </row>
    <row r="1761" spans="1:8" ht="13.2">
      <c r="A1761" s="65" t="str">
        <f>HYPERLINK("http://usaco.org/index.php?page=viewproblem2&amp;cpid=921","USACO 19feb-gold-cowland")</f>
        <v>USACO 19feb-gold-cowland</v>
      </c>
      <c r="B1761" s="37" t="s">
        <v>6320</v>
      </c>
      <c r="C1761" s="24">
        <v>5</v>
      </c>
      <c r="D1761" s="69"/>
      <c r="E1761" s="31" t="s">
        <v>6311</v>
      </c>
      <c r="F1761" s="37"/>
      <c r="G1761" s="24"/>
      <c r="H1761" s="53"/>
    </row>
    <row r="1762" spans="1:8" ht="13.2">
      <c r="A1762" s="65" t="str">
        <f>HYPERLINK("http://usaco.org/index.php?page=viewproblem2&amp;cpid=923","USACO 19feb-gold-paintbarn")</f>
        <v>USACO 19feb-gold-paintbarn</v>
      </c>
      <c r="B1762" s="37" t="s">
        <v>245</v>
      </c>
      <c r="C1762" s="24">
        <v>5</v>
      </c>
      <c r="D1762" s="69"/>
      <c r="E1762" s="31" t="s">
        <v>125</v>
      </c>
      <c r="F1762" s="37" t="s">
        <v>201</v>
      </c>
      <c r="G1762" s="24"/>
      <c r="H1762" s="53"/>
    </row>
    <row r="1763" spans="1:8" ht="13.2">
      <c r="A1763" s="65" t="str">
        <f>HYPERLINK("http://usaco.org/index.php?page=viewproblem2&amp;cpid=926", "USACO 19feb-mowing-plat")</f>
        <v>USACO 19feb-mowing-plat</v>
      </c>
      <c r="B1763" s="37" t="s">
        <v>7490</v>
      </c>
      <c r="C1763" s="21">
        <v>8</v>
      </c>
      <c r="D1763" s="65" t="str">
        <f>HYPERLINK("https://github.com/ihdignite/CompetitiveProgramming/blob/master/USACO/1819_3P/Mowing.cpp", "Sol")</f>
        <v>Sol</v>
      </c>
      <c r="E1763" s="31" t="s">
        <v>6430</v>
      </c>
      <c r="F1763" s="37" t="s">
        <v>139</v>
      </c>
      <c r="G1763" s="24"/>
      <c r="H1763" s="53"/>
    </row>
    <row r="1764" spans="1:8" ht="13.2">
      <c r="A1764" s="65" t="str">
        <f>HYPERLINK("http://usaco.org/index.php?page=viewproblem2&amp;cpid=924", "USACO 19feb-plat_cowdate")</f>
        <v>USACO 19feb-plat_cowdate</v>
      </c>
      <c r="B1764" s="23" t="s">
        <v>7318</v>
      </c>
      <c r="C1764" s="21">
        <v>6</v>
      </c>
      <c r="D1764" s="69"/>
      <c r="E1764" s="31" t="s">
        <v>4531</v>
      </c>
      <c r="F1764" s="37" t="s">
        <v>139</v>
      </c>
      <c r="G1764" s="24"/>
      <c r="H1764" s="53"/>
    </row>
    <row r="1765" spans="1:8" ht="13.2">
      <c r="A1765" s="65" t="str">
        <f>HYPERLINK("http://usaco.org/index.php?page=viewproblem2&amp;cpid=925", "USACO 19feb-plat_mooriokart")</f>
        <v>USACO 19feb-plat_mooriokart</v>
      </c>
      <c r="B1765" s="20" t="s">
        <v>7482</v>
      </c>
      <c r="C1765" s="21">
        <v>6.25</v>
      </c>
      <c r="D1765" s="65" t="str">
        <f>HYPERLINK("https://github.com/thecodingwizard/competitive-programming/blob/master/USACO/2019feb/plat/mooriokart.cpp","Sol")</f>
        <v>Sol</v>
      </c>
      <c r="E1765" s="31" t="s">
        <v>6397</v>
      </c>
      <c r="F1765" s="37" t="s">
        <v>139</v>
      </c>
      <c r="G1765" s="24"/>
      <c r="H1765" s="53"/>
    </row>
    <row r="1766" spans="1:8" ht="13.2">
      <c r="A1766" s="65" t="str">
        <f>HYPERLINK("http://usaco.org/index.php?page=viewproblem2&amp;cpid=901", "USACO 19jan-exercise")</f>
        <v>USACO 19jan-exercise</v>
      </c>
      <c r="B1766" s="20" t="s">
        <v>7120</v>
      </c>
      <c r="C1766" s="21">
        <v>7.1</v>
      </c>
      <c r="D1766" s="69"/>
      <c r="E1766" s="31" t="s">
        <v>3257</v>
      </c>
      <c r="F1766" s="37" t="s">
        <v>139</v>
      </c>
      <c r="G1766" s="24"/>
      <c r="H1766" s="53"/>
    </row>
    <row r="1767" spans="1:8" ht="13.2">
      <c r="A1767" s="65" t="str">
        <f>HYPERLINK("http://usaco.org/index.php?page=viewproblem2&amp;cpid=900", "USACO 19jan-redistricting_plat")</f>
        <v>USACO 19jan-redistricting_plat</v>
      </c>
      <c r="B1767" s="20" t="s">
        <v>1040</v>
      </c>
      <c r="C1767" s="21">
        <v>5.5</v>
      </c>
      <c r="D1767" s="69"/>
      <c r="E1767" s="31" t="s">
        <v>1018</v>
      </c>
      <c r="F1767" s="37" t="s">
        <v>201</v>
      </c>
      <c r="G1767" s="24"/>
      <c r="H1767" s="53"/>
    </row>
    <row r="1768" spans="1:8" ht="13.2">
      <c r="A1768" s="65" t="str">
        <f>HYPERLINK("http://usaco.org/index.php?page=viewproblem2&amp;cpid=902", "USACO 19jan-tracking2_plat")</f>
        <v>USACO 19jan-tracking2_plat</v>
      </c>
      <c r="B1768" s="20" t="s">
        <v>1375</v>
      </c>
      <c r="C1768" s="21">
        <v>6.5</v>
      </c>
      <c r="D1768" s="69"/>
      <c r="E1768" s="31" t="s">
        <v>1337</v>
      </c>
      <c r="F1768" s="37" t="s">
        <v>201</v>
      </c>
      <c r="G1768" s="24"/>
      <c r="H1768" s="53"/>
    </row>
    <row r="1769" spans="1:8" ht="13.2">
      <c r="A1769" s="65" t="str">
        <f>HYPERLINK("http://usaco.org/index.php?page=viewproblem2&amp;cpid=947","USACO 19mar-balancing-gold")</f>
        <v>USACO 19mar-balancing-gold</v>
      </c>
      <c r="B1769" s="20" t="s">
        <v>6612</v>
      </c>
      <c r="C1769" s="17">
        <v>6.1</v>
      </c>
      <c r="D1769" s="69"/>
      <c r="E1769" s="31" t="s">
        <v>125</v>
      </c>
      <c r="F1769" s="37" t="s">
        <v>139</v>
      </c>
      <c r="G1769" s="24"/>
      <c r="H1769" s="53"/>
    </row>
    <row r="1770" spans="1:8" ht="13.2">
      <c r="A1770" s="65" t="str">
        <f>HYPERLINK("http://usaco.org/index.php?page=viewproblem2&amp;cpid=945","USACO 19mar-snakes-gold")</f>
        <v>USACO 19mar-snakes-gold</v>
      </c>
      <c r="B1770" s="20" t="s">
        <v>1348</v>
      </c>
      <c r="C1770" s="17">
        <v>5</v>
      </c>
      <c r="D1770" s="69"/>
      <c r="E1770" s="31" t="s">
        <v>1337</v>
      </c>
      <c r="F1770" s="37"/>
      <c r="G1770" s="24"/>
      <c r="H1770" s="53"/>
    </row>
    <row r="1771" spans="1:8" ht="13.2">
      <c r="A1771" s="65" t="str">
        <f>HYPERLINK("http://usaco.org/index.php?page=viewproblem2&amp;cpid=950","USACO 19mar-Valleys-plat")</f>
        <v>USACO 19mar-Valleys-plat</v>
      </c>
      <c r="B1771" s="37" t="s">
        <v>7228</v>
      </c>
      <c r="C1771" s="24">
        <v>7</v>
      </c>
      <c r="D1771" s="65" t="str">
        <f>HYPERLINK("https://github.com/Szawinis/CompetitiveProgramming/blob/master/Olympiad/USACO/USACO19mar-valleys-plat.cpp","Sol")</f>
        <v>Sol</v>
      </c>
      <c r="E1771" s="31" t="s">
        <v>3883</v>
      </c>
      <c r="F1771" s="37"/>
      <c r="G1771" s="24"/>
      <c r="H1771" s="53"/>
    </row>
    <row r="1772" spans="1:8" ht="13.2">
      <c r="A1772" s="65" t="str">
        <f>HYPERLINK("http://usaco.org/index.php?page=viewproblem2&amp;cpid=946","USACO 19mar-walk-gold")</f>
        <v>USACO 19mar-walk-gold</v>
      </c>
      <c r="B1772" s="20" t="s">
        <v>124</v>
      </c>
      <c r="C1772" s="17">
        <v>5</v>
      </c>
      <c r="D1772" s="69"/>
      <c r="E1772" s="31" t="s">
        <v>125</v>
      </c>
      <c r="F1772" s="37"/>
      <c r="G1772" s="24"/>
      <c r="H1772" s="53"/>
    </row>
    <row r="1773" spans="1:8" ht="13.2">
      <c r="A1773" s="65" t="str">
        <f>HYPERLINK("http://usaco.org/index.php?page=viewproblem2&amp;cpid=972#","USACO 20dec-pieaters-plat")</f>
        <v>USACO 20dec-pieaters-plat</v>
      </c>
      <c r="B1773" s="23" t="s">
        <v>6856</v>
      </c>
      <c r="C1773" s="24">
        <v>6.5</v>
      </c>
      <c r="D1773" s="69"/>
      <c r="E1773" s="31" t="s">
        <v>1337</v>
      </c>
      <c r="F1773" s="37" t="s">
        <v>201</v>
      </c>
      <c r="G1773" s="24"/>
      <c r="H1773" s="53"/>
    </row>
    <row r="1774" spans="1:8" ht="13.2">
      <c r="A1774" s="65" t="str">
        <f>HYPERLINK("http://www.usaco.org/index.php?page=viewproblem2&amp;cpid=1020","USACO 20feb-deleg")</f>
        <v>USACO 20feb-deleg</v>
      </c>
      <c r="B1774" s="20" t="s">
        <v>814</v>
      </c>
      <c r="C1774" s="17">
        <v>6.75</v>
      </c>
      <c r="D1774" s="69"/>
      <c r="E1774" s="31" t="s">
        <v>805</v>
      </c>
      <c r="F1774" s="37"/>
      <c r="G1774" s="24"/>
      <c r="H1774" s="53"/>
    </row>
    <row r="1775" spans="1:8" ht="13.2">
      <c r="A1775" s="65" t="str">
        <f>HYPERLINK("http://www.usaco.org/index.php?page=viewproblem2&amp;cpid=1022","USACO 20feb-help")</f>
        <v>USACO 20feb-help</v>
      </c>
      <c r="B1775" s="20" t="s">
        <v>1040</v>
      </c>
      <c r="C1775" s="17">
        <v>7</v>
      </c>
      <c r="D1775" s="69"/>
      <c r="E1775" s="31" t="s">
        <v>1018</v>
      </c>
      <c r="F1775" s="37"/>
      <c r="G1775" s="24"/>
      <c r="H1775" s="53"/>
    </row>
    <row r="1776" spans="1:8" ht="13.2">
      <c r="A1776" s="65" t="str">
        <f>HYPERLINK("http://www.usaco.org/index.php?page=viewproblem2&amp;cpid=1021","USACO 20feb-triangles")</f>
        <v>USACO 20feb-triangles</v>
      </c>
      <c r="B1776" s="20" t="s">
        <v>245</v>
      </c>
      <c r="C1776" s="24">
        <v>6</v>
      </c>
      <c r="D1776" s="69"/>
      <c r="E1776" s="31" t="s">
        <v>125</v>
      </c>
      <c r="F1776" s="37"/>
      <c r="G1776" s="24"/>
      <c r="H1776" s="53"/>
    </row>
    <row r="1777" spans="1:8" ht="13.2">
      <c r="A1777" s="65" t="str">
        <f>HYPERLINK("http://www.usaco.org/index.php?page=viewproblem2&amp;cpid=996","USACO 20jan-cave-plat")</f>
        <v>USACO 20jan-cave-plat</v>
      </c>
      <c r="B1777" s="37" t="s">
        <v>3886</v>
      </c>
      <c r="C1777" s="24">
        <v>6.5</v>
      </c>
      <c r="D1777" s="69"/>
      <c r="E1777" s="31" t="s">
        <v>3883</v>
      </c>
      <c r="F1777" s="37"/>
      <c r="G1777" s="24"/>
      <c r="H1777" s="53"/>
    </row>
    <row r="1778" spans="1:8" ht="13.2">
      <c r="A1778" s="65" t="str">
        <f>HYPERLINK("http://www.usaco.org/index.php?page=viewproblem2&amp;cpid=994","USACO 20jan-threesum-gold")</f>
        <v>USACO 20jan-threesum-gold</v>
      </c>
      <c r="B1778" s="37" t="s">
        <v>1348</v>
      </c>
      <c r="C1778" s="24">
        <v>6</v>
      </c>
      <c r="D1778" s="69"/>
      <c r="E1778" s="31" t="s">
        <v>1337</v>
      </c>
      <c r="F1778" s="37" t="s">
        <v>139</v>
      </c>
      <c r="G1778" s="24"/>
      <c r="H1778" s="53"/>
    </row>
    <row r="1779" spans="1:8" ht="13.2">
      <c r="A1779" s="65" t="str">
        <f>HYPERLINK("https://dmoj.ca/problem/utso15p5","UTSOpen 15-DistributionChannel")</f>
        <v>UTSOpen 15-DistributionChannel</v>
      </c>
      <c r="B1779" s="23" t="s">
        <v>4456</v>
      </c>
      <c r="C1779" s="24">
        <v>5</v>
      </c>
      <c r="D1779" s="65" t="str">
        <f>HYPERLINK("https://github.com/win11905/submission/blob/61c76f8b073e5e5446e7688626c487a4dcbfcd9e/Dmoj/utso15p5.cpp","Sol")</f>
        <v>Sol</v>
      </c>
      <c r="E1779" s="31" t="s">
        <v>4454</v>
      </c>
      <c r="F1779" s="37" t="s">
        <v>139</v>
      </c>
      <c r="G1779" s="24"/>
      <c r="H1779" s="53"/>
    </row>
    <row r="1780" spans="1:8" ht="13.2">
      <c r="A1780" s="65" t="str">
        <f>HYPERLINK("https://dmoj.ca/problem/utso15p3","UTSOpen 15-Pogo")</f>
        <v>UTSOpen 15-Pogo</v>
      </c>
      <c r="B1780" s="37" t="s">
        <v>6883</v>
      </c>
      <c r="C1780" s="24">
        <v>6.1</v>
      </c>
      <c r="D1780" s="69"/>
      <c r="E1780" s="31" t="s">
        <v>1337</v>
      </c>
      <c r="F1780" s="37"/>
      <c r="G1780" s="24"/>
      <c r="H1780" s="53"/>
    </row>
    <row r="1781" spans="1:8" ht="13.2">
      <c r="A1781" s="65" t="str">
        <f>HYPERLINK("https://dmoj.ca/problem/utso18p2","UTSOpen 18-ABCs")</f>
        <v>UTSOpen 18-ABCs</v>
      </c>
      <c r="B1781" s="37" t="s">
        <v>7588</v>
      </c>
      <c r="C1781" s="24">
        <v>5.5</v>
      </c>
      <c r="D1781" s="69"/>
      <c r="E1781" s="31" t="s">
        <v>7525</v>
      </c>
      <c r="F1781" s="37"/>
      <c r="G1781" s="24"/>
      <c r="H1781" s="53"/>
    </row>
    <row r="1782" spans="1:8" ht="13.2">
      <c r="A1782" s="65" t="str">
        <f>HYPERLINK("https://dmoj.ca/problem/utso18p1","UTSOpen 18-LoveTriangle")</f>
        <v>UTSOpen 18-LoveTriangle</v>
      </c>
      <c r="B1782" s="37" t="s">
        <v>7588</v>
      </c>
      <c r="C1782" s="24">
        <v>5.5</v>
      </c>
      <c r="D1782" s="69"/>
      <c r="E1782" s="31" t="s">
        <v>7525</v>
      </c>
      <c r="F1782" s="37"/>
      <c r="G1782" s="24"/>
      <c r="H1782" s="53"/>
    </row>
    <row r="1783" spans="1:8" ht="15.75" customHeight="1">
      <c r="G1783" s="24"/>
      <c r="H1783" s="53"/>
    </row>
    <row r="1784" spans="1:8" ht="15.75" customHeight="1">
      <c r="G1784" s="24"/>
      <c r="H1784" s="53"/>
    </row>
    <row r="1785" spans="1:8" ht="15.75" customHeight="1">
      <c r="G1785" s="24"/>
      <c r="H1785" s="53"/>
    </row>
    <row r="1786" spans="1:8" ht="15.75" customHeight="1">
      <c r="G1786" s="24"/>
      <c r="H1786" s="53"/>
    </row>
    <row r="1787" spans="1:8" ht="15.75" customHeight="1">
      <c r="H1787" s="53"/>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E5B2E-0012-452B-8559-27E1A66A6639}">
  <dimension ref="A1:M1"/>
  <sheetViews>
    <sheetView zoomScale="187" workbookViewId="0">
      <pane xSplit="3" topLeftCell="D1" activePane="topRight" state="frozen"/>
      <selection pane="topRight" activeCell="G6" sqref="G6"/>
    </sheetView>
  </sheetViews>
  <sheetFormatPr defaultRowHeight="13.2"/>
  <cols>
    <col min="1" max="1" width="7.5546875" customWidth="1"/>
    <col min="2" max="2" width="16.5546875" customWidth="1"/>
    <col min="13" max="13" width="10.6640625" customWidth="1"/>
  </cols>
  <sheetData>
    <row r="1" spans="1:13" s="92" customFormat="1" ht="25.2" customHeight="1">
      <c r="A1" s="88" t="s">
        <v>7811</v>
      </c>
      <c r="B1" s="89" t="s">
        <v>7772</v>
      </c>
      <c r="C1" s="90" t="s">
        <v>7773</v>
      </c>
      <c r="D1" s="90" t="s">
        <v>7774</v>
      </c>
      <c r="E1" s="90" t="s">
        <v>7775</v>
      </c>
      <c r="F1" s="90" t="s">
        <v>7776</v>
      </c>
      <c r="G1" s="90" t="s">
        <v>7777</v>
      </c>
      <c r="H1" s="90" t="s">
        <v>7778</v>
      </c>
      <c r="I1" s="90" t="s">
        <v>7779</v>
      </c>
      <c r="J1" s="90" t="s">
        <v>7780</v>
      </c>
      <c r="K1" s="90" t="s">
        <v>7781</v>
      </c>
      <c r="L1" s="90" t="s">
        <v>116</v>
      </c>
      <c r="M1" s="91" t="s">
        <v>7782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129"/>
  <sheetViews>
    <sheetView zoomScale="236" workbookViewId="0">
      <pane ySplit="1" topLeftCell="A4" activePane="bottomLeft" state="frozen"/>
      <selection pane="bottomLeft" activeCell="C29" sqref="C29"/>
    </sheetView>
  </sheetViews>
  <sheetFormatPr defaultColWidth="12.6640625" defaultRowHeight="15.75" customHeight="1"/>
  <cols>
    <col min="1" max="1" width="17.21875" customWidth="1"/>
    <col min="2" max="2" width="40.44140625" customWidth="1"/>
  </cols>
  <sheetData>
    <row r="1" spans="1:2">
      <c r="A1" s="84" t="s">
        <v>119</v>
      </c>
      <c r="B1" s="84" t="s">
        <v>116</v>
      </c>
    </row>
    <row r="2" spans="1:2">
      <c r="A2" s="85">
        <v>1</v>
      </c>
      <c r="B2" s="85" t="s">
        <v>124</v>
      </c>
    </row>
    <row r="3" spans="1:2">
      <c r="A3" s="85">
        <v>5</v>
      </c>
      <c r="B3" s="85" t="s">
        <v>657</v>
      </c>
    </row>
    <row r="4" spans="1:2">
      <c r="A4" s="85">
        <v>6</v>
      </c>
      <c r="B4" s="85" t="s">
        <v>721</v>
      </c>
    </row>
    <row r="5" spans="1:2">
      <c r="A5" s="85">
        <v>106</v>
      </c>
      <c r="B5" s="85" t="s">
        <v>7801</v>
      </c>
    </row>
    <row r="6" spans="1:2">
      <c r="A6" s="85">
        <v>15</v>
      </c>
      <c r="B6" s="85" t="s">
        <v>7783</v>
      </c>
    </row>
    <row r="7" spans="1:2">
      <c r="A7" s="85">
        <v>9</v>
      </c>
      <c r="B7" s="85" t="s">
        <v>814</v>
      </c>
    </row>
    <row r="8" spans="1:2">
      <c r="A8" s="85">
        <v>108</v>
      </c>
      <c r="B8" s="85" t="s">
        <v>7795</v>
      </c>
    </row>
    <row r="9" spans="1:2">
      <c r="A9" s="85">
        <v>2</v>
      </c>
      <c r="B9" s="85" t="s">
        <v>7784</v>
      </c>
    </row>
    <row r="10" spans="1:2">
      <c r="A10" s="85">
        <v>4</v>
      </c>
      <c r="B10" s="85" t="s">
        <v>587</v>
      </c>
    </row>
    <row r="11" spans="1:2">
      <c r="A11" s="85">
        <v>16</v>
      </c>
      <c r="B11" s="85" t="s">
        <v>7787</v>
      </c>
    </row>
    <row r="12" spans="1:2">
      <c r="A12" s="85">
        <v>22</v>
      </c>
      <c r="B12" s="85" t="s">
        <v>7792</v>
      </c>
    </row>
    <row r="13" spans="1:2">
      <c r="A13" s="85">
        <v>127</v>
      </c>
      <c r="B13" s="85" t="s">
        <v>7486</v>
      </c>
    </row>
    <row r="14" spans="1:2">
      <c r="A14" s="85">
        <v>24</v>
      </c>
      <c r="B14" s="85" t="s">
        <v>1818</v>
      </c>
    </row>
    <row r="15" spans="1:2">
      <c r="A15" s="85">
        <v>111</v>
      </c>
      <c r="B15" s="85" t="s">
        <v>6074</v>
      </c>
    </row>
    <row r="16" spans="1:2">
      <c r="A16" s="85">
        <v>131</v>
      </c>
      <c r="B16" s="85" t="s">
        <v>7494</v>
      </c>
    </row>
    <row r="17" spans="1:2">
      <c r="A17" s="85">
        <v>124</v>
      </c>
      <c r="B17" s="85" t="s">
        <v>6361</v>
      </c>
    </row>
    <row r="18" spans="1:2">
      <c r="A18" s="85">
        <v>26</v>
      </c>
      <c r="B18" s="85" t="s">
        <v>1913</v>
      </c>
    </row>
    <row r="19" spans="1:2">
      <c r="A19" s="85">
        <v>17</v>
      </c>
      <c r="B19" s="85" t="s">
        <v>1710</v>
      </c>
    </row>
    <row r="20" spans="1:2">
      <c r="A20" s="85">
        <v>113</v>
      </c>
      <c r="B20" s="85" t="s">
        <v>7798</v>
      </c>
    </row>
    <row r="21" spans="1:2">
      <c r="A21" s="85">
        <v>114</v>
      </c>
      <c r="B21" s="85" t="s">
        <v>6122</v>
      </c>
    </row>
    <row r="22" spans="1:2">
      <c r="A22" s="85">
        <v>112</v>
      </c>
      <c r="B22" s="85" t="s">
        <v>7794</v>
      </c>
    </row>
    <row r="23" spans="1:2">
      <c r="A23" s="85">
        <v>30</v>
      </c>
      <c r="B23" s="85" t="s">
        <v>1496</v>
      </c>
    </row>
    <row r="24" spans="1:2">
      <c r="A24" s="85">
        <v>28</v>
      </c>
      <c r="B24" s="85" t="s">
        <v>2004</v>
      </c>
    </row>
    <row r="25" spans="1:2">
      <c r="A25" s="85">
        <v>128</v>
      </c>
      <c r="B25" s="85" t="s">
        <v>7802</v>
      </c>
    </row>
    <row r="26" spans="1:2">
      <c r="A26" s="85">
        <v>129</v>
      </c>
      <c r="B26" s="85" t="s">
        <v>7803</v>
      </c>
    </row>
    <row r="27" spans="1:2">
      <c r="A27" s="85">
        <v>19</v>
      </c>
      <c r="B27" s="85" t="s">
        <v>7786</v>
      </c>
    </row>
    <row r="28" spans="1:2">
      <c r="A28" s="85">
        <v>29</v>
      </c>
      <c r="B28" s="85" t="s">
        <v>2025</v>
      </c>
    </row>
    <row r="29" spans="1:2">
      <c r="A29" s="85">
        <v>31</v>
      </c>
      <c r="B29" s="85" t="s">
        <v>2112</v>
      </c>
    </row>
    <row r="30" spans="1:2">
      <c r="A30" s="85">
        <v>115</v>
      </c>
      <c r="B30" s="85" t="s">
        <v>7796</v>
      </c>
    </row>
    <row r="31" spans="1:2">
      <c r="A31" s="85">
        <v>134</v>
      </c>
      <c r="B31" s="85" t="s">
        <v>6444</v>
      </c>
    </row>
    <row r="32" spans="1:2">
      <c r="A32" s="85">
        <v>18</v>
      </c>
      <c r="B32" s="85" t="s">
        <v>1725</v>
      </c>
    </row>
    <row r="33" spans="1:2">
      <c r="A33" s="85">
        <v>20</v>
      </c>
      <c r="B33" s="85" t="s">
        <v>1735</v>
      </c>
    </row>
    <row r="34" spans="1:2">
      <c r="A34" s="85">
        <v>23</v>
      </c>
      <c r="B34" s="85" t="s">
        <v>1797</v>
      </c>
    </row>
    <row r="35" spans="1:2">
      <c r="A35" s="85">
        <v>136</v>
      </c>
      <c r="B35" s="85" t="s">
        <v>6458</v>
      </c>
    </row>
    <row r="36" spans="1:2">
      <c r="A36" s="85">
        <v>130</v>
      </c>
      <c r="B36" s="85" t="s">
        <v>6429</v>
      </c>
    </row>
    <row r="37" spans="1:2">
      <c r="A37" s="85">
        <v>21</v>
      </c>
      <c r="B37" s="85" t="s">
        <v>7804</v>
      </c>
    </row>
    <row r="38" spans="1:2">
      <c r="A38" s="85">
        <v>116</v>
      </c>
      <c r="B38" s="85" t="s">
        <v>7800</v>
      </c>
    </row>
    <row r="39" spans="1:2">
      <c r="A39" s="85">
        <v>33</v>
      </c>
      <c r="B39" s="85" t="s">
        <v>7790</v>
      </c>
    </row>
    <row r="40" spans="1:2">
      <c r="A40" s="85">
        <v>35</v>
      </c>
      <c r="B40" s="85" t="s">
        <v>2468</v>
      </c>
    </row>
    <row r="41" spans="1:2">
      <c r="A41" s="85">
        <v>34</v>
      </c>
      <c r="B41" s="85" t="s">
        <v>2441</v>
      </c>
    </row>
    <row r="42" spans="1:2">
      <c r="A42" s="85">
        <v>36</v>
      </c>
      <c r="B42" s="85" t="s">
        <v>2505</v>
      </c>
    </row>
    <row r="43" spans="1:2">
      <c r="A43" s="85">
        <v>37</v>
      </c>
      <c r="B43" s="85" t="s">
        <v>7791</v>
      </c>
    </row>
    <row r="44" spans="1:2">
      <c r="A44" s="85">
        <v>45</v>
      </c>
      <c r="B44" s="85" t="s">
        <v>3221</v>
      </c>
    </row>
    <row r="45" spans="1:2">
      <c r="A45" s="85">
        <v>38</v>
      </c>
      <c r="B45" s="85" t="s">
        <v>2800</v>
      </c>
    </row>
    <row r="46" spans="1:2">
      <c r="A46" s="85">
        <v>39</v>
      </c>
      <c r="B46" s="85" t="s">
        <v>2891</v>
      </c>
    </row>
    <row r="47" spans="1:2">
      <c r="A47" s="85">
        <v>40</v>
      </c>
      <c r="B47" s="85" t="s">
        <v>7797</v>
      </c>
    </row>
    <row r="48" spans="1:2">
      <c r="A48" s="85">
        <v>42</v>
      </c>
      <c r="B48" s="85" t="s">
        <v>3073</v>
      </c>
    </row>
    <row r="49" spans="1:2">
      <c r="A49" s="85">
        <v>43</v>
      </c>
      <c r="B49" s="85" t="s">
        <v>3129</v>
      </c>
    </row>
    <row r="50" spans="1:2">
      <c r="A50" s="85">
        <v>41</v>
      </c>
      <c r="B50" s="85" t="s">
        <v>3043</v>
      </c>
    </row>
    <row r="51" spans="1:2">
      <c r="A51" s="85">
        <v>44</v>
      </c>
      <c r="B51" s="85" t="s">
        <v>3139</v>
      </c>
    </row>
    <row r="52" spans="1:2">
      <c r="A52" s="85">
        <v>46</v>
      </c>
      <c r="B52" s="85" t="s">
        <v>7793</v>
      </c>
    </row>
    <row r="53" spans="1:2">
      <c r="A53" s="85">
        <v>47</v>
      </c>
      <c r="B53" s="85" t="s">
        <v>3448</v>
      </c>
    </row>
    <row r="54" spans="1:2">
      <c r="A54" s="85">
        <v>48</v>
      </c>
      <c r="B54" s="85" t="s">
        <v>3466</v>
      </c>
    </row>
    <row r="55" spans="1:2">
      <c r="A55" s="85">
        <v>49</v>
      </c>
      <c r="B55" s="85" t="s">
        <v>3635</v>
      </c>
    </row>
    <row r="56" spans="1:2">
      <c r="A56" s="85">
        <v>123</v>
      </c>
      <c r="B56" s="85" t="s">
        <v>6349</v>
      </c>
    </row>
    <row r="57" spans="1:2">
      <c r="A57" s="85">
        <v>50</v>
      </c>
      <c r="B57" s="85" t="s">
        <v>3649</v>
      </c>
    </row>
    <row r="58" spans="1:2">
      <c r="A58" s="85">
        <v>117</v>
      </c>
      <c r="B58" s="85" t="s">
        <v>6168</v>
      </c>
    </row>
    <row r="59" spans="1:2">
      <c r="A59" s="85">
        <v>118</v>
      </c>
      <c r="B59" s="85" t="s">
        <v>7805</v>
      </c>
    </row>
    <row r="60" spans="1:2">
      <c r="A60" s="85">
        <v>119</v>
      </c>
      <c r="B60" s="85" t="s">
        <v>6204</v>
      </c>
    </row>
    <row r="61" spans="1:2">
      <c r="A61" s="85">
        <v>52</v>
      </c>
      <c r="B61" s="85" t="s">
        <v>3791</v>
      </c>
    </row>
    <row r="62" spans="1:2">
      <c r="A62" s="85">
        <v>53</v>
      </c>
      <c r="B62" s="85" t="s">
        <v>3886</v>
      </c>
    </row>
    <row r="63" spans="1:2">
      <c r="A63" s="85">
        <v>125</v>
      </c>
      <c r="B63" s="85" t="s">
        <v>6393</v>
      </c>
    </row>
    <row r="64" spans="1:2">
      <c r="A64" s="85">
        <v>54</v>
      </c>
      <c r="B64" s="85" t="s">
        <v>3961</v>
      </c>
    </row>
    <row r="65" spans="1:2">
      <c r="A65" s="85">
        <v>55</v>
      </c>
      <c r="B65" s="85" t="s">
        <v>4006</v>
      </c>
    </row>
    <row r="66" spans="1:2">
      <c r="A66" s="85">
        <v>122</v>
      </c>
      <c r="B66" s="85" t="s">
        <v>7806</v>
      </c>
    </row>
    <row r="67" spans="1:2">
      <c r="A67" s="85">
        <v>65</v>
      </c>
      <c r="B67" s="85" t="s">
        <v>4484</v>
      </c>
    </row>
    <row r="68" spans="1:2">
      <c r="A68" s="85">
        <v>56</v>
      </c>
      <c r="B68" s="85" t="s">
        <v>4059</v>
      </c>
    </row>
    <row r="69" spans="1:2">
      <c r="A69" s="85">
        <v>58</v>
      </c>
      <c r="B69" s="85" t="s">
        <v>4149</v>
      </c>
    </row>
    <row r="70" spans="1:2">
      <c r="A70" s="85">
        <v>120</v>
      </c>
      <c r="B70" s="85" t="s">
        <v>6248</v>
      </c>
    </row>
    <row r="71" spans="1:2">
      <c r="A71" s="85">
        <v>59</v>
      </c>
      <c r="B71" s="85" t="s">
        <v>4245</v>
      </c>
    </row>
    <row r="72" spans="1:2">
      <c r="A72" s="85">
        <v>60</v>
      </c>
      <c r="B72" s="85" t="s">
        <v>4279</v>
      </c>
    </row>
    <row r="73" spans="1:2">
      <c r="A73" s="85">
        <v>61</v>
      </c>
      <c r="B73" s="85" t="s">
        <v>4346</v>
      </c>
    </row>
    <row r="74" spans="1:2">
      <c r="A74" s="85">
        <v>62</v>
      </c>
      <c r="B74" s="85" t="s">
        <v>4385</v>
      </c>
    </row>
    <row r="75" spans="1:2">
      <c r="A75" s="85">
        <v>63</v>
      </c>
      <c r="B75" s="85" t="s">
        <v>4414</v>
      </c>
    </row>
    <row r="76" spans="1:2">
      <c r="A76" s="85">
        <v>64</v>
      </c>
      <c r="B76" s="85" t="s">
        <v>4427</v>
      </c>
    </row>
    <row r="77" spans="1:2">
      <c r="A77" s="85">
        <v>66</v>
      </c>
      <c r="B77" s="85" t="s">
        <v>4503</v>
      </c>
    </row>
    <row r="78" spans="1:2">
      <c r="A78" s="85">
        <v>32</v>
      </c>
      <c r="B78" s="85" t="s">
        <v>2163</v>
      </c>
    </row>
    <row r="79" spans="1:2">
      <c r="A79" s="85">
        <v>67</v>
      </c>
      <c r="B79" s="85" t="s">
        <v>4514</v>
      </c>
    </row>
    <row r="80" spans="1:2">
      <c r="A80" s="85">
        <v>109</v>
      </c>
      <c r="B80" s="85" t="s">
        <v>5961</v>
      </c>
    </row>
    <row r="81" spans="1:2">
      <c r="A81" s="85">
        <v>68</v>
      </c>
      <c r="B81" s="85" t="s">
        <v>4530</v>
      </c>
    </row>
    <row r="82" spans="1:2">
      <c r="A82" s="85">
        <v>82</v>
      </c>
      <c r="B82" s="85" t="s">
        <v>4964</v>
      </c>
    </row>
    <row r="83" spans="1:2">
      <c r="A83" s="85">
        <v>84</v>
      </c>
      <c r="B83" s="85" t="s">
        <v>5045</v>
      </c>
    </row>
    <row r="84" spans="1:2">
      <c r="A84" s="85">
        <v>95</v>
      </c>
      <c r="B84" s="85" t="s">
        <v>5515</v>
      </c>
    </row>
    <row r="85" spans="1:2">
      <c r="A85" s="85">
        <v>94</v>
      </c>
      <c r="B85" s="85" t="s">
        <v>5500</v>
      </c>
    </row>
    <row r="86" spans="1:2">
      <c r="A86" s="85">
        <v>70</v>
      </c>
      <c r="B86" s="85" t="s">
        <v>4765</v>
      </c>
    </row>
    <row r="87" spans="1:2">
      <c r="A87" s="85">
        <v>85</v>
      </c>
      <c r="B87" s="85" t="s">
        <v>5085</v>
      </c>
    </row>
    <row r="88" spans="1:2">
      <c r="A88" s="85">
        <v>138</v>
      </c>
      <c r="B88" s="85" t="s">
        <v>6515</v>
      </c>
    </row>
    <row r="89" spans="1:2">
      <c r="A89" s="85">
        <v>71</v>
      </c>
      <c r="B89" s="85" t="s">
        <v>4776</v>
      </c>
    </row>
    <row r="90" spans="1:2">
      <c r="A90" s="85">
        <v>72</v>
      </c>
      <c r="B90" s="85" t="s">
        <v>4779</v>
      </c>
    </row>
    <row r="91" spans="1:2">
      <c r="A91" s="85">
        <v>73</v>
      </c>
      <c r="B91" s="85" t="s">
        <v>4808</v>
      </c>
    </row>
    <row r="92" spans="1:2">
      <c r="A92" s="85">
        <v>86</v>
      </c>
      <c r="B92" s="85" t="s">
        <v>5139</v>
      </c>
    </row>
    <row r="93" spans="1:2">
      <c r="A93" s="85">
        <v>78</v>
      </c>
      <c r="B93" s="85" t="s">
        <v>4931</v>
      </c>
    </row>
    <row r="94" spans="1:2">
      <c r="A94" s="85">
        <v>79</v>
      </c>
      <c r="B94" s="85" t="s">
        <v>4947</v>
      </c>
    </row>
    <row r="95" spans="1:2">
      <c r="A95" s="85">
        <v>87</v>
      </c>
      <c r="B95" s="85" t="s">
        <v>7785</v>
      </c>
    </row>
    <row r="96" spans="1:2">
      <c r="A96" s="85">
        <v>88</v>
      </c>
      <c r="B96" s="85" t="s">
        <v>7807</v>
      </c>
    </row>
    <row r="97" spans="1:2">
      <c r="A97" s="85">
        <v>90</v>
      </c>
      <c r="B97" s="85" t="s">
        <v>5309</v>
      </c>
    </row>
    <row r="98" spans="1:2">
      <c r="A98" s="85">
        <v>89</v>
      </c>
      <c r="B98" s="85" t="s">
        <v>5248</v>
      </c>
    </row>
    <row r="99" spans="1:2">
      <c r="A99" s="85">
        <v>98</v>
      </c>
      <c r="B99" s="85" t="s">
        <v>5620</v>
      </c>
    </row>
    <row r="100" spans="1:2">
      <c r="A100" s="85">
        <v>74</v>
      </c>
      <c r="B100" s="85" t="s">
        <v>4866</v>
      </c>
    </row>
    <row r="101" spans="1:2">
      <c r="A101" s="85">
        <v>96</v>
      </c>
      <c r="B101" s="85" t="s">
        <v>5540</v>
      </c>
    </row>
    <row r="102" spans="1:2">
      <c r="A102" s="85">
        <v>80</v>
      </c>
      <c r="B102" s="85" t="s">
        <v>4949</v>
      </c>
    </row>
    <row r="103" spans="1:2">
      <c r="A103" s="85">
        <v>99</v>
      </c>
      <c r="B103" s="85" t="s">
        <v>7788</v>
      </c>
    </row>
    <row r="104" spans="1:2">
      <c r="A104" s="85">
        <v>91</v>
      </c>
      <c r="B104" s="85" t="s">
        <v>5349</v>
      </c>
    </row>
    <row r="105" spans="1:2">
      <c r="A105" s="85">
        <v>121</v>
      </c>
      <c r="B105" s="85" t="s">
        <v>6276</v>
      </c>
    </row>
    <row r="106" spans="1:2">
      <c r="A106" s="85">
        <v>75</v>
      </c>
      <c r="B106" s="85" t="s">
        <v>4877</v>
      </c>
    </row>
    <row r="107" spans="1:2">
      <c r="A107" s="85">
        <v>76</v>
      </c>
      <c r="B107" s="85" t="s">
        <v>4884</v>
      </c>
    </row>
    <row r="108" spans="1:2">
      <c r="A108" s="85">
        <v>93</v>
      </c>
      <c r="B108" s="85" t="s">
        <v>5416</v>
      </c>
    </row>
    <row r="109" spans="1:2">
      <c r="A109" s="85">
        <v>77</v>
      </c>
      <c r="B109" s="85" t="s">
        <v>4907</v>
      </c>
    </row>
    <row r="110" spans="1:2">
      <c r="A110" s="85">
        <v>97</v>
      </c>
      <c r="B110" s="85" t="s">
        <v>5596</v>
      </c>
    </row>
    <row r="111" spans="1:2">
      <c r="A111" s="85">
        <v>11</v>
      </c>
      <c r="B111" s="85" t="s">
        <v>956</v>
      </c>
    </row>
    <row r="112" spans="1:2">
      <c r="A112" s="85">
        <v>107</v>
      </c>
      <c r="B112" s="85" t="s">
        <v>7799</v>
      </c>
    </row>
    <row r="113" spans="1:2">
      <c r="A113" s="85">
        <v>12</v>
      </c>
      <c r="B113" s="85" t="s">
        <v>1006</v>
      </c>
    </row>
    <row r="114" spans="1:2">
      <c r="A114" s="85">
        <v>7</v>
      </c>
      <c r="B114" s="85" t="s">
        <v>740</v>
      </c>
    </row>
    <row r="115" spans="1:2">
      <c r="A115" s="85">
        <v>8</v>
      </c>
      <c r="B115" s="85" t="s">
        <v>797</v>
      </c>
    </row>
    <row r="116" spans="1:2">
      <c r="A116" s="85">
        <v>13</v>
      </c>
      <c r="B116" s="85" t="s">
        <v>1017</v>
      </c>
    </row>
    <row r="117" spans="1:2">
      <c r="A117" s="85">
        <v>3</v>
      </c>
      <c r="B117" s="85" t="s">
        <v>502</v>
      </c>
    </row>
    <row r="118" spans="1:2">
      <c r="A118" s="85">
        <v>126</v>
      </c>
      <c r="B118" s="85" t="s">
        <v>6398</v>
      </c>
    </row>
    <row r="119" spans="1:2">
      <c r="A119" s="85">
        <v>137</v>
      </c>
      <c r="B119" s="85" t="s">
        <v>7808</v>
      </c>
    </row>
    <row r="120" spans="1:2">
      <c r="A120" s="85">
        <v>103</v>
      </c>
      <c r="B120" s="85" t="s">
        <v>5763</v>
      </c>
    </row>
    <row r="121" spans="1:2">
      <c r="A121" s="85">
        <v>102</v>
      </c>
      <c r="B121" s="85" t="s">
        <v>5714</v>
      </c>
    </row>
    <row r="122" spans="1:2">
      <c r="A122" s="85">
        <v>105</v>
      </c>
      <c r="B122" s="85" t="s">
        <v>7789</v>
      </c>
    </row>
    <row r="123" spans="1:2">
      <c r="A123" s="85">
        <v>104</v>
      </c>
      <c r="B123" s="85" t="s">
        <v>5796</v>
      </c>
    </row>
    <row r="124" spans="1:2">
      <c r="A124" s="85">
        <v>135</v>
      </c>
      <c r="B124" s="85" t="s">
        <v>6456</v>
      </c>
    </row>
    <row r="125" spans="1:2">
      <c r="A125" s="85">
        <v>132</v>
      </c>
      <c r="B125" s="85" t="s">
        <v>7809</v>
      </c>
    </row>
    <row r="126" spans="1:2">
      <c r="A126" s="85">
        <v>101</v>
      </c>
      <c r="B126" s="85" t="s">
        <v>5642</v>
      </c>
    </row>
    <row r="127" spans="1:2">
      <c r="A127" s="85">
        <v>133</v>
      </c>
      <c r="B127" s="85" t="s">
        <v>6438</v>
      </c>
    </row>
    <row r="128" spans="1:2">
      <c r="A128" s="85">
        <v>10</v>
      </c>
      <c r="B128" s="85" t="s">
        <v>927</v>
      </c>
    </row>
    <row r="129" spans="1:2">
      <c r="A129" s="85">
        <v>110</v>
      </c>
      <c r="B129" s="85" t="s">
        <v>6054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vt:lpstr>
      <vt:lpstr>General Category</vt:lpstr>
      <vt:lpstr>General Level</vt:lpstr>
      <vt:lpstr>IOI Category</vt:lpstr>
      <vt:lpstr>IOI Level</vt:lpstr>
      <vt:lpstr>IOI Contest</vt:lpstr>
      <vt:lpstr>Submissions</vt:lpstr>
      <vt:lpstr>Categories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DEBRAJ DAS</dc:creator>
  <cp:lastModifiedBy>DEBRAJ DAS</cp:lastModifiedBy>
  <dcterms:modified xsi:type="dcterms:W3CDTF">2023-11-09T14:28:52Z</dcterms:modified>
</cp:coreProperties>
</file>